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codeName="ThisWorkbook"/>
  <mc:AlternateContent xmlns:mc="http://schemas.openxmlformats.org/markup-compatibility/2006">
    <mc:Choice Requires="x15">
      <x15ac:absPath xmlns:x15ac="http://schemas.microsoft.com/office/spreadsheetml/2010/11/ac" url="C:\Users\miria\OneDrive - Danmarks Tekniske Universitet\InternshipLCA\"/>
    </mc:Choice>
  </mc:AlternateContent>
  <xr:revisionPtr revIDLastSave="0" documentId="13_ncr:1_{C294ECE8-E33A-450E-A0BD-9B835598C4BE}" xr6:coauthVersionLast="45" xr6:coauthVersionMax="45" xr10:uidLastSave="{00000000-0000-0000-0000-000000000000}"/>
  <bookViews>
    <workbookView xWindow="-108" yWindow="-108" windowWidth="23256" windowHeight="12576" activeTab="3" xr2:uid="{00000000-000D-0000-FFFF-FFFF00000000}"/>
  </bookViews>
  <sheets>
    <sheet name="Discounting metrics" sheetId="34" r:id="rId1"/>
    <sheet name="Amortization metrics" sheetId="15" r:id="rId2"/>
    <sheet name="Allometrics &amp; Decay rates" sheetId="52" r:id="rId3"/>
    <sheet name="Summary DISCOUNTED" sheetId="48" r:id="rId4"/>
    <sheet name="Summary AMORTIZED" sheetId="18" r:id="rId5"/>
    <sheet name="Crops; pasture DISCOUNTED" sheetId="49" r:id="rId6"/>
    <sheet name="Crops; pasture AMORTIZED" sheetId="10" r:id="rId7"/>
    <sheet name="Crops proc. &amp; prod. DISCOUNTED" sheetId="50" r:id="rId8"/>
    <sheet name="Crops proc. &amp; prod. AMORTIZED" sheetId="14" r:id="rId9"/>
    <sheet name="Livestock prod. DISCOUNTED" sheetId="51" r:id="rId10"/>
    <sheet name="Livestock prod. AMORTIZED" sheetId="11" r:id="rId11"/>
    <sheet name="Ex - LU options sites DISC." sheetId="35" r:id="rId12"/>
    <sheet name="Ex - LU grass-ethanol DISC." sheetId="36" r:id="rId13"/>
    <sheet name="Ex - Crops DISC." sheetId="37" r:id="rId14"/>
    <sheet name="Ex - Livestock DISC." sheetId="38" r:id="rId15"/>
    <sheet name="Ex - Fuels DISC." sheetId="39" r:id="rId16"/>
    <sheet name="Ex - Powertrains; I. Main DISC." sheetId="40" r:id="rId17"/>
    <sheet name="Ex - PT.; II. PV DISC." sheetId="41" r:id="rId18"/>
    <sheet name="Ex - PT; III. Backup DISC." sheetId="42" r:id="rId19"/>
    <sheet name="Ex - PT; IV. Backup+PV DISC." sheetId="43" r:id="rId20"/>
    <sheet name="Ex - Diets DISC." sheetId="44" r:id="rId2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T75" i="10" l="1"/>
  <c r="FK75" i="10"/>
  <c r="FJ75" i="10"/>
  <c r="FI75" i="10"/>
  <c r="FH75" i="10"/>
  <c r="FG75" i="10"/>
  <c r="FF75" i="10"/>
  <c r="FE75" i="10"/>
  <c r="FD75" i="10"/>
  <c r="FC75" i="10"/>
  <c r="IA75" i="50"/>
  <c r="IA75" i="14"/>
  <c r="GG91" i="11"/>
  <c r="GG89" i="11"/>
  <c r="GG87" i="11"/>
  <c r="GG81" i="11"/>
  <c r="GG79" i="11"/>
  <c r="GG77" i="11"/>
  <c r="GG75" i="11"/>
  <c r="GG72" i="11"/>
  <c r="GG70" i="11"/>
  <c r="GG68" i="11"/>
  <c r="GG67" i="11"/>
  <c r="EU75" i="10" l="1"/>
  <c r="EP75" i="10" s="1"/>
  <c r="EO75" i="10" s="1"/>
  <c r="P20" i="49"/>
  <c r="P21" i="49"/>
  <c r="P22" i="49"/>
  <c r="P23" i="49"/>
  <c r="P24" i="49"/>
  <c r="P25" i="49"/>
  <c r="P28" i="49"/>
  <c r="P29" i="49"/>
  <c r="P30" i="49"/>
  <c r="P31" i="49"/>
  <c r="P34" i="49"/>
  <c r="P35" i="49"/>
  <c r="P38" i="49"/>
  <c r="P39" i="49"/>
  <c r="P40" i="49"/>
  <c r="P41" i="49"/>
  <c r="P42" i="49"/>
  <c r="P43" i="49"/>
  <c r="P46" i="49"/>
  <c r="P47" i="49"/>
  <c r="P48" i="49"/>
  <c r="P49" i="49"/>
  <c r="P50" i="49"/>
  <c r="P53" i="49"/>
  <c r="P54" i="49"/>
  <c r="P55" i="49"/>
  <c r="P56" i="49"/>
  <c r="P59" i="49"/>
  <c r="P66" i="49"/>
  <c r="P67" i="49"/>
  <c r="P68" i="49"/>
  <c r="P69" i="49"/>
  <c r="C13" i="52" l="1"/>
  <c r="E13" i="52" s="1"/>
  <c r="C12" i="52"/>
  <c r="E12" i="52" s="1"/>
  <c r="C11" i="52"/>
  <c r="E11" i="52" s="1"/>
  <c r="C10" i="52"/>
  <c r="E10" i="52" s="1"/>
  <c r="C9" i="52"/>
  <c r="E9" i="52" s="1"/>
  <c r="C8" i="52"/>
  <c r="E8" i="52" s="1"/>
  <c r="C7" i="52"/>
  <c r="E7" i="52" s="1"/>
  <c r="C6" i="52"/>
  <c r="E6" i="52" s="1"/>
  <c r="C5" i="52"/>
  <c r="E5" i="52" s="1"/>
  <c r="FB75" i="49" l="1"/>
  <c r="FA75" i="49"/>
  <c r="EZ75" i="49"/>
  <c r="EY75" i="49"/>
  <c r="EX75" i="49"/>
  <c r="EW75" i="49"/>
  <c r="DK75" i="49"/>
  <c r="DK79" i="49"/>
  <c r="DK76" i="49"/>
  <c r="BU75" i="49" l="1"/>
  <c r="DI75" i="49" s="1"/>
  <c r="DE75" i="49" s="1"/>
  <c r="BK75" i="49"/>
  <c r="AL63" i="49" l="1"/>
  <c r="AM63" i="49"/>
  <c r="AN63" i="49"/>
  <c r="AO63" i="49"/>
  <c r="AP63" i="49"/>
  <c r="AQ63" i="49"/>
  <c r="AR63" i="49"/>
  <c r="AS63" i="49"/>
  <c r="AT63" i="49"/>
  <c r="DK69" i="49"/>
  <c r="FY69" i="49" s="1"/>
  <c r="FV69" i="49"/>
  <c r="FU69" i="49"/>
  <c r="FS69" i="49"/>
  <c r="K69" i="49"/>
  <c r="DO69" i="49" s="1"/>
  <c r="CF69" i="49"/>
  <c r="CP69" i="49"/>
  <c r="DR17" i="49"/>
  <c r="DK68" i="49"/>
  <c r="FB68" i="49" s="1"/>
  <c r="CF68" i="49"/>
  <c r="CP68" i="49"/>
  <c r="EX68" i="49"/>
  <c r="EW68" i="49"/>
  <c r="DK67" i="49"/>
  <c r="FB67" i="49" s="1"/>
  <c r="CF67" i="49"/>
  <c r="CP67" i="49"/>
  <c r="DK66" i="49"/>
  <c r="FB66" i="49" s="1"/>
  <c r="CF66" i="49"/>
  <c r="CP66" i="49"/>
  <c r="BA63" i="49"/>
  <c r="CW63" i="49"/>
  <c r="DK63" i="49"/>
  <c r="AZ63" i="49"/>
  <c r="CV63" i="49"/>
  <c r="AY63" i="49"/>
  <c r="CU63" i="49"/>
  <c r="AX63" i="49"/>
  <c r="CT63" i="49"/>
  <c r="AW63" i="49"/>
  <c r="CS63" i="49"/>
  <c r="AV63" i="49"/>
  <c r="CR63" i="49"/>
  <c r="AU63" i="49"/>
  <c r="CQ63" i="49"/>
  <c r="BC63" i="49"/>
  <c r="CO63" i="49"/>
  <c r="BB63" i="49"/>
  <c r="CN63" i="49"/>
  <c r="CM63" i="49"/>
  <c r="CL63" i="49"/>
  <c r="CK63" i="49"/>
  <c r="CJ63" i="49"/>
  <c r="CI63" i="49"/>
  <c r="CH63" i="49"/>
  <c r="CG63" i="49"/>
  <c r="J63" i="49"/>
  <c r="CX63" i="49"/>
  <c r="CY63" i="49"/>
  <c r="CB63" i="49"/>
  <c r="CA63" i="49"/>
  <c r="BZ63" i="49"/>
  <c r="FA63" i="49" s="1"/>
  <c r="BY63" i="49"/>
  <c r="EZ63" i="49" s="1"/>
  <c r="BX63" i="49"/>
  <c r="BW63" i="49"/>
  <c r="EX63" i="49" s="1"/>
  <c r="BV63" i="49"/>
  <c r="BT63" i="49"/>
  <c r="BS63" i="49"/>
  <c r="BR63" i="49"/>
  <c r="BQ63" i="49"/>
  <c r="BP63" i="49"/>
  <c r="BO63" i="49"/>
  <c r="BN63" i="49"/>
  <c r="BM63" i="49"/>
  <c r="BL63" i="49"/>
  <c r="FY62" i="49"/>
  <c r="FX62" i="49"/>
  <c r="FW62" i="49"/>
  <c r="FV62" i="49"/>
  <c r="FU62" i="49"/>
  <c r="FT62" i="49"/>
  <c r="J62" i="49"/>
  <c r="DR62" i="49"/>
  <c r="FC62" i="49"/>
  <c r="FB62" i="49"/>
  <c r="FA62" i="49"/>
  <c r="EZ62" i="49"/>
  <c r="EY62" i="49"/>
  <c r="EX62" i="49"/>
  <c r="EW62" i="49"/>
  <c r="DK59" i="49"/>
  <c r="FY59" i="49" s="1"/>
  <c r="K59" i="49"/>
  <c r="CF59" i="49"/>
  <c r="CP59" i="49"/>
  <c r="CP58" i="49" s="1"/>
  <c r="DK56" i="49"/>
  <c r="FC56" i="49" s="1"/>
  <c r="K56" i="49"/>
  <c r="DO56" i="49" s="1"/>
  <c r="CF56" i="49"/>
  <c r="CP56" i="49"/>
  <c r="DK55" i="49"/>
  <c r="FB55" i="49" s="1"/>
  <c r="K55" i="49"/>
  <c r="DO55" i="49" s="1"/>
  <c r="CF55" i="49"/>
  <c r="CP55" i="49"/>
  <c r="DK54" i="49"/>
  <c r="FW54" i="49" s="1"/>
  <c r="CF54" i="49"/>
  <c r="EC54" i="49" s="1"/>
  <c r="CP54" i="49"/>
  <c r="DK53" i="49"/>
  <c r="FW53" i="49" s="1"/>
  <c r="CF53" i="49"/>
  <c r="EC53" i="49" s="1"/>
  <c r="CP53" i="49"/>
  <c r="DK50" i="49"/>
  <c r="FU50" i="49" s="1"/>
  <c r="K50" i="49"/>
  <c r="DO50" i="49" s="1"/>
  <c r="CF50" i="49"/>
  <c r="BH50" i="49" s="1"/>
  <c r="BE50" i="49" s="1"/>
  <c r="CP50" i="49"/>
  <c r="DK49" i="49"/>
  <c r="FB49" i="49" s="1"/>
  <c r="K49" i="49"/>
  <c r="DO49" i="49" s="1"/>
  <c r="CF49" i="49"/>
  <c r="CP49" i="49"/>
  <c r="DK48" i="49"/>
  <c r="FV48" i="49" s="1"/>
  <c r="K48" i="49"/>
  <c r="DO48" i="49" s="1"/>
  <c r="CF48" i="49"/>
  <c r="CP48" i="49"/>
  <c r="DK47" i="49"/>
  <c r="FX47" i="49" s="1"/>
  <c r="K47" i="49"/>
  <c r="DO47" i="49" s="1"/>
  <c r="CF47" i="49"/>
  <c r="CP47" i="49"/>
  <c r="DR47" i="49"/>
  <c r="DK46" i="49"/>
  <c r="K46" i="49"/>
  <c r="DO46" i="49" s="1"/>
  <c r="CF46" i="49"/>
  <c r="CP46" i="49"/>
  <c r="DK43" i="49"/>
  <c r="EW43" i="49" s="1"/>
  <c r="CF43" i="49"/>
  <c r="CP43" i="49"/>
  <c r="DR43" i="49"/>
  <c r="DK42" i="49"/>
  <c r="K42" i="49"/>
  <c r="IK42" i="49" s="1"/>
  <c r="CF42" i="49"/>
  <c r="CP42" i="49"/>
  <c r="DK41" i="49"/>
  <c r="FA41" i="49" s="1"/>
  <c r="K41" i="49"/>
  <c r="DO41" i="49" s="1"/>
  <c r="CF41" i="49"/>
  <c r="CP41" i="49"/>
  <c r="DK40" i="49"/>
  <c r="EX40" i="49" s="1"/>
  <c r="K40" i="49"/>
  <c r="DO40" i="49" s="1"/>
  <c r="CF40" i="49"/>
  <c r="EC40" i="49" s="1"/>
  <c r="CP40" i="49"/>
  <c r="DK39" i="49"/>
  <c r="FY39" i="49" s="1"/>
  <c r="CF39" i="49"/>
  <c r="CP39" i="49"/>
  <c r="DK38" i="49"/>
  <c r="FY38" i="49" s="1"/>
  <c r="K38" i="49"/>
  <c r="DO38" i="49" s="1"/>
  <c r="CF38" i="49"/>
  <c r="EC38" i="49" s="1"/>
  <c r="CP38" i="49"/>
  <c r="DK35" i="49"/>
  <c r="FB35" i="49" s="1"/>
  <c r="K35" i="49"/>
  <c r="DO35" i="49" s="1"/>
  <c r="CF35" i="49"/>
  <c r="CP35" i="49"/>
  <c r="DK34" i="49"/>
  <c r="FC34" i="49" s="1"/>
  <c r="CF34" i="49"/>
  <c r="CP34" i="49"/>
  <c r="DK31" i="49"/>
  <c r="FV31" i="49" s="1"/>
  <c r="K31" i="49"/>
  <c r="DO31" i="49" s="1"/>
  <c r="CF31" i="49"/>
  <c r="CP31" i="49"/>
  <c r="DK30" i="49"/>
  <c r="FB30" i="49" s="1"/>
  <c r="K30" i="49"/>
  <c r="CF30" i="49"/>
  <c r="CP30" i="49"/>
  <c r="DK29" i="49"/>
  <c r="EZ29" i="49" s="1"/>
  <c r="K29" i="49"/>
  <c r="DO29" i="49" s="1"/>
  <c r="CF29" i="49"/>
  <c r="CP29" i="49"/>
  <c r="DK28" i="49"/>
  <c r="EZ28" i="49" s="1"/>
  <c r="K28" i="49"/>
  <c r="AA28" i="49" s="1"/>
  <c r="CF28" i="49"/>
  <c r="CP28" i="49"/>
  <c r="DK25" i="49"/>
  <c r="DK24" i="49"/>
  <c r="FY24" i="49" s="1"/>
  <c r="DK23" i="49"/>
  <c r="FX23" i="49" s="1"/>
  <c r="DK22" i="49"/>
  <c r="DK21" i="49"/>
  <c r="FY21" i="49" s="1"/>
  <c r="DK20" i="49"/>
  <c r="FV20" i="49" s="1"/>
  <c r="CF22" i="49"/>
  <c r="CP21" i="49"/>
  <c r="CP20" i="49"/>
  <c r="CD63" i="49"/>
  <c r="CC63" i="49"/>
  <c r="BK23" i="49"/>
  <c r="BK24" i="49"/>
  <c r="BK25" i="49"/>
  <c r="BK20" i="49"/>
  <c r="BJ20" i="49" s="1"/>
  <c r="CF25" i="49"/>
  <c r="CF24" i="49"/>
  <c r="CF23" i="49"/>
  <c r="CF21" i="49"/>
  <c r="CF20" i="49"/>
  <c r="CP25" i="49"/>
  <c r="CP24" i="49"/>
  <c r="CP23" i="49"/>
  <c r="CP22" i="49"/>
  <c r="BK69" i="49"/>
  <c r="BK68" i="49"/>
  <c r="DZ68" i="49" s="1"/>
  <c r="BK67" i="49"/>
  <c r="DZ67" i="49" s="1"/>
  <c r="BK66" i="49"/>
  <c r="BK59" i="49"/>
  <c r="BK56" i="49"/>
  <c r="BK55" i="49"/>
  <c r="BK54" i="49"/>
  <c r="DZ54" i="49" s="1"/>
  <c r="BK53" i="49"/>
  <c r="BK50" i="49"/>
  <c r="BK49" i="49"/>
  <c r="BK48" i="49"/>
  <c r="BK47" i="49"/>
  <c r="BK46" i="49"/>
  <c r="BK43" i="49"/>
  <c r="DZ43" i="49" s="1"/>
  <c r="BK42" i="49"/>
  <c r="BK41" i="49"/>
  <c r="BK40" i="49"/>
  <c r="BK39" i="49"/>
  <c r="BK38" i="49"/>
  <c r="BK35" i="49"/>
  <c r="BK34" i="49"/>
  <c r="BK31" i="49"/>
  <c r="BK30" i="49"/>
  <c r="BH30" i="49" s="1"/>
  <c r="BE30" i="49" s="1"/>
  <c r="BK29" i="49"/>
  <c r="BK28" i="49"/>
  <c r="BU69" i="49"/>
  <c r="BU68" i="49"/>
  <c r="BU67" i="49"/>
  <c r="BU66" i="49"/>
  <c r="BU59" i="49"/>
  <c r="DI59" i="49" s="1"/>
  <c r="EA59" i="49" s="1"/>
  <c r="BU56" i="49"/>
  <c r="BU55" i="49"/>
  <c r="BU54" i="49"/>
  <c r="BU53" i="49"/>
  <c r="DI53" i="49" s="1"/>
  <c r="BU50" i="49"/>
  <c r="BU49" i="49"/>
  <c r="BU48" i="49"/>
  <c r="BU47" i="49"/>
  <c r="BU46" i="49"/>
  <c r="BU43" i="49"/>
  <c r="BU42" i="49"/>
  <c r="BU41" i="49"/>
  <c r="BU40" i="49"/>
  <c r="BU39" i="49"/>
  <c r="BU38" i="49"/>
  <c r="BU35" i="49"/>
  <c r="BU34" i="49"/>
  <c r="BU31" i="49"/>
  <c r="BU30" i="49"/>
  <c r="BU29" i="49"/>
  <c r="BU28" i="49"/>
  <c r="BU25" i="49"/>
  <c r="BU24" i="49"/>
  <c r="BU23" i="49"/>
  <c r="BU22" i="49"/>
  <c r="BU21" i="49"/>
  <c r="BU20" i="49"/>
  <c r="BK22" i="49"/>
  <c r="BK21" i="49"/>
  <c r="D18" i="35"/>
  <c r="EM12" i="51"/>
  <c r="EM13" i="51"/>
  <c r="EM14" i="51"/>
  <c r="EM17" i="51"/>
  <c r="EM18" i="51"/>
  <c r="EM19" i="51"/>
  <c r="EM22" i="51"/>
  <c r="EM23" i="51"/>
  <c r="EM26" i="51"/>
  <c r="EM27" i="51"/>
  <c r="EM30" i="51"/>
  <c r="GI12" i="51"/>
  <c r="GI13" i="51"/>
  <c r="GI14" i="51"/>
  <c r="GI17" i="51"/>
  <c r="GI18" i="51"/>
  <c r="GI19" i="51"/>
  <c r="GI22" i="51"/>
  <c r="GI23" i="51"/>
  <c r="GI26" i="51"/>
  <c r="GI27" i="51"/>
  <c r="GI30" i="51"/>
  <c r="GI35" i="51"/>
  <c r="GI36" i="51"/>
  <c r="GI37" i="51"/>
  <c r="GI40" i="51"/>
  <c r="GI41" i="51"/>
  <c r="GI42" i="51"/>
  <c r="GI45" i="51"/>
  <c r="GI46" i="51"/>
  <c r="GI47" i="51"/>
  <c r="GI48" i="51"/>
  <c r="GI49" i="51"/>
  <c r="DI91" i="51"/>
  <c r="DA91" i="51" s="1"/>
  <c r="J91" i="51"/>
  <c r="H91" i="51" s="1"/>
  <c r="CX91" i="51"/>
  <c r="GG91" i="51"/>
  <c r="DE89" i="51"/>
  <c r="DA89" i="51" s="1"/>
  <c r="J89" i="51"/>
  <c r="CX89" i="51"/>
  <c r="GG89" i="51"/>
  <c r="DE87" i="51"/>
  <c r="DA87" i="51" s="1"/>
  <c r="J87" i="51"/>
  <c r="H87" i="51" s="1"/>
  <c r="CX87" i="51"/>
  <c r="GG87" i="51"/>
  <c r="DE81" i="51"/>
  <c r="DA81" i="51" s="1"/>
  <c r="DI81" i="51"/>
  <c r="DA72" i="51" s="1"/>
  <c r="J81" i="51"/>
  <c r="W81" i="51"/>
  <c r="CX81" i="51"/>
  <c r="CX66" i="51" s="1"/>
  <c r="GG81" i="51"/>
  <c r="DE79" i="51"/>
  <c r="DI79" i="51"/>
  <c r="DA70" i="51" s="1"/>
  <c r="J79" i="51"/>
  <c r="H79" i="51" s="1"/>
  <c r="W79" i="51"/>
  <c r="CX79" i="51"/>
  <c r="GG79" i="51"/>
  <c r="DE77" i="51"/>
  <c r="DA77" i="51" s="1"/>
  <c r="J77" i="51"/>
  <c r="H77" i="51" s="1"/>
  <c r="W77" i="51"/>
  <c r="CX77" i="51"/>
  <c r="GG77" i="51"/>
  <c r="DE75" i="51"/>
  <c r="DA75" i="51" s="1"/>
  <c r="J75" i="51"/>
  <c r="W75" i="51"/>
  <c r="CX75" i="51"/>
  <c r="GG75" i="51"/>
  <c r="CX72" i="51"/>
  <c r="GG72" i="51"/>
  <c r="CX70" i="51"/>
  <c r="GG70" i="51"/>
  <c r="CX73" i="51"/>
  <c r="GG68" i="51"/>
  <c r="CX71" i="51"/>
  <c r="GG67" i="51"/>
  <c r="DH91" i="51"/>
  <c r="CZ91" i="51" s="1"/>
  <c r="DD89" i="51"/>
  <c r="CZ89" i="51" s="1"/>
  <c r="AT87" i="51"/>
  <c r="DD87" i="51"/>
  <c r="CZ87" i="51" s="1"/>
  <c r="AT81" i="51"/>
  <c r="DH81" i="51"/>
  <c r="CZ72" i="51" s="1"/>
  <c r="AT79" i="51"/>
  <c r="AU79" i="51" s="1"/>
  <c r="DH79" i="51"/>
  <c r="CZ70" i="51" s="1"/>
  <c r="AT77" i="51"/>
  <c r="DD81" i="51"/>
  <c r="CZ73" i="51" s="1"/>
  <c r="DD77" i="51"/>
  <c r="CZ77" i="51" s="1"/>
  <c r="AT75" i="51"/>
  <c r="DD79" i="51"/>
  <c r="CZ71" i="51" s="1"/>
  <c r="DD75" i="51"/>
  <c r="CZ75" i="51" s="1"/>
  <c r="BS79" i="10"/>
  <c r="BO79" i="10" s="1"/>
  <c r="BR79" i="10"/>
  <c r="BN79" i="10" s="1"/>
  <c r="BK79" i="10" s="1"/>
  <c r="BS78" i="10"/>
  <c r="BR78" i="10"/>
  <c r="BS77" i="10"/>
  <c r="BR77" i="10"/>
  <c r="BT76" i="10"/>
  <c r="BS76" i="10"/>
  <c r="BQ76" i="10" s="1"/>
  <c r="BZ69" i="10"/>
  <c r="BX69" i="10" s="1"/>
  <c r="CL69" i="10" s="1"/>
  <c r="BU69" i="10"/>
  <c r="BS69" i="10" s="1"/>
  <c r="CI69" i="10" s="1"/>
  <c r="BZ68" i="10"/>
  <c r="BX68" i="10" s="1"/>
  <c r="BV68" i="10" s="1"/>
  <c r="BU68" i="10"/>
  <c r="BS68" i="10" s="1"/>
  <c r="BQ68" i="10" s="1"/>
  <c r="BZ67" i="10"/>
  <c r="BX67" i="10" s="1"/>
  <c r="BV67" i="10" s="1"/>
  <c r="BU67" i="10"/>
  <c r="BS67" i="10" s="1"/>
  <c r="BQ67" i="10" s="1"/>
  <c r="BZ66" i="10"/>
  <c r="BX66" i="10" s="1"/>
  <c r="CL66" i="10" s="1"/>
  <c r="BU66" i="10"/>
  <c r="BS66" i="10" s="1"/>
  <c r="CI66" i="10" s="1"/>
  <c r="BZ63" i="10"/>
  <c r="BU63" i="10"/>
  <c r="BX62" i="10"/>
  <c r="BS62" i="10"/>
  <c r="BZ59" i="10"/>
  <c r="BX59" i="10" s="1"/>
  <c r="BX58" i="10" s="1"/>
  <c r="BU59" i="10"/>
  <c r="BS59" i="10" s="1"/>
  <c r="BZ56" i="10"/>
  <c r="BX56" i="10" s="1"/>
  <c r="CL56" i="10" s="1"/>
  <c r="BU56" i="10"/>
  <c r="BS56" i="10" s="1"/>
  <c r="CI56" i="10" s="1"/>
  <c r="BZ55" i="10"/>
  <c r="BX55" i="10" s="1"/>
  <c r="BU55" i="10"/>
  <c r="BS55" i="10" s="1"/>
  <c r="BZ54" i="10"/>
  <c r="BX54" i="10" s="1"/>
  <c r="BV54" i="10" s="1"/>
  <c r="BU54" i="10"/>
  <c r="BS54" i="10" s="1"/>
  <c r="BQ54" i="10" s="1"/>
  <c r="BZ53" i="10"/>
  <c r="BX53" i="10" s="1"/>
  <c r="BV53" i="10" s="1"/>
  <c r="BU53" i="10"/>
  <c r="BS53" i="10" s="1"/>
  <c r="BQ53" i="10" s="1"/>
  <c r="BZ50" i="10"/>
  <c r="BX50" i="10" s="1"/>
  <c r="BU50" i="10"/>
  <c r="BS50" i="10" s="1"/>
  <c r="BO50" i="10" s="1"/>
  <c r="BZ49" i="10"/>
  <c r="BX49" i="10" s="1"/>
  <c r="BO49" i="10" s="1"/>
  <c r="BL49" i="10" s="1"/>
  <c r="BU49" i="10"/>
  <c r="BS49" i="10" s="1"/>
  <c r="BZ48" i="10"/>
  <c r="BX48" i="10" s="1"/>
  <c r="BU48" i="10"/>
  <c r="BS48" i="10" s="1"/>
  <c r="BZ47" i="10"/>
  <c r="BX47" i="10" s="1"/>
  <c r="BU47" i="10"/>
  <c r="BS47" i="10" s="1"/>
  <c r="BZ46" i="10"/>
  <c r="BX46" i="10" s="1"/>
  <c r="BU46" i="10"/>
  <c r="BS46" i="10" s="1"/>
  <c r="CI46" i="10" s="1"/>
  <c r="BZ43" i="10"/>
  <c r="BX43" i="10" s="1"/>
  <c r="BV43" i="10" s="1"/>
  <c r="BU43" i="10"/>
  <c r="BS43" i="10" s="1"/>
  <c r="BQ43" i="10" s="1"/>
  <c r="BZ42" i="10"/>
  <c r="BX42" i="10" s="1"/>
  <c r="BU42" i="10"/>
  <c r="BS42" i="10" s="1"/>
  <c r="BZ41" i="10"/>
  <c r="BX41" i="10" s="1"/>
  <c r="BU41" i="10"/>
  <c r="BS41" i="10" s="1"/>
  <c r="CI41" i="10" s="1"/>
  <c r="BZ40" i="10"/>
  <c r="BX40" i="10" s="1"/>
  <c r="BU40" i="10"/>
  <c r="BS40" i="10" s="1"/>
  <c r="CI40" i="10" s="1"/>
  <c r="BZ39" i="10"/>
  <c r="BX39" i="10" s="1"/>
  <c r="BV39" i="10" s="1"/>
  <c r="BU39" i="10"/>
  <c r="BS39" i="10" s="1"/>
  <c r="BQ39" i="10" s="1"/>
  <c r="BZ38" i="10"/>
  <c r="BX38" i="10" s="1"/>
  <c r="CL38" i="10" s="1"/>
  <c r="BU38" i="10"/>
  <c r="BS38" i="10" s="1"/>
  <c r="CI38" i="10" s="1"/>
  <c r="BZ35" i="10"/>
  <c r="BX35" i="10" s="1"/>
  <c r="BU35" i="10"/>
  <c r="BS35" i="10" s="1"/>
  <c r="CI35" i="10" s="1"/>
  <c r="BZ34" i="10"/>
  <c r="BX34" i="10" s="1"/>
  <c r="BU34" i="10"/>
  <c r="BS34" i="10" s="1"/>
  <c r="CI34" i="10" s="1"/>
  <c r="BZ31" i="10"/>
  <c r="BX31" i="10" s="1"/>
  <c r="CL31" i="10" s="1"/>
  <c r="BU31" i="10"/>
  <c r="BS31" i="10" s="1"/>
  <c r="BZ30" i="10"/>
  <c r="BX30" i="10" s="1"/>
  <c r="CL30" i="10" s="1"/>
  <c r="BU30" i="10"/>
  <c r="BS30" i="10" s="1"/>
  <c r="BZ29" i="10"/>
  <c r="BX29" i="10" s="1"/>
  <c r="BU29" i="10"/>
  <c r="BS29" i="10" s="1"/>
  <c r="BZ28" i="10"/>
  <c r="BX28" i="10" s="1"/>
  <c r="BU28" i="10"/>
  <c r="BS28" i="10" s="1"/>
  <c r="CI28" i="10" s="1"/>
  <c r="BZ25" i="10"/>
  <c r="BX25" i="10" s="1"/>
  <c r="BO25" i="10" s="1"/>
  <c r="BL25" i="10" s="1"/>
  <c r="BU25" i="10"/>
  <c r="BS25" i="10" s="1"/>
  <c r="CI25" i="10" s="1"/>
  <c r="BZ24" i="10"/>
  <c r="BX24" i="10" s="1"/>
  <c r="CL24" i="10" s="1"/>
  <c r="BU24" i="10"/>
  <c r="BS24" i="10" s="1"/>
  <c r="BZ23" i="10"/>
  <c r="BX23" i="10" s="1"/>
  <c r="BU23" i="10"/>
  <c r="BS23" i="10" s="1"/>
  <c r="BZ22" i="10"/>
  <c r="BX22" i="10" s="1"/>
  <c r="CL22" i="10" s="1"/>
  <c r="BU22" i="10"/>
  <c r="BS22" i="10" s="1"/>
  <c r="CI22" i="10" s="1"/>
  <c r="BZ21" i="10"/>
  <c r="BX21" i="10" s="1"/>
  <c r="CL21" i="10" s="1"/>
  <c r="BU21" i="10"/>
  <c r="BS21" i="10" s="1"/>
  <c r="BZ20" i="10"/>
  <c r="BX20" i="10" s="1"/>
  <c r="BU20" i="10"/>
  <c r="BS20" i="10" s="1"/>
  <c r="HB12" i="49"/>
  <c r="HA12" i="49"/>
  <c r="GZ12" i="49"/>
  <c r="GY12" i="49"/>
  <c r="GS12" i="49"/>
  <c r="HB11" i="49"/>
  <c r="HA11" i="49"/>
  <c r="GZ11" i="49"/>
  <c r="GY11" i="49"/>
  <c r="GS11" i="49"/>
  <c r="GX10" i="49" s="1"/>
  <c r="GO12" i="49"/>
  <c r="GN12" i="49"/>
  <c r="GM12" i="49"/>
  <c r="GL12" i="49"/>
  <c r="GF12" i="49"/>
  <c r="GF11" i="49"/>
  <c r="GK10" i="49" s="1"/>
  <c r="GO11" i="49"/>
  <c r="GN11" i="49"/>
  <c r="GM11" i="49"/>
  <c r="GL11" i="49"/>
  <c r="O75" i="49"/>
  <c r="O73" i="49" s="1"/>
  <c r="N69" i="49"/>
  <c r="N68" i="49"/>
  <c r="N67" i="49"/>
  <c r="N66" i="49"/>
  <c r="N63" i="49"/>
  <c r="N62" i="49"/>
  <c r="N59" i="49"/>
  <c r="N56" i="49"/>
  <c r="N55" i="49"/>
  <c r="N54" i="49"/>
  <c r="N53" i="49"/>
  <c r="N50" i="49"/>
  <c r="N49" i="49"/>
  <c r="N48" i="49"/>
  <c r="N47" i="49"/>
  <c r="N46" i="49"/>
  <c r="N43" i="49"/>
  <c r="N42" i="49"/>
  <c r="N41" i="49"/>
  <c r="N40" i="49"/>
  <c r="N39" i="49"/>
  <c r="N38" i="49"/>
  <c r="N35" i="49"/>
  <c r="N34" i="49"/>
  <c r="N31" i="49"/>
  <c r="N30" i="49"/>
  <c r="N29" i="49"/>
  <c r="N28" i="49"/>
  <c r="N25" i="49"/>
  <c r="N24" i="49"/>
  <c r="N23" i="49"/>
  <c r="N22" i="49"/>
  <c r="N21" i="49"/>
  <c r="N20" i="49"/>
  <c r="GM101" i="51"/>
  <c r="GK101" i="51"/>
  <c r="GM100" i="51"/>
  <c r="GK100" i="51"/>
  <c r="GM99" i="51"/>
  <c r="GK99" i="51"/>
  <c r="GM98" i="51"/>
  <c r="GK98" i="51"/>
  <c r="GM97" i="51"/>
  <c r="GK97" i="51"/>
  <c r="GM96" i="51"/>
  <c r="GK96" i="51"/>
  <c r="GM95" i="51"/>
  <c r="GK95" i="51"/>
  <c r="DG91" i="51"/>
  <c r="CY91" i="51" s="1"/>
  <c r="AT91" i="51"/>
  <c r="AU91" i="51" s="1"/>
  <c r="I91" i="51"/>
  <c r="DC89" i="51"/>
  <c r="CY89" i="51" s="1"/>
  <c r="AT89" i="51"/>
  <c r="AU89" i="51" s="1"/>
  <c r="H89" i="51"/>
  <c r="I89" i="51"/>
  <c r="DC87" i="51"/>
  <c r="CY87" i="51" s="1"/>
  <c r="AU87" i="51"/>
  <c r="I87" i="51"/>
  <c r="CX84" i="51"/>
  <c r="DG81" i="51"/>
  <c r="DC81" i="51"/>
  <c r="AU81" i="51"/>
  <c r="I81" i="51"/>
  <c r="H81" i="51"/>
  <c r="DG79" i="51"/>
  <c r="DC79" i="51"/>
  <c r="I79" i="51"/>
  <c r="DC77" i="51"/>
  <c r="CY77" i="51" s="1"/>
  <c r="AU77" i="51"/>
  <c r="I77" i="51"/>
  <c r="DC75" i="51"/>
  <c r="AU75" i="51"/>
  <c r="I75" i="51"/>
  <c r="DF64" i="51"/>
  <c r="DE64" i="51"/>
  <c r="DB64" i="51"/>
  <c r="GM55" i="51"/>
  <c r="GG55" i="51"/>
  <c r="GM54" i="51"/>
  <c r="GG54" i="51"/>
  <c r="GM53" i="51"/>
  <c r="GG53" i="51"/>
  <c r="GI50" i="51"/>
  <c r="GG50" i="51"/>
  <c r="GG49" i="51"/>
  <c r="GG48" i="51"/>
  <c r="GG47" i="51"/>
  <c r="GM46" i="51"/>
  <c r="GG46" i="51"/>
  <c r="GG45" i="51"/>
  <c r="GM42" i="51"/>
  <c r="GG42" i="51"/>
  <c r="GM41" i="51"/>
  <c r="GG41" i="51"/>
  <c r="GM40" i="51"/>
  <c r="GG40" i="51"/>
  <c r="GM37" i="51"/>
  <c r="GG37" i="51"/>
  <c r="GM36" i="51"/>
  <c r="GG36" i="51"/>
  <c r="GM35" i="51"/>
  <c r="GG35" i="51"/>
  <c r="GM30" i="51"/>
  <c r="GL30" i="51"/>
  <c r="GG30" i="51"/>
  <c r="GM27" i="51"/>
  <c r="GL27" i="51"/>
  <c r="GG27" i="51"/>
  <c r="GM26" i="51"/>
  <c r="GL26" i="51"/>
  <c r="GG26" i="51"/>
  <c r="GM23" i="51"/>
  <c r="GK23" i="51"/>
  <c r="GG23" i="51"/>
  <c r="GM22" i="51"/>
  <c r="GK22" i="51"/>
  <c r="GG22" i="51"/>
  <c r="GM19" i="51"/>
  <c r="GK19" i="51"/>
  <c r="GG19" i="51"/>
  <c r="GM18" i="51"/>
  <c r="GK18" i="51"/>
  <c r="GG18" i="51"/>
  <c r="GM17" i="51"/>
  <c r="GK17" i="51"/>
  <c r="GG17" i="51"/>
  <c r="GM14" i="51"/>
  <c r="GK14" i="51"/>
  <c r="GG14" i="51"/>
  <c r="GM13" i="51"/>
  <c r="GK13" i="51"/>
  <c r="GG13" i="51"/>
  <c r="GM12" i="51"/>
  <c r="GK12" i="51"/>
  <c r="GG12" i="51"/>
  <c r="C156" i="50"/>
  <c r="NV155" i="50"/>
  <c r="GH50" i="51" s="1"/>
  <c r="W155" i="50"/>
  <c r="Y155" i="50" s="1"/>
  <c r="OE154" i="50"/>
  <c r="OA154" i="50"/>
  <c r="NV154" i="50"/>
  <c r="W154" i="50"/>
  <c r="Z154" i="50" s="1"/>
  <c r="NV153" i="50"/>
  <c r="Y153" i="50"/>
  <c r="V153" i="50"/>
  <c r="JO152" i="50"/>
  <c r="IU152" i="50"/>
  <c r="IT152" i="50"/>
  <c r="IS152" i="50"/>
  <c r="IR152" i="50"/>
  <c r="GX146" i="50"/>
  <c r="AN146" i="50"/>
  <c r="NZ145" i="50"/>
  <c r="AD18" i="42" s="1"/>
  <c r="NV145" i="50"/>
  <c r="NX145" i="50" s="1"/>
  <c r="C145" i="50"/>
  <c r="KH144" i="50"/>
  <c r="IU144" i="50" s="1"/>
  <c r="KF144" i="50"/>
  <c r="IT144" i="50" s="1"/>
  <c r="KE144" i="50"/>
  <c r="KB144" i="50"/>
  <c r="IS144" i="50" s="1"/>
  <c r="KA144" i="50"/>
  <c r="GX140" i="50"/>
  <c r="AN140" i="50"/>
  <c r="NZ139" i="50"/>
  <c r="AD19" i="42" s="1"/>
  <c r="NV139" i="50"/>
  <c r="NX139" i="50" s="1"/>
  <c r="C139" i="50"/>
  <c r="J141" i="50" s="1"/>
  <c r="KH138" i="50"/>
  <c r="IU138" i="50" s="1"/>
  <c r="KF138" i="50"/>
  <c r="IT138" i="50" s="1"/>
  <c r="KE138" i="50"/>
  <c r="KB138" i="50"/>
  <c r="KA138" i="50"/>
  <c r="GX135" i="50"/>
  <c r="AN135" i="50"/>
  <c r="NZ134" i="50"/>
  <c r="NV134" i="50"/>
  <c r="NX134" i="50" s="1"/>
  <c r="C134" i="50"/>
  <c r="KH133" i="50"/>
  <c r="IU133" i="50" s="1"/>
  <c r="KF133" i="50"/>
  <c r="IT133" i="50" s="1"/>
  <c r="KE133" i="50"/>
  <c r="KB133" i="50"/>
  <c r="KA133" i="50"/>
  <c r="D128" i="50"/>
  <c r="OC127" i="50"/>
  <c r="GL55" i="51" s="1"/>
  <c r="NW127" i="50"/>
  <c r="GI55" i="51" s="1"/>
  <c r="OC126" i="50"/>
  <c r="OA126" i="50"/>
  <c r="NZ126" i="50"/>
  <c r="NV126" i="50"/>
  <c r="NX126" i="50" s="1"/>
  <c r="Y126" i="50"/>
  <c r="Y127" i="50" s="1"/>
  <c r="V126" i="50"/>
  <c r="X126" i="50" s="1"/>
  <c r="KH125" i="50"/>
  <c r="KF125" i="50"/>
  <c r="IT125" i="50" s="1"/>
  <c r="KE125" i="50"/>
  <c r="KB125" i="50"/>
  <c r="KA125" i="50"/>
  <c r="IR125" i="50"/>
  <c r="GX123" i="50"/>
  <c r="NZ122" i="50"/>
  <c r="AB42" i="39" s="1"/>
  <c r="NV122" i="50"/>
  <c r="NX122" i="50" s="1"/>
  <c r="Y122" i="50"/>
  <c r="AK122" i="50" s="1"/>
  <c r="AN122" i="50" s="1"/>
  <c r="V122" i="50"/>
  <c r="X122" i="50" s="1"/>
  <c r="KH121" i="50"/>
  <c r="IU121" i="50" s="1"/>
  <c r="KF121" i="50"/>
  <c r="IT121" i="50" s="1"/>
  <c r="KE121" i="50"/>
  <c r="KB121" i="50"/>
  <c r="KA121" i="50"/>
  <c r="JX121" i="50"/>
  <c r="IR121" i="50" s="1"/>
  <c r="JU121" i="50"/>
  <c r="IQ121" i="50" s="1"/>
  <c r="JS121" i="50"/>
  <c r="IP121" i="50" s="1"/>
  <c r="D119" i="50"/>
  <c r="GX118" i="50"/>
  <c r="NZ117" i="50"/>
  <c r="AD22" i="41" s="1"/>
  <c r="NV117" i="50"/>
  <c r="NX117" i="50" s="1"/>
  <c r="Y117" i="50"/>
  <c r="V117" i="50"/>
  <c r="KH116" i="50"/>
  <c r="IU116" i="50" s="1"/>
  <c r="KF116" i="50"/>
  <c r="IT116" i="50" s="1"/>
  <c r="KE116" i="50"/>
  <c r="KB116" i="50"/>
  <c r="KA116" i="50"/>
  <c r="JX116" i="50"/>
  <c r="IR116" i="50" s="1"/>
  <c r="GX114" i="50"/>
  <c r="D114" i="50"/>
  <c r="OC113" i="50"/>
  <c r="GL54" i="51" s="1"/>
  <c r="NW113" i="50"/>
  <c r="GI54" i="51" s="1"/>
  <c r="AS113" i="50"/>
  <c r="NZ112" i="50"/>
  <c r="AD20" i="40" s="1"/>
  <c r="NV112" i="50"/>
  <c r="NX112" i="50" s="1"/>
  <c r="Y112" i="50"/>
  <c r="V112" i="50"/>
  <c r="X112" i="50" s="1"/>
  <c r="KH111" i="50"/>
  <c r="IU111" i="50" s="1"/>
  <c r="KF111" i="50"/>
  <c r="IT111" i="50" s="1"/>
  <c r="KE111" i="50"/>
  <c r="KB111" i="50"/>
  <c r="KA111" i="50"/>
  <c r="JX111" i="50"/>
  <c r="D109" i="50"/>
  <c r="OC108" i="50"/>
  <c r="GL53" i="51" s="1"/>
  <c r="NW108" i="50"/>
  <c r="GI53" i="51" s="1"/>
  <c r="AS108" i="50"/>
  <c r="NZ107" i="50"/>
  <c r="AB16" i="39" s="1"/>
  <c r="NV107" i="50"/>
  <c r="NX107" i="50" s="1"/>
  <c r="Y107" i="50"/>
  <c r="V107" i="50"/>
  <c r="X107" i="50" s="1"/>
  <c r="KH106" i="50"/>
  <c r="IU106" i="50" s="1"/>
  <c r="KF106" i="50"/>
  <c r="IT106" i="50" s="1"/>
  <c r="KE106" i="50"/>
  <c r="KB106" i="50"/>
  <c r="IS106" i="50" s="1"/>
  <c r="KA106" i="50"/>
  <c r="JX106" i="50"/>
  <c r="IR106" i="50" s="1"/>
  <c r="C99" i="50"/>
  <c r="NV98" i="50"/>
  <c r="GH49" i="51" s="1"/>
  <c r="W98" i="50"/>
  <c r="Y98" i="50" s="1"/>
  <c r="OE97" i="50"/>
  <c r="OC97" i="50"/>
  <c r="OA97" i="50"/>
  <c r="NV97" i="50"/>
  <c r="Z97" i="50"/>
  <c r="Y97" i="50"/>
  <c r="V97" i="50"/>
  <c r="KH96" i="50"/>
  <c r="KF96" i="50"/>
  <c r="IT96" i="50" s="1"/>
  <c r="KE96" i="50"/>
  <c r="KB96" i="50"/>
  <c r="IS96" i="50" s="1"/>
  <c r="KA96" i="50"/>
  <c r="IR96" i="50"/>
  <c r="NV94" i="50"/>
  <c r="GH48" i="51" s="1"/>
  <c r="C94" i="50"/>
  <c r="OE93" i="50"/>
  <c r="OC93" i="50"/>
  <c r="OA93" i="50"/>
  <c r="NV93" i="50"/>
  <c r="Z93" i="50"/>
  <c r="Y93" i="50"/>
  <c r="V93" i="50"/>
  <c r="KH92" i="50"/>
  <c r="IU92" i="50" s="1"/>
  <c r="KF92" i="50"/>
  <c r="IT92" i="50" s="1"/>
  <c r="KE92" i="50"/>
  <c r="KB92" i="50"/>
  <c r="IS92" i="50" s="1"/>
  <c r="KA92" i="50"/>
  <c r="JX92" i="50"/>
  <c r="NV90" i="50"/>
  <c r="GH47" i="51" s="1"/>
  <c r="C90" i="50"/>
  <c r="OE89" i="50"/>
  <c r="OC89" i="50"/>
  <c r="OA89" i="50"/>
  <c r="NV89" i="50"/>
  <c r="Z89" i="50"/>
  <c r="Y89" i="50"/>
  <c r="V89" i="50"/>
  <c r="KH88" i="50"/>
  <c r="IU88" i="50" s="1"/>
  <c r="KF88" i="50"/>
  <c r="KE88" i="50"/>
  <c r="KB88" i="50"/>
  <c r="IS88" i="50" s="1"/>
  <c r="KA88" i="50"/>
  <c r="JX88" i="50"/>
  <c r="IR88" i="50" s="1"/>
  <c r="C86" i="50"/>
  <c r="OC85" i="50"/>
  <c r="GL46" i="51" s="1"/>
  <c r="NV85" i="50"/>
  <c r="GH46" i="51" s="1"/>
  <c r="W85" i="50"/>
  <c r="D46" i="51" s="1"/>
  <c r="OE84" i="50"/>
  <c r="OC84" i="50"/>
  <c r="OA84" i="50"/>
  <c r="NV84" i="50"/>
  <c r="W84" i="50"/>
  <c r="Z84" i="50" s="1"/>
  <c r="OE83" i="50"/>
  <c r="OC83" i="50"/>
  <c r="OA83" i="50"/>
  <c r="NV83" i="50"/>
  <c r="Z83" i="50"/>
  <c r="Y83" i="50"/>
  <c r="V83" i="50"/>
  <c r="KH82" i="50"/>
  <c r="IU82" i="50" s="1"/>
  <c r="KF82" i="50"/>
  <c r="IT82" i="50" s="1"/>
  <c r="KE82" i="50"/>
  <c r="KB82" i="50"/>
  <c r="KA82" i="50"/>
  <c r="JX82" i="50"/>
  <c r="IR82" i="50" s="1"/>
  <c r="NV80" i="50"/>
  <c r="GH45" i="51" s="1"/>
  <c r="C80" i="50"/>
  <c r="OE79" i="50"/>
  <c r="OC79" i="50"/>
  <c r="OA79" i="50"/>
  <c r="NV79" i="50"/>
  <c r="Z79" i="50"/>
  <c r="Y79" i="50"/>
  <c r="V79" i="50"/>
  <c r="KH78" i="50"/>
  <c r="IU78" i="50" s="1"/>
  <c r="KF78" i="50"/>
  <c r="KE78" i="50"/>
  <c r="KB78" i="50"/>
  <c r="IS78" i="50" s="1"/>
  <c r="KA78" i="50"/>
  <c r="JX78" i="50"/>
  <c r="IR78" i="50" s="1"/>
  <c r="C71" i="50"/>
  <c r="OE70" i="50"/>
  <c r="OC70" i="50"/>
  <c r="GL42" i="51" s="1"/>
  <c r="NV70" i="50"/>
  <c r="GH42" i="51" s="1"/>
  <c r="W70" i="50"/>
  <c r="D42" i="51" s="1"/>
  <c r="OE69" i="50"/>
  <c r="OC69" i="50"/>
  <c r="GL41" i="51" s="1"/>
  <c r="NV69" i="50"/>
  <c r="GH41" i="51" s="1"/>
  <c r="W69" i="50"/>
  <c r="AA69" i="50" s="1"/>
  <c r="OE68" i="50"/>
  <c r="OC68" i="50"/>
  <c r="OA68" i="50"/>
  <c r="NV68" i="50"/>
  <c r="Z68" i="50"/>
  <c r="Y68" i="50"/>
  <c r="Y59" i="50" s="1"/>
  <c r="V68" i="50"/>
  <c r="JO67" i="50"/>
  <c r="IU67" i="50"/>
  <c r="IT67" i="50"/>
  <c r="IS67" i="50"/>
  <c r="IR67" i="50"/>
  <c r="C65" i="50"/>
  <c r="OE64" i="50"/>
  <c r="OC64" i="50"/>
  <c r="GL40" i="51" s="1"/>
  <c r="NV64" i="50"/>
  <c r="GH40" i="51" s="1"/>
  <c r="W64" i="50"/>
  <c r="D40" i="51" s="1"/>
  <c r="OE63" i="50"/>
  <c r="OC63" i="50"/>
  <c r="OA63" i="50"/>
  <c r="NV63" i="50"/>
  <c r="Z63" i="50"/>
  <c r="Y63" i="50"/>
  <c r="V63" i="50"/>
  <c r="JO62" i="50"/>
  <c r="IU62" i="50"/>
  <c r="IT62" i="50"/>
  <c r="IS62" i="50"/>
  <c r="IR62" i="50"/>
  <c r="W59" i="50"/>
  <c r="OE55" i="50"/>
  <c r="OC55" i="50"/>
  <c r="GL37" i="51" s="1"/>
  <c r="NV55" i="50"/>
  <c r="GH37" i="51" s="1"/>
  <c r="C55" i="50"/>
  <c r="W55" i="50" s="1"/>
  <c r="OE54" i="50"/>
  <c r="OC54" i="50"/>
  <c r="OA54" i="50"/>
  <c r="NV54" i="50"/>
  <c r="AA54" i="50"/>
  <c r="Z54" i="50"/>
  <c r="Y54" i="50"/>
  <c r="V54" i="50"/>
  <c r="JO53" i="50"/>
  <c r="IU53" i="50"/>
  <c r="IT53" i="50"/>
  <c r="IS53" i="50"/>
  <c r="IR53" i="50"/>
  <c r="C51" i="50"/>
  <c r="OE50" i="50"/>
  <c r="OC50" i="50"/>
  <c r="GL36" i="51" s="1"/>
  <c r="NV50" i="50"/>
  <c r="GH36" i="51" s="1"/>
  <c r="W50" i="50"/>
  <c r="V50" i="50" s="1"/>
  <c r="OE49" i="50"/>
  <c r="OC49" i="50"/>
  <c r="OA49" i="50"/>
  <c r="NV49" i="50"/>
  <c r="AA49" i="50"/>
  <c r="Z49" i="50"/>
  <c r="Y49" i="50"/>
  <c r="V49" i="50"/>
  <c r="IU48" i="50"/>
  <c r="IT48" i="50"/>
  <c r="IS48" i="50"/>
  <c r="OE46" i="50"/>
  <c r="OC46" i="50"/>
  <c r="OA46" i="50"/>
  <c r="NV46" i="50"/>
  <c r="W46" i="50"/>
  <c r="AA46" i="50" s="1"/>
  <c r="OE45" i="50"/>
  <c r="OC45" i="50"/>
  <c r="GL35" i="51" s="1"/>
  <c r="NV45" i="50"/>
  <c r="GH35" i="51" s="1"/>
  <c r="C45" i="50"/>
  <c r="W45" i="50" s="1"/>
  <c r="OE44" i="50"/>
  <c r="OC44" i="50"/>
  <c r="OA44" i="50"/>
  <c r="NV44" i="50"/>
  <c r="AA44" i="50"/>
  <c r="Z44" i="50"/>
  <c r="Z40" i="50" s="1"/>
  <c r="Y44" i="50"/>
  <c r="V44" i="50"/>
  <c r="JO43" i="50"/>
  <c r="IU43" i="50"/>
  <c r="IT43" i="50"/>
  <c r="IS43" i="50"/>
  <c r="IR43" i="50"/>
  <c r="W40" i="50"/>
  <c r="OF36" i="50"/>
  <c r="OD36" i="50"/>
  <c r="OD155" i="50" s="1"/>
  <c r="OC155" i="50" s="1"/>
  <c r="GL50" i="51" s="1"/>
  <c r="NW36" i="50"/>
  <c r="D153" i="50" s="1"/>
  <c r="NT36" i="50"/>
  <c r="U36" i="50"/>
  <c r="P36" i="50" s="1"/>
  <c r="OF33" i="50"/>
  <c r="OE33" i="50"/>
  <c r="OD33" i="50"/>
  <c r="OC33" i="50"/>
  <c r="NW33" i="50"/>
  <c r="NT33" i="50"/>
  <c r="OF30" i="50"/>
  <c r="OD30" i="50"/>
  <c r="OD98" i="50" s="1"/>
  <c r="OC98" i="50" s="1"/>
  <c r="GL49" i="51" s="1"/>
  <c r="OB30" i="50"/>
  <c r="NW30" i="50"/>
  <c r="D97" i="50" s="1"/>
  <c r="NT30" i="50"/>
  <c r="U30" i="50"/>
  <c r="P30" i="50" s="1"/>
  <c r="OF29" i="50"/>
  <c r="OD29" i="50"/>
  <c r="OB29" i="50"/>
  <c r="NW29" i="50"/>
  <c r="D93" i="50" s="1"/>
  <c r="NT29" i="50"/>
  <c r="B93" i="50" s="1"/>
  <c r="U29" i="50"/>
  <c r="P29" i="50" s="1"/>
  <c r="OF28" i="50"/>
  <c r="OD28" i="50"/>
  <c r="OB28" i="50"/>
  <c r="NW28" i="50"/>
  <c r="NT28" i="50"/>
  <c r="B89" i="50" s="1"/>
  <c r="U28" i="50"/>
  <c r="P28" i="50" s="1"/>
  <c r="OF27" i="50"/>
  <c r="OD27" i="50"/>
  <c r="NW27" i="50"/>
  <c r="D84" i="50" s="1"/>
  <c r="NT27" i="50"/>
  <c r="U27" i="50"/>
  <c r="OF26" i="50"/>
  <c r="OD26" i="50"/>
  <c r="OD80" i="50" s="1"/>
  <c r="OB26" i="50"/>
  <c r="NW26" i="50"/>
  <c r="NT26" i="50"/>
  <c r="B79" i="50" s="1"/>
  <c r="U26" i="50"/>
  <c r="P26" i="50" s="1"/>
  <c r="OF22" i="50"/>
  <c r="OD22" i="50"/>
  <c r="NW22" i="50"/>
  <c r="D69" i="50" s="1"/>
  <c r="NT22" i="50"/>
  <c r="B69" i="50" s="1"/>
  <c r="S22" i="50"/>
  <c r="P22" i="50" s="1"/>
  <c r="OF21" i="50"/>
  <c r="OD21" i="50"/>
  <c r="NW21" i="50"/>
  <c r="C117" i="50" s="1"/>
  <c r="NT21" i="50"/>
  <c r="S21" i="50"/>
  <c r="OF17" i="50"/>
  <c r="OD17" i="50"/>
  <c r="OB17" i="50"/>
  <c r="NW17" i="50"/>
  <c r="C126" i="50" s="1"/>
  <c r="NT17" i="50"/>
  <c r="OF16" i="50"/>
  <c r="OD16" i="50"/>
  <c r="OB16" i="50"/>
  <c r="NW16" i="50"/>
  <c r="C112" i="50" s="1"/>
  <c r="B112" i="50" s="1"/>
  <c r="NT16" i="50"/>
  <c r="B54" i="50" s="1"/>
  <c r="S16" i="50"/>
  <c r="OF15" i="50"/>
  <c r="OD15" i="50"/>
  <c r="OB15" i="50"/>
  <c r="NW15" i="50"/>
  <c r="D49" i="50" s="1"/>
  <c r="NT15" i="50"/>
  <c r="B49" i="50" s="1"/>
  <c r="S15" i="50"/>
  <c r="P15" i="50" s="1"/>
  <c r="OF14" i="50"/>
  <c r="OD14" i="50"/>
  <c r="OB14" i="50"/>
  <c r="NW14" i="50"/>
  <c r="NT14" i="50"/>
  <c r="B46" i="50" s="1"/>
  <c r="S14" i="50"/>
  <c r="HC79" i="49"/>
  <c r="HD79" i="49" s="1"/>
  <c r="GP79" i="49"/>
  <c r="DI79" i="49"/>
  <c r="DH79" i="49"/>
  <c r="BJ79" i="49"/>
  <c r="BG79" i="49" s="1"/>
  <c r="BI79" i="49"/>
  <c r="BH79" i="49"/>
  <c r="BE79" i="49" s="1"/>
  <c r="B79" i="49"/>
  <c r="HC78" i="49"/>
  <c r="HD78" i="49" s="1"/>
  <c r="GP78" i="49"/>
  <c r="DI78" i="49"/>
  <c r="DH78" i="49"/>
  <c r="DZ78" i="49" s="1"/>
  <c r="BJ78" i="49"/>
  <c r="BG78" i="49" s="1"/>
  <c r="B78" i="49"/>
  <c r="BI78" i="49"/>
  <c r="BF78" i="49" s="1"/>
  <c r="BH78" i="49"/>
  <c r="HC77" i="49"/>
  <c r="HD77" i="49" s="1"/>
  <c r="GP77" i="49"/>
  <c r="DI77" i="49"/>
  <c r="EA77" i="49" s="1"/>
  <c r="DH77" i="49"/>
  <c r="BJ77" i="49"/>
  <c r="BG77" i="49" s="1"/>
  <c r="BI77" i="49"/>
  <c r="BH77" i="49"/>
  <c r="BE77" i="49" s="1"/>
  <c r="B77" i="49"/>
  <c r="HD76" i="49"/>
  <c r="GP76" i="49"/>
  <c r="DD76" i="49"/>
  <c r="B76" i="49"/>
  <c r="LJ75" i="49"/>
  <c r="GH30" i="51" s="1"/>
  <c r="KD75" i="49"/>
  <c r="JR75" i="49"/>
  <c r="JQ75" i="49"/>
  <c r="JP75" i="49"/>
  <c r="JO75" i="49"/>
  <c r="JN75" i="49"/>
  <c r="JM75" i="49"/>
  <c r="JL75" i="49"/>
  <c r="JK75" i="49"/>
  <c r="JJ75" i="49"/>
  <c r="JA75" i="49"/>
  <c r="S75" i="49"/>
  <c r="R75" i="49" s="1"/>
  <c r="CM30" i="51" s="1"/>
  <c r="C75" i="49"/>
  <c r="GQ75" i="49" s="1"/>
  <c r="I73" i="49"/>
  <c r="LP69" i="49"/>
  <c r="OE36" i="50" s="1"/>
  <c r="LN69" i="49"/>
  <c r="OC36" i="50" s="1"/>
  <c r="LJ69" i="49"/>
  <c r="NV36" i="50" s="1"/>
  <c r="KP69" i="49"/>
  <c r="KN69" i="49"/>
  <c r="KL69" i="49"/>
  <c r="KJ69" i="49"/>
  <c r="JH69" i="49"/>
  <c r="JI69" i="49" s="1"/>
  <c r="JA69" i="49"/>
  <c r="JB69" i="49" s="1"/>
  <c r="I69" i="49"/>
  <c r="Z69" i="49"/>
  <c r="X69" i="49"/>
  <c r="B69" i="49"/>
  <c r="LP68" i="49"/>
  <c r="LN68" i="49"/>
  <c r="LJ68" i="49"/>
  <c r="KP68" i="49"/>
  <c r="KN68" i="49"/>
  <c r="KL68" i="49"/>
  <c r="KJ68" i="49"/>
  <c r="JH68" i="49"/>
  <c r="JI68" i="49" s="1"/>
  <c r="JA68" i="49"/>
  <c r="JB68" i="49" s="1"/>
  <c r="EC68" i="49"/>
  <c r="Z68" i="49"/>
  <c r="X68" i="49"/>
  <c r="K68" i="49"/>
  <c r="T68" i="49" s="1"/>
  <c r="I68" i="49"/>
  <c r="Y68" i="49" s="1"/>
  <c r="B68" i="49"/>
  <c r="AK68" i="49" s="1"/>
  <c r="LP67" i="49"/>
  <c r="LN67" i="49"/>
  <c r="LJ67" i="49"/>
  <c r="KP67" i="49"/>
  <c r="KN67" i="49"/>
  <c r="KL67" i="49"/>
  <c r="KJ67" i="49"/>
  <c r="JH67" i="49"/>
  <c r="JI67" i="49" s="1"/>
  <c r="JA67" i="49"/>
  <c r="JB67" i="49" s="1"/>
  <c r="EC67" i="49"/>
  <c r="Z67" i="49"/>
  <c r="X67" i="49"/>
  <c r="K67" i="49"/>
  <c r="AA67" i="49" s="1"/>
  <c r="I67" i="49"/>
  <c r="B67" i="49"/>
  <c r="AK67" i="49" s="1"/>
  <c r="LP66" i="49"/>
  <c r="LN66" i="49"/>
  <c r="LJ66" i="49"/>
  <c r="KP66" i="49"/>
  <c r="KN66" i="49"/>
  <c r="KL66" i="49"/>
  <c r="KJ66" i="49"/>
  <c r="JH66" i="49"/>
  <c r="JI66" i="49" s="1"/>
  <c r="JA66" i="49"/>
  <c r="JB66" i="49" s="1"/>
  <c r="EC66" i="49"/>
  <c r="Z66" i="49"/>
  <c r="X66" i="49"/>
  <c r="K66" i="49"/>
  <c r="I66" i="49"/>
  <c r="B66" i="49"/>
  <c r="IU66" i="49" s="1"/>
  <c r="D65" i="49"/>
  <c r="C65" i="49"/>
  <c r="GQ65" i="49" s="1"/>
  <c r="LJ63" i="49"/>
  <c r="GH27" i="51" s="1"/>
  <c r="JG63" i="49"/>
  <c r="JF63" i="49"/>
  <c r="JE63" i="49"/>
  <c r="IZ63" i="49"/>
  <c r="IY63" i="49"/>
  <c r="IX63" i="49"/>
  <c r="GR63" i="49"/>
  <c r="GQ63" i="49"/>
  <c r="B62" i="49"/>
  <c r="C63" i="49" s="1"/>
  <c r="X63" i="49" s="1"/>
  <c r="I63" i="49"/>
  <c r="LJ62" i="49"/>
  <c r="NV33" i="50" s="1"/>
  <c r="JH62" i="49"/>
  <c r="JI62" i="49" s="1"/>
  <c r="JA62" i="49"/>
  <c r="JB62" i="49" s="1"/>
  <c r="X62" i="49"/>
  <c r="I62" i="49"/>
  <c r="O62" i="49" s="1"/>
  <c r="LN59" i="49"/>
  <c r="LL59" i="49"/>
  <c r="LJ59" i="49"/>
  <c r="KP59" i="49"/>
  <c r="KP58" i="49" s="1"/>
  <c r="KN59" i="49"/>
  <c r="KN58" i="49" s="1"/>
  <c r="KL59" i="49"/>
  <c r="KL58" i="49" s="1"/>
  <c r="KJ59" i="49"/>
  <c r="JH59" i="49"/>
  <c r="JI59" i="49" s="1"/>
  <c r="JA59" i="49"/>
  <c r="JB59" i="49" s="1"/>
  <c r="Z59" i="49"/>
  <c r="X59" i="49"/>
  <c r="I59" i="49"/>
  <c r="B59" i="49"/>
  <c r="AC59" i="49" s="1"/>
  <c r="AC58" i="49" s="1"/>
  <c r="KO58" i="49"/>
  <c r="KM58" i="49"/>
  <c r="KK58" i="49"/>
  <c r="KI58" i="49"/>
  <c r="KH58" i="49"/>
  <c r="JE58" i="49"/>
  <c r="IX58" i="49"/>
  <c r="GR58" i="49"/>
  <c r="GQ58" i="49"/>
  <c r="CF58" i="49"/>
  <c r="D58" i="49"/>
  <c r="C58" i="49"/>
  <c r="LN56" i="49"/>
  <c r="LL56" i="49"/>
  <c r="LJ56" i="49"/>
  <c r="KP56" i="49"/>
  <c r="KN56" i="49"/>
  <c r="KL56" i="49"/>
  <c r="KJ56" i="49"/>
  <c r="JH56" i="49"/>
  <c r="JI56" i="49" s="1"/>
  <c r="JA56" i="49"/>
  <c r="JB56" i="49" s="1"/>
  <c r="I56" i="49"/>
  <c r="Z56" i="49"/>
  <c r="X56" i="49"/>
  <c r="B56" i="49"/>
  <c r="AD56" i="49" s="1"/>
  <c r="LN55" i="49"/>
  <c r="LL55" i="49"/>
  <c r="LJ55" i="49"/>
  <c r="KP55" i="49"/>
  <c r="KN55" i="49"/>
  <c r="KL55" i="49"/>
  <c r="KJ55" i="49"/>
  <c r="JH55" i="49"/>
  <c r="JI55" i="49" s="1"/>
  <c r="JD55" i="49" s="1"/>
  <c r="JC55" i="49" s="1"/>
  <c r="JA55" i="49"/>
  <c r="JB55" i="49" s="1"/>
  <c r="IW55" i="49" s="1"/>
  <c r="IV55" i="49" s="1"/>
  <c r="I55" i="49"/>
  <c r="IH55" i="49" s="1"/>
  <c r="IG55" i="49" s="1"/>
  <c r="Z55" i="49"/>
  <c r="X55" i="49"/>
  <c r="IK55" i="49"/>
  <c r="B55" i="49"/>
  <c r="IU55" i="49" s="1"/>
  <c r="LN54" i="49"/>
  <c r="LL54" i="49"/>
  <c r="LJ54" i="49"/>
  <c r="KP54" i="49"/>
  <c r="KN54" i="49"/>
  <c r="KL54" i="49"/>
  <c r="KJ54" i="49"/>
  <c r="JH54" i="49"/>
  <c r="JI54" i="49" s="1"/>
  <c r="K54" i="49"/>
  <c r="JA54" i="49"/>
  <c r="JB54" i="49" s="1"/>
  <c r="Z54" i="49"/>
  <c r="X54" i="49"/>
  <c r="I54" i="49"/>
  <c r="B54" i="49"/>
  <c r="AG54" i="49" s="1"/>
  <c r="LN53" i="49"/>
  <c r="LL53" i="49"/>
  <c r="LJ53" i="49"/>
  <c r="KP53" i="49"/>
  <c r="KN53" i="49"/>
  <c r="KL53" i="49"/>
  <c r="KJ53" i="49"/>
  <c r="JH53" i="49"/>
  <c r="JI53" i="49" s="1"/>
  <c r="K53" i="49"/>
  <c r="Q53" i="49" s="1"/>
  <c r="JA53" i="49"/>
  <c r="JB53" i="49" s="1"/>
  <c r="Z53" i="49"/>
  <c r="X53" i="49"/>
  <c r="I53" i="49"/>
  <c r="B53" i="49"/>
  <c r="IU53" i="49" s="1"/>
  <c r="D52" i="49"/>
  <c r="C52" i="49"/>
  <c r="LP50" i="49"/>
  <c r="LN50" i="49"/>
  <c r="LL50" i="49"/>
  <c r="LJ50" i="49"/>
  <c r="KO50" i="49"/>
  <c r="KP50" i="49" s="1"/>
  <c r="KM50" i="49"/>
  <c r="KN50" i="49" s="1"/>
  <c r="KK50" i="49"/>
  <c r="KL50" i="49" s="1"/>
  <c r="KI50" i="49"/>
  <c r="KJ50" i="49" s="1"/>
  <c r="JH50" i="49"/>
  <c r="JI50" i="49" s="1"/>
  <c r="JA50" i="49"/>
  <c r="JB50" i="49" s="1"/>
  <c r="I50" i="49"/>
  <c r="Z50" i="49"/>
  <c r="X50" i="49"/>
  <c r="B50" i="49"/>
  <c r="AI50" i="49" s="1"/>
  <c r="LP49" i="49"/>
  <c r="LN49" i="49"/>
  <c r="LL49" i="49"/>
  <c r="LJ49" i="49"/>
  <c r="KO49" i="49"/>
  <c r="KP49" i="49" s="1"/>
  <c r="KM49" i="49"/>
  <c r="KN49" i="49" s="1"/>
  <c r="KK49" i="49"/>
  <c r="KL49" i="49" s="1"/>
  <c r="KI49" i="49"/>
  <c r="KJ49" i="49" s="1"/>
  <c r="JH49" i="49"/>
  <c r="JI49" i="49" s="1"/>
  <c r="JD49" i="49" s="1"/>
  <c r="JC49" i="49" s="1"/>
  <c r="JA49" i="49"/>
  <c r="JB49" i="49" s="1"/>
  <c r="Z49" i="49"/>
  <c r="X49" i="49"/>
  <c r="I49" i="49"/>
  <c r="B49" i="49"/>
  <c r="AH49" i="49" s="1"/>
  <c r="LP48" i="49"/>
  <c r="LN48" i="49"/>
  <c r="LL48" i="49"/>
  <c r="LJ48" i="49"/>
  <c r="KO48" i="49"/>
  <c r="KP48" i="49" s="1"/>
  <c r="KM48" i="49"/>
  <c r="KN48" i="49" s="1"/>
  <c r="KF48" i="49" s="1"/>
  <c r="KE48" i="49" s="1"/>
  <c r="KK48" i="49"/>
  <c r="KL48" i="49" s="1"/>
  <c r="KI48" i="49"/>
  <c r="KJ48" i="49" s="1"/>
  <c r="JH48" i="49"/>
  <c r="JI48" i="49" s="1"/>
  <c r="JA48" i="49"/>
  <c r="JB48" i="49" s="1"/>
  <c r="Z48" i="49"/>
  <c r="X48" i="49"/>
  <c r="I48" i="49"/>
  <c r="B48" i="49"/>
  <c r="LP47" i="49"/>
  <c r="LN47" i="49"/>
  <c r="LL47" i="49"/>
  <c r="LJ47" i="49"/>
  <c r="KP47" i="49"/>
  <c r="KN47" i="49"/>
  <c r="KL47" i="49"/>
  <c r="KJ47" i="49"/>
  <c r="JH47" i="49"/>
  <c r="JI47" i="49" s="1"/>
  <c r="JA47" i="49"/>
  <c r="JB47" i="49" s="1"/>
  <c r="I47" i="49"/>
  <c r="Z47" i="49"/>
  <c r="X47" i="49"/>
  <c r="B47" i="49"/>
  <c r="E47" i="49" s="1"/>
  <c r="LP46" i="49"/>
  <c r="LN46" i="49"/>
  <c r="GL23" i="51" s="1"/>
  <c r="LL46" i="49"/>
  <c r="GJ23" i="51" s="1"/>
  <c r="LJ46" i="49"/>
  <c r="GH23" i="51" s="1"/>
  <c r="KP46" i="49"/>
  <c r="KN46" i="49"/>
  <c r="KL46" i="49"/>
  <c r="KJ46" i="49"/>
  <c r="JH46" i="49"/>
  <c r="JI46" i="49" s="1"/>
  <c r="JA46" i="49"/>
  <c r="JB46" i="49" s="1"/>
  <c r="Z46" i="49"/>
  <c r="X46" i="49"/>
  <c r="Q46" i="49"/>
  <c r="I46" i="49"/>
  <c r="B46" i="49"/>
  <c r="AF46" i="49" s="1"/>
  <c r="D45" i="49"/>
  <c r="JE45" i="49" s="1"/>
  <c r="C45" i="49"/>
  <c r="IX45" i="49" s="1"/>
  <c r="LP43" i="49"/>
  <c r="LN43" i="49"/>
  <c r="LL43" i="49"/>
  <c r="LJ43" i="49"/>
  <c r="KP43" i="49"/>
  <c r="KN43" i="49"/>
  <c r="KL43" i="49"/>
  <c r="KJ43" i="49"/>
  <c r="JH43" i="49"/>
  <c r="JI43" i="49" s="1"/>
  <c r="JA43" i="49"/>
  <c r="JB43" i="49" s="1"/>
  <c r="I43" i="49"/>
  <c r="EC43" i="49"/>
  <c r="Z43" i="49"/>
  <c r="X43" i="49"/>
  <c r="K43" i="49"/>
  <c r="B43" i="49"/>
  <c r="IU43" i="49" s="1"/>
  <c r="LP42" i="49"/>
  <c r="OE30" i="50" s="1"/>
  <c r="LN42" i="49"/>
  <c r="OC30" i="50" s="1"/>
  <c r="LL42" i="49"/>
  <c r="OA30" i="50" s="1"/>
  <c r="LJ42" i="49"/>
  <c r="NV30" i="50" s="1"/>
  <c r="KP42" i="49"/>
  <c r="KN42" i="49"/>
  <c r="KL42" i="49"/>
  <c r="KJ42" i="49"/>
  <c r="JH42" i="49"/>
  <c r="JI42" i="49" s="1"/>
  <c r="JA42" i="49"/>
  <c r="JB42" i="49" s="1"/>
  <c r="I42" i="49"/>
  <c r="Z42" i="49"/>
  <c r="X42" i="49"/>
  <c r="U42" i="49" s="1"/>
  <c r="B42" i="49"/>
  <c r="AC42" i="49" s="1"/>
  <c r="LP41" i="49"/>
  <c r="OE29" i="50" s="1"/>
  <c r="LN41" i="49"/>
  <c r="OC29" i="50" s="1"/>
  <c r="LL41" i="49"/>
  <c r="OA29" i="50" s="1"/>
  <c r="LJ41" i="49"/>
  <c r="NV29" i="50" s="1"/>
  <c r="KP41" i="49"/>
  <c r="KN41" i="49"/>
  <c r="KL41" i="49"/>
  <c r="KJ41" i="49"/>
  <c r="JH41" i="49"/>
  <c r="JI41" i="49" s="1"/>
  <c r="JA41" i="49"/>
  <c r="JB41" i="49" s="1"/>
  <c r="Z41" i="49"/>
  <c r="X41" i="49"/>
  <c r="I41" i="49"/>
  <c r="B41" i="49"/>
  <c r="LP40" i="49"/>
  <c r="OE28" i="50" s="1"/>
  <c r="LN40" i="49"/>
  <c r="OC28" i="50" s="1"/>
  <c r="LL40" i="49"/>
  <c r="OA28" i="50" s="1"/>
  <c r="LJ40" i="49"/>
  <c r="NV28" i="50" s="1"/>
  <c r="KP40" i="49"/>
  <c r="KN40" i="49"/>
  <c r="KL40" i="49"/>
  <c r="KJ40" i="49"/>
  <c r="JH40" i="49"/>
  <c r="JI40" i="49" s="1"/>
  <c r="JA40" i="49"/>
  <c r="JB40" i="49" s="1"/>
  <c r="I40" i="49"/>
  <c r="Z40" i="49"/>
  <c r="X40" i="49"/>
  <c r="B40" i="49"/>
  <c r="AC40" i="49" s="1"/>
  <c r="LP39" i="49"/>
  <c r="OE27" i="50" s="1"/>
  <c r="LN39" i="49"/>
  <c r="OC27" i="50" s="1"/>
  <c r="LM39" i="49"/>
  <c r="LL39" i="49" s="1"/>
  <c r="LJ39" i="49"/>
  <c r="NV27" i="50" s="1"/>
  <c r="KP39" i="49"/>
  <c r="KN39" i="49"/>
  <c r="KL39" i="49"/>
  <c r="KJ39" i="49"/>
  <c r="JR39" i="49"/>
  <c r="JQ39" i="49"/>
  <c r="JO39" i="49"/>
  <c r="JN39" i="49"/>
  <c r="JL39" i="49"/>
  <c r="JK39" i="49"/>
  <c r="JH39" i="49"/>
  <c r="JA39" i="49"/>
  <c r="I39" i="49"/>
  <c r="EC39" i="49"/>
  <c r="Z39" i="49"/>
  <c r="X39" i="49"/>
  <c r="K39" i="49"/>
  <c r="IK39" i="49" s="1"/>
  <c r="B39" i="49"/>
  <c r="AH39" i="49" s="1"/>
  <c r="LP38" i="49"/>
  <c r="OE26" i="50" s="1"/>
  <c r="LN38" i="49"/>
  <c r="GL22" i="51" s="1"/>
  <c r="LL38" i="49"/>
  <c r="GJ22" i="51" s="1"/>
  <c r="LJ38" i="49"/>
  <c r="KP38" i="49"/>
  <c r="KN38" i="49"/>
  <c r="KL38" i="49"/>
  <c r="KJ38" i="49"/>
  <c r="JH38" i="49"/>
  <c r="JI38" i="49" s="1"/>
  <c r="JA38" i="49"/>
  <c r="JB38" i="49" s="1"/>
  <c r="I38" i="49"/>
  <c r="Z38" i="49"/>
  <c r="X38" i="49"/>
  <c r="B38" i="49"/>
  <c r="AH38" i="49" s="1"/>
  <c r="D37" i="49"/>
  <c r="C37" i="49"/>
  <c r="GQ37" i="49" s="1"/>
  <c r="LP35" i="49"/>
  <c r="OE22" i="50" s="1"/>
  <c r="LN35" i="49"/>
  <c r="OC22" i="50" s="1"/>
  <c r="LM35" i="49"/>
  <c r="LL35" i="49" s="1"/>
  <c r="OA22" i="50" s="1"/>
  <c r="LJ35" i="49"/>
  <c r="NV22" i="50" s="1"/>
  <c r="KP35" i="49"/>
  <c r="KN35" i="49"/>
  <c r="KL35" i="49"/>
  <c r="KJ35" i="49"/>
  <c r="JH35" i="49"/>
  <c r="JI35" i="49" s="1"/>
  <c r="JD35" i="49" s="1"/>
  <c r="JA35" i="49"/>
  <c r="JB35" i="49" s="1"/>
  <c r="I35" i="49"/>
  <c r="IH35" i="49" s="1"/>
  <c r="FC22" i="50" s="1"/>
  <c r="Z35" i="49"/>
  <c r="X35" i="49"/>
  <c r="B35" i="49"/>
  <c r="B34" i="49"/>
  <c r="DD34" i="49" s="1"/>
  <c r="LP34" i="49"/>
  <c r="OE21" i="50" s="1"/>
  <c r="LN34" i="49"/>
  <c r="OC21" i="50" s="1"/>
  <c r="LM34" i="49"/>
  <c r="LL34" i="49" s="1"/>
  <c r="OA21" i="50" s="1"/>
  <c r="LJ34" i="49"/>
  <c r="NV21" i="50" s="1"/>
  <c r="KP34" i="49"/>
  <c r="KN34" i="49"/>
  <c r="KL34" i="49"/>
  <c r="KJ34" i="49"/>
  <c r="KG34" i="49"/>
  <c r="JH34" i="49"/>
  <c r="JI34" i="49" s="1"/>
  <c r="JA34" i="49"/>
  <c r="JB34" i="49" s="1"/>
  <c r="I34" i="49"/>
  <c r="C33" i="49"/>
  <c r="EC34" i="49"/>
  <c r="Z34" i="49"/>
  <c r="X34" i="49"/>
  <c r="K34" i="49"/>
  <c r="Q34" i="49" s="1"/>
  <c r="D33" i="49"/>
  <c r="GR33" i="49" s="1"/>
  <c r="LP31" i="49"/>
  <c r="LN31" i="49"/>
  <c r="LL31" i="49"/>
  <c r="LJ31" i="49"/>
  <c r="KP31" i="49"/>
  <c r="KN31" i="49"/>
  <c r="KL31" i="49"/>
  <c r="KJ31" i="49"/>
  <c r="JH31" i="49"/>
  <c r="JI31" i="49" s="1"/>
  <c r="JD31" i="49" s="1"/>
  <c r="JA31" i="49"/>
  <c r="JB31" i="49" s="1"/>
  <c r="I31" i="49"/>
  <c r="Z31" i="49"/>
  <c r="X31" i="49"/>
  <c r="B31" i="49"/>
  <c r="IU31" i="49" s="1"/>
  <c r="LP30" i="49"/>
  <c r="LN30" i="49"/>
  <c r="GL19" i="51" s="1"/>
  <c r="LL30" i="49"/>
  <c r="GJ19" i="51" s="1"/>
  <c r="LJ30" i="49"/>
  <c r="GH19" i="51" s="1"/>
  <c r="KP30" i="49"/>
  <c r="KN30" i="49"/>
  <c r="KL30" i="49"/>
  <c r="KJ30" i="49"/>
  <c r="JH30" i="49"/>
  <c r="JI30" i="49" s="1"/>
  <c r="JA30" i="49"/>
  <c r="JB30" i="49" s="1"/>
  <c r="Z30" i="49"/>
  <c r="X30" i="49"/>
  <c r="Q30" i="49"/>
  <c r="I30" i="49"/>
  <c r="B30" i="49"/>
  <c r="AH30" i="49" s="1"/>
  <c r="LP29" i="49"/>
  <c r="LN29" i="49"/>
  <c r="GL18" i="51" s="1"/>
  <c r="LL29" i="49"/>
  <c r="GJ18" i="51" s="1"/>
  <c r="LJ29" i="49"/>
  <c r="GH18" i="51" s="1"/>
  <c r="KP29" i="49"/>
  <c r="KN29" i="49"/>
  <c r="KL29" i="49"/>
  <c r="KJ29" i="49"/>
  <c r="JH29" i="49"/>
  <c r="JI29" i="49" s="1"/>
  <c r="JD29" i="49" s="1"/>
  <c r="JC29" i="49" s="1"/>
  <c r="JA29" i="49"/>
  <c r="JB29" i="49" s="1"/>
  <c r="I29" i="49"/>
  <c r="Z29" i="49"/>
  <c r="X29" i="49"/>
  <c r="U29" i="49" s="1"/>
  <c r="Q29" i="49"/>
  <c r="B29" i="49"/>
  <c r="LP28" i="49"/>
  <c r="LN28" i="49"/>
  <c r="GL17" i="51" s="1"/>
  <c r="LL28" i="49"/>
  <c r="GJ17" i="51" s="1"/>
  <c r="LJ28" i="49"/>
  <c r="GH17" i="51" s="1"/>
  <c r="KP28" i="49"/>
  <c r="KN28" i="49"/>
  <c r="KL28" i="49"/>
  <c r="KJ28" i="49"/>
  <c r="JH28" i="49"/>
  <c r="JI28" i="49" s="1"/>
  <c r="JD28" i="49" s="1"/>
  <c r="JC28" i="49" s="1"/>
  <c r="JA28" i="49"/>
  <c r="JB28" i="49" s="1"/>
  <c r="Z28" i="49"/>
  <c r="X28" i="49"/>
  <c r="B28" i="49"/>
  <c r="AD28" i="49" s="1"/>
  <c r="I28" i="49"/>
  <c r="IW28" i="49" s="1"/>
  <c r="IV28" i="49" s="1"/>
  <c r="D27" i="49"/>
  <c r="C27" i="49"/>
  <c r="GQ27" i="49" s="1"/>
  <c r="LP25" i="49"/>
  <c r="LN25" i="49"/>
  <c r="LL25" i="49"/>
  <c r="LJ25" i="49"/>
  <c r="KP25" i="49"/>
  <c r="KN25" i="49"/>
  <c r="KL25" i="49"/>
  <c r="KJ25" i="49"/>
  <c r="JH25" i="49"/>
  <c r="JI25" i="49" s="1"/>
  <c r="K25" i="49"/>
  <c r="T25" i="49" s="1"/>
  <c r="JA25" i="49"/>
  <c r="JB25" i="49" s="1"/>
  <c r="I25" i="49"/>
  <c r="Z25" i="49"/>
  <c r="X25" i="49"/>
  <c r="B25" i="49"/>
  <c r="LP24" i="49"/>
  <c r="LN24" i="49"/>
  <c r="LL24" i="49"/>
  <c r="LJ24" i="49"/>
  <c r="KP24" i="49"/>
  <c r="KN24" i="49"/>
  <c r="KL24" i="49"/>
  <c r="KD24" i="49" s="1"/>
  <c r="KC24" i="49" s="1"/>
  <c r="KJ24" i="49"/>
  <c r="JH24" i="49"/>
  <c r="JI24" i="49" s="1"/>
  <c r="K24" i="49"/>
  <c r="IK24" i="49" s="1"/>
  <c r="IL24" i="49" s="1"/>
  <c r="JA24" i="49"/>
  <c r="JB24" i="49" s="1"/>
  <c r="Z24" i="49"/>
  <c r="X24" i="49"/>
  <c r="I24" i="49"/>
  <c r="B24" i="49"/>
  <c r="E24" i="49" s="1"/>
  <c r="LP23" i="49"/>
  <c r="OE17" i="50" s="1"/>
  <c r="LN23" i="49"/>
  <c r="OC17" i="50" s="1"/>
  <c r="LL23" i="49"/>
  <c r="GJ14" i="51" s="1"/>
  <c r="LJ23" i="49"/>
  <c r="KP23" i="49"/>
  <c r="KN23" i="49"/>
  <c r="KL23" i="49"/>
  <c r="KJ23" i="49"/>
  <c r="KD23" i="49" s="1"/>
  <c r="KC23" i="49" s="1"/>
  <c r="JH23" i="49"/>
  <c r="JI23" i="49" s="1"/>
  <c r="JA23" i="49"/>
  <c r="JB23" i="49" s="1"/>
  <c r="I23" i="49"/>
  <c r="Z23" i="49"/>
  <c r="X23" i="49"/>
  <c r="K23" i="49"/>
  <c r="Q23" i="49" s="1"/>
  <c r="B23" i="49"/>
  <c r="LP22" i="49"/>
  <c r="OE16" i="50" s="1"/>
  <c r="LN22" i="49"/>
  <c r="LL22" i="49"/>
  <c r="GJ13" i="51" s="1"/>
  <c r="LJ22" i="49"/>
  <c r="GH13" i="51" s="1"/>
  <c r="KP22" i="49"/>
  <c r="KN22" i="49"/>
  <c r="KL22" i="49"/>
  <c r="KJ22" i="49"/>
  <c r="JH22" i="49"/>
  <c r="JI22" i="49" s="1"/>
  <c r="JA22" i="49"/>
  <c r="JB22" i="49" s="1"/>
  <c r="Z22" i="49"/>
  <c r="X22" i="49"/>
  <c r="B22" i="49"/>
  <c r="AC22" i="49" s="1"/>
  <c r="K22" i="49"/>
  <c r="I22" i="49"/>
  <c r="LP21" i="49"/>
  <c r="OE15" i="50" s="1"/>
  <c r="LN21" i="49"/>
  <c r="OC15" i="50" s="1"/>
  <c r="LL21" i="49"/>
  <c r="OA15" i="50" s="1"/>
  <c r="LJ21" i="49"/>
  <c r="NV15" i="50" s="1"/>
  <c r="KP21" i="49"/>
  <c r="KN21" i="49"/>
  <c r="KL21" i="49"/>
  <c r="KJ21" i="49"/>
  <c r="KH21" i="49"/>
  <c r="JX48" i="50" s="1"/>
  <c r="IR48" i="50" s="1"/>
  <c r="JR21" i="49"/>
  <c r="JQ21" i="49"/>
  <c r="JO21" i="49"/>
  <c r="JN21" i="49"/>
  <c r="JL21" i="49"/>
  <c r="JK21" i="49"/>
  <c r="JH21" i="49"/>
  <c r="JA21" i="49"/>
  <c r="Z21" i="49"/>
  <c r="X21" i="49"/>
  <c r="K21" i="49"/>
  <c r="T21" i="49" s="1"/>
  <c r="AD15" i="50" s="1"/>
  <c r="I21" i="49"/>
  <c r="B21" i="49"/>
  <c r="LP20" i="49"/>
  <c r="OE14" i="50" s="1"/>
  <c r="LN20" i="49"/>
  <c r="GL12" i="51" s="1"/>
  <c r="LL20" i="49"/>
  <c r="OA14" i="50" s="1"/>
  <c r="LJ20" i="49"/>
  <c r="NV14" i="50" s="1"/>
  <c r="KP20" i="49"/>
  <c r="KP63" i="49" s="1"/>
  <c r="KP62" i="49" s="1"/>
  <c r="KN20" i="49"/>
  <c r="KN63" i="49" s="1"/>
  <c r="KN62" i="49" s="1"/>
  <c r="KL20" i="49"/>
  <c r="KL63" i="49" s="1"/>
  <c r="KL62" i="49" s="1"/>
  <c r="KJ20" i="49"/>
  <c r="KD20" i="49" s="1"/>
  <c r="KC20" i="49" s="1"/>
  <c r="JH20" i="49"/>
  <c r="JH63" i="49" s="1"/>
  <c r="JA20" i="49"/>
  <c r="JB20" i="49" s="1"/>
  <c r="Z20" i="49"/>
  <c r="X20" i="49"/>
  <c r="K20" i="49"/>
  <c r="AA20" i="49" s="1"/>
  <c r="I20" i="49"/>
  <c r="B20" i="49"/>
  <c r="AF20" i="49" s="1"/>
  <c r="D19" i="49"/>
  <c r="AY19" i="49" s="1"/>
  <c r="C19" i="49"/>
  <c r="AQ19" i="49" s="1"/>
  <c r="DW12" i="49"/>
  <c r="GA12" i="49" s="1"/>
  <c r="DE12" i="49"/>
  <c r="DX12" i="49" s="1"/>
  <c r="BG12" i="49"/>
  <c r="DW11" i="49"/>
  <c r="GA11" i="49" s="1"/>
  <c r="DE11" i="49"/>
  <c r="GE11" i="49" s="1"/>
  <c r="GC11" i="49" s="1"/>
  <c r="BG11" i="49"/>
  <c r="BX142" i="48"/>
  <c r="BX141" i="48"/>
  <c r="BX140" i="48"/>
  <c r="BX135" i="48"/>
  <c r="BX134" i="48"/>
  <c r="BX133" i="48"/>
  <c r="BX132" i="48"/>
  <c r="AK123" i="48"/>
  <c r="G60" i="44"/>
  <c r="F60" i="44"/>
  <c r="E60" i="44"/>
  <c r="D60" i="44"/>
  <c r="C60" i="44"/>
  <c r="B60" i="44"/>
  <c r="BC53" i="44"/>
  <c r="AZ53" i="44"/>
  <c r="AW53" i="44"/>
  <c r="AT53" i="44"/>
  <c r="AQ53" i="44"/>
  <c r="AW51" i="44"/>
  <c r="G51" i="44"/>
  <c r="BC51" i="44"/>
  <c r="F51" i="44"/>
  <c r="AZ51" i="44" s="1"/>
  <c r="E51" i="44"/>
  <c r="D51" i="44"/>
  <c r="AT51" i="44" s="1"/>
  <c r="C51" i="44"/>
  <c r="AQ51" i="44" s="1"/>
  <c r="B51" i="44"/>
  <c r="J46" i="44"/>
  <c r="AK46" i="44" s="1"/>
  <c r="G46" i="44"/>
  <c r="F46" i="44"/>
  <c r="E46" i="44"/>
  <c r="D46" i="44"/>
  <c r="C46" i="44"/>
  <c r="B46" i="44"/>
  <c r="B59" i="44" s="1"/>
  <c r="J44" i="44"/>
  <c r="AH44" i="44" s="1"/>
  <c r="G41" i="44"/>
  <c r="F41" i="44"/>
  <c r="E41" i="44"/>
  <c r="D41" i="44"/>
  <c r="C41" i="44"/>
  <c r="B41" i="44"/>
  <c r="G34" i="44"/>
  <c r="F34" i="44"/>
  <c r="E34" i="44"/>
  <c r="D34" i="44"/>
  <c r="C34" i="44"/>
  <c r="B34" i="44"/>
  <c r="G26" i="44"/>
  <c r="F26" i="44"/>
  <c r="E26" i="44"/>
  <c r="D26" i="44"/>
  <c r="C26" i="44"/>
  <c r="B26" i="44"/>
  <c r="G21" i="44"/>
  <c r="G59" i="44" s="1"/>
  <c r="F21" i="44"/>
  <c r="E21" i="44"/>
  <c r="D21" i="44"/>
  <c r="C21" i="44"/>
  <c r="C59" i="44"/>
  <c r="B21" i="44"/>
  <c r="G8" i="44"/>
  <c r="F8" i="44"/>
  <c r="E8" i="44"/>
  <c r="D8" i="44"/>
  <c r="D59" i="44" s="1"/>
  <c r="B8" i="44"/>
  <c r="W26" i="43"/>
  <c r="AB26" i="43" s="1"/>
  <c r="W25" i="43"/>
  <c r="X25" i="43" s="1"/>
  <c r="W22" i="43"/>
  <c r="W23" i="43" s="1"/>
  <c r="W21" i="43"/>
  <c r="W20" i="43"/>
  <c r="AD19" i="43"/>
  <c r="X19" i="43" s="1"/>
  <c r="W19" i="43"/>
  <c r="W18" i="43"/>
  <c r="AD17" i="43"/>
  <c r="W17" i="43"/>
  <c r="W14" i="43"/>
  <c r="P9" i="43"/>
  <c r="O9" i="43"/>
  <c r="Q9" i="43" s="1"/>
  <c r="K9" i="43"/>
  <c r="T9" i="43" s="1"/>
  <c r="G9" i="43"/>
  <c r="E9" i="43"/>
  <c r="R9" i="43" s="1"/>
  <c r="Z14" i="43" s="1"/>
  <c r="W26" i="42"/>
  <c r="AB26" i="42" s="1"/>
  <c r="W25" i="42"/>
  <c r="X25" i="42" s="1"/>
  <c r="W22" i="42"/>
  <c r="W23" i="42" s="1"/>
  <c r="AD21" i="42"/>
  <c r="X21" i="42" s="1"/>
  <c r="W21" i="42"/>
  <c r="W20" i="42"/>
  <c r="W19" i="42"/>
  <c r="W18" i="42"/>
  <c r="AD17" i="42"/>
  <c r="W17" i="42"/>
  <c r="X17" i="42" s="1"/>
  <c r="W14" i="42"/>
  <c r="O9" i="42"/>
  <c r="Q9" i="42" s="1"/>
  <c r="K9" i="42"/>
  <c r="T9" i="42" s="1"/>
  <c r="G9" i="42"/>
  <c r="E9" i="42"/>
  <c r="W26" i="41"/>
  <c r="X26" i="41" s="1"/>
  <c r="W25" i="41"/>
  <c r="AB25" i="41" s="1"/>
  <c r="W22" i="41"/>
  <c r="W23" i="41" s="1"/>
  <c r="AD21" i="41"/>
  <c r="X21" i="41" s="1"/>
  <c r="W21" i="41"/>
  <c r="W20" i="41"/>
  <c r="W19" i="41"/>
  <c r="W18" i="41"/>
  <c r="AD17" i="41"/>
  <c r="W17" i="41"/>
  <c r="W14" i="41"/>
  <c r="P9" i="41"/>
  <c r="O9" i="41"/>
  <c r="Q9" i="41" s="1"/>
  <c r="K9" i="41"/>
  <c r="T9" i="41" s="1"/>
  <c r="AB14" i="41" s="1"/>
  <c r="G9" i="41"/>
  <c r="E9" i="41"/>
  <c r="W26" i="40"/>
  <c r="Z26" i="40" s="1"/>
  <c r="W25" i="40"/>
  <c r="X25" i="40" s="1"/>
  <c r="W22" i="40"/>
  <c r="W23" i="40" s="1"/>
  <c r="W20" i="40"/>
  <c r="W21" i="40"/>
  <c r="W18" i="40"/>
  <c r="W19" i="40"/>
  <c r="AD17" i="40"/>
  <c r="W17" i="40"/>
  <c r="W14" i="40"/>
  <c r="O9" i="40"/>
  <c r="Q9" i="40" s="1"/>
  <c r="K9" i="40"/>
  <c r="T9" i="40" s="1"/>
  <c r="G9" i="40"/>
  <c r="E9" i="40"/>
  <c r="X52" i="39"/>
  <c r="F51" i="39"/>
  <c r="R50" i="39"/>
  <c r="E50" i="39"/>
  <c r="P49" i="39"/>
  <c r="Q49" i="39" s="1"/>
  <c r="L49" i="39"/>
  <c r="X43" i="39"/>
  <c r="R42" i="39"/>
  <c r="E42" i="39"/>
  <c r="L41" i="39"/>
  <c r="P41" i="39" s="1"/>
  <c r="Q41" i="39" s="1"/>
  <c r="X38" i="39"/>
  <c r="R37" i="39"/>
  <c r="E37" i="39"/>
  <c r="L36" i="39"/>
  <c r="P36" i="39" s="1"/>
  <c r="Q36" i="39" s="1"/>
  <c r="X33" i="39"/>
  <c r="AB32" i="39"/>
  <c r="R32" i="39"/>
  <c r="E32" i="39"/>
  <c r="L31" i="39"/>
  <c r="P31" i="39" s="1"/>
  <c r="Q31" i="39" s="1"/>
  <c r="X28" i="39"/>
  <c r="R27" i="39"/>
  <c r="E27" i="39"/>
  <c r="L26" i="39"/>
  <c r="P26" i="39" s="1"/>
  <c r="Q26" i="39" s="1"/>
  <c r="X23" i="39"/>
  <c r="AB22" i="39"/>
  <c r="R22" i="39"/>
  <c r="E22" i="39"/>
  <c r="L21" i="39"/>
  <c r="X18" i="39"/>
  <c r="F17" i="39"/>
  <c r="R16" i="39"/>
  <c r="E16" i="39"/>
  <c r="L15" i="39"/>
  <c r="X12" i="39"/>
  <c r="R11" i="39"/>
  <c r="E11" i="39"/>
  <c r="L10" i="39"/>
  <c r="P10" i="39" s="1"/>
  <c r="Q10" i="39" s="1"/>
  <c r="Q36" i="38"/>
  <c r="H36" i="38" s="1"/>
  <c r="G36" i="38"/>
  <c r="Q32" i="38"/>
  <c r="H32" i="38" s="1"/>
  <c r="G32" i="38"/>
  <c r="Q28" i="38"/>
  <c r="H28" i="38" s="1"/>
  <c r="G28" i="38"/>
  <c r="P23" i="38"/>
  <c r="Q23" i="38" s="1"/>
  <c r="H23" i="38" s="1"/>
  <c r="G23" i="38"/>
  <c r="P20" i="38"/>
  <c r="Q20" i="38" s="1"/>
  <c r="H20" i="38" s="1"/>
  <c r="G20" i="38"/>
  <c r="P17" i="38"/>
  <c r="Q17" i="38" s="1"/>
  <c r="H17" i="38" s="1"/>
  <c r="G17" i="38"/>
  <c r="P13" i="38"/>
  <c r="Q13" i="38" s="1"/>
  <c r="H13" i="38" s="1"/>
  <c r="G13" i="38"/>
  <c r="Q10" i="38"/>
  <c r="H10" i="38" s="1"/>
  <c r="I10" i="38" s="1"/>
  <c r="G10" i="38"/>
  <c r="Q43" i="37"/>
  <c r="R43" i="37" s="1"/>
  <c r="I43" i="37" s="1"/>
  <c r="H43" i="37"/>
  <c r="R42" i="37"/>
  <c r="I42" i="37" s="1"/>
  <c r="H42" i="37"/>
  <c r="R39" i="37"/>
  <c r="I39" i="37" s="1"/>
  <c r="H39" i="37"/>
  <c r="R33" i="37"/>
  <c r="I33" i="37" s="1"/>
  <c r="H33" i="37"/>
  <c r="Q26" i="37"/>
  <c r="R26" i="37" s="1"/>
  <c r="I26" i="37" s="1"/>
  <c r="H26" i="37"/>
  <c r="R25" i="37"/>
  <c r="I25" i="37" s="1"/>
  <c r="H25" i="37"/>
  <c r="R21" i="37"/>
  <c r="I21" i="37" s="1"/>
  <c r="H21" i="37"/>
  <c r="R20" i="37"/>
  <c r="I20" i="37" s="1"/>
  <c r="H20" i="37"/>
  <c r="Q16" i="37"/>
  <c r="R16" i="37" s="1"/>
  <c r="I16" i="37" s="1"/>
  <c r="H16" i="37"/>
  <c r="R15" i="37"/>
  <c r="I15" i="37"/>
  <c r="J15" i="37" s="1"/>
  <c r="H15" i="37"/>
  <c r="R11" i="37"/>
  <c r="I11" i="37"/>
  <c r="H11" i="37"/>
  <c r="F11" i="37"/>
  <c r="E11" i="37" s="1"/>
  <c r="D11" i="37" s="1"/>
  <c r="R10" i="37"/>
  <c r="I10" i="37" s="1"/>
  <c r="H10" i="37"/>
  <c r="AE66" i="49"/>
  <c r="IK29" i="49"/>
  <c r="IL29" i="49" s="1"/>
  <c r="S67" i="49"/>
  <c r="IK31" i="49"/>
  <c r="IJ31" i="49" s="1"/>
  <c r="Q31" i="49"/>
  <c r="O50" i="49"/>
  <c r="Z62" i="49"/>
  <c r="AE47" i="49"/>
  <c r="Y54" i="49"/>
  <c r="AK50" i="49"/>
  <c r="O68" i="49"/>
  <c r="T40" i="49"/>
  <c r="AD28" i="50" s="1"/>
  <c r="AG66" i="49"/>
  <c r="T39" i="49"/>
  <c r="AD27" i="50" s="1"/>
  <c r="AA35" i="49"/>
  <c r="Q55" i="49"/>
  <c r="EC49" i="49"/>
  <c r="AI47" i="49"/>
  <c r="GP66" i="49"/>
  <c r="AK47" i="49"/>
  <c r="AA49" i="49"/>
  <c r="AD53" i="49"/>
  <c r="AF53" i="49"/>
  <c r="AJ66" i="49"/>
  <c r="EC31" i="49"/>
  <c r="AC39" i="49"/>
  <c r="AJ56" i="49"/>
  <c r="AI66" i="49"/>
  <c r="IH40" i="49"/>
  <c r="GP53" i="49"/>
  <c r="GP56" i="49"/>
  <c r="GP54" i="49"/>
  <c r="AG31" i="49"/>
  <c r="T29" i="49"/>
  <c r="AI31" i="49"/>
  <c r="IU39" i="49"/>
  <c r="AG47" i="49"/>
  <c r="IU56" i="49"/>
  <c r="AA55" i="49"/>
  <c r="EA79" i="49"/>
  <c r="GR45" i="49"/>
  <c r="AG55" i="49"/>
  <c r="AA29" i="49"/>
  <c r="Y34" i="49"/>
  <c r="E53" i="49"/>
  <c r="P21" i="39"/>
  <c r="Q21" i="39" s="1"/>
  <c r="AB25" i="43"/>
  <c r="AC25" i="43" s="1"/>
  <c r="Z25" i="43"/>
  <c r="AK44" i="44"/>
  <c r="P15" i="39"/>
  <c r="Q15" i="39" s="1"/>
  <c r="Z25" i="41"/>
  <c r="X25" i="41"/>
  <c r="Z25" i="42"/>
  <c r="T35" i="49"/>
  <c r="AD22" i="50" s="1"/>
  <c r="AR19" i="49"/>
  <c r="AL19" i="49"/>
  <c r="JI20" i="49"/>
  <c r="GP46" i="49"/>
  <c r="AK46" i="49"/>
  <c r="AJ46" i="49"/>
  <c r="AI46" i="49"/>
  <c r="AE46" i="49"/>
  <c r="AH46" i="49"/>
  <c r="E46" i="49"/>
  <c r="GQ45" i="49"/>
  <c r="AE20" i="49"/>
  <c r="AK20" i="49"/>
  <c r="AA25" i="49"/>
  <c r="IH31" i="49"/>
  <c r="IG31" i="49" s="1"/>
  <c r="S31" i="49"/>
  <c r="T31" i="49"/>
  <c r="OA16" i="50"/>
  <c r="IK28" i="49"/>
  <c r="IJ28" i="49" s="1"/>
  <c r="AE34" i="49"/>
  <c r="E34" i="49"/>
  <c r="AF39" i="49"/>
  <c r="GP39" i="49"/>
  <c r="AK39" i="49"/>
  <c r="AD39" i="49"/>
  <c r="E39" i="49"/>
  <c r="IX33" i="49"/>
  <c r="GP31" i="49"/>
  <c r="DH59" i="49"/>
  <c r="DZ59" i="49" s="1"/>
  <c r="GH26" i="51"/>
  <c r="AH54" i="49"/>
  <c r="T55" i="49"/>
  <c r="E50" i="49"/>
  <c r="IH56" i="49"/>
  <c r="AG43" i="49"/>
  <c r="DZ77" i="49"/>
  <c r="S56" i="49"/>
  <c r="AD47" i="49"/>
  <c r="JE52" i="49"/>
  <c r="DD53" i="49"/>
  <c r="DA53" i="49" s="1"/>
  <c r="AH53" i="49"/>
  <c r="AG53" i="49"/>
  <c r="AE53" i="49"/>
  <c r="AK56" i="49"/>
  <c r="DD79" i="49"/>
  <c r="DA79" i="49" s="1"/>
  <c r="KF68" i="49"/>
  <c r="IU68" i="49"/>
  <c r="AI55" i="49"/>
  <c r="AF56" i="49"/>
  <c r="B75" i="49"/>
  <c r="DB75" i="49" s="1"/>
  <c r="IH68" i="49"/>
  <c r="IG68" i="49" s="1"/>
  <c r="DH69" i="49"/>
  <c r="BH66" i="49"/>
  <c r="AC66" i="49"/>
  <c r="P27" i="50"/>
  <c r="E66" i="49"/>
  <c r="AD66" i="49"/>
  <c r="V98" i="50"/>
  <c r="DE79" i="49"/>
  <c r="DB79" i="49" s="1"/>
  <c r="Y64" i="50"/>
  <c r="AK63" i="50" s="1"/>
  <c r="V64" i="50"/>
  <c r="AM63" i="50" s="1"/>
  <c r="Y70" i="50"/>
  <c r="IT78" i="50"/>
  <c r="JO106" i="50"/>
  <c r="Y114" i="50"/>
  <c r="IU125" i="50"/>
  <c r="JO125" i="50"/>
  <c r="Y113" i="50"/>
  <c r="AK112" i="50" s="1"/>
  <c r="AN112" i="50" s="1"/>
  <c r="JO116" i="50"/>
  <c r="IS138" i="50"/>
  <c r="JZ144" i="50"/>
  <c r="IS125" i="50"/>
  <c r="JZ125" i="50"/>
  <c r="V154" i="50"/>
  <c r="H75" i="51"/>
  <c r="CZ79" i="51"/>
  <c r="DI64" i="51"/>
  <c r="CZ81" i="51"/>
  <c r="AW63" i="10"/>
  <c r="AV63" i="10"/>
  <c r="AU63" i="10"/>
  <c r="AT63" i="10"/>
  <c r="AS63" i="10"/>
  <c r="AR63" i="10"/>
  <c r="AQ63" i="10"/>
  <c r="AP63" i="10"/>
  <c r="AO63" i="10"/>
  <c r="AN63" i="10"/>
  <c r="AM63" i="10"/>
  <c r="AL63" i="10"/>
  <c r="AK63" i="10"/>
  <c r="AJ63" i="10"/>
  <c r="AI63" i="10"/>
  <c r="AH63" i="10"/>
  <c r="AG63" i="10"/>
  <c r="AF63" i="10"/>
  <c r="DA34" i="49"/>
  <c r="BN76" i="10"/>
  <c r="BC79" i="10"/>
  <c r="BB79" i="10"/>
  <c r="BC78" i="10"/>
  <c r="BB78" i="10"/>
  <c r="BC77" i="10"/>
  <c r="BB77" i="10"/>
  <c r="BC76" i="10"/>
  <c r="BB76" i="10"/>
  <c r="FK39" i="10"/>
  <c r="FJ39" i="10"/>
  <c r="FK21" i="10"/>
  <c r="FJ21" i="10"/>
  <c r="GI46" i="10"/>
  <c r="GC46" i="10"/>
  <c r="GF50" i="10"/>
  <c r="GG50" i="10" s="1"/>
  <c r="GF49" i="10"/>
  <c r="GG49" i="10" s="1"/>
  <c r="GF48" i="10"/>
  <c r="NZ134" i="14"/>
  <c r="NV134" i="14"/>
  <c r="NX134" i="14" s="1"/>
  <c r="NZ139" i="14"/>
  <c r="NV139" i="14"/>
  <c r="NX139" i="14" s="1"/>
  <c r="NV145" i="14"/>
  <c r="NX145" i="14" s="1"/>
  <c r="NZ145" i="14"/>
  <c r="B79" i="10"/>
  <c r="B78" i="10"/>
  <c r="B77" i="10"/>
  <c r="AX77" i="10" s="1"/>
  <c r="B76" i="10"/>
  <c r="BK76" i="10" s="1"/>
  <c r="KF133" i="14"/>
  <c r="IT133" i="14" s="1"/>
  <c r="KF138" i="14"/>
  <c r="IT138" i="14" s="1"/>
  <c r="KF144" i="14"/>
  <c r="IT144" i="14" s="1"/>
  <c r="KB133" i="14"/>
  <c r="KB138" i="14"/>
  <c r="IS138" i="14" s="1"/>
  <c r="KB144" i="14"/>
  <c r="IS144" i="14" s="1"/>
  <c r="KH133" i="14"/>
  <c r="IU133" i="14" s="1"/>
  <c r="KH138" i="14"/>
  <c r="IU138" i="14" s="1"/>
  <c r="KH144" i="14"/>
  <c r="IU144" i="14" s="1"/>
  <c r="GX146" i="14"/>
  <c r="GX140" i="14"/>
  <c r="GX135" i="14"/>
  <c r="GX123" i="14"/>
  <c r="GX118" i="14"/>
  <c r="GX114" i="14"/>
  <c r="IU43" i="14"/>
  <c r="IT43" i="14"/>
  <c r="IS43" i="14"/>
  <c r="IR43" i="14"/>
  <c r="IU48" i="14"/>
  <c r="IT48" i="14"/>
  <c r="IS48" i="14"/>
  <c r="IU53" i="14"/>
  <c r="IT53" i="14"/>
  <c r="IS53" i="14"/>
  <c r="IR53" i="14"/>
  <c r="IU62" i="14"/>
  <c r="IT62" i="14"/>
  <c r="IS62" i="14"/>
  <c r="IR62" i="14"/>
  <c r="IU67" i="14"/>
  <c r="IT67" i="14"/>
  <c r="IS67" i="14"/>
  <c r="IR67" i="14"/>
  <c r="IU152" i="14"/>
  <c r="IT152" i="14"/>
  <c r="IS152" i="14"/>
  <c r="IR152" i="14"/>
  <c r="IR125" i="14"/>
  <c r="IR96" i="14"/>
  <c r="DF64" i="11"/>
  <c r="DB64" i="11"/>
  <c r="GD58" i="10"/>
  <c r="GB58" i="10"/>
  <c r="GH58" i="10"/>
  <c r="GF58" i="10"/>
  <c r="NW16" i="14"/>
  <c r="D54" i="14" s="1"/>
  <c r="Y79" i="14"/>
  <c r="C80" i="14"/>
  <c r="W80" i="14" s="1"/>
  <c r="V80" i="14" s="1"/>
  <c r="Y89" i="14"/>
  <c r="C90" i="14"/>
  <c r="W90" i="14" s="1"/>
  <c r="AS113" i="14"/>
  <c r="Y126" i="14"/>
  <c r="Y127" i="14" s="1"/>
  <c r="NW17" i="14"/>
  <c r="NW127" i="14"/>
  <c r="GI55" i="11" s="1"/>
  <c r="NW113" i="14"/>
  <c r="NV113" i="14" s="1"/>
  <c r="GH54" i="11" s="1"/>
  <c r="NW14" i="14"/>
  <c r="C107" i="14" s="1"/>
  <c r="AS108" i="14"/>
  <c r="NW108" i="14"/>
  <c r="KB125" i="14"/>
  <c r="IS125" i="14" s="1"/>
  <c r="KF125" i="14"/>
  <c r="IT125" i="14" s="1"/>
  <c r="KH125" i="14"/>
  <c r="IU125" i="14" s="1"/>
  <c r="KF88" i="14"/>
  <c r="IT88" i="14" s="1"/>
  <c r="KB88" i="14"/>
  <c r="IS88" i="14" s="1"/>
  <c r="JX88" i="14"/>
  <c r="IR88" i="14" s="1"/>
  <c r="KH88" i="14"/>
  <c r="IU88" i="14" s="1"/>
  <c r="KF78" i="14"/>
  <c r="IT78" i="14" s="1"/>
  <c r="KB78" i="14"/>
  <c r="JX78" i="14"/>
  <c r="KH78" i="14"/>
  <c r="IU78" i="14" s="1"/>
  <c r="KF106" i="14"/>
  <c r="IT106" i="14" s="1"/>
  <c r="KB106" i="14"/>
  <c r="IS106" i="14" s="1"/>
  <c r="JX106" i="14"/>
  <c r="IR106" i="14" s="1"/>
  <c r="KH106" i="14"/>
  <c r="IU106" i="14" s="1"/>
  <c r="Y107" i="14"/>
  <c r="Y108" i="14" s="1"/>
  <c r="AK107" i="14" s="1"/>
  <c r="C45" i="14"/>
  <c r="W45" i="14" s="1"/>
  <c r="V45" i="14" s="1"/>
  <c r="W50" i="14"/>
  <c r="D36" i="11" s="1"/>
  <c r="C55" i="14"/>
  <c r="W55" i="14" s="1"/>
  <c r="JO43" i="14"/>
  <c r="Y44" i="14"/>
  <c r="W46" i="14"/>
  <c r="Y46" i="14" s="1"/>
  <c r="Y49" i="14"/>
  <c r="JO53" i="14"/>
  <c r="Y54" i="14"/>
  <c r="W64" i="14"/>
  <c r="D40" i="11" s="1"/>
  <c r="W69" i="14"/>
  <c r="Y69" i="14" s="1"/>
  <c r="W70" i="14"/>
  <c r="D42" i="11" s="1"/>
  <c r="JO62" i="14"/>
  <c r="Y63" i="14"/>
  <c r="JO67" i="14"/>
  <c r="Y68" i="14"/>
  <c r="W85" i="14"/>
  <c r="V85" i="14" s="1"/>
  <c r="C94" i="14"/>
  <c r="W94" i="14" s="1"/>
  <c r="W98" i="14"/>
  <c r="Y98" i="14" s="1"/>
  <c r="W155" i="14"/>
  <c r="Y155" i="14" s="1"/>
  <c r="KF82" i="14"/>
  <c r="IT82" i="14" s="1"/>
  <c r="KB82" i="14"/>
  <c r="JX82" i="14"/>
  <c r="IR82" i="14" s="1"/>
  <c r="KH82" i="14"/>
  <c r="IU82" i="14" s="1"/>
  <c r="Y83" i="14"/>
  <c r="W84" i="14"/>
  <c r="KF92" i="14"/>
  <c r="IT92" i="14" s="1"/>
  <c r="KB92" i="14"/>
  <c r="IS92" i="14" s="1"/>
  <c r="JX92" i="14"/>
  <c r="IR92" i="14" s="1"/>
  <c r="KH92" i="14"/>
  <c r="IU92" i="14" s="1"/>
  <c r="Y93" i="14"/>
  <c r="KB96" i="14"/>
  <c r="IS96" i="14" s="1"/>
  <c r="KF96" i="14"/>
  <c r="IT96" i="14" s="1"/>
  <c r="KH96" i="14"/>
  <c r="IU96" i="14" s="1"/>
  <c r="Y97" i="14"/>
  <c r="D50" i="11"/>
  <c r="JO152" i="14"/>
  <c r="Y153" i="14"/>
  <c r="W154" i="14"/>
  <c r="Y154" i="14" s="1"/>
  <c r="Y112" i="14"/>
  <c r="Y113" i="14" s="1"/>
  <c r="KF111" i="14"/>
  <c r="IT111" i="14" s="1"/>
  <c r="KB111" i="14"/>
  <c r="IS111" i="14" s="1"/>
  <c r="JX111" i="14"/>
  <c r="IR111" i="14" s="1"/>
  <c r="KH111" i="14"/>
  <c r="IU111" i="14" s="1"/>
  <c r="GI35" i="11"/>
  <c r="GI36" i="11"/>
  <c r="GI37" i="11"/>
  <c r="GI40" i="11"/>
  <c r="GI41" i="11"/>
  <c r="GI42" i="11"/>
  <c r="GI45" i="11"/>
  <c r="GI46" i="11"/>
  <c r="GI47" i="11"/>
  <c r="GI48" i="11"/>
  <c r="GI49" i="11"/>
  <c r="GI53" i="11"/>
  <c r="GI54" i="11"/>
  <c r="NW21" i="14"/>
  <c r="C117" i="14" s="1"/>
  <c r="U21" i="14" s="1"/>
  <c r="Y117" i="14"/>
  <c r="Y118" i="14" s="1"/>
  <c r="W59" i="14"/>
  <c r="BX142" i="18"/>
  <c r="BX141" i="18"/>
  <c r="BX140" i="18"/>
  <c r="KF116" i="14"/>
  <c r="IT116" i="14" s="1"/>
  <c r="KB116" i="14"/>
  <c r="IS116" i="14" s="1"/>
  <c r="JX116" i="14"/>
  <c r="IR116" i="14" s="1"/>
  <c r="KH116" i="14"/>
  <c r="JZ116" i="14" s="1"/>
  <c r="BX134" i="18"/>
  <c r="NZ117" i="14"/>
  <c r="BX133" i="18"/>
  <c r="NZ112" i="14"/>
  <c r="BX132" i="18"/>
  <c r="NZ107" i="14"/>
  <c r="OD36" i="14"/>
  <c r="OD155" i="14" s="1"/>
  <c r="OC155" i="14" s="1"/>
  <c r="GL50" i="11" s="1"/>
  <c r="OD30" i="14"/>
  <c r="OD98" i="14" s="1"/>
  <c r="GM49" i="11" s="1"/>
  <c r="OD29" i="14"/>
  <c r="OD28" i="14"/>
  <c r="OD90" i="14" s="1"/>
  <c r="OC90" i="14" s="1"/>
  <c r="GL47" i="11" s="1"/>
  <c r="OD26" i="14"/>
  <c r="HF39" i="10"/>
  <c r="HE39" i="10" s="1"/>
  <c r="HF35" i="10"/>
  <c r="HF34" i="10"/>
  <c r="HE34" i="10" s="1"/>
  <c r="OA21" i="14" s="1"/>
  <c r="CI62" i="10"/>
  <c r="CL62" i="10"/>
  <c r="NW33" i="14"/>
  <c r="C122" i="14" s="1"/>
  <c r="Y122" i="14"/>
  <c r="AK122" i="14" s="1"/>
  <c r="AN122" i="14" s="1"/>
  <c r="JU121" i="14"/>
  <c r="JV121" i="14" s="1"/>
  <c r="JR121" i="14" s="1"/>
  <c r="JQ121" i="14" s="1"/>
  <c r="KF121" i="14"/>
  <c r="IT121" i="14" s="1"/>
  <c r="JS121" i="14"/>
  <c r="IP121" i="14" s="1"/>
  <c r="KB121" i="14"/>
  <c r="IS121" i="14" s="1"/>
  <c r="JX121" i="14"/>
  <c r="IR121" i="14" s="1"/>
  <c r="KH121" i="14"/>
  <c r="IU121" i="14" s="1"/>
  <c r="BX135" i="18"/>
  <c r="NZ122" i="14"/>
  <c r="CW76" i="10"/>
  <c r="BN77" i="10"/>
  <c r="CV77" i="10"/>
  <c r="CW77" i="10" s="1"/>
  <c r="CV78" i="10"/>
  <c r="CW78" i="10" s="1"/>
  <c r="CV79" i="10"/>
  <c r="CW79" i="10" s="1"/>
  <c r="EM12" i="11"/>
  <c r="EM13" i="11"/>
  <c r="EM14" i="11"/>
  <c r="EM17" i="11"/>
  <c r="EM18" i="11"/>
  <c r="EM19" i="11"/>
  <c r="EM22" i="11"/>
  <c r="EM23" i="11"/>
  <c r="EM26" i="11"/>
  <c r="EM27" i="11"/>
  <c r="EM30" i="11"/>
  <c r="GI12" i="11"/>
  <c r="GI13" i="11"/>
  <c r="GI14" i="11"/>
  <c r="GI17" i="11"/>
  <c r="GI18" i="11"/>
  <c r="GI19" i="11"/>
  <c r="GI22" i="11"/>
  <c r="GI23" i="11"/>
  <c r="GI26" i="11"/>
  <c r="GI27" i="11"/>
  <c r="GI30" i="11"/>
  <c r="DE81" i="11"/>
  <c r="DA73" i="11" s="1"/>
  <c r="DI81" i="11"/>
  <c r="J81" i="11"/>
  <c r="H81" i="11" s="1"/>
  <c r="W81" i="11"/>
  <c r="CX81" i="11"/>
  <c r="AT81" i="11"/>
  <c r="DD81" i="11"/>
  <c r="CZ73" i="11" s="1"/>
  <c r="DH81" i="11"/>
  <c r="CZ72" i="11" s="1"/>
  <c r="DE77" i="11"/>
  <c r="J77" i="11"/>
  <c r="H77" i="11" s="1"/>
  <c r="W77" i="11"/>
  <c r="CX77" i="11"/>
  <c r="CX65" i="11" s="1"/>
  <c r="AT77" i="11"/>
  <c r="AU77" i="11" s="1"/>
  <c r="DD77" i="11"/>
  <c r="CZ77" i="11" s="1"/>
  <c r="DE79" i="11"/>
  <c r="DA71" i="11" s="1"/>
  <c r="DI79" i="11"/>
  <c r="DI64" i="11" s="1"/>
  <c r="J79" i="11"/>
  <c r="W79" i="11"/>
  <c r="CX79" i="11"/>
  <c r="CX66" i="11" s="1"/>
  <c r="AT79" i="11"/>
  <c r="DD79" i="11"/>
  <c r="CZ71" i="11" s="1"/>
  <c r="DH79" i="11"/>
  <c r="CZ70" i="11" s="1"/>
  <c r="DE75" i="11"/>
  <c r="J75" i="11"/>
  <c r="H75" i="11" s="1"/>
  <c r="W75" i="11"/>
  <c r="CX75" i="11"/>
  <c r="AT75" i="11"/>
  <c r="AU75" i="11" s="1"/>
  <c r="DD75" i="11"/>
  <c r="CZ75" i="11" s="1"/>
  <c r="CX73" i="11"/>
  <c r="CX71" i="11"/>
  <c r="CX72" i="11"/>
  <c r="CX70" i="11"/>
  <c r="DC81" i="11"/>
  <c r="DG81" i="11"/>
  <c r="DC79" i="11"/>
  <c r="CY79" i="11" s="1"/>
  <c r="DG79" i="11"/>
  <c r="DI91" i="11"/>
  <c r="DA91" i="11" s="1"/>
  <c r="J91" i="11"/>
  <c r="H91" i="11" s="1"/>
  <c r="CX91" i="11"/>
  <c r="DH91" i="11"/>
  <c r="CZ91" i="11" s="1"/>
  <c r="DE89" i="11"/>
  <c r="DA89" i="11" s="1"/>
  <c r="J89" i="11"/>
  <c r="H89" i="11" s="1"/>
  <c r="CX89" i="11"/>
  <c r="CX84" i="11" s="1"/>
  <c r="DD89" i="11"/>
  <c r="CZ89" i="11" s="1"/>
  <c r="DE87" i="11"/>
  <c r="DA87" i="11" s="1"/>
  <c r="J87" i="11"/>
  <c r="H87" i="11" s="1"/>
  <c r="CX87" i="11"/>
  <c r="AT87" i="11"/>
  <c r="DD87" i="11"/>
  <c r="CZ87" i="11" s="1"/>
  <c r="FA62" i="10"/>
  <c r="FB62" i="10" s="1"/>
  <c r="EZ63" i="10"/>
  <c r="EY63" i="10"/>
  <c r="ES63" i="10"/>
  <c r="ER63" i="10"/>
  <c r="FA56" i="10"/>
  <c r="FB56" i="10" s="1"/>
  <c r="ET49" i="10"/>
  <c r="EU49" i="10" s="1"/>
  <c r="ET47" i="10"/>
  <c r="EU47" i="10" s="1"/>
  <c r="FA54" i="10"/>
  <c r="FB54" i="10" s="1"/>
  <c r="FA50" i="10"/>
  <c r="FB50" i="10" s="1"/>
  <c r="EW50" i="10" s="1"/>
  <c r="EV50" i="10" s="1"/>
  <c r="FA49" i="10"/>
  <c r="FB49" i="10" s="1"/>
  <c r="FA48" i="10"/>
  <c r="FB48" i="10" s="1"/>
  <c r="FA47" i="10"/>
  <c r="FB47" i="10" s="1"/>
  <c r="FA46" i="10"/>
  <c r="FB46" i="10" s="1"/>
  <c r="FA41" i="10"/>
  <c r="FB41" i="10" s="1"/>
  <c r="FA40" i="10"/>
  <c r="FB40" i="10" s="1"/>
  <c r="FA38" i="10"/>
  <c r="FB38" i="10" s="1"/>
  <c r="FA35" i="10"/>
  <c r="FB35" i="10" s="1"/>
  <c r="FA25" i="10"/>
  <c r="FB25" i="10" s="1"/>
  <c r="ET28" i="10"/>
  <c r="EU28" i="10" s="1"/>
  <c r="FA28" i="10"/>
  <c r="FB28" i="10" s="1"/>
  <c r="ET39" i="10"/>
  <c r="FA69" i="10"/>
  <c r="FB69" i="10" s="1"/>
  <c r="FA68" i="10"/>
  <c r="FB68" i="10" s="1"/>
  <c r="FA67" i="10"/>
  <c r="FB67" i="10" s="1"/>
  <c r="FA66" i="10"/>
  <c r="FB66" i="10" s="1"/>
  <c r="FA53" i="10"/>
  <c r="FB53" i="10" s="1"/>
  <c r="FA43" i="10"/>
  <c r="FB43" i="10" s="1"/>
  <c r="FA42" i="10"/>
  <c r="FB42" i="10" s="1"/>
  <c r="FA39" i="10"/>
  <c r="FA31" i="10"/>
  <c r="FB31" i="10" s="1"/>
  <c r="FA30" i="10"/>
  <c r="FB30" i="10" s="1"/>
  <c r="ET48" i="10"/>
  <c r="EU48" i="10" s="1"/>
  <c r="ET42" i="10"/>
  <c r="EU42" i="10" s="1"/>
  <c r="EP42" i="10" s="1"/>
  <c r="GV30" i="14" s="1"/>
  <c r="ET31" i="10"/>
  <c r="EU31" i="10" s="1"/>
  <c r="ET30" i="10"/>
  <c r="EU30" i="10" s="1"/>
  <c r="ET54" i="10"/>
  <c r="EU54" i="10" s="1"/>
  <c r="ET53" i="10"/>
  <c r="EU53" i="10" s="1"/>
  <c r="ET56" i="10"/>
  <c r="EU56" i="10" s="1"/>
  <c r="ET67" i="10"/>
  <c r="EU67" i="10" s="1"/>
  <c r="ET69" i="10"/>
  <c r="EU69" i="10" s="1"/>
  <c r="ET66" i="10"/>
  <c r="EU66" i="10" s="1"/>
  <c r="ET68" i="10"/>
  <c r="EU68" i="10" s="1"/>
  <c r="ET43" i="10"/>
  <c r="EU43" i="10" s="1"/>
  <c r="ET59" i="10"/>
  <c r="EU59" i="10" s="1"/>
  <c r="ET55" i="10"/>
  <c r="EU55" i="10" s="1"/>
  <c r="ET50" i="10"/>
  <c r="EU50" i="10" s="1"/>
  <c r="ET46" i="10"/>
  <c r="EU46" i="10" s="1"/>
  <c r="ET41" i="10"/>
  <c r="EU41" i="10" s="1"/>
  <c r="EP41" i="10" s="1"/>
  <c r="EO41" i="10" s="1"/>
  <c r="ET40" i="10"/>
  <c r="EU40" i="10" s="1"/>
  <c r="ET38" i="10"/>
  <c r="EU38" i="10" s="1"/>
  <c r="ET35" i="10"/>
  <c r="EU35" i="10" s="1"/>
  <c r="ET34" i="10"/>
  <c r="EU34" i="10" s="1"/>
  <c r="ET29" i="10"/>
  <c r="EU29" i="10" s="1"/>
  <c r="ET25" i="10"/>
  <c r="EU25" i="10" s="1"/>
  <c r="ET24" i="10"/>
  <c r="EU24" i="10" s="1"/>
  <c r="ET23" i="10"/>
  <c r="EU23" i="10" s="1"/>
  <c r="EP23" i="10" s="1"/>
  <c r="EO23" i="10" s="1"/>
  <c r="ET22" i="10"/>
  <c r="EU22" i="10" s="1"/>
  <c r="FA59" i="10"/>
  <c r="FB59" i="10" s="1"/>
  <c r="FA55" i="10"/>
  <c r="FB55" i="10" s="1"/>
  <c r="FA34" i="10"/>
  <c r="FB34" i="10" s="1"/>
  <c r="FA29" i="10"/>
  <c r="FB29" i="10" s="1"/>
  <c r="FA24" i="10"/>
  <c r="FB24" i="10" s="1"/>
  <c r="FA23" i="10"/>
  <c r="FB23" i="10" s="1"/>
  <c r="FA22" i="10"/>
  <c r="FB22" i="10" s="1"/>
  <c r="EW22" i="10" s="1"/>
  <c r="ET62" i="10"/>
  <c r="EU62" i="10" s="1"/>
  <c r="EP62" i="10" s="1"/>
  <c r="EO62" i="10" s="1"/>
  <c r="ET21" i="10"/>
  <c r="FA21" i="10"/>
  <c r="FH21" i="10"/>
  <c r="FG21" i="10"/>
  <c r="FE21" i="10"/>
  <c r="FD21" i="10"/>
  <c r="FH39" i="10"/>
  <c r="FG39" i="10"/>
  <c r="FE39" i="10"/>
  <c r="FD39" i="10"/>
  <c r="ET20" i="10"/>
  <c r="ET63" i="10" s="1"/>
  <c r="FA20" i="10"/>
  <c r="EX58" i="10"/>
  <c r="EQ58" i="10"/>
  <c r="GA58" i="10"/>
  <c r="EX63" i="10"/>
  <c r="EQ63" i="10"/>
  <c r="GE69" i="10"/>
  <c r="GC69" i="10"/>
  <c r="GI69" i="10"/>
  <c r="GG69" i="10"/>
  <c r="GE68" i="10"/>
  <c r="GC68" i="10"/>
  <c r="GI68" i="10"/>
  <c r="GG68" i="10"/>
  <c r="GE67" i="10"/>
  <c r="GC67" i="10"/>
  <c r="GI67" i="10"/>
  <c r="GG67" i="10"/>
  <c r="GE66" i="10"/>
  <c r="GC66" i="10"/>
  <c r="GI66" i="10"/>
  <c r="FY66" i="10" s="1"/>
  <c r="FX66" i="10" s="1"/>
  <c r="GG66" i="10"/>
  <c r="GE34" i="10"/>
  <c r="GC34" i="10"/>
  <c r="GI34" i="10"/>
  <c r="GG34" i="10"/>
  <c r="NZ126" i="14"/>
  <c r="KE125" i="14"/>
  <c r="KA125" i="14"/>
  <c r="KE96" i="14"/>
  <c r="KA96" i="14"/>
  <c r="NT14" i="14"/>
  <c r="B44" i="14" s="1"/>
  <c r="R20" i="10"/>
  <c r="T20" i="10"/>
  <c r="I20" i="10"/>
  <c r="BR20" i="10" s="1"/>
  <c r="CH20" i="10" s="1"/>
  <c r="K20" i="10"/>
  <c r="ED20" i="10" s="1"/>
  <c r="EC20" i="10" s="1"/>
  <c r="C145" i="14"/>
  <c r="AK123" i="18"/>
  <c r="C139" i="14"/>
  <c r="J142" i="14" s="1"/>
  <c r="C134" i="14"/>
  <c r="V112" i="14"/>
  <c r="X112" i="14" s="1"/>
  <c r="V107" i="14"/>
  <c r="X107" i="14" s="1"/>
  <c r="F107" i="14" s="1"/>
  <c r="H107" i="14" s="1"/>
  <c r="G107" i="14" s="1"/>
  <c r="BO11" i="10"/>
  <c r="BM11" i="10" s="1"/>
  <c r="K69" i="10"/>
  <c r="BW69" i="10" s="1"/>
  <c r="BN69" i="10" s="1"/>
  <c r="K68" i="10"/>
  <c r="ED68" i="10" s="1"/>
  <c r="EC68" i="10" s="1"/>
  <c r="K67" i="10"/>
  <c r="N67" i="10" s="1"/>
  <c r="K66" i="10"/>
  <c r="U66" i="10" s="1"/>
  <c r="CU63" i="10"/>
  <c r="J63" i="10"/>
  <c r="K63" i="10" s="1"/>
  <c r="BW63" i="10" s="1"/>
  <c r="J62" i="10"/>
  <c r="T62" i="10" s="1"/>
  <c r="K59" i="10"/>
  <c r="BW59" i="10" s="1"/>
  <c r="GG59" i="10"/>
  <c r="GI59" i="10"/>
  <c r="GI58" i="10" s="1"/>
  <c r="GC59" i="10"/>
  <c r="GE59" i="10"/>
  <c r="GE58" i="10" s="1"/>
  <c r="K56" i="10"/>
  <c r="BW56" i="10" s="1"/>
  <c r="GG56" i="10"/>
  <c r="GI56" i="10"/>
  <c r="GC56" i="10"/>
  <c r="GE56" i="10"/>
  <c r="FW56" i="10" s="1"/>
  <c r="K55" i="10"/>
  <c r="BW55" i="10" s="1"/>
  <c r="CK55" i="10" s="1"/>
  <c r="GG55" i="10"/>
  <c r="GI55" i="10"/>
  <c r="GC55" i="10"/>
  <c r="GE55" i="10"/>
  <c r="K54" i="10"/>
  <c r="ED54" i="10" s="1"/>
  <c r="EE54" i="10" s="1"/>
  <c r="GG54" i="10"/>
  <c r="GI54" i="10"/>
  <c r="FY54" i="10" s="1"/>
  <c r="GC54" i="10"/>
  <c r="GE54" i="10"/>
  <c r="K53" i="10"/>
  <c r="U53" i="10" s="1"/>
  <c r="GG53" i="10"/>
  <c r="GI53" i="10"/>
  <c r="GC53" i="10"/>
  <c r="GE53" i="10"/>
  <c r="K50" i="10"/>
  <c r="BW50" i="10" s="1"/>
  <c r="CK50" i="10" s="1"/>
  <c r="GH50" i="10"/>
  <c r="GI50" i="10" s="1"/>
  <c r="GB50" i="10"/>
  <c r="GC50" i="10" s="1"/>
  <c r="GD50" i="10"/>
  <c r="GE50" i="10" s="1"/>
  <c r="K49" i="10"/>
  <c r="BW49" i="10" s="1"/>
  <c r="GH49" i="10"/>
  <c r="GI49" i="10" s="1"/>
  <c r="GB49" i="10"/>
  <c r="GC49" i="10" s="1"/>
  <c r="GD49" i="10"/>
  <c r="GE49" i="10" s="1"/>
  <c r="K48" i="10"/>
  <c r="BW48" i="10" s="1"/>
  <c r="CK48" i="10" s="1"/>
  <c r="GG48" i="10"/>
  <c r="GH48" i="10"/>
  <c r="GI48" i="10" s="1"/>
  <c r="GB48" i="10"/>
  <c r="GC48" i="10"/>
  <c r="GD48" i="10"/>
  <c r="GE48" i="10" s="1"/>
  <c r="K47" i="10"/>
  <c r="BW47" i="10" s="1"/>
  <c r="BV47" i="10" s="1"/>
  <c r="GG47" i="10"/>
  <c r="GI47" i="10"/>
  <c r="GC47" i="10"/>
  <c r="GE47" i="10"/>
  <c r="K46" i="10"/>
  <c r="BW46" i="10" s="1"/>
  <c r="GG46" i="10"/>
  <c r="GE46" i="10"/>
  <c r="I46" i="10"/>
  <c r="BR46" i="10" s="1"/>
  <c r="I47" i="10"/>
  <c r="EP47" i="10" s="1"/>
  <c r="EO47" i="10" s="1"/>
  <c r="I48" i="10"/>
  <c r="BR48" i="10" s="1"/>
  <c r="CH48" i="10" s="1"/>
  <c r="I49" i="10"/>
  <c r="BR49" i="10" s="1"/>
  <c r="BQ49" i="10" s="1"/>
  <c r="I50" i="10"/>
  <c r="BR50" i="10" s="1"/>
  <c r="K43" i="10"/>
  <c r="N43" i="10" s="1"/>
  <c r="U43" i="10"/>
  <c r="GG43" i="10"/>
  <c r="GI43" i="10"/>
  <c r="GC43" i="10"/>
  <c r="GE43" i="10"/>
  <c r="K42" i="10"/>
  <c r="BW42" i="10" s="1"/>
  <c r="BV42" i="10" s="1"/>
  <c r="GG42" i="10"/>
  <c r="GI42" i="10"/>
  <c r="GC42" i="10"/>
  <c r="GE42" i="10"/>
  <c r="K41" i="10"/>
  <c r="GG41" i="10"/>
  <c r="GI41" i="10"/>
  <c r="GC41" i="10"/>
  <c r="GE41" i="10"/>
  <c r="K40" i="10"/>
  <c r="BW40" i="10" s="1"/>
  <c r="GG40" i="10"/>
  <c r="GI40" i="10"/>
  <c r="GC40" i="10"/>
  <c r="GE40" i="10"/>
  <c r="K39" i="10"/>
  <c r="N39" i="10" s="1"/>
  <c r="AD27" i="14"/>
  <c r="GG39" i="10"/>
  <c r="GI39" i="10"/>
  <c r="GC39" i="10"/>
  <c r="GE39" i="10"/>
  <c r="I39" i="10"/>
  <c r="K38" i="10"/>
  <c r="BW38" i="10" s="1"/>
  <c r="GG38" i="10"/>
  <c r="FY38" i="10" s="1"/>
  <c r="FX38" i="10" s="1"/>
  <c r="GI38" i="10"/>
  <c r="GC38" i="10"/>
  <c r="GE38" i="10"/>
  <c r="K35" i="10"/>
  <c r="BW35" i="10" s="1"/>
  <c r="CK35" i="10" s="1"/>
  <c r="GG35" i="10"/>
  <c r="GI35" i="10"/>
  <c r="GC35" i="10"/>
  <c r="GE35" i="10"/>
  <c r="K34" i="10"/>
  <c r="U34" i="10" s="1"/>
  <c r="I34" i="10"/>
  <c r="EA34" i="10" s="1"/>
  <c r="DZ34" i="10" s="1"/>
  <c r="K31" i="10"/>
  <c r="BW31" i="10" s="1"/>
  <c r="GG31" i="10"/>
  <c r="GI31" i="10"/>
  <c r="GC31" i="10"/>
  <c r="GE31" i="10"/>
  <c r="K30" i="10"/>
  <c r="GG30" i="10"/>
  <c r="GI30" i="10"/>
  <c r="GC30" i="10"/>
  <c r="GE30" i="10"/>
  <c r="K29" i="10"/>
  <c r="BW29" i="10" s="1"/>
  <c r="BV29" i="10" s="1"/>
  <c r="GG29" i="10"/>
  <c r="GI29" i="10"/>
  <c r="GC29" i="10"/>
  <c r="GE29" i="10"/>
  <c r="K28" i="10"/>
  <c r="BW28" i="10" s="1"/>
  <c r="GG28" i="10"/>
  <c r="GI28" i="10"/>
  <c r="GC28" i="10"/>
  <c r="GE28" i="10"/>
  <c r="K25" i="10"/>
  <c r="BW25" i="10" s="1"/>
  <c r="GG25" i="10"/>
  <c r="GI25" i="10"/>
  <c r="GC25" i="10"/>
  <c r="GE25" i="10"/>
  <c r="K24" i="10"/>
  <c r="BW24" i="10" s="1"/>
  <c r="GG24" i="10"/>
  <c r="GI24" i="10"/>
  <c r="GC24" i="10"/>
  <c r="GE24" i="10"/>
  <c r="K23" i="10"/>
  <c r="BW23" i="10" s="1"/>
  <c r="BV23" i="10" s="1"/>
  <c r="CJ23" i="10" s="1"/>
  <c r="GG23" i="10"/>
  <c r="GI23" i="10"/>
  <c r="GC23" i="10"/>
  <c r="GE23" i="10"/>
  <c r="K22" i="10"/>
  <c r="BW22" i="10" s="1"/>
  <c r="GG22" i="10"/>
  <c r="GI22" i="10"/>
  <c r="FY22" i="10" s="1"/>
  <c r="GC22" i="10"/>
  <c r="FW22" i="10" s="1"/>
  <c r="EL13" i="11" s="1"/>
  <c r="GE22" i="10"/>
  <c r="K21" i="10"/>
  <c r="BW21" i="10" s="1"/>
  <c r="GG21" i="10"/>
  <c r="FY21" i="10" s="1"/>
  <c r="GI21" i="10"/>
  <c r="GC21" i="10"/>
  <c r="GE21" i="10"/>
  <c r="GA21" i="10"/>
  <c r="JX48" i="14" s="1"/>
  <c r="GG20" i="10"/>
  <c r="FY20" i="10" s="1"/>
  <c r="GI20" i="10"/>
  <c r="GC20" i="10"/>
  <c r="GE20" i="10"/>
  <c r="GE63" i="10" s="1"/>
  <c r="GE62" i="10" s="1"/>
  <c r="B69" i="10"/>
  <c r="I69" i="10"/>
  <c r="BR69" i="10" s="1"/>
  <c r="B68" i="10"/>
  <c r="BB68" i="10" s="1"/>
  <c r="AY68" i="10" s="1"/>
  <c r="I68" i="10"/>
  <c r="EA68" i="10" s="1"/>
  <c r="DZ68" i="10" s="1"/>
  <c r="B67" i="10"/>
  <c r="E67" i="10" s="1"/>
  <c r="I67" i="10"/>
  <c r="S67" i="10" s="1"/>
  <c r="B66" i="10"/>
  <c r="EN66" i="10" s="1"/>
  <c r="I66" i="10"/>
  <c r="S66" i="10" s="1"/>
  <c r="CT63" i="10"/>
  <c r="B62" i="10"/>
  <c r="E62" i="10" s="1"/>
  <c r="R62" i="10"/>
  <c r="B59" i="10"/>
  <c r="X59" i="10" s="1"/>
  <c r="X58" i="10" s="1"/>
  <c r="I59" i="10"/>
  <c r="BR59" i="10" s="1"/>
  <c r="B56" i="10"/>
  <c r="W56" i="10" s="1"/>
  <c r="I56" i="10"/>
  <c r="BR56" i="10" s="1"/>
  <c r="B55" i="10"/>
  <c r="BC55" i="10" s="1"/>
  <c r="I55" i="10"/>
  <c r="BR55" i="10" s="1"/>
  <c r="B54" i="10"/>
  <c r="E54" i="10" s="1"/>
  <c r="I54" i="10"/>
  <c r="M54" i="10" s="1"/>
  <c r="B53" i="10"/>
  <c r="AB53" i="10" s="1"/>
  <c r="I53" i="10"/>
  <c r="M53" i="10" s="1"/>
  <c r="B50" i="10"/>
  <c r="B49" i="10"/>
  <c r="CS49" i="10" s="1"/>
  <c r="B48" i="10"/>
  <c r="AC48" i="10" s="1"/>
  <c r="B47" i="10"/>
  <c r="BB47" i="10" s="1"/>
  <c r="AY47" i="10" s="1"/>
  <c r="E47" i="10"/>
  <c r="B46" i="10"/>
  <c r="B43" i="10"/>
  <c r="EN43" i="10" s="1"/>
  <c r="I43" i="10"/>
  <c r="B42" i="10"/>
  <c r="E42" i="10" s="1"/>
  <c r="I42" i="10"/>
  <c r="BR42" i="10" s="1"/>
  <c r="B41" i="10"/>
  <c r="E41" i="10" s="1"/>
  <c r="I41" i="10"/>
  <c r="B40" i="10"/>
  <c r="CS40" i="10" s="1"/>
  <c r="I40" i="10"/>
  <c r="BR40" i="10" s="1"/>
  <c r="B39" i="10"/>
  <c r="BB39" i="10" s="1"/>
  <c r="AY39" i="10" s="1"/>
  <c r="B38" i="10"/>
  <c r="CS38" i="10" s="1"/>
  <c r="I38" i="10"/>
  <c r="BR38" i="10" s="1"/>
  <c r="B35" i="10"/>
  <c r="EN35" i="10" s="1"/>
  <c r="I35" i="10"/>
  <c r="M35" i="10" s="1"/>
  <c r="AC22" i="14" s="1"/>
  <c r="B34" i="10"/>
  <c r="BC34" i="10" s="1"/>
  <c r="B31" i="10"/>
  <c r="EN31" i="10" s="1"/>
  <c r="I31" i="10"/>
  <c r="BR31" i="10" s="1"/>
  <c r="B30" i="10"/>
  <c r="CS30" i="10" s="1"/>
  <c r="I30" i="10"/>
  <c r="BR30" i="10" s="1"/>
  <c r="CH30" i="10" s="1"/>
  <c r="B29" i="10"/>
  <c r="EN29" i="10" s="1"/>
  <c r="I29" i="10"/>
  <c r="EA29" i="10" s="1"/>
  <c r="B28" i="10"/>
  <c r="BC28" i="10" s="1"/>
  <c r="I28" i="10"/>
  <c r="BR28" i="10" s="1"/>
  <c r="B25" i="10"/>
  <c r="AE25" i="10" s="1"/>
  <c r="I25" i="10"/>
  <c r="BR25" i="10" s="1"/>
  <c r="B24" i="10"/>
  <c r="CS24" i="10" s="1"/>
  <c r="I24" i="10"/>
  <c r="BR24" i="10" s="1"/>
  <c r="B23" i="10"/>
  <c r="BC23" i="10" s="1"/>
  <c r="AZ23" i="10" s="1"/>
  <c r="I23" i="10"/>
  <c r="S23" i="10" s="1"/>
  <c r="B22" i="10"/>
  <c r="Y22" i="10" s="1"/>
  <c r="I22" i="10"/>
  <c r="EA22" i="10" s="1"/>
  <c r="B21" i="10"/>
  <c r="BC21" i="10" s="1"/>
  <c r="AZ21" i="10" s="1"/>
  <c r="I21" i="10"/>
  <c r="BR21" i="10" s="1"/>
  <c r="B20" i="10"/>
  <c r="EN20" i="10" s="1"/>
  <c r="C75" i="10"/>
  <c r="EG12" i="10"/>
  <c r="CE12" i="10"/>
  <c r="CN12" i="10" s="1"/>
  <c r="CE11" i="10"/>
  <c r="CN11" i="10" s="1"/>
  <c r="BO12" i="10"/>
  <c r="BM12" i="10" s="1"/>
  <c r="BA12" i="10"/>
  <c r="BA11" i="10"/>
  <c r="C65" i="10"/>
  <c r="CT65" i="10" s="1"/>
  <c r="D65" i="10"/>
  <c r="BH65" i="10" s="1"/>
  <c r="D52" i="10"/>
  <c r="BI52" i="10" s="1"/>
  <c r="D45" i="10"/>
  <c r="BH45" i="10" s="1"/>
  <c r="D37" i="10"/>
  <c r="BI37" i="10"/>
  <c r="D33" i="10"/>
  <c r="D27" i="10"/>
  <c r="BI27" i="10" s="1"/>
  <c r="D19" i="10"/>
  <c r="EX19" i="10" s="1"/>
  <c r="D58" i="10"/>
  <c r="CU58" i="10"/>
  <c r="I63" i="10"/>
  <c r="BR63" i="10" s="1"/>
  <c r="I62" i="10"/>
  <c r="BR62" i="10" s="1"/>
  <c r="C52" i="10"/>
  <c r="BF52" i="10" s="1"/>
  <c r="C45" i="10"/>
  <c r="C37" i="10"/>
  <c r="CT37" i="10" s="1"/>
  <c r="EQ37" i="10"/>
  <c r="C33" i="10"/>
  <c r="EQ33" i="10" s="1"/>
  <c r="C27" i="10"/>
  <c r="BF27" i="10" s="1"/>
  <c r="C19" i="10"/>
  <c r="C58" i="10"/>
  <c r="CT58" i="10"/>
  <c r="CS79" i="10"/>
  <c r="CS78" i="10"/>
  <c r="CS77" i="10"/>
  <c r="CS76" i="10"/>
  <c r="EG11" i="10"/>
  <c r="GM12" i="11"/>
  <c r="GM13" i="11"/>
  <c r="GM14" i="11"/>
  <c r="GM17" i="11"/>
  <c r="GM18" i="11"/>
  <c r="GM19" i="11"/>
  <c r="GM22" i="11"/>
  <c r="GM23" i="11"/>
  <c r="GM26" i="11"/>
  <c r="GM27" i="11"/>
  <c r="GM30" i="11"/>
  <c r="GM35" i="11"/>
  <c r="GM36" i="11"/>
  <c r="GM37" i="11"/>
  <c r="GM40" i="11"/>
  <c r="GM41" i="11"/>
  <c r="GM42" i="11"/>
  <c r="GM46" i="11"/>
  <c r="GM53" i="11"/>
  <c r="GM54" i="11"/>
  <c r="GM55" i="11"/>
  <c r="AT91" i="11"/>
  <c r="AU91" i="11" s="1"/>
  <c r="AT89" i="11"/>
  <c r="AU89" i="11" s="1"/>
  <c r="BE63" i="10"/>
  <c r="BF63" i="10"/>
  <c r="BS63" i="10" s="1"/>
  <c r="BD20" i="10"/>
  <c r="BD22" i="10"/>
  <c r="BD23" i="10"/>
  <c r="BD28" i="10"/>
  <c r="BD29" i="10"/>
  <c r="BD30" i="10"/>
  <c r="BD38" i="10"/>
  <c r="BD46" i="10"/>
  <c r="BD62" i="10"/>
  <c r="BD21" i="10"/>
  <c r="BD34" i="10"/>
  <c r="BD35" i="10"/>
  <c r="BD39" i="10"/>
  <c r="BD40" i="10"/>
  <c r="BD41" i="10"/>
  <c r="BD42" i="10"/>
  <c r="BD69" i="10"/>
  <c r="M75" i="10"/>
  <c r="L75" i="10" s="1"/>
  <c r="CM30" i="11" s="1"/>
  <c r="I73" i="10"/>
  <c r="BH63" i="10"/>
  <c r="CK63" i="10" s="1"/>
  <c r="BI63" i="10"/>
  <c r="BX63" i="10" s="1"/>
  <c r="BG62" i="10"/>
  <c r="BG59" i="10"/>
  <c r="BG58" i="10" s="1"/>
  <c r="BG56" i="10"/>
  <c r="BG55" i="10"/>
  <c r="BG54" i="10"/>
  <c r="BG53" i="10"/>
  <c r="CJ53" i="10" s="1"/>
  <c r="BG50" i="10"/>
  <c r="BG49" i="10"/>
  <c r="BG48" i="10"/>
  <c r="BG47" i="10"/>
  <c r="BG46" i="10"/>
  <c r="BG43" i="10"/>
  <c r="BG42" i="10"/>
  <c r="BG41" i="10"/>
  <c r="BG40" i="10"/>
  <c r="BG39" i="10"/>
  <c r="CJ39" i="10" s="1"/>
  <c r="BG38" i="10"/>
  <c r="BG35" i="10"/>
  <c r="BG34" i="10"/>
  <c r="BG31" i="10"/>
  <c r="BG30" i="10"/>
  <c r="BG29" i="10"/>
  <c r="CJ29" i="10" s="1"/>
  <c r="BG28" i="10"/>
  <c r="BG25" i="10"/>
  <c r="BG24" i="10"/>
  <c r="BG23" i="10"/>
  <c r="BG22" i="10"/>
  <c r="BG21" i="10"/>
  <c r="BG20" i="10"/>
  <c r="BG69" i="10"/>
  <c r="BG68" i="10"/>
  <c r="BG67" i="10"/>
  <c r="CJ67" i="10" s="1"/>
  <c r="BG66" i="10"/>
  <c r="BH58" i="10"/>
  <c r="BI58" i="10"/>
  <c r="CK68" i="10"/>
  <c r="CK67" i="10"/>
  <c r="CK66" i="10"/>
  <c r="CK54" i="10"/>
  <c r="CK53" i="10"/>
  <c r="CK43" i="10"/>
  <c r="CK39" i="10"/>
  <c r="CK34" i="10"/>
  <c r="BE58" i="10"/>
  <c r="BF58" i="10"/>
  <c r="D128" i="14"/>
  <c r="Y128" i="14" s="1"/>
  <c r="D114" i="14"/>
  <c r="Y114" i="14" s="1"/>
  <c r="D109" i="14"/>
  <c r="Y109" i="14" s="1"/>
  <c r="KE121" i="14"/>
  <c r="KA121" i="14"/>
  <c r="HC20" i="10"/>
  <c r="HC22" i="10"/>
  <c r="GH13" i="11"/>
  <c r="V117" i="14"/>
  <c r="X117" i="14" s="1"/>
  <c r="HC34" i="10"/>
  <c r="NV21" i="14" s="1"/>
  <c r="V122" i="14"/>
  <c r="X122" i="14" s="1"/>
  <c r="F122" i="14" s="1"/>
  <c r="HC62" i="10"/>
  <c r="NV33" i="14" s="1"/>
  <c r="NT33" i="14"/>
  <c r="OF33" i="14"/>
  <c r="OE33" i="14"/>
  <c r="OD33" i="14"/>
  <c r="OC33" i="14"/>
  <c r="NV122" i="14"/>
  <c r="NX122" i="14" s="1"/>
  <c r="NW27" i="14"/>
  <c r="D84" i="14" s="1"/>
  <c r="U27" i="14"/>
  <c r="P27" i="14" s="1"/>
  <c r="NT27" i="14"/>
  <c r="HI67" i="10"/>
  <c r="HG67" i="10"/>
  <c r="HI68" i="10"/>
  <c r="HG68" i="10"/>
  <c r="HG66" i="10"/>
  <c r="HI66" i="10"/>
  <c r="FZ34" i="10"/>
  <c r="BD24" i="10"/>
  <c r="BD25" i="10"/>
  <c r="BD31" i="10"/>
  <c r="BD43" i="10"/>
  <c r="BD47" i="10"/>
  <c r="BD48" i="10"/>
  <c r="BD49" i="10"/>
  <c r="CG49" i="10" s="1"/>
  <c r="BD50" i="10"/>
  <c r="BD53" i="10"/>
  <c r="BD55" i="10"/>
  <c r="BD56" i="10"/>
  <c r="BD54" i="10"/>
  <c r="BD59" i="10"/>
  <c r="BD58" i="10" s="1"/>
  <c r="BD66" i="10"/>
  <c r="BD67" i="10"/>
  <c r="CG67" i="10" s="1"/>
  <c r="BD68" i="10"/>
  <c r="BD79" i="10"/>
  <c r="BA79" i="10" s="1"/>
  <c r="AX79" i="10" s="1"/>
  <c r="BD78" i="10"/>
  <c r="BA78" i="10" s="1"/>
  <c r="AX78" i="10" s="1"/>
  <c r="BD77" i="10"/>
  <c r="BA77" i="10" s="1"/>
  <c r="CH76" i="10"/>
  <c r="BD76" i="10"/>
  <c r="BA76" i="10" s="1"/>
  <c r="CH68" i="10"/>
  <c r="CH67" i="10"/>
  <c r="CH66" i="10"/>
  <c r="CH54" i="10"/>
  <c r="CH53" i="10"/>
  <c r="CH43" i="10"/>
  <c r="CH39" i="10"/>
  <c r="CH34" i="10"/>
  <c r="KA133" i="14"/>
  <c r="KA138" i="14"/>
  <c r="KA144" i="14"/>
  <c r="KA116" i="14"/>
  <c r="KA111" i="14"/>
  <c r="KA106" i="14"/>
  <c r="KA92" i="14"/>
  <c r="KA88" i="14"/>
  <c r="KA82" i="14"/>
  <c r="KA78" i="14"/>
  <c r="AN146" i="14"/>
  <c r="AN140" i="14"/>
  <c r="I91" i="11"/>
  <c r="I89" i="11"/>
  <c r="I87" i="11"/>
  <c r="I81" i="11"/>
  <c r="I77" i="11"/>
  <c r="I75" i="11"/>
  <c r="I79" i="11"/>
  <c r="GI50" i="11"/>
  <c r="GG50" i="11"/>
  <c r="D119" i="14"/>
  <c r="OA154" i="14"/>
  <c r="OF36" i="14"/>
  <c r="U36" i="14"/>
  <c r="P36" i="14" s="1"/>
  <c r="V153" i="14"/>
  <c r="C156" i="14"/>
  <c r="OE154" i="14"/>
  <c r="HI69" i="10"/>
  <c r="OE36" i="14" s="1"/>
  <c r="HG69" i="10"/>
  <c r="OC36" i="14" s="1"/>
  <c r="NV155" i="14"/>
  <c r="GH50" i="11" s="1"/>
  <c r="NV154" i="14"/>
  <c r="NW36" i="14"/>
  <c r="D153" i="14" s="1"/>
  <c r="NT36" i="14"/>
  <c r="B155" i="14" s="1"/>
  <c r="NV153" i="14"/>
  <c r="T43" i="10"/>
  <c r="R43" i="10"/>
  <c r="T69" i="10"/>
  <c r="R69" i="10"/>
  <c r="T68" i="10"/>
  <c r="R68" i="10"/>
  <c r="T67" i="10"/>
  <c r="R67" i="10"/>
  <c r="T66" i="10"/>
  <c r="R66" i="10"/>
  <c r="T59" i="10"/>
  <c r="R59" i="10"/>
  <c r="T54" i="10"/>
  <c r="R54" i="10"/>
  <c r="T56" i="10"/>
  <c r="O56" i="10" s="1"/>
  <c r="R56" i="10"/>
  <c r="T55" i="10"/>
  <c r="R55" i="10"/>
  <c r="T53" i="10"/>
  <c r="O53" i="10" s="1"/>
  <c r="R53" i="10"/>
  <c r="T50" i="10"/>
  <c r="R50" i="10"/>
  <c r="O50" i="10" s="1"/>
  <c r="T49" i="10"/>
  <c r="R49" i="10"/>
  <c r="T48" i="10"/>
  <c r="R48" i="10"/>
  <c r="T47" i="10"/>
  <c r="R47" i="10"/>
  <c r="T46" i="10"/>
  <c r="R46" i="10"/>
  <c r="T42" i="10"/>
  <c r="O42" i="10" s="1"/>
  <c r="F42" i="10" s="1"/>
  <c r="R42" i="10"/>
  <c r="T41" i="10"/>
  <c r="R41" i="10"/>
  <c r="T40" i="10"/>
  <c r="R40" i="10"/>
  <c r="T39" i="10"/>
  <c r="R39" i="10"/>
  <c r="O39" i="10" s="1"/>
  <c r="F39" i="10" s="1"/>
  <c r="T38" i="10"/>
  <c r="R38" i="10"/>
  <c r="T35" i="10"/>
  <c r="R35" i="10"/>
  <c r="T34" i="10"/>
  <c r="R34" i="10"/>
  <c r="T31" i="10"/>
  <c r="R31" i="10"/>
  <c r="T30" i="10"/>
  <c r="R30" i="10"/>
  <c r="T29" i="10"/>
  <c r="R29" i="10"/>
  <c r="T28" i="10"/>
  <c r="R28" i="10"/>
  <c r="T25" i="10"/>
  <c r="R25" i="10"/>
  <c r="T24" i="10"/>
  <c r="R24" i="10"/>
  <c r="T23" i="10"/>
  <c r="R23" i="10"/>
  <c r="T22" i="10"/>
  <c r="R22" i="10"/>
  <c r="T21" i="10"/>
  <c r="R21" i="10"/>
  <c r="HG56" i="10"/>
  <c r="HE56" i="10"/>
  <c r="HC56" i="10"/>
  <c r="HG54" i="10"/>
  <c r="HE54" i="10"/>
  <c r="HC54" i="10"/>
  <c r="HG59" i="10"/>
  <c r="HG55" i="10"/>
  <c r="HG53" i="10"/>
  <c r="HI50" i="10"/>
  <c r="HG50" i="10"/>
  <c r="HE50" i="10"/>
  <c r="HC50" i="10"/>
  <c r="HI43" i="10"/>
  <c r="HG43" i="10"/>
  <c r="HE43" i="10"/>
  <c r="HC43" i="10"/>
  <c r="HI25" i="10"/>
  <c r="HG25" i="10"/>
  <c r="HE25" i="10"/>
  <c r="HC25" i="10"/>
  <c r="HI24" i="10"/>
  <c r="HG24" i="10"/>
  <c r="HE24" i="10"/>
  <c r="HC24" i="10"/>
  <c r="HI31" i="10"/>
  <c r="HG31" i="10"/>
  <c r="HE31" i="10"/>
  <c r="HC31" i="10"/>
  <c r="HC69" i="10"/>
  <c r="NV36" i="14" s="1"/>
  <c r="HC68" i="10"/>
  <c r="HC67" i="10"/>
  <c r="HC66" i="10"/>
  <c r="KE92" i="14"/>
  <c r="KE133" i="14"/>
  <c r="KE78" i="14"/>
  <c r="KE82" i="14"/>
  <c r="KE144" i="14"/>
  <c r="KE138" i="14"/>
  <c r="KE88" i="14"/>
  <c r="AN135" i="14"/>
  <c r="KE106" i="14"/>
  <c r="KE116" i="14"/>
  <c r="KE111" i="14"/>
  <c r="GG55" i="11"/>
  <c r="GG54" i="11"/>
  <c r="GG53" i="11"/>
  <c r="GG49" i="11"/>
  <c r="GG48" i="11"/>
  <c r="GG47" i="11"/>
  <c r="GG46" i="11"/>
  <c r="GG45" i="11"/>
  <c r="GG42" i="11"/>
  <c r="GG41" i="11"/>
  <c r="GG40" i="11"/>
  <c r="GG37" i="11"/>
  <c r="GG36" i="11"/>
  <c r="GG35" i="11"/>
  <c r="GL30" i="11"/>
  <c r="GG30" i="11"/>
  <c r="HC75" i="10"/>
  <c r="GH30" i="11" s="1"/>
  <c r="HC63" i="10"/>
  <c r="GH27" i="11" s="1"/>
  <c r="GL27" i="11"/>
  <c r="GG27" i="11"/>
  <c r="GL26" i="11"/>
  <c r="GG26" i="11"/>
  <c r="GK23" i="11"/>
  <c r="GG23" i="11"/>
  <c r="GK22" i="11"/>
  <c r="GG22" i="11"/>
  <c r="GK19" i="11"/>
  <c r="GG19" i="11"/>
  <c r="GK18" i="11"/>
  <c r="GG18" i="11"/>
  <c r="GK17" i="11"/>
  <c r="GG17" i="11"/>
  <c r="GK14" i="11"/>
  <c r="GG14" i="11"/>
  <c r="GK13" i="11"/>
  <c r="GG13" i="11"/>
  <c r="GK12" i="11"/>
  <c r="GG12" i="11"/>
  <c r="NV117" i="14"/>
  <c r="NX117" i="14" s="1"/>
  <c r="NV107" i="14"/>
  <c r="NX107" i="14" s="1"/>
  <c r="NV112" i="14"/>
  <c r="NX112" i="14" s="1"/>
  <c r="OC113" i="14"/>
  <c r="GL54" i="11" s="1"/>
  <c r="OC108" i="14"/>
  <c r="GL53" i="11" s="1"/>
  <c r="OC127" i="14"/>
  <c r="GL55" i="11" s="1"/>
  <c r="OC126" i="14"/>
  <c r="OA126" i="14"/>
  <c r="NV126" i="14"/>
  <c r="NX126" i="14" s="1"/>
  <c r="V126" i="14"/>
  <c r="X126" i="14" s="1"/>
  <c r="NV108" i="14"/>
  <c r="GH53" i="11" s="1"/>
  <c r="S16" i="14"/>
  <c r="C99" i="14"/>
  <c r="C65" i="14"/>
  <c r="C51" i="14"/>
  <c r="C71" i="14"/>
  <c r="C86" i="14"/>
  <c r="H79" i="11"/>
  <c r="AU87" i="11"/>
  <c r="AU81" i="11"/>
  <c r="AU79" i="11"/>
  <c r="S22" i="14"/>
  <c r="P22" i="14" s="1"/>
  <c r="S21" i="14"/>
  <c r="V63" i="14"/>
  <c r="Z63" i="14"/>
  <c r="Z68" i="14"/>
  <c r="V68" i="14"/>
  <c r="V69" i="14"/>
  <c r="OE70" i="14"/>
  <c r="OC70" i="14"/>
  <c r="GL42" i="11" s="1"/>
  <c r="NV70" i="14"/>
  <c r="GH42" i="11" s="1"/>
  <c r="OE69" i="14"/>
  <c r="OC69" i="14"/>
  <c r="GL41" i="11" s="1"/>
  <c r="NV69" i="14"/>
  <c r="GH41" i="11" s="1"/>
  <c r="OE68" i="14"/>
  <c r="OC68" i="14"/>
  <c r="OA68" i="14"/>
  <c r="NV68" i="14"/>
  <c r="OE64" i="14"/>
  <c r="OC64" i="14"/>
  <c r="GL40" i="11" s="1"/>
  <c r="NV64" i="14"/>
  <c r="GH40" i="11" s="1"/>
  <c r="OE63" i="14"/>
  <c r="OC63" i="14"/>
  <c r="OA63" i="14"/>
  <c r="NV63" i="14"/>
  <c r="OF22" i="14"/>
  <c r="OD22" i="14"/>
  <c r="NW22" i="14"/>
  <c r="D69" i="14" s="1"/>
  <c r="OF21" i="14"/>
  <c r="OD21" i="14"/>
  <c r="NT22" i="14"/>
  <c r="B70" i="14" s="1"/>
  <c r="NT21" i="14"/>
  <c r="OF17" i="14"/>
  <c r="OD17" i="14"/>
  <c r="OB17" i="14"/>
  <c r="NT17" i="14"/>
  <c r="V54" i="14"/>
  <c r="V44" i="14"/>
  <c r="V49" i="14"/>
  <c r="AA54" i="14"/>
  <c r="Z54" i="14"/>
  <c r="AA44" i="14"/>
  <c r="Z44" i="14"/>
  <c r="AA49" i="14"/>
  <c r="Z49" i="14"/>
  <c r="W40" i="14"/>
  <c r="S14" i="14"/>
  <c r="V97" i="14"/>
  <c r="V93" i="14"/>
  <c r="V89" i="14"/>
  <c r="V83" i="14"/>
  <c r="S15" i="14"/>
  <c r="P15" i="14" s="1"/>
  <c r="OF16" i="14"/>
  <c r="OD16" i="14"/>
  <c r="OB16" i="14"/>
  <c r="NT16" i="14"/>
  <c r="B54" i="14" s="1"/>
  <c r="OF15" i="14"/>
  <c r="OD15" i="14"/>
  <c r="OB15" i="14"/>
  <c r="NW15" i="14"/>
  <c r="D49" i="14" s="1"/>
  <c r="NT15" i="14"/>
  <c r="B49" i="14" s="1"/>
  <c r="OF14" i="14"/>
  <c r="OD14" i="14"/>
  <c r="OB14" i="14"/>
  <c r="OE46" i="14"/>
  <c r="OC46" i="14"/>
  <c r="OA46" i="14"/>
  <c r="NV46" i="14"/>
  <c r="OE45" i="14"/>
  <c r="OC45" i="14"/>
  <c r="GL35" i="11" s="1"/>
  <c r="NV45" i="14"/>
  <c r="GH35" i="11" s="1"/>
  <c r="OE44" i="14"/>
  <c r="OC44" i="14"/>
  <c r="OA44" i="14"/>
  <c r="NV44" i="14"/>
  <c r="OE50" i="14"/>
  <c r="OC50" i="14"/>
  <c r="GL36" i="11" s="1"/>
  <c r="NV50" i="14"/>
  <c r="GH36" i="11" s="1"/>
  <c r="OE49" i="14"/>
  <c r="OC49" i="14"/>
  <c r="OA49" i="14"/>
  <c r="NV49" i="14"/>
  <c r="OE55" i="14"/>
  <c r="OC55" i="14"/>
  <c r="GL37" i="11" s="1"/>
  <c r="NV55" i="14"/>
  <c r="GH37" i="11" s="1"/>
  <c r="OE54" i="14"/>
  <c r="OC54" i="14"/>
  <c r="OA54" i="14"/>
  <c r="NV54" i="14"/>
  <c r="HI35" i="10"/>
  <c r="OE22" i="14" s="1"/>
  <c r="HG35" i="10"/>
  <c r="OC22" i="14" s="1"/>
  <c r="HC35" i="10"/>
  <c r="NV22" i="14" s="1"/>
  <c r="HE59" i="10"/>
  <c r="HC59" i="10"/>
  <c r="HE55" i="10"/>
  <c r="HC55" i="10"/>
  <c r="HE53" i="10"/>
  <c r="HC53" i="10"/>
  <c r="HI48" i="10"/>
  <c r="HG48" i="10"/>
  <c r="HE48" i="10"/>
  <c r="HC48" i="10"/>
  <c r="HI49" i="10"/>
  <c r="HG49" i="10"/>
  <c r="HE49" i="10"/>
  <c r="HC49" i="10"/>
  <c r="HI47" i="10"/>
  <c r="HG47" i="10"/>
  <c r="HE47" i="10"/>
  <c r="HC47" i="10"/>
  <c r="HI46" i="10"/>
  <c r="HG46" i="10"/>
  <c r="GL23" i="11" s="1"/>
  <c r="HE46" i="10"/>
  <c r="GJ23" i="11" s="1"/>
  <c r="HC46" i="10"/>
  <c r="GH23" i="11" s="1"/>
  <c r="HI34" i="10"/>
  <c r="OE21" i="14" s="1"/>
  <c r="HG34" i="10"/>
  <c r="OC21" i="14" s="1"/>
  <c r="HI30" i="10"/>
  <c r="HG30" i="10"/>
  <c r="GL19" i="11" s="1"/>
  <c r="HE30" i="10"/>
  <c r="GJ19" i="11" s="1"/>
  <c r="HC30" i="10"/>
  <c r="GH19" i="11" s="1"/>
  <c r="HI29" i="10"/>
  <c r="HG29" i="10"/>
  <c r="GL18" i="11" s="1"/>
  <c r="HE29" i="10"/>
  <c r="GJ18" i="11" s="1"/>
  <c r="HC29" i="10"/>
  <c r="GH18" i="11" s="1"/>
  <c r="HI28" i="10"/>
  <c r="HG28" i="10"/>
  <c r="GL17" i="11" s="1"/>
  <c r="HE28" i="10"/>
  <c r="GJ17" i="11" s="1"/>
  <c r="HC28" i="10"/>
  <c r="GH17" i="11" s="1"/>
  <c r="HI20" i="10"/>
  <c r="OE14" i="14" s="1"/>
  <c r="HI23" i="10"/>
  <c r="OE17" i="14" s="1"/>
  <c r="HI22" i="10"/>
  <c r="OE16" i="14" s="1"/>
  <c r="HI21" i="10"/>
  <c r="OE15" i="14" s="1"/>
  <c r="HG20" i="10"/>
  <c r="GL12" i="11" s="1"/>
  <c r="HG23" i="10"/>
  <c r="GL14" i="11" s="1"/>
  <c r="HG22" i="10"/>
  <c r="HG21" i="10"/>
  <c r="OC15" i="14" s="1"/>
  <c r="HC21" i="10"/>
  <c r="NV15" i="14" s="1"/>
  <c r="HC23" i="10"/>
  <c r="NV17" i="14" s="1"/>
  <c r="HE23" i="10"/>
  <c r="OA17" i="14" s="1"/>
  <c r="HE22" i="10"/>
  <c r="HE21" i="10"/>
  <c r="OA15" i="14" s="1"/>
  <c r="HE20" i="10"/>
  <c r="GJ12" i="11" s="1"/>
  <c r="V79" i="14"/>
  <c r="Z97" i="14"/>
  <c r="Z93" i="14"/>
  <c r="Z89" i="14"/>
  <c r="Z83" i="14"/>
  <c r="Z79" i="14"/>
  <c r="U30" i="14"/>
  <c r="P30" i="14" s="1"/>
  <c r="U29" i="14"/>
  <c r="P29" i="14" s="1"/>
  <c r="U28" i="14"/>
  <c r="P28" i="14" s="1"/>
  <c r="U26" i="14"/>
  <c r="P26" i="14" s="1"/>
  <c r="NV98" i="14"/>
  <c r="GH49" i="11" s="1"/>
  <c r="OE97" i="14"/>
  <c r="OC97" i="14"/>
  <c r="OA97" i="14"/>
  <c r="NV97" i="14"/>
  <c r="NV94" i="14"/>
  <c r="GH48" i="11" s="1"/>
  <c r="OE93" i="14"/>
  <c r="OC93" i="14"/>
  <c r="OA93" i="14"/>
  <c r="NV93" i="14"/>
  <c r="NV90" i="14"/>
  <c r="GH47" i="11" s="1"/>
  <c r="OE89" i="14"/>
  <c r="OC89" i="14"/>
  <c r="OA89" i="14"/>
  <c r="NV89" i="14"/>
  <c r="OC85" i="14"/>
  <c r="GL46" i="11" s="1"/>
  <c r="NV85" i="14"/>
  <c r="GH46" i="11" s="1"/>
  <c r="OE84" i="14"/>
  <c r="OC84" i="14"/>
  <c r="OA84" i="14"/>
  <c r="NV84" i="14"/>
  <c r="OE83" i="14"/>
  <c r="OC83" i="14"/>
  <c r="OA83" i="14"/>
  <c r="NV83" i="14"/>
  <c r="OD27" i="14"/>
  <c r="OF27" i="14"/>
  <c r="NT28" i="14"/>
  <c r="NW28" i="14"/>
  <c r="D90" i="14" s="1"/>
  <c r="OB28" i="14"/>
  <c r="OF28" i="14"/>
  <c r="NT30" i="14"/>
  <c r="NW30" i="14"/>
  <c r="D98" i="14" s="1"/>
  <c r="OB30" i="14"/>
  <c r="OF30" i="14"/>
  <c r="NT29" i="14"/>
  <c r="NW29" i="14"/>
  <c r="D93" i="14" s="1"/>
  <c r="OB29" i="14"/>
  <c r="OF29" i="14"/>
  <c r="HI39" i="10"/>
  <c r="OE27" i="14" s="1"/>
  <c r="HG39" i="10"/>
  <c r="OC27" i="14" s="1"/>
  <c r="HC39" i="10"/>
  <c r="NV27" i="14" s="1"/>
  <c r="HI41" i="10"/>
  <c r="OE29" i="14" s="1"/>
  <c r="HG41" i="10"/>
  <c r="OC29" i="14" s="1"/>
  <c r="HE41" i="10"/>
  <c r="OA29" i="14" s="1"/>
  <c r="HC41" i="10"/>
  <c r="NV29" i="14" s="1"/>
  <c r="HI42" i="10"/>
  <c r="OE30" i="14" s="1"/>
  <c r="HG42" i="10"/>
  <c r="OC30" i="14" s="1"/>
  <c r="HE42" i="10"/>
  <c r="OA30" i="14" s="1"/>
  <c r="HC42" i="10"/>
  <c r="NV30" i="14" s="1"/>
  <c r="HI40" i="10"/>
  <c r="OE28" i="14" s="1"/>
  <c r="HG40" i="10"/>
  <c r="OC28" i="14" s="1"/>
  <c r="HE40" i="10"/>
  <c r="OA28" i="14" s="1"/>
  <c r="HC40" i="10"/>
  <c r="NV28" i="14" s="1"/>
  <c r="NV80" i="14"/>
  <c r="GH45" i="11" s="1"/>
  <c r="OE79" i="14"/>
  <c r="OC79" i="14"/>
  <c r="OA79" i="14"/>
  <c r="NV79" i="14"/>
  <c r="OF26" i="14"/>
  <c r="OB26" i="14"/>
  <c r="NW26" i="14"/>
  <c r="NT26" i="14"/>
  <c r="B79" i="14" s="1"/>
  <c r="HC38" i="10"/>
  <c r="NV26" i="14" s="1"/>
  <c r="HE38" i="10"/>
  <c r="HG38" i="10"/>
  <c r="OC26" i="14" s="1"/>
  <c r="HI38" i="10"/>
  <c r="OE26" i="14" s="1"/>
  <c r="DC77" i="11"/>
  <c r="DC75" i="11"/>
  <c r="DG91" i="11"/>
  <c r="CY91" i="11" s="1"/>
  <c r="DC89" i="11"/>
  <c r="CY89" i="11" s="1"/>
  <c r="DC87" i="11"/>
  <c r="CY87" i="11" s="1"/>
  <c r="CY81" i="11"/>
  <c r="GM101" i="11"/>
  <c r="GM100" i="11"/>
  <c r="GM99" i="11"/>
  <c r="GM98" i="11"/>
  <c r="GM97" i="11"/>
  <c r="GM96" i="11"/>
  <c r="GM95" i="11"/>
  <c r="GK101" i="11"/>
  <c r="GK100" i="11"/>
  <c r="GK99" i="11"/>
  <c r="GK98" i="11"/>
  <c r="GK97" i="11"/>
  <c r="GK96" i="11"/>
  <c r="GK95" i="11"/>
  <c r="BB42" i="10"/>
  <c r="AY42" i="10" s="1"/>
  <c r="U31" i="10"/>
  <c r="M34" i="10"/>
  <c r="AC21" i="14" s="1"/>
  <c r="JZ138" i="14"/>
  <c r="E20" i="10"/>
  <c r="V154" i="14"/>
  <c r="ED50" i="10"/>
  <c r="EC50" i="10" s="1"/>
  <c r="BB20" i="10"/>
  <c r="ED28" i="10"/>
  <c r="EC28" i="10" s="1"/>
  <c r="N31" i="10"/>
  <c r="EA50" i="10"/>
  <c r="EB50" i="10" s="1"/>
  <c r="S50" i="10"/>
  <c r="D64" i="14"/>
  <c r="U40" i="10"/>
  <c r="FW75" i="10"/>
  <c r="FV75" i="10" s="1"/>
  <c r="N55" i="10"/>
  <c r="M42" i="10"/>
  <c r="AC30" i="14" s="1"/>
  <c r="S42" i="10"/>
  <c r="E22" i="10"/>
  <c r="EN49" i="10"/>
  <c r="EN22" i="10"/>
  <c r="E49" i="10"/>
  <c r="BC22" i="10"/>
  <c r="AZ22" i="10" s="1"/>
  <c r="N54" i="10"/>
  <c r="U54" i="10"/>
  <c r="AA50" i="14"/>
  <c r="Y50" i="14"/>
  <c r="AK49" i="14" s="1"/>
  <c r="JO106" i="14"/>
  <c r="J141" i="14"/>
  <c r="JO125" i="14"/>
  <c r="EA54" i="10"/>
  <c r="S40" i="10"/>
  <c r="EA25" i="10"/>
  <c r="DZ25" i="10" s="1"/>
  <c r="EA40" i="10"/>
  <c r="EB40" i="10" s="1"/>
  <c r="BC54" i="10"/>
  <c r="AZ54" i="10" s="1"/>
  <c r="CS68" i="10"/>
  <c r="CS54" i="10"/>
  <c r="BB54" i="10"/>
  <c r="CS28" i="10"/>
  <c r="BB28" i="10"/>
  <c r="U24" i="10"/>
  <c r="ED43" i="10"/>
  <c r="M63" i="10"/>
  <c r="CI63" i="10"/>
  <c r="EA66" i="10"/>
  <c r="DZ66" i="10" s="1"/>
  <c r="CK40" i="10"/>
  <c r="ED35" i="10"/>
  <c r="FD22" i="14" s="1"/>
  <c r="DH64" i="11"/>
  <c r="DA79" i="11"/>
  <c r="FM79" i="11" s="1"/>
  <c r="EV79" i="11" s="1"/>
  <c r="FL79" i="11" s="1"/>
  <c r="DG64" i="11"/>
  <c r="CZ81" i="11"/>
  <c r="CY75" i="11"/>
  <c r="CY67" i="11" s="1"/>
  <c r="DA75" i="11"/>
  <c r="CX67" i="11"/>
  <c r="CS42" i="10"/>
  <c r="Y85" i="14"/>
  <c r="FY79" i="11"/>
  <c r="EZ79" i="11" s="1"/>
  <c r="DA72" i="11"/>
  <c r="DI62" i="11"/>
  <c r="CX68" i="11"/>
  <c r="IQ121" i="14"/>
  <c r="Y84" i="14"/>
  <c r="Z84" i="14"/>
  <c r="V84" i="14"/>
  <c r="IR78" i="14"/>
  <c r="JO78" i="14"/>
  <c r="D41" i="11"/>
  <c r="CH62" i="10"/>
  <c r="BB25" i="10"/>
  <c r="AY25" i="10" s="1"/>
  <c r="S62" i="10"/>
  <c r="EQ52" i="10"/>
  <c r="EN25" i="10"/>
  <c r="M28" i="10"/>
  <c r="CS53" i="10"/>
  <c r="ED59" i="10"/>
  <c r="EC59" i="10" s="1"/>
  <c r="OC17" i="14"/>
  <c r="ED30" i="10"/>
  <c r="EE30" i="10" s="1"/>
  <c r="NV16" i="14"/>
  <c r="CK59" i="10"/>
  <c r="U59" i="10"/>
  <c r="U58" i="10" s="1"/>
  <c r="K58" i="10" s="1"/>
  <c r="CS22" i="10"/>
  <c r="BC42" i="10"/>
  <c r="AZ42" i="10" s="1"/>
  <c r="BO62" i="10"/>
  <c r="BL62" i="10" s="1"/>
  <c r="O43" i="10"/>
  <c r="F43" i="10" s="1"/>
  <c r="BB62" i="10"/>
  <c r="AY62" i="10" s="1"/>
  <c r="C63" i="10"/>
  <c r="R63" i="10" s="1"/>
  <c r="B61" i="10"/>
  <c r="D63" i="10"/>
  <c r="U63" i="10" s="1"/>
  <c r="BE52" i="10"/>
  <c r="BC62" i="10"/>
  <c r="AZ62" i="10" s="1"/>
  <c r="CR11" i="10"/>
  <c r="EH11" i="10" s="1"/>
  <c r="EN62" i="10"/>
  <c r="CF11" i="10"/>
  <c r="CS62" i="10"/>
  <c r="EA31" i="10"/>
  <c r="CR12" i="10"/>
  <c r="S34" i="10"/>
  <c r="FY67" i="10"/>
  <c r="FX67" i="10" s="1"/>
  <c r="M24" i="10"/>
  <c r="E35" i="10"/>
  <c r="ED56" i="10"/>
  <c r="EC56" i="10" s="1"/>
  <c r="U21" i="10"/>
  <c r="FY46" i="10"/>
  <c r="FX46" i="10" s="1"/>
  <c r="BC35" i="10"/>
  <c r="AZ35" i="10" s="1"/>
  <c r="BN66" i="10"/>
  <c r="BK66" i="10" s="1"/>
  <c r="CS66" i="10"/>
  <c r="CH77" i="10"/>
  <c r="S38" i="10"/>
  <c r="ED53" i="10"/>
  <c r="CS35" i="10"/>
  <c r="U56" i="10"/>
  <c r="EA46" i="10"/>
  <c r="DZ46" i="10" s="1"/>
  <c r="M46" i="10"/>
  <c r="CK25" i="10"/>
  <c r="N25" i="10"/>
  <c r="ED25" i="10"/>
  <c r="EE25" i="10" s="1"/>
  <c r="U25" i="10"/>
  <c r="CK38" i="10"/>
  <c r="N38" i="10"/>
  <c r="AD26" i="14" s="1"/>
  <c r="M134" i="14" s="1"/>
  <c r="N41" i="10"/>
  <c r="AD29" i="14" s="1"/>
  <c r="S69" i="10"/>
  <c r="U22" i="10"/>
  <c r="N22" i="10"/>
  <c r="AD16" i="14" s="1"/>
  <c r="S39" i="10"/>
  <c r="M41" i="10"/>
  <c r="AC29" i="14" s="1"/>
  <c r="BB69" i="10"/>
  <c r="AY69" i="10" s="1"/>
  <c r="CS69" i="10"/>
  <c r="BC69" i="10"/>
  <c r="EN69" i="10"/>
  <c r="E69" i="10"/>
  <c r="S29" i="10"/>
  <c r="M56" i="10"/>
  <c r="CK22" i="10"/>
  <c r="EA56" i="10"/>
  <c r="DZ56" i="10" s="1"/>
  <c r="CT75" i="10"/>
  <c r="I78" i="10" s="1"/>
  <c r="O38" i="10"/>
  <c r="FY23" i="10"/>
  <c r="FX23" i="10" s="1"/>
  <c r="GI63" i="10"/>
  <c r="GI62" i="10" s="1"/>
  <c r="N63" i="10"/>
  <c r="S53" i="10"/>
  <c r="P53" i="10" s="1"/>
  <c r="G53" i="10" s="1"/>
  <c r="L53" i="10" s="1"/>
  <c r="FW42" i="10"/>
  <c r="E28" i="10"/>
  <c r="M20" i="10"/>
  <c r="AC14" i="14" s="1"/>
  <c r="BB48" i="10"/>
  <c r="EN28" i="10"/>
  <c r="FW40" i="10"/>
  <c r="JU88" i="14" s="1"/>
  <c r="BB41" i="10"/>
  <c r="AY41" i="10" s="1"/>
  <c r="EN41" i="10"/>
  <c r="CH42" i="10"/>
  <c r="CH28" i="10"/>
  <c r="N47" i="10"/>
  <c r="EB22" i="10"/>
  <c r="FC21" i="14"/>
  <c r="EW35" i="10"/>
  <c r="GW22" i="14" s="1"/>
  <c r="E56" i="10"/>
  <c r="CH63" i="10"/>
  <c r="BC29" i="10"/>
  <c r="AZ29" i="10" s="1"/>
  <c r="E29" i="10"/>
  <c r="N69" i="10"/>
  <c r="AD36" i="14" s="1"/>
  <c r="BN25" i="10"/>
  <c r="BK25" i="10" s="1"/>
  <c r="K62" i="10"/>
  <c r="ED62" i="10" s="1"/>
  <c r="FD33" i="14" s="1"/>
  <c r="EW59" i="10"/>
  <c r="EV59" i="10"/>
  <c r="EW53" i="10"/>
  <c r="EV53" i="10" s="1"/>
  <c r="ED69" i="10"/>
  <c r="EC69" i="10" s="1"/>
  <c r="EN47" i="10"/>
  <c r="F56" i="10"/>
  <c r="EP56" i="10"/>
  <c r="EO56" i="10" s="1"/>
  <c r="BB29" i="10"/>
  <c r="CS39" i="10"/>
  <c r="ED24" i="10"/>
  <c r="EE24" i="10" s="1"/>
  <c r="EP54" i="10"/>
  <c r="EO54" i="10" s="1"/>
  <c r="FC28" i="14"/>
  <c r="EP28" i="10"/>
  <c r="EO28" i="10" s="1"/>
  <c r="S25" i="10"/>
  <c r="EP25" i="10"/>
  <c r="EO25" i="10" s="1"/>
  <c r="BB66" i="10"/>
  <c r="AY66" i="10" s="1"/>
  <c r="FW31" i="10"/>
  <c r="FV31" i="10" s="1"/>
  <c r="ED46" i="10"/>
  <c r="EC46" i="10" s="1"/>
  <c r="CK46" i="10"/>
  <c r="EA20" i="10"/>
  <c r="FC14" i="14" s="1"/>
  <c r="S20" i="10"/>
  <c r="FY43" i="10"/>
  <c r="FX43" i="10" s="1"/>
  <c r="I79" i="10"/>
  <c r="EA79" i="10" s="1"/>
  <c r="DP79" i="10" s="1"/>
  <c r="EC54" i="10"/>
  <c r="I77" i="10"/>
  <c r="EA77" i="10" s="1"/>
  <c r="EA55" i="10"/>
  <c r="EB55" i="10" s="1"/>
  <c r="S55" i="10"/>
  <c r="GC58" i="10"/>
  <c r="EE28" i="10"/>
  <c r="DZ22" i="10"/>
  <c r="FC16" i="14"/>
  <c r="U38" i="10"/>
  <c r="ED38" i="10"/>
  <c r="EC38" i="10" s="1"/>
  <c r="ED47" i="10"/>
  <c r="EE47" i="10" s="1"/>
  <c r="EW47" i="10"/>
  <c r="EV47" i="10" s="1"/>
  <c r="GG58" i="10"/>
  <c r="GH14" i="11"/>
  <c r="M39" i="10"/>
  <c r="AC27" i="14" s="1"/>
  <c r="EA39" i="10"/>
  <c r="DZ39" i="10" s="1"/>
  <c r="EA62" i="10"/>
  <c r="FC33" i="14" s="1"/>
  <c r="BC39" i="10"/>
  <c r="AZ39" i="10" s="1"/>
  <c r="BN39" i="10"/>
  <c r="BK39" i="10" s="1"/>
  <c r="CS56" i="10"/>
  <c r="BC56" i="10"/>
  <c r="AZ56" i="10" s="1"/>
  <c r="EN56" i="10"/>
  <c r="BN56" i="10"/>
  <c r="BK56" i="10" s="1"/>
  <c r="FY49" i="10"/>
  <c r="GH12" i="11"/>
  <c r="NV14" i="14"/>
  <c r="CS48" i="10"/>
  <c r="BC48" i="10"/>
  <c r="BA48" i="10" s="1"/>
  <c r="AX48" i="10" s="1"/>
  <c r="U41" i="10"/>
  <c r="EE50" i="10"/>
  <c r="EN40" i="10"/>
  <c r="BB40" i="10"/>
  <c r="AY40" i="10" s="1"/>
  <c r="E40" i="10"/>
  <c r="M69" i="10"/>
  <c r="AC36" i="14" s="1"/>
  <c r="EA69" i="10"/>
  <c r="DZ69" i="10" s="1"/>
  <c r="N29" i="10"/>
  <c r="ED29" i="10"/>
  <c r="EE29" i="10" s="1"/>
  <c r="CK29" i="10"/>
  <c r="M48" i="10"/>
  <c r="CH31" i="10"/>
  <c r="FW30" i="10"/>
  <c r="EL19" i="11" s="1"/>
  <c r="FY39" i="10"/>
  <c r="FX39" i="10" s="1"/>
  <c r="ED49" i="10"/>
  <c r="EC49" i="10" s="1"/>
  <c r="U49" i="10"/>
  <c r="N49" i="10"/>
  <c r="CK49" i="10"/>
  <c r="BC50" i="10"/>
  <c r="AZ50" i="10" s="1"/>
  <c r="EN50" i="10"/>
  <c r="E50" i="10"/>
  <c r="BD63" i="10"/>
  <c r="EW49" i="10"/>
  <c r="EV49" i="10" s="1"/>
  <c r="CH50" i="10"/>
  <c r="CH25" i="10"/>
  <c r="M66" i="10"/>
  <c r="FY56" i="10"/>
  <c r="FX56" i="10" s="1"/>
  <c r="BN46" i="10"/>
  <c r="BK46" i="10" s="1"/>
  <c r="CH46" i="10"/>
  <c r="EA63" i="10"/>
  <c r="DZ63" i="10" s="1"/>
  <c r="FB20" i="10"/>
  <c r="FA63" i="10"/>
  <c r="CK28" i="10"/>
  <c r="BN54" i="10"/>
  <c r="CE54" i="10" s="1"/>
  <c r="EN54" i="10"/>
  <c r="M38" i="10"/>
  <c r="AC26" i="14" s="1"/>
  <c r="EA38" i="10"/>
  <c r="EB38" i="10" s="1"/>
  <c r="EA67" i="10"/>
  <c r="DZ67" i="10"/>
  <c r="M67" i="10"/>
  <c r="FY42" i="10"/>
  <c r="CF12" i="10"/>
  <c r="EN46" i="10"/>
  <c r="BC46" i="10"/>
  <c r="AZ46" i="10" s="1"/>
  <c r="B45" i="10"/>
  <c r="BB46" i="10"/>
  <c r="BB55" i="10"/>
  <c r="AY55" i="10" s="1"/>
  <c r="CS55" i="10"/>
  <c r="FY69" i="10"/>
  <c r="FX69" i="10" s="1"/>
  <c r="B75" i="10"/>
  <c r="BE75" i="10"/>
  <c r="BB75" i="10" s="1"/>
  <c r="BF75" i="10"/>
  <c r="BC75" i="10" s="1"/>
  <c r="U28" i="10"/>
  <c r="N28" i="10"/>
  <c r="FY31" i="10"/>
  <c r="FX31" i="10" s="1"/>
  <c r="EP38" i="10"/>
  <c r="D89" i="14"/>
  <c r="M40" i="10"/>
  <c r="AC28" i="14" s="1"/>
  <c r="FY35" i="10"/>
  <c r="FX35" i="10" s="1"/>
  <c r="D61" i="10"/>
  <c r="E63" i="10"/>
  <c r="EQ19" i="10"/>
  <c r="FW53" i="10"/>
  <c r="BC41" i="10"/>
  <c r="CS41" i="10"/>
  <c r="BC25" i="10"/>
  <c r="CS25" i="10"/>
  <c r="EW46" i="10"/>
  <c r="EV46" i="10" s="1"/>
  <c r="EP29" i="10"/>
  <c r="CI76" i="10"/>
  <c r="BO76" i="10"/>
  <c r="EW28" i="10"/>
  <c r="EV28" i="10" s="1"/>
  <c r="AZ79" i="10"/>
  <c r="CH78" i="10"/>
  <c r="BN78" i="10"/>
  <c r="AZ76" i="10"/>
  <c r="BE45" i="10"/>
  <c r="EX45" i="10"/>
  <c r="OB22" i="14"/>
  <c r="HE35" i="10"/>
  <c r="OA22" i="14" s="1"/>
  <c r="D63" i="14"/>
  <c r="B93" i="14"/>
  <c r="U14" i="14"/>
  <c r="EQ27" i="10"/>
  <c r="C108" i="14"/>
  <c r="CT27" i="10"/>
  <c r="D44" i="14"/>
  <c r="BH37" i="10"/>
  <c r="D46" i="14"/>
  <c r="AY54" i="10"/>
  <c r="EX37" i="10"/>
  <c r="CI21" i="10"/>
  <c r="CI67" i="10"/>
  <c r="CI77" i="10"/>
  <c r="BO77" i="10"/>
  <c r="CI39" i="10"/>
  <c r="CI31" i="10"/>
  <c r="CI54" i="10"/>
  <c r="DD54" i="10" s="1"/>
  <c r="DE54" i="10" s="1"/>
  <c r="T44" i="18" s="1"/>
  <c r="CI43" i="10"/>
  <c r="CI78" i="10"/>
  <c r="BO78" i="10"/>
  <c r="CI48" i="10"/>
  <c r="CI23" i="10"/>
  <c r="CI49" i="10"/>
  <c r="CI50" i="10"/>
  <c r="CI29" i="10"/>
  <c r="CI53" i="10"/>
  <c r="CI20" i="10"/>
  <c r="CI55" i="10"/>
  <c r="CL53" i="10"/>
  <c r="CL28" i="10"/>
  <c r="CJ54" i="10"/>
  <c r="CL54" i="10"/>
  <c r="DH54" i="10" s="1"/>
  <c r="BO54" i="10"/>
  <c r="BL54" i="10" s="1"/>
  <c r="CL39" i="10"/>
  <c r="CL67" i="10"/>
  <c r="CL35" i="10"/>
  <c r="BO29" i="10"/>
  <c r="BL29" i="10" s="1"/>
  <c r="CL29" i="10"/>
  <c r="CL46" i="10"/>
  <c r="CL47" i="10"/>
  <c r="CL23" i="10"/>
  <c r="CL25" i="10"/>
  <c r="CL40" i="10"/>
  <c r="BO41" i="10"/>
  <c r="BL41" i="10" s="1"/>
  <c r="CL41" i="10"/>
  <c r="CL50" i="10"/>
  <c r="CL42" i="10"/>
  <c r="CL59" i="10"/>
  <c r="BI33" i="10"/>
  <c r="BH33" i="10"/>
  <c r="EX33" i="10"/>
  <c r="CU33" i="10"/>
  <c r="BG33" i="10"/>
  <c r="B83" i="14"/>
  <c r="B85" i="14"/>
  <c r="BI45" i="10"/>
  <c r="GM50" i="11"/>
  <c r="B50" i="14"/>
  <c r="CU37" i="10"/>
  <c r="B90" i="14"/>
  <c r="B89" i="14"/>
  <c r="BA25" i="10"/>
  <c r="AX25" i="10" s="1"/>
  <c r="AA90" i="14"/>
  <c r="GM47" i="11"/>
  <c r="CD11" i="10"/>
  <c r="CD12" i="10"/>
  <c r="JS82" i="14"/>
  <c r="FC36" i="14"/>
  <c r="CH69" i="10"/>
  <c r="CH55" i="10"/>
  <c r="CH49" i="10"/>
  <c r="FV30" i="10"/>
  <c r="FV53" i="10"/>
  <c r="EE49" i="10"/>
  <c r="BN40" i="10"/>
  <c r="CH40" i="10"/>
  <c r="CH21" i="10"/>
  <c r="DZ20" i="10"/>
  <c r="DZ38" i="10"/>
  <c r="JS48" i="14"/>
  <c r="IP48" i="14" s="1"/>
  <c r="FX21" i="10"/>
  <c r="JS152" i="14"/>
  <c r="FX49" i="10"/>
  <c r="EE46" i="10"/>
  <c r="CH38" i="10"/>
  <c r="EC47" i="10"/>
  <c r="CG43" i="10"/>
  <c r="CG54" i="10"/>
  <c r="DD49" i="10"/>
  <c r="CG53" i="10"/>
  <c r="DH47" i="10"/>
  <c r="CJ47" i="10"/>
  <c r="P21" i="14"/>
  <c r="BM76" i="10"/>
  <c r="BJ76" i="10" s="1"/>
  <c r="DF54" i="10"/>
  <c r="U44" i="18" s="1"/>
  <c r="S44" i="18"/>
  <c r="D155" i="50"/>
  <c r="D154" i="50"/>
  <c r="IL55" i="49"/>
  <c r="IJ55" i="49"/>
  <c r="IK38" i="49"/>
  <c r="IL38" i="49" s="1"/>
  <c r="AK30" i="49"/>
  <c r="T67" i="49"/>
  <c r="AA38" i="49"/>
  <c r="Q67" i="49"/>
  <c r="IU21" i="49"/>
  <c r="U38" i="49"/>
  <c r="F38" i="49" s="1"/>
  <c r="L38" i="49" s="1"/>
  <c r="U43" i="49"/>
  <c r="NV16" i="50"/>
  <c r="S22" i="49"/>
  <c r="AC16" i="50" s="1"/>
  <c r="BU62" i="49"/>
  <c r="BK62" i="49"/>
  <c r="S49" i="49"/>
  <c r="IK67" i="49"/>
  <c r="IJ67" i="49" s="1"/>
  <c r="IJ29" i="49"/>
  <c r="T24" i="49"/>
  <c r="AF30" i="49"/>
  <c r="KD25" i="49"/>
  <c r="KC25" i="49" s="1"/>
  <c r="AK34" i="49"/>
  <c r="KD55" i="49"/>
  <c r="AG30" i="49"/>
  <c r="AI30" i="49"/>
  <c r="DH49" i="49"/>
  <c r="Y49" i="49"/>
  <c r="GP30" i="49"/>
  <c r="IH49" i="49"/>
  <c r="II49" i="49" s="1"/>
  <c r="AE30" i="49"/>
  <c r="AJ30" i="49"/>
  <c r="T38" i="49"/>
  <c r="AD26" i="50" s="1"/>
  <c r="M134" i="50" s="1"/>
  <c r="IU30" i="49"/>
  <c r="AC30" i="49"/>
  <c r="Q24" i="49"/>
  <c r="DO24" i="49"/>
  <c r="EC24" i="49" s="1"/>
  <c r="IX52" i="49"/>
  <c r="AC31" i="49"/>
  <c r="GQ52" i="49"/>
  <c r="AD30" i="49"/>
  <c r="AJ21" i="49"/>
  <c r="AA24" i="49"/>
  <c r="AF22" i="49"/>
  <c r="H6" i="52"/>
  <c r="H7" i="52"/>
  <c r="H8" i="52"/>
  <c r="H9" i="52"/>
  <c r="H10" i="52"/>
  <c r="H11" i="52"/>
  <c r="H12" i="52"/>
  <c r="EA78" i="49"/>
  <c r="DE78" i="49"/>
  <c r="DB78" i="49" s="1"/>
  <c r="DG78" i="49"/>
  <c r="DY78" i="49" s="1"/>
  <c r="GR78" i="49" s="1"/>
  <c r="B155" i="50"/>
  <c r="T27" i="50"/>
  <c r="O27" i="50" s="1"/>
  <c r="AF62" i="49"/>
  <c r="B64" i="50"/>
  <c r="JE33" i="49"/>
  <c r="D94" i="50"/>
  <c r="GQ33" i="49"/>
  <c r="AE35" i="49"/>
  <c r="AF35" i="49"/>
  <c r="AJ35" i="49"/>
  <c r="AD35" i="49"/>
  <c r="AC35" i="49"/>
  <c r="E35" i="49"/>
  <c r="AG20" i="49"/>
  <c r="AI20" i="49"/>
  <c r="AJ20" i="49"/>
  <c r="AF54" i="49"/>
  <c r="AG22" i="49"/>
  <c r="AG39" i="49"/>
  <c r="AE39" i="49"/>
  <c r="DR25" i="49"/>
  <c r="DP25" i="49" s="1"/>
  <c r="IK40" i="49"/>
  <c r="FD28" i="50" s="1"/>
  <c r="AD31" i="49"/>
  <c r="AH31" i="49"/>
  <c r="Q28" i="49"/>
  <c r="Q49" i="49"/>
  <c r="IK49" i="49"/>
  <c r="IL49" i="49" s="1"/>
  <c r="T49" i="49"/>
  <c r="AJ54" i="49"/>
  <c r="AK31" i="49"/>
  <c r="S48" i="49"/>
  <c r="E30" i="49"/>
  <c r="C127" i="50"/>
  <c r="DZ76" i="49"/>
  <c r="DJ76" i="49"/>
  <c r="BJ76" i="49"/>
  <c r="BG76" i="49" s="1"/>
  <c r="BH76" i="49"/>
  <c r="BI75" i="49"/>
  <c r="DI76" i="49"/>
  <c r="DE76" i="49" s="1"/>
  <c r="BI76" i="49"/>
  <c r="IG49" i="49"/>
  <c r="I7" i="52"/>
  <c r="EO75" i="49" s="1"/>
  <c r="BH75" i="49"/>
  <c r="BJ75" i="49"/>
  <c r="BG75" i="49" s="1"/>
  <c r="BI20" i="49"/>
  <c r="BF20" i="49" s="1"/>
  <c r="DI20" i="49"/>
  <c r="BK69" i="10" l="1"/>
  <c r="CE69" i="10"/>
  <c r="GW16" i="14"/>
  <c r="EV22" i="10"/>
  <c r="FM89" i="11"/>
  <c r="EV89" i="11" s="1"/>
  <c r="FL89" i="11" s="1"/>
  <c r="AY89" i="11"/>
  <c r="AV89" i="11"/>
  <c r="FV89" i="11"/>
  <c r="EY89" i="11" s="1"/>
  <c r="FT89" i="11"/>
  <c r="EX89" i="11" s="1"/>
  <c r="FY89" i="11"/>
  <c r="EZ89" i="11" s="1"/>
  <c r="FD30" i="50"/>
  <c r="IL42" i="49"/>
  <c r="FT75" i="11"/>
  <c r="EX75" i="11" s="1"/>
  <c r="AY75" i="11"/>
  <c r="AV75" i="11"/>
  <c r="FY75" i="11"/>
  <c r="EZ75" i="11" s="1"/>
  <c r="FX75" i="11" s="1"/>
  <c r="FV75" i="11"/>
  <c r="EY75" i="11" s="1"/>
  <c r="FM75" i="11"/>
  <c r="EV75" i="11" s="1"/>
  <c r="EK13" i="11"/>
  <c r="FX22" i="10"/>
  <c r="JS53" i="14"/>
  <c r="FV56" i="10"/>
  <c r="FS56" i="10"/>
  <c r="FT56" i="10" s="1"/>
  <c r="AR46" i="18" s="1"/>
  <c r="B97" i="14"/>
  <c r="B98" i="14"/>
  <c r="T30" i="14"/>
  <c r="O30" i="14" s="1"/>
  <c r="B63" i="14"/>
  <c r="T21" i="14"/>
  <c r="AY20" i="10"/>
  <c r="BA20" i="10"/>
  <c r="AX20" i="10" s="1"/>
  <c r="AK28" i="49"/>
  <c r="BE75" i="49"/>
  <c r="BN55" i="10"/>
  <c r="BH27" i="10"/>
  <c r="CL49" i="10"/>
  <c r="AZ77" i="10"/>
  <c r="E30" i="10"/>
  <c r="EW20" i="10"/>
  <c r="EA30" i="10"/>
  <c r="DZ30" i="10" s="1"/>
  <c r="S35" i="49"/>
  <c r="AC22" i="50" s="1"/>
  <c r="D98" i="50"/>
  <c r="O28" i="49"/>
  <c r="R22" i="14"/>
  <c r="O22" i="14" s="1"/>
  <c r="BO53" i="10"/>
  <c r="BL53" i="10" s="1"/>
  <c r="BK78" i="10"/>
  <c r="AZ75" i="10"/>
  <c r="AZ73" i="10" s="1"/>
  <c r="N68" i="10"/>
  <c r="EE59" i="10"/>
  <c r="U69" i="10"/>
  <c r="U50" i="10"/>
  <c r="EA53" i="10"/>
  <c r="BN67" i="10"/>
  <c r="B68" i="14"/>
  <c r="S68" i="10"/>
  <c r="S65" i="10" s="1"/>
  <c r="I65" i="10" s="1"/>
  <c r="EA65" i="10" s="1"/>
  <c r="JO111" i="14"/>
  <c r="FV79" i="11"/>
  <c r="EY79" i="11" s="1"/>
  <c r="E43" i="10"/>
  <c r="EA24" i="10"/>
  <c r="BQ50" i="10"/>
  <c r="CG50" i="10" s="1"/>
  <c r="FW54" i="10"/>
  <c r="FV54" i="10" s="1"/>
  <c r="DH64" i="51"/>
  <c r="DH65" i="49"/>
  <c r="AG68" i="49"/>
  <c r="DI58" i="49"/>
  <c r="AE44" i="44"/>
  <c r="AA42" i="49"/>
  <c r="Q40" i="49"/>
  <c r="GH12" i="51"/>
  <c r="IH63" i="49"/>
  <c r="IG63" i="49" s="1"/>
  <c r="OD90" i="50"/>
  <c r="OC90" i="50" s="1"/>
  <c r="GL47" i="51" s="1"/>
  <c r="M30" i="10"/>
  <c r="AA70" i="14"/>
  <c r="Y85" i="50"/>
  <c r="AA40" i="49"/>
  <c r="IH28" i="49"/>
  <c r="IG28" i="49" s="1"/>
  <c r="FC26" i="14"/>
  <c r="EX27" i="10"/>
  <c r="BO40" i="10"/>
  <c r="BL40" i="10" s="1"/>
  <c r="CL43" i="10"/>
  <c r="DH43" i="10" s="1"/>
  <c r="C112" i="14"/>
  <c r="BI61" i="10"/>
  <c r="EP49" i="10"/>
  <c r="EO49" i="10" s="1"/>
  <c r="EN38" i="10"/>
  <c r="CK69" i="10"/>
  <c r="M49" i="10"/>
  <c r="E39" i="10"/>
  <c r="P25" i="10"/>
  <c r="FO25" i="10" s="1"/>
  <c r="N20" i="10"/>
  <c r="AD14" i="14" s="1"/>
  <c r="U68" i="10"/>
  <c r="O62" i="10"/>
  <c r="O61" i="10" s="1"/>
  <c r="BV25" i="10"/>
  <c r="FY29" i="10"/>
  <c r="FW68" i="10"/>
  <c r="FV68" i="10" s="1"/>
  <c r="CX64" i="11"/>
  <c r="AM98" i="50"/>
  <c r="V85" i="50"/>
  <c r="AJ68" i="49"/>
  <c r="X26" i="43"/>
  <c r="AB44" i="44"/>
  <c r="S55" i="49"/>
  <c r="J39" i="37"/>
  <c r="I13" i="38"/>
  <c r="X17" i="41"/>
  <c r="AB46" i="44"/>
  <c r="JD42" i="49"/>
  <c r="GW30" i="50" s="1"/>
  <c r="CY81" i="51"/>
  <c r="FX20" i="49"/>
  <c r="IL31" i="49"/>
  <c r="BO21" i="10"/>
  <c r="BO43" i="10"/>
  <c r="BL43" i="10" s="1"/>
  <c r="C113" i="14"/>
  <c r="B113" i="14" s="1"/>
  <c r="EP30" i="10"/>
  <c r="EO30" i="10" s="1"/>
  <c r="S21" i="10"/>
  <c r="BN53" i="10"/>
  <c r="BK53" i="10" s="1"/>
  <c r="AY79" i="11"/>
  <c r="BB24" i="10"/>
  <c r="AY24" i="10" s="1"/>
  <c r="JO121" i="14"/>
  <c r="EN30" i="10"/>
  <c r="F53" i="10"/>
  <c r="D63" i="50"/>
  <c r="AA85" i="50"/>
  <c r="AI68" i="49"/>
  <c r="T46" i="49"/>
  <c r="AH46" i="44"/>
  <c r="AA46" i="49"/>
  <c r="AA45" i="49" s="1"/>
  <c r="AD18" i="40"/>
  <c r="AD21" i="43"/>
  <c r="X21" i="43" s="1"/>
  <c r="Y21" i="43" s="1"/>
  <c r="BO47" i="10"/>
  <c r="DI67" i="49"/>
  <c r="BO39" i="10"/>
  <c r="BL39" i="10" s="1"/>
  <c r="ED55" i="10"/>
  <c r="EE55" i="10" s="1"/>
  <c r="AN44" i="44"/>
  <c r="GP68" i="49"/>
  <c r="CG76" i="10"/>
  <c r="CU76" i="10" s="1"/>
  <c r="AA98" i="14"/>
  <c r="CU27" i="10"/>
  <c r="B69" i="14"/>
  <c r="B37" i="10"/>
  <c r="CS43" i="10"/>
  <c r="EA21" i="10"/>
  <c r="E53" i="10"/>
  <c r="BD75" i="49"/>
  <c r="BD73" i="49" s="1"/>
  <c r="T29" i="50"/>
  <c r="EB20" i="10"/>
  <c r="OC98" i="14"/>
  <c r="GL49" i="11" s="1"/>
  <c r="BE37" i="10"/>
  <c r="BL78" i="10"/>
  <c r="CE25" i="10"/>
  <c r="E38" i="10"/>
  <c r="BN43" i="10"/>
  <c r="FB63" i="10"/>
  <c r="EW63" i="10" s="1"/>
  <c r="EV63" i="10" s="1"/>
  <c r="CL63" i="10"/>
  <c r="P38" i="10"/>
  <c r="GJ14" i="11"/>
  <c r="OC14" i="14"/>
  <c r="EA49" i="10"/>
  <c r="DZ49" i="10" s="1"/>
  <c r="BC67" i="10"/>
  <c r="AZ67" i="10" s="1"/>
  <c r="AV79" i="11"/>
  <c r="JZ92" i="14"/>
  <c r="O23" i="10"/>
  <c r="F23" i="10" s="1"/>
  <c r="O48" i="10"/>
  <c r="O66" i="10"/>
  <c r="F66" i="10" s="1"/>
  <c r="CJ43" i="10"/>
  <c r="FW39" i="10"/>
  <c r="O20" i="10"/>
  <c r="E68" i="49"/>
  <c r="AF68" i="49"/>
  <c r="IK46" i="49"/>
  <c r="IL46" i="49" s="1"/>
  <c r="J10" i="37"/>
  <c r="J42" i="37"/>
  <c r="J44" i="37" s="1"/>
  <c r="I17" i="38"/>
  <c r="I18" i="38" s="1"/>
  <c r="Z26" i="42"/>
  <c r="E59" i="44"/>
  <c r="F59" i="44"/>
  <c r="JD46" i="49"/>
  <c r="JC46" i="49" s="1"/>
  <c r="CY79" i="51"/>
  <c r="CY66" i="51" s="1"/>
  <c r="BQ77" i="10"/>
  <c r="CJ49" i="10"/>
  <c r="AH68" i="49"/>
  <c r="BF75" i="49"/>
  <c r="BF73" i="49" s="1"/>
  <c r="Y28" i="49"/>
  <c r="V28" i="49" s="1"/>
  <c r="JT28" i="49" s="1"/>
  <c r="BO28" i="10"/>
  <c r="BB38" i="10"/>
  <c r="B52" i="10"/>
  <c r="BC52" i="10" s="1"/>
  <c r="M68" i="10"/>
  <c r="FT79" i="11"/>
  <c r="EX79" i="11" s="1"/>
  <c r="CX83" i="11"/>
  <c r="NV127" i="14"/>
  <c r="GH55" i="11" s="1"/>
  <c r="BV49" i="10"/>
  <c r="DI62" i="51"/>
  <c r="AD68" i="49"/>
  <c r="GJ12" i="51"/>
  <c r="U62" i="49"/>
  <c r="I20" i="38"/>
  <c r="X20" i="40"/>
  <c r="Y20" i="40" s="1"/>
  <c r="AD19" i="41"/>
  <c r="X19" i="41" s="1"/>
  <c r="AD22" i="43"/>
  <c r="X22" i="43" s="1"/>
  <c r="OD94" i="50"/>
  <c r="EX67" i="49"/>
  <c r="CJ25" i="10"/>
  <c r="BF65" i="10"/>
  <c r="Z26" i="43"/>
  <c r="Z27" i="43" s="1"/>
  <c r="IW34" i="49"/>
  <c r="IV34" i="49" s="1"/>
  <c r="DH67" i="10"/>
  <c r="EP24" i="10"/>
  <c r="EO24" i="10" s="1"/>
  <c r="CS67" i="10"/>
  <c r="F38" i="10"/>
  <c r="S48" i="10"/>
  <c r="B45" i="50"/>
  <c r="BN38" i="10"/>
  <c r="BK38" i="10" s="1"/>
  <c r="DZ55" i="10"/>
  <c r="BO67" i="10"/>
  <c r="CF67" i="10" s="1"/>
  <c r="DD53" i="10"/>
  <c r="DD43" i="10"/>
  <c r="CI79" i="10"/>
  <c r="BC30" i="10"/>
  <c r="AZ30" i="10" s="1"/>
  <c r="AZ27" i="10" s="1"/>
  <c r="CE46" i="10"/>
  <c r="S30" i="10"/>
  <c r="DZ50" i="10"/>
  <c r="BC20" i="10"/>
  <c r="AZ20" i="10" s="1"/>
  <c r="ED48" i="10"/>
  <c r="EE48" i="10" s="1"/>
  <c r="BB67" i="10"/>
  <c r="BB30" i="10"/>
  <c r="AY30" i="10" s="1"/>
  <c r="EN67" i="10"/>
  <c r="B122" i="14"/>
  <c r="BV21" i="10"/>
  <c r="CJ21" i="10" s="1"/>
  <c r="BV31" i="10"/>
  <c r="AE68" i="49"/>
  <c r="T42" i="49"/>
  <c r="AD30" i="50" s="1"/>
  <c r="J11" i="37"/>
  <c r="J26" i="37"/>
  <c r="J43" i="37"/>
  <c r="JD40" i="49"/>
  <c r="KD54" i="49"/>
  <c r="KC54" i="49" s="1"/>
  <c r="U59" i="49"/>
  <c r="U58" i="49" s="1"/>
  <c r="DI54" i="49"/>
  <c r="DG54" i="49" s="1"/>
  <c r="CZ84" i="11"/>
  <c r="FV91" i="11"/>
  <c r="EY91" i="11" s="1"/>
  <c r="FU91" i="11" s="1"/>
  <c r="AV91" i="11"/>
  <c r="FM91" i="11"/>
  <c r="EV91" i="11" s="1"/>
  <c r="FL91" i="11" s="1"/>
  <c r="FT91" i="11"/>
  <c r="EX91" i="11" s="1"/>
  <c r="EX84" i="11" s="1"/>
  <c r="FY91" i="11"/>
  <c r="EZ91" i="11" s="1"/>
  <c r="FX91" i="11" s="1"/>
  <c r="AY91" i="11"/>
  <c r="J20" i="37"/>
  <c r="J33" i="37"/>
  <c r="I28" i="38"/>
  <c r="U9" i="43"/>
  <c r="AB14" i="43"/>
  <c r="AC14" i="43" s="1"/>
  <c r="J12" i="37"/>
  <c r="I14" i="38"/>
  <c r="I21" i="38"/>
  <c r="AZ28" i="10"/>
  <c r="CF28" i="10"/>
  <c r="J16" i="37"/>
  <c r="J17" i="37" s="1"/>
  <c r="J21" i="37"/>
  <c r="I23" i="38"/>
  <c r="I24" i="38" s="1"/>
  <c r="I32" i="38"/>
  <c r="BO42" i="10"/>
  <c r="CI42" i="10"/>
  <c r="FV87" i="11"/>
  <c r="EY87" i="11" s="1"/>
  <c r="FU87" i="11" s="1"/>
  <c r="FM87" i="11"/>
  <c r="EV87" i="11" s="1"/>
  <c r="FL87" i="11" s="1"/>
  <c r="FT87" i="11"/>
  <c r="EX87" i="11" s="1"/>
  <c r="AY87" i="11"/>
  <c r="FY87" i="11"/>
  <c r="EZ87" i="11" s="1"/>
  <c r="FX87" i="11" s="1"/>
  <c r="DA83" i="11"/>
  <c r="AV87" i="11"/>
  <c r="AC25" i="41"/>
  <c r="AB14" i="42"/>
  <c r="BO20" i="10"/>
  <c r="CF20" i="10" s="1"/>
  <c r="CL20" i="10"/>
  <c r="BD79" i="11"/>
  <c r="BC79" i="11"/>
  <c r="EL30" i="11"/>
  <c r="DC64" i="11"/>
  <c r="AA40" i="14"/>
  <c r="O34" i="10"/>
  <c r="F34" i="10" s="1"/>
  <c r="O47" i="10"/>
  <c r="F47" i="10" s="1"/>
  <c r="BG27" i="10"/>
  <c r="P66" i="10"/>
  <c r="V66" i="10" s="1"/>
  <c r="EP34" i="10"/>
  <c r="DJ72" i="11"/>
  <c r="II55" i="49"/>
  <c r="U21" i="50"/>
  <c r="B117" i="50"/>
  <c r="Y21" i="41"/>
  <c r="X26" i="42"/>
  <c r="Y17" i="42" s="1"/>
  <c r="Y22" i="43"/>
  <c r="AE46" i="44"/>
  <c r="B84" i="50"/>
  <c r="B83" i="50"/>
  <c r="B85" i="50"/>
  <c r="Y40" i="50"/>
  <c r="P42" i="39"/>
  <c r="I141" i="50"/>
  <c r="X18" i="42"/>
  <c r="CX65" i="51"/>
  <c r="AV77" i="51"/>
  <c r="CF33" i="49"/>
  <c r="EC56" i="49"/>
  <c r="CY66" i="11"/>
  <c r="BC53" i="10"/>
  <c r="BN59" i="10"/>
  <c r="CE59" i="10" s="1"/>
  <c r="P34" i="10"/>
  <c r="CJ42" i="10"/>
  <c r="FY34" i="10"/>
  <c r="FY68" i="10"/>
  <c r="EU39" i="10"/>
  <c r="EP39" i="10" s="1"/>
  <c r="EW55" i="10"/>
  <c r="EV55" i="10" s="1"/>
  <c r="EW30" i="10"/>
  <c r="EV30" i="10" s="1"/>
  <c r="EW38" i="10"/>
  <c r="EK38" i="10" s="1"/>
  <c r="IU116" i="14"/>
  <c r="IU102" i="14" s="1"/>
  <c r="Y40" i="14"/>
  <c r="AB27" i="43"/>
  <c r="Y19" i="41"/>
  <c r="Z26" i="41"/>
  <c r="AB26" i="41"/>
  <c r="AB27" i="41" s="1"/>
  <c r="AB25" i="42"/>
  <c r="AN46" i="44"/>
  <c r="U41" i="49"/>
  <c r="U46" i="49"/>
  <c r="F46" i="49" s="1"/>
  <c r="L46" i="49" s="1"/>
  <c r="B98" i="50"/>
  <c r="B97" i="50"/>
  <c r="J136" i="50"/>
  <c r="I136" i="50" s="1"/>
  <c r="B80" i="50"/>
  <c r="CY83" i="51"/>
  <c r="CY84" i="51"/>
  <c r="CG68" i="10"/>
  <c r="BI30" i="49"/>
  <c r="BF30" i="49" s="1"/>
  <c r="BH40" i="49"/>
  <c r="BA28" i="10"/>
  <c r="AX28" i="10" s="1"/>
  <c r="CY84" i="11"/>
  <c r="BQ42" i="10"/>
  <c r="CG42" i="10" s="1"/>
  <c r="FW29" i="10"/>
  <c r="FV29" i="10" s="1"/>
  <c r="EW40" i="10"/>
  <c r="CZ83" i="11"/>
  <c r="DA84" i="11"/>
  <c r="BK77" i="10"/>
  <c r="Y17" i="41"/>
  <c r="Y21" i="42"/>
  <c r="Y19" i="43"/>
  <c r="W94" i="50"/>
  <c r="B94" i="50"/>
  <c r="X22" i="41"/>
  <c r="Y22" i="41" s="1"/>
  <c r="J147" i="50"/>
  <c r="BO55" i="10"/>
  <c r="BL55" i="10" s="1"/>
  <c r="CX68" i="51"/>
  <c r="DA79" i="51"/>
  <c r="EW54" i="49"/>
  <c r="BG79" i="11"/>
  <c r="O46" i="10"/>
  <c r="DD39" i="10"/>
  <c r="DF39" i="10" s="1"/>
  <c r="U29" i="18" s="1"/>
  <c r="FY41" i="10"/>
  <c r="JS92" i="14" s="1"/>
  <c r="FW55" i="10"/>
  <c r="FV55" i="10" s="1"/>
  <c r="FY59" i="10"/>
  <c r="ED63" i="10"/>
  <c r="EC63" i="10" s="1"/>
  <c r="FW67" i="10"/>
  <c r="EU20" i="10"/>
  <c r="EP20" i="10" s="1"/>
  <c r="EO20" i="10" s="1"/>
  <c r="EP40" i="10"/>
  <c r="GV28" i="14" s="1"/>
  <c r="EP55" i="10"/>
  <c r="DE64" i="11"/>
  <c r="CW75" i="10"/>
  <c r="EA75" i="10" s="1"/>
  <c r="DZ75" i="10" s="1"/>
  <c r="C127" i="14"/>
  <c r="R36" i="37"/>
  <c r="J25" i="37"/>
  <c r="J27" i="37" s="1"/>
  <c r="I36" i="38"/>
  <c r="M32" i="39"/>
  <c r="M33" i="39" s="1"/>
  <c r="X19" i="42"/>
  <c r="Y19" i="42" s="1"/>
  <c r="X17" i="43"/>
  <c r="KF62" i="49"/>
  <c r="AE31" i="49"/>
  <c r="KD53" i="49"/>
  <c r="KC53" i="49" s="1"/>
  <c r="BE78" i="49"/>
  <c r="V40" i="50"/>
  <c r="W90" i="50"/>
  <c r="B90" i="50"/>
  <c r="JZ116" i="50"/>
  <c r="BO69" i="10"/>
  <c r="BL69" i="10" s="1"/>
  <c r="FT69" i="49"/>
  <c r="BV34" i="10"/>
  <c r="CL34" i="10"/>
  <c r="BO34" i="10"/>
  <c r="BL34" i="10" s="1"/>
  <c r="BL47" i="10"/>
  <c r="CI24" i="10"/>
  <c r="DD24" i="10" s="1"/>
  <c r="BO24" i="10"/>
  <c r="BL24" i="10" s="1"/>
  <c r="DC43" i="10"/>
  <c r="R33" i="18" s="1"/>
  <c r="DF43" i="10"/>
  <c r="U33" i="18" s="1"/>
  <c r="BS58" i="10"/>
  <c r="CI59" i="10"/>
  <c r="BO59" i="10"/>
  <c r="BL59" i="10" s="1"/>
  <c r="BL58" i="10" s="1"/>
  <c r="JO48" i="14"/>
  <c r="IR48" i="14"/>
  <c r="EL18" i="11"/>
  <c r="CI30" i="10"/>
  <c r="BO30" i="10"/>
  <c r="GW28" i="14"/>
  <c r="EV40" i="10"/>
  <c r="JS106" i="14"/>
  <c r="IP106" i="14" s="1"/>
  <c r="EK12" i="11"/>
  <c r="G34" i="10"/>
  <c r="L34" i="10" s="1"/>
  <c r="AB21" i="14" s="1"/>
  <c r="K117" i="14" s="1"/>
  <c r="IC29" i="49"/>
  <c r="IB29" i="49"/>
  <c r="HZ29" i="49"/>
  <c r="CU65" i="10"/>
  <c r="EX65" i="10"/>
  <c r="CK42" i="10"/>
  <c r="BQ24" i="10"/>
  <c r="CG24" i="10" s="1"/>
  <c r="FW21" i="10"/>
  <c r="FY47" i="10"/>
  <c r="EW42" i="10"/>
  <c r="AC25" i="10"/>
  <c r="S23" i="49"/>
  <c r="AC17" i="50" s="1"/>
  <c r="BU17" i="50"/>
  <c r="HZ23" i="49"/>
  <c r="IC23" i="49"/>
  <c r="IB23" i="49"/>
  <c r="EC41" i="49"/>
  <c r="O22" i="49"/>
  <c r="HZ22" i="49"/>
  <c r="BU16" i="50"/>
  <c r="IB22" i="49"/>
  <c r="IC22" i="49"/>
  <c r="IH41" i="49"/>
  <c r="II41" i="49" s="1"/>
  <c r="IC41" i="49"/>
  <c r="IB41" i="49"/>
  <c r="HZ41" i="49"/>
  <c r="BU29" i="50"/>
  <c r="FW47" i="10"/>
  <c r="FV47" i="10" s="1"/>
  <c r="BI65" i="10"/>
  <c r="KJ63" i="49"/>
  <c r="KD63" i="49" s="1"/>
  <c r="EL27" i="51" s="1"/>
  <c r="AH22" i="49"/>
  <c r="BN48" i="10"/>
  <c r="CL55" i="10"/>
  <c r="DH39" i="10"/>
  <c r="ED42" i="10"/>
  <c r="FD30" i="14" s="1"/>
  <c r="BG19" i="10"/>
  <c r="EC48" i="10"/>
  <c r="JO88" i="14"/>
  <c r="T29" i="14"/>
  <c r="O29" i="14" s="1"/>
  <c r="AA46" i="14"/>
  <c r="CT52" i="10"/>
  <c r="AJ40" i="49"/>
  <c r="AA50" i="49"/>
  <c r="DH40" i="49"/>
  <c r="IB40" i="49"/>
  <c r="BU28" i="50"/>
  <c r="IC40" i="49"/>
  <c r="HZ40" i="49"/>
  <c r="KD47" i="49"/>
  <c r="KC47" i="49" s="1"/>
  <c r="FY53" i="49"/>
  <c r="DH49" i="10"/>
  <c r="AE39" i="18" s="1"/>
  <c r="EA78" i="10"/>
  <c r="DP78" i="10" s="1"/>
  <c r="EB34" i="10"/>
  <c r="OB21" i="14"/>
  <c r="N42" i="10"/>
  <c r="AD30" i="14" s="1"/>
  <c r="P21" i="10"/>
  <c r="V21" i="10" s="1"/>
  <c r="BN63" i="10"/>
  <c r="BK63" i="10" s="1"/>
  <c r="EB46" i="10"/>
  <c r="U67" i="10"/>
  <c r="P67" i="10" s="1"/>
  <c r="FO67" i="10" s="1"/>
  <c r="J136" i="14"/>
  <c r="I136" i="14" s="1"/>
  <c r="BE65" i="10"/>
  <c r="BV24" i="10"/>
  <c r="CJ24" i="10" s="1"/>
  <c r="OD80" i="14"/>
  <c r="BI40" i="49"/>
  <c r="BF40" i="49" s="1"/>
  <c r="IW22" i="49"/>
  <c r="O38" i="49"/>
  <c r="IC38" i="49"/>
  <c r="IB38" i="49"/>
  <c r="HZ38" i="49"/>
  <c r="BU26" i="50"/>
  <c r="AE62" i="49"/>
  <c r="AD22" i="49"/>
  <c r="BF33" i="10"/>
  <c r="CF50" i="10"/>
  <c r="BO38" i="10"/>
  <c r="EW67" i="10"/>
  <c r="EV67" i="10" s="1"/>
  <c r="V53" i="10"/>
  <c r="U42" i="10"/>
  <c r="BB59" i="10"/>
  <c r="FB39" i="10"/>
  <c r="EW39" i="10" s="1"/>
  <c r="GW27" i="14" s="1"/>
  <c r="BC47" i="10"/>
  <c r="AZ47" i="10" s="1"/>
  <c r="EB49" i="10"/>
  <c r="FW48" i="10"/>
  <c r="FV48" i="10" s="1"/>
  <c r="BH68" i="49"/>
  <c r="BE68" i="49" s="1"/>
  <c r="BI54" i="49"/>
  <c r="BF54" i="49" s="1"/>
  <c r="JD22" i="49"/>
  <c r="GW16" i="50" s="1"/>
  <c r="DH42" i="49"/>
  <c r="DZ42" i="49" s="1"/>
  <c r="HZ42" i="49"/>
  <c r="IC42" i="49"/>
  <c r="IB42" i="49"/>
  <c r="BU30" i="50"/>
  <c r="AG62" i="49"/>
  <c r="CS47" i="10"/>
  <c r="DH22" i="49"/>
  <c r="IK23" i="49"/>
  <c r="FD17" i="50" s="1"/>
  <c r="JM48" i="14"/>
  <c r="BM25" i="10"/>
  <c r="EB21" i="10"/>
  <c r="BO48" i="10"/>
  <c r="BL48" i="10" s="1"/>
  <c r="BO31" i="10"/>
  <c r="BL31" i="10" s="1"/>
  <c r="EN59" i="10"/>
  <c r="EN58" i="10" s="1"/>
  <c r="C61" i="10"/>
  <c r="BE61" i="10" s="1"/>
  <c r="ED67" i="10"/>
  <c r="EC67" i="10" s="1"/>
  <c r="B33" i="10"/>
  <c r="BC33" i="10" s="1"/>
  <c r="BG37" i="10"/>
  <c r="FW38" i="10"/>
  <c r="EL22" i="11" s="1"/>
  <c r="FY53" i="10"/>
  <c r="F112" i="14"/>
  <c r="H112" i="14" s="1"/>
  <c r="G112" i="14" s="1"/>
  <c r="AH40" i="49"/>
  <c r="S54" i="49"/>
  <c r="IC54" i="49"/>
  <c r="IB54" i="49"/>
  <c r="HZ54" i="49"/>
  <c r="DH56" i="49"/>
  <c r="IC56" i="49"/>
  <c r="IB56" i="49"/>
  <c r="HZ56" i="49"/>
  <c r="KF66" i="49"/>
  <c r="KE66" i="49" s="1"/>
  <c r="Y43" i="49"/>
  <c r="IC43" i="49"/>
  <c r="IB43" i="49"/>
  <c r="HZ43" i="49"/>
  <c r="EB30" i="10"/>
  <c r="BE33" i="10"/>
  <c r="CI47" i="10"/>
  <c r="AY28" i="10"/>
  <c r="CS23" i="10"/>
  <c r="BN42" i="10"/>
  <c r="BK42" i="10" s="1"/>
  <c r="BC59" i="10"/>
  <c r="BA59" i="10" s="1"/>
  <c r="E34" i="10"/>
  <c r="BC49" i="10"/>
  <c r="Z40" i="14"/>
  <c r="S54" i="10"/>
  <c r="P54" i="10" s="1"/>
  <c r="BV56" i="10"/>
  <c r="CJ56" i="10" s="1"/>
  <c r="EP67" i="10"/>
  <c r="EO67" i="10" s="1"/>
  <c r="AY78" i="10"/>
  <c r="CB78" i="10" s="1"/>
  <c r="JO88" i="50"/>
  <c r="S42" i="49"/>
  <c r="AC30" i="50" s="1"/>
  <c r="IH53" i="49"/>
  <c r="II53" i="49" s="1"/>
  <c r="HZ53" i="49"/>
  <c r="IC53" i="49"/>
  <c r="IB53" i="49"/>
  <c r="BQ78" i="10"/>
  <c r="EP59" i="10"/>
  <c r="EO59" i="10" s="1"/>
  <c r="GP22" i="49"/>
  <c r="AJ62" i="49"/>
  <c r="AD62" i="49"/>
  <c r="BK65" i="49"/>
  <c r="DZ65" i="49" s="1"/>
  <c r="B46" i="14"/>
  <c r="BO56" i="10"/>
  <c r="BL56" i="10" s="1"/>
  <c r="BL52" i="10" s="1"/>
  <c r="BO68" i="10"/>
  <c r="BL68" i="10" s="1"/>
  <c r="CG39" i="10"/>
  <c r="BG65" i="10"/>
  <c r="ED34" i="10"/>
  <c r="EX52" i="10"/>
  <c r="EQ65" i="10"/>
  <c r="O40" i="10"/>
  <c r="AX76" i="10"/>
  <c r="CA76" i="10" s="1"/>
  <c r="CJ68" i="10"/>
  <c r="EN75" i="10"/>
  <c r="AZ78" i="10"/>
  <c r="CC78" i="10" s="1"/>
  <c r="Y69" i="50"/>
  <c r="AK68" i="50" s="1"/>
  <c r="AN68" i="50" s="1"/>
  <c r="AG68" i="50" s="1"/>
  <c r="E62" i="49"/>
  <c r="DO25" i="49"/>
  <c r="DN25" i="49" s="1"/>
  <c r="AG40" i="49"/>
  <c r="IC25" i="49"/>
  <c r="IB25" i="49"/>
  <c r="HZ25" i="49"/>
  <c r="FW50" i="10"/>
  <c r="FV50" i="10" s="1"/>
  <c r="BO35" i="10"/>
  <c r="BL35" i="10" s="1"/>
  <c r="T23" i="49"/>
  <c r="AD17" i="50" s="1"/>
  <c r="IH42" i="49"/>
  <c r="II42" i="49" s="1"/>
  <c r="AK62" i="49"/>
  <c r="AK22" i="49"/>
  <c r="DH29" i="10"/>
  <c r="AE19" i="18" s="1"/>
  <c r="BL67" i="10"/>
  <c r="EC29" i="10"/>
  <c r="DZ62" i="10"/>
  <c r="R15" i="14"/>
  <c r="O15" i="14" s="1"/>
  <c r="DH23" i="10"/>
  <c r="BR17" i="14" s="1"/>
  <c r="CL68" i="10"/>
  <c r="DH68" i="10" s="1"/>
  <c r="CI68" i="10"/>
  <c r="DD68" i="10" s="1"/>
  <c r="S54" i="18" s="1"/>
  <c r="BB23" i="10"/>
  <c r="EW66" i="10"/>
  <c r="EV66" i="10" s="1"/>
  <c r="N34" i="10"/>
  <c r="AD21" i="14" s="1"/>
  <c r="M117" i="14" s="1"/>
  <c r="EW23" i="10"/>
  <c r="B27" i="10"/>
  <c r="M59" i="10"/>
  <c r="N66" i="10"/>
  <c r="P40" i="10"/>
  <c r="FN40" i="10" s="1"/>
  <c r="CU52" i="10"/>
  <c r="EP53" i="10"/>
  <c r="EW69" i="10"/>
  <c r="GW36" i="14" s="1"/>
  <c r="GP62" i="49"/>
  <c r="AF40" i="49"/>
  <c r="E40" i="49"/>
  <c r="S20" i="49"/>
  <c r="AC14" i="50" s="1"/>
  <c r="IB20" i="49"/>
  <c r="BU14" i="50"/>
  <c r="IC20" i="49"/>
  <c r="HZ20" i="49"/>
  <c r="O49" i="49"/>
  <c r="HZ49" i="49"/>
  <c r="IB49" i="49"/>
  <c r="IC49" i="49"/>
  <c r="DH50" i="49"/>
  <c r="DD50" i="49" s="1"/>
  <c r="DW50" i="49" s="1"/>
  <c r="IC50" i="49"/>
  <c r="IB50" i="49"/>
  <c r="HZ50" i="49"/>
  <c r="Y55" i="49"/>
  <c r="HZ55" i="49"/>
  <c r="IC55" i="49"/>
  <c r="IB55" i="49"/>
  <c r="IC62" i="49"/>
  <c r="HZ62" i="49"/>
  <c r="BU33" i="50"/>
  <c r="Y39" i="49"/>
  <c r="IC39" i="49"/>
  <c r="IB39" i="49"/>
  <c r="HZ39" i="49"/>
  <c r="BU27" i="50"/>
  <c r="IC47" i="49"/>
  <c r="IB47" i="49"/>
  <c r="HZ47" i="49"/>
  <c r="CF62" i="10"/>
  <c r="IW38" i="49"/>
  <c r="O41" i="49"/>
  <c r="IU40" i="49"/>
  <c r="CE39" i="10"/>
  <c r="BL77" i="10"/>
  <c r="CC77" i="10" s="1"/>
  <c r="ED66" i="10"/>
  <c r="EC66" i="10" s="1"/>
  <c r="GG63" i="10"/>
  <c r="FW49" i="10"/>
  <c r="IU62" i="49"/>
  <c r="IK50" i="49"/>
  <c r="IL50" i="49" s="1"/>
  <c r="GP40" i="49"/>
  <c r="DH21" i="49"/>
  <c r="IC21" i="49"/>
  <c r="HZ21" i="49"/>
  <c r="BU15" i="50"/>
  <c r="IB21" i="49"/>
  <c r="S68" i="49"/>
  <c r="HZ68" i="49"/>
  <c r="BL79" i="10"/>
  <c r="BJ30" i="49"/>
  <c r="FB40" i="49"/>
  <c r="KF54" i="49"/>
  <c r="KE54" i="49" s="1"/>
  <c r="AJ22" i="49"/>
  <c r="AD40" i="49"/>
  <c r="CT33" i="10"/>
  <c r="BL76" i="10"/>
  <c r="EA59" i="10"/>
  <c r="BD61" i="10"/>
  <c r="ED23" i="10"/>
  <c r="EE56" i="10"/>
  <c r="V155" i="14"/>
  <c r="AM155" i="14" s="1"/>
  <c r="BQ30" i="10"/>
  <c r="DD30" i="10" s="1"/>
  <c r="JO82" i="50"/>
  <c r="BI29" i="49"/>
  <c r="BF29" i="49" s="1"/>
  <c r="IH30" i="49"/>
  <c r="HZ30" i="49"/>
  <c r="IC30" i="49"/>
  <c r="IB30" i="49"/>
  <c r="BI35" i="49"/>
  <c r="BF35" i="49" s="1"/>
  <c r="IH48" i="49"/>
  <c r="IC48" i="49"/>
  <c r="IB48" i="49"/>
  <c r="HZ48" i="49"/>
  <c r="JD50" i="49"/>
  <c r="JC50" i="49" s="1"/>
  <c r="IH67" i="49"/>
  <c r="IG67" i="49" s="1"/>
  <c r="HZ67" i="49"/>
  <c r="FC40" i="49"/>
  <c r="D54" i="50"/>
  <c r="Y42" i="49"/>
  <c r="JC42" i="49"/>
  <c r="E22" i="49"/>
  <c r="JM82" i="14"/>
  <c r="B45" i="14"/>
  <c r="DH53" i="10"/>
  <c r="DD67" i="10"/>
  <c r="S59" i="10"/>
  <c r="BM43" i="10"/>
  <c r="BJ43" i="10" s="1"/>
  <c r="CH59" i="10"/>
  <c r="O30" i="10"/>
  <c r="BG45" i="10"/>
  <c r="FW23" i="10"/>
  <c r="FV23" i="10" s="1"/>
  <c r="IS116" i="50"/>
  <c r="JZ106" i="50"/>
  <c r="Q50" i="49"/>
  <c r="CF27" i="49"/>
  <c r="Q35" i="49"/>
  <c r="Q33" i="49" s="1"/>
  <c r="KD50" i="49"/>
  <c r="KC50" i="49" s="1"/>
  <c r="HZ66" i="49"/>
  <c r="O69" i="49"/>
  <c r="HZ69" i="49"/>
  <c r="BU36" i="50"/>
  <c r="JO111" i="50"/>
  <c r="IC35" i="49"/>
  <c r="IB35" i="49"/>
  <c r="BU22" i="50"/>
  <c r="HZ35" i="49"/>
  <c r="AH62" i="49"/>
  <c r="AE22" i="49"/>
  <c r="IU22" i="49"/>
  <c r="CF39" i="10"/>
  <c r="F48" i="10"/>
  <c r="N23" i="10"/>
  <c r="AD17" i="14" s="1"/>
  <c r="ED39" i="10"/>
  <c r="FD27" i="14" s="1"/>
  <c r="JO116" i="14"/>
  <c r="CS59" i="10"/>
  <c r="CS58" i="10" s="1"/>
  <c r="BO63" i="10"/>
  <c r="BO61" i="10" s="1"/>
  <c r="S31" i="10"/>
  <c r="P31" i="10" s="1"/>
  <c r="BB56" i="10"/>
  <c r="N46" i="10"/>
  <c r="AA64" i="50"/>
  <c r="B61" i="49"/>
  <c r="IH38" i="49"/>
  <c r="FC26" i="50" s="1"/>
  <c r="T50" i="49"/>
  <c r="HZ28" i="49"/>
  <c r="IB28" i="49"/>
  <c r="IC28" i="49"/>
  <c r="Y31" i="49"/>
  <c r="IC31" i="49"/>
  <c r="IB31" i="49"/>
  <c r="HZ31" i="49"/>
  <c r="HZ59" i="49"/>
  <c r="IC59" i="49"/>
  <c r="IB59" i="49"/>
  <c r="AM49" i="50"/>
  <c r="Y41" i="49"/>
  <c r="AC62" i="49"/>
  <c r="IH22" i="49"/>
  <c r="II22" i="49" s="1"/>
  <c r="Y22" i="49"/>
  <c r="EK22" i="11"/>
  <c r="BF37" i="10"/>
  <c r="EN48" i="10"/>
  <c r="EN45" i="10" s="1"/>
  <c r="U39" i="10"/>
  <c r="U37" i="10" s="1"/>
  <c r="E59" i="10"/>
  <c r="O31" i="10"/>
  <c r="F31" i="10" s="1"/>
  <c r="EA23" i="10"/>
  <c r="BN31" i="10"/>
  <c r="BK31" i="10" s="1"/>
  <c r="AI62" i="49"/>
  <c r="W60" i="50"/>
  <c r="D39" i="51" s="1"/>
  <c r="IK35" i="49"/>
  <c r="FD22" i="50" s="1"/>
  <c r="DH24" i="49"/>
  <c r="IC24" i="49"/>
  <c r="IB24" i="49"/>
  <c r="HZ24" i="49"/>
  <c r="IH34" i="49"/>
  <c r="FC21" i="50" s="1"/>
  <c r="BU21" i="50"/>
  <c r="IB34" i="49"/>
  <c r="HZ34" i="49"/>
  <c r="IC34" i="49"/>
  <c r="HZ46" i="49"/>
  <c r="IC46" i="49"/>
  <c r="IB46" i="49"/>
  <c r="IW48" i="49"/>
  <c r="DH63" i="49"/>
  <c r="HZ63" i="49"/>
  <c r="IC63" i="49"/>
  <c r="FS28" i="49"/>
  <c r="BG75" i="11"/>
  <c r="DA67" i="11"/>
  <c r="DK71" i="11"/>
  <c r="DL72" i="11"/>
  <c r="DM72" i="11" s="1"/>
  <c r="DL73" i="11"/>
  <c r="DM73" i="11" s="1"/>
  <c r="FU75" i="11"/>
  <c r="FL75" i="11"/>
  <c r="CZ65" i="11"/>
  <c r="FS84" i="11"/>
  <c r="FT84" i="11"/>
  <c r="FU79" i="11"/>
  <c r="CZ67" i="11"/>
  <c r="CZ68" i="11"/>
  <c r="DJ73" i="11"/>
  <c r="FX79" i="11"/>
  <c r="CY83" i="11"/>
  <c r="FX89" i="11"/>
  <c r="CY77" i="11"/>
  <c r="DA77" i="11"/>
  <c r="DA68" i="11" s="1"/>
  <c r="DD64" i="11"/>
  <c r="DA70" i="11"/>
  <c r="BI87" i="11"/>
  <c r="DE62" i="11"/>
  <c r="CL75" i="11"/>
  <c r="DA81" i="11"/>
  <c r="DK73" i="11" s="1"/>
  <c r="CZ79" i="11"/>
  <c r="CZ66" i="11" s="1"/>
  <c r="CX64" i="51"/>
  <c r="DJ70" i="51"/>
  <c r="DE62" i="51"/>
  <c r="DJ71" i="51"/>
  <c r="DG64" i="51"/>
  <c r="CZ83" i="51"/>
  <c r="CZ84" i="51"/>
  <c r="DC64" i="51"/>
  <c r="CX83" i="51"/>
  <c r="CX67" i="51"/>
  <c r="FV89" i="51"/>
  <c r="EY89" i="51" s="1"/>
  <c r="FU89" i="51" s="1"/>
  <c r="FY89" i="51"/>
  <c r="EZ89" i="51" s="1"/>
  <c r="FX89" i="51" s="1"/>
  <c r="AV89" i="51"/>
  <c r="DA84" i="51"/>
  <c r="AY89" i="51"/>
  <c r="BI89" i="51" s="1"/>
  <c r="FM89" i="51"/>
  <c r="EV89" i="51" s="1"/>
  <c r="FL89" i="51" s="1"/>
  <c r="FT89" i="51"/>
  <c r="EX89" i="51" s="1"/>
  <c r="CZ68" i="51"/>
  <c r="DJ73" i="51"/>
  <c r="DK70" i="51"/>
  <c r="FM79" i="51"/>
  <c r="EV79" i="51" s="1"/>
  <c r="FL79" i="51" s="1"/>
  <c r="DA66" i="51"/>
  <c r="AV79" i="51"/>
  <c r="FV79" i="51"/>
  <c r="EY79" i="51" s="1"/>
  <c r="FU79" i="51" s="1"/>
  <c r="AY91" i="51"/>
  <c r="FM91" i="51"/>
  <c r="EV91" i="51" s="1"/>
  <c r="FT91" i="51"/>
  <c r="EX91" i="51" s="1"/>
  <c r="FV91" i="51"/>
  <c r="EY91" i="51" s="1"/>
  <c r="FY91" i="51"/>
  <c r="EZ91" i="51" s="1"/>
  <c r="FX91" i="51" s="1"/>
  <c r="AV91" i="51"/>
  <c r="FY75" i="51"/>
  <c r="EZ75" i="51" s="1"/>
  <c r="FX75" i="51" s="1"/>
  <c r="FM75" i="51"/>
  <c r="EV75" i="51" s="1"/>
  <c r="FL75" i="51" s="1"/>
  <c r="FT75" i="51"/>
  <c r="EX75" i="51" s="1"/>
  <c r="AV75" i="51"/>
  <c r="DK72" i="51"/>
  <c r="AY81" i="51"/>
  <c r="FY81" i="51"/>
  <c r="EZ81" i="51" s="1"/>
  <c r="FX81" i="51" s="1"/>
  <c r="FM81" i="51"/>
  <c r="EV81" i="51" s="1"/>
  <c r="FT81" i="51"/>
  <c r="EX81" i="51" s="1"/>
  <c r="AV81" i="51"/>
  <c r="FV81" i="51"/>
  <c r="EY81" i="51" s="1"/>
  <c r="FU81" i="51" s="1"/>
  <c r="CZ64" i="51"/>
  <c r="CZ65" i="51"/>
  <c r="CZ62" i="51"/>
  <c r="FT87" i="51"/>
  <c r="EX87" i="51" s="1"/>
  <c r="FM87" i="51"/>
  <c r="EV87" i="51" s="1"/>
  <c r="FL87" i="51" s="1"/>
  <c r="FY87" i="51"/>
  <c r="EZ87" i="51" s="1"/>
  <c r="FX87" i="51" s="1"/>
  <c r="AV87" i="51"/>
  <c r="DA83" i="51"/>
  <c r="CZ67" i="51"/>
  <c r="CZ66" i="51"/>
  <c r="DJ72" i="51"/>
  <c r="DD64" i="51"/>
  <c r="DA71" i="51"/>
  <c r="DA67" i="51" s="1"/>
  <c r="CY75" i="51"/>
  <c r="DA73" i="51"/>
  <c r="DL72" i="51" s="1"/>
  <c r="DM72" i="51" s="1"/>
  <c r="J142" i="50"/>
  <c r="I142" i="50" s="1"/>
  <c r="N32" i="39"/>
  <c r="JO78" i="50"/>
  <c r="JZ144" i="14"/>
  <c r="P20" i="14"/>
  <c r="GM49" i="51"/>
  <c r="D45" i="14"/>
  <c r="JO92" i="14"/>
  <c r="V70" i="14"/>
  <c r="AM70" i="14" s="1"/>
  <c r="I142" i="14"/>
  <c r="AM64" i="50"/>
  <c r="NV113" i="50"/>
  <c r="GH54" i="51" s="1"/>
  <c r="AD22" i="40"/>
  <c r="X22" i="40" s="1"/>
  <c r="AD22" i="42"/>
  <c r="X22" i="42" s="1"/>
  <c r="Y22" i="42" s="1"/>
  <c r="I141" i="14"/>
  <c r="AB11" i="39"/>
  <c r="P11" i="39" s="1"/>
  <c r="W75" i="14"/>
  <c r="AB27" i="39"/>
  <c r="O27" i="39" s="1"/>
  <c r="AB37" i="39"/>
  <c r="V46" i="50"/>
  <c r="H122" i="14"/>
  <c r="G122" i="14" s="1"/>
  <c r="JZ138" i="50"/>
  <c r="Y46" i="50"/>
  <c r="M139" i="50"/>
  <c r="AA70" i="50"/>
  <c r="AA60" i="50" s="1"/>
  <c r="Z46" i="50"/>
  <c r="Z75" i="50" s="1"/>
  <c r="M42" i="39"/>
  <c r="M43" i="39" s="1"/>
  <c r="W113" i="50"/>
  <c r="V113" i="50" s="1"/>
  <c r="AA80" i="14"/>
  <c r="R16" i="14"/>
  <c r="D46" i="11"/>
  <c r="P25" i="14"/>
  <c r="AA85" i="14"/>
  <c r="W75" i="50"/>
  <c r="AA50" i="50"/>
  <c r="O32" i="39"/>
  <c r="Y50" i="50"/>
  <c r="AK49" i="50" s="1"/>
  <c r="AK50" i="50" s="1"/>
  <c r="AN50" i="50" s="1"/>
  <c r="AI50" i="50" s="1"/>
  <c r="P32" i="39"/>
  <c r="D85" i="14"/>
  <c r="W80" i="50"/>
  <c r="AA80" i="50" s="1"/>
  <c r="D80" i="14"/>
  <c r="V46" i="14"/>
  <c r="AM45" i="14" s="1"/>
  <c r="J147" i="14"/>
  <c r="I147" i="14" s="1"/>
  <c r="D49" i="11"/>
  <c r="JZ133" i="50"/>
  <c r="Y70" i="14"/>
  <c r="JZ111" i="50"/>
  <c r="R21" i="14"/>
  <c r="JZ111" i="14"/>
  <c r="Y59" i="14"/>
  <c r="JV121" i="50"/>
  <c r="JR121" i="50" s="1"/>
  <c r="JQ121" i="50" s="1"/>
  <c r="IT102" i="50"/>
  <c r="D55" i="14"/>
  <c r="V98" i="14"/>
  <c r="AM98" i="14" s="1"/>
  <c r="M139" i="14"/>
  <c r="JZ78" i="50"/>
  <c r="JZ82" i="50"/>
  <c r="JN88" i="14"/>
  <c r="C41" i="11"/>
  <c r="AG91" i="11" s="1"/>
  <c r="V70" i="50"/>
  <c r="JM121" i="14"/>
  <c r="JZ88" i="14"/>
  <c r="NV127" i="50"/>
  <c r="GH55" i="51" s="1"/>
  <c r="V155" i="50"/>
  <c r="AM155" i="50" s="1"/>
  <c r="B55" i="14"/>
  <c r="IT74" i="14"/>
  <c r="JN121" i="50"/>
  <c r="AM69" i="14"/>
  <c r="OD94" i="14"/>
  <c r="AA94" i="14" s="1"/>
  <c r="JO92" i="50"/>
  <c r="AA155" i="14"/>
  <c r="IR111" i="50"/>
  <c r="AK118" i="14"/>
  <c r="AN118" i="14" s="1"/>
  <c r="AM118" i="14"/>
  <c r="E112" i="14"/>
  <c r="W76" i="14"/>
  <c r="D44" i="11" s="1"/>
  <c r="Z46" i="14"/>
  <c r="AA69" i="14"/>
  <c r="IT102" i="14"/>
  <c r="JZ125" i="14"/>
  <c r="Y103" i="14"/>
  <c r="GH122" i="14"/>
  <c r="GM122" i="14" s="1"/>
  <c r="JN121" i="14"/>
  <c r="JK121" i="14" s="1"/>
  <c r="IW122" i="14" s="1"/>
  <c r="W60" i="14"/>
  <c r="D39" i="11" s="1"/>
  <c r="AK117" i="14"/>
  <c r="AN117" i="14" s="1"/>
  <c r="FT117" i="14" s="1"/>
  <c r="FY117" i="14" s="1"/>
  <c r="AA64" i="14"/>
  <c r="D83" i="14"/>
  <c r="R14" i="14"/>
  <c r="IU131" i="14"/>
  <c r="E107" i="14"/>
  <c r="JT82" i="14"/>
  <c r="D70" i="14"/>
  <c r="B107" i="14"/>
  <c r="JO82" i="14"/>
  <c r="V50" i="14"/>
  <c r="Z154" i="14"/>
  <c r="Y64" i="14"/>
  <c r="Y60" i="14" s="1"/>
  <c r="JZ106" i="14"/>
  <c r="JM106" i="14"/>
  <c r="B94" i="14"/>
  <c r="F117" i="14"/>
  <c r="H117" i="14" s="1"/>
  <c r="G117" i="14" s="1"/>
  <c r="W108" i="14"/>
  <c r="AA108" i="14" s="1"/>
  <c r="IR102" i="14"/>
  <c r="O21" i="14"/>
  <c r="C42" i="11"/>
  <c r="IR74" i="14"/>
  <c r="AM84" i="14"/>
  <c r="JO96" i="14"/>
  <c r="V64" i="14"/>
  <c r="AM63" i="14" s="1"/>
  <c r="X103" i="14"/>
  <c r="AK97" i="14"/>
  <c r="AN97" i="14" s="1"/>
  <c r="O16" i="39"/>
  <c r="M16" i="39"/>
  <c r="M17" i="39" s="1"/>
  <c r="M22" i="39"/>
  <c r="M23" i="39" s="1"/>
  <c r="AD21" i="40"/>
  <c r="X21" i="40" s="1"/>
  <c r="Y21" i="40" s="1"/>
  <c r="T26" i="50"/>
  <c r="O26" i="50" s="1"/>
  <c r="P25" i="50"/>
  <c r="D41" i="51"/>
  <c r="C40" i="51" s="1"/>
  <c r="V69" i="50"/>
  <c r="Y109" i="50"/>
  <c r="AD20" i="42"/>
  <c r="X20" i="42" s="1"/>
  <c r="Y20" i="42" s="1"/>
  <c r="AD20" i="43"/>
  <c r="X20" i="43" s="1"/>
  <c r="Y20" i="43" s="1"/>
  <c r="V84" i="50"/>
  <c r="JZ88" i="50"/>
  <c r="Y84" i="50"/>
  <c r="AK84" i="50" s="1"/>
  <c r="AN84" i="50" s="1"/>
  <c r="AI84" i="50" s="1"/>
  <c r="GM47" i="51"/>
  <c r="M27" i="39"/>
  <c r="N27" i="39" s="1"/>
  <c r="AD20" i="41"/>
  <c r="X20" i="41" s="1"/>
  <c r="Y20" i="41" s="1"/>
  <c r="JZ96" i="50"/>
  <c r="E122" i="50"/>
  <c r="O22" i="39"/>
  <c r="AA40" i="50"/>
  <c r="IU102" i="50"/>
  <c r="AA98" i="50"/>
  <c r="JZ121" i="50"/>
  <c r="P22" i="39"/>
  <c r="Z59" i="50"/>
  <c r="AG79" i="11"/>
  <c r="BY79" i="11" s="1"/>
  <c r="AG75" i="11"/>
  <c r="BY75" i="11" s="1"/>
  <c r="JZ82" i="14"/>
  <c r="IS82" i="14"/>
  <c r="AM80" i="14"/>
  <c r="AM79" i="14"/>
  <c r="AM44" i="14"/>
  <c r="AN49" i="14"/>
  <c r="AK50" i="14"/>
  <c r="AN50" i="14" s="1"/>
  <c r="IS78" i="14"/>
  <c r="JZ78" i="14"/>
  <c r="AM50" i="14"/>
  <c r="AM49" i="14"/>
  <c r="Y94" i="14"/>
  <c r="AK93" i="14" s="1"/>
  <c r="D48" i="11"/>
  <c r="V94" i="14"/>
  <c r="Z59" i="14"/>
  <c r="W113" i="14"/>
  <c r="AK112" i="14"/>
  <c r="Y104" i="14"/>
  <c r="Y55" i="14"/>
  <c r="AK54" i="14" s="1"/>
  <c r="D37" i="11"/>
  <c r="AA55" i="14"/>
  <c r="V55" i="14"/>
  <c r="AM55" i="14" s="1"/>
  <c r="IU74" i="14"/>
  <c r="W127" i="14"/>
  <c r="AK126" i="14"/>
  <c r="IS133" i="14"/>
  <c r="IS131" i="14" s="1"/>
  <c r="JZ133" i="14"/>
  <c r="AK154" i="14"/>
  <c r="AN154" i="14" s="1"/>
  <c r="AI154" i="14" s="1"/>
  <c r="AK153" i="14"/>
  <c r="Y90" i="14"/>
  <c r="AK89" i="14" s="1"/>
  <c r="D47" i="11"/>
  <c r="V90" i="14"/>
  <c r="AA45" i="14"/>
  <c r="W41" i="14"/>
  <c r="D34" i="11" s="1"/>
  <c r="Y45" i="14"/>
  <c r="D35" i="11"/>
  <c r="IT131" i="14"/>
  <c r="V40" i="14"/>
  <c r="IO121" i="14"/>
  <c r="AK69" i="14"/>
  <c r="AN69" i="14" s="1"/>
  <c r="IB69" i="14" s="1"/>
  <c r="AK68" i="14"/>
  <c r="AN107" i="14"/>
  <c r="AG107" i="14" s="1"/>
  <c r="AK108" i="14"/>
  <c r="AN108" i="14" s="1"/>
  <c r="FT108" i="14" s="1"/>
  <c r="AK98" i="14"/>
  <c r="AN98" i="14" s="1"/>
  <c r="AI98" i="14" s="1"/>
  <c r="D79" i="14"/>
  <c r="AK83" i="14"/>
  <c r="Y75" i="14"/>
  <c r="AK84" i="14"/>
  <c r="AN84" i="14" s="1"/>
  <c r="AM83" i="14"/>
  <c r="AM85" i="14"/>
  <c r="C40" i="11"/>
  <c r="IS102" i="14"/>
  <c r="FT122" i="14"/>
  <c r="FS122" i="14" s="1"/>
  <c r="FX122" i="14" s="1"/>
  <c r="D45" i="11"/>
  <c r="Y80" i="14"/>
  <c r="B153" i="14"/>
  <c r="EE35" i="10"/>
  <c r="JZ121" i="14"/>
  <c r="E122" i="14"/>
  <c r="D53" i="11"/>
  <c r="D94" i="14"/>
  <c r="AM117" i="14"/>
  <c r="T28" i="14"/>
  <c r="O28" i="14" s="1"/>
  <c r="T27" i="14"/>
  <c r="O27" i="14" s="1"/>
  <c r="E117" i="14"/>
  <c r="B127" i="14"/>
  <c r="JZ96" i="14"/>
  <c r="B154" i="14"/>
  <c r="IR102" i="50"/>
  <c r="AA45" i="50"/>
  <c r="D35" i="51"/>
  <c r="Y45" i="50"/>
  <c r="V45" i="50"/>
  <c r="D54" i="51"/>
  <c r="AA113" i="50"/>
  <c r="IT131" i="50"/>
  <c r="AK97" i="50"/>
  <c r="W41" i="50"/>
  <c r="D34" i="51" s="1"/>
  <c r="AK64" i="50"/>
  <c r="AN64" i="50" s="1"/>
  <c r="AN63" i="50"/>
  <c r="V90" i="50"/>
  <c r="Y90" i="50"/>
  <c r="AK89" i="50" s="1"/>
  <c r="D47" i="51"/>
  <c r="AA90" i="50"/>
  <c r="IU131" i="50"/>
  <c r="Y55" i="50"/>
  <c r="AK54" i="50" s="1"/>
  <c r="AA55" i="50"/>
  <c r="D37" i="51"/>
  <c r="V55" i="50"/>
  <c r="W127" i="50"/>
  <c r="AK126" i="50"/>
  <c r="C41" i="51"/>
  <c r="AG79" i="51" s="1"/>
  <c r="AM153" i="50"/>
  <c r="OB22" i="50"/>
  <c r="AD18" i="43"/>
  <c r="X18" i="43" s="1"/>
  <c r="Y18" i="43" s="1"/>
  <c r="T30" i="50"/>
  <c r="O30" i="50" s="1"/>
  <c r="IR92" i="50"/>
  <c r="IR74" i="50" s="1"/>
  <c r="Y103" i="50"/>
  <c r="Y108" i="50"/>
  <c r="NV108" i="50"/>
  <c r="GH53" i="51" s="1"/>
  <c r="I147" i="50"/>
  <c r="AD19" i="40"/>
  <c r="X19" i="40" s="1"/>
  <c r="D50" i="51"/>
  <c r="D36" i="51"/>
  <c r="Y118" i="50"/>
  <c r="AK117" i="50" s="1"/>
  <c r="AN117" i="50" s="1"/>
  <c r="JO121" i="50"/>
  <c r="D49" i="51"/>
  <c r="Y128" i="50"/>
  <c r="AM50" i="50"/>
  <c r="P37" i="39"/>
  <c r="D45" i="50"/>
  <c r="JZ92" i="50"/>
  <c r="AK69" i="50"/>
  <c r="AN69" i="50" s="1"/>
  <c r="AG69" i="50" s="1"/>
  <c r="AB50" i="39"/>
  <c r="IS133" i="50"/>
  <c r="IS131" i="50" s="1"/>
  <c r="E107" i="50"/>
  <c r="IS82" i="50"/>
  <c r="IS74" i="50" s="1"/>
  <c r="IS111" i="50"/>
  <c r="IS121" i="50"/>
  <c r="IS102" i="50" s="1"/>
  <c r="AD18" i="41"/>
  <c r="X18" i="41" s="1"/>
  <c r="Y18" i="41" s="1"/>
  <c r="JM121" i="50"/>
  <c r="AM97" i="50"/>
  <c r="P16" i="39"/>
  <c r="P27" i="39"/>
  <c r="Q27" i="39" s="1"/>
  <c r="Q28" i="39" s="1"/>
  <c r="IT88" i="50"/>
  <c r="IT74" i="50" s="1"/>
  <c r="IU96" i="50"/>
  <c r="IU74" i="50" s="1"/>
  <c r="X117" i="50"/>
  <c r="X103" i="50" s="1"/>
  <c r="JO96" i="50"/>
  <c r="R21" i="50"/>
  <c r="Y154" i="50"/>
  <c r="E112" i="50"/>
  <c r="AK113" i="50"/>
  <c r="AN113" i="50" s="1"/>
  <c r="JT92" i="14"/>
  <c r="IP92" i="14"/>
  <c r="JM92" i="14"/>
  <c r="AI108" i="14"/>
  <c r="HN98" i="14"/>
  <c r="K37" i="10"/>
  <c r="EV39" i="10"/>
  <c r="D17" i="10"/>
  <c r="FV22" i="10"/>
  <c r="JU53" i="14"/>
  <c r="JN53" i="14" s="1"/>
  <c r="G67" i="10"/>
  <c r="BW41" i="10"/>
  <c r="CK41" i="10" s="1"/>
  <c r="EW41" i="10"/>
  <c r="BH61" i="10"/>
  <c r="FS39" i="10"/>
  <c r="FT39" i="10" s="1"/>
  <c r="AR29" i="18" s="1"/>
  <c r="FY58" i="10"/>
  <c r="FX59" i="10"/>
  <c r="FY50" i="10"/>
  <c r="BM55" i="10"/>
  <c r="BJ55" i="10" s="1"/>
  <c r="EA47" i="10"/>
  <c r="BA29" i="10"/>
  <c r="AX29" i="10" s="1"/>
  <c r="DG29" i="10"/>
  <c r="AD19" i="18" s="1"/>
  <c r="BK43" i="10"/>
  <c r="N62" i="10"/>
  <c r="AD33" i="14" s="1"/>
  <c r="M122" i="14" s="1"/>
  <c r="S47" i="10"/>
  <c r="OA26" i="14"/>
  <c r="GJ22" i="11"/>
  <c r="E46" i="10"/>
  <c r="BO46" i="10"/>
  <c r="EO38" i="10"/>
  <c r="GV26" i="14"/>
  <c r="DI29" i="10"/>
  <c r="AF19" i="18" s="1"/>
  <c r="CE40" i="10"/>
  <c r="EC62" i="10"/>
  <c r="EO40" i="10"/>
  <c r="B108" i="14"/>
  <c r="C109" i="14"/>
  <c r="CC79" i="10"/>
  <c r="CS37" i="10"/>
  <c r="CS46" i="10"/>
  <c r="FX41" i="10"/>
  <c r="EX61" i="10"/>
  <c r="F46" i="10"/>
  <c r="BC31" i="10"/>
  <c r="AZ31" i="10" s="1"/>
  <c r="BB31" i="10"/>
  <c r="E31" i="10"/>
  <c r="FS31" i="10"/>
  <c r="FS22" i="10"/>
  <c r="FR22" i="10" s="1"/>
  <c r="AP12" i="18" s="1"/>
  <c r="CS75" i="10"/>
  <c r="IP82" i="14"/>
  <c r="EJ13" i="11"/>
  <c r="AY75" i="10"/>
  <c r="EN27" i="10"/>
  <c r="FP25" i="10"/>
  <c r="FM25" i="10"/>
  <c r="DC49" i="10"/>
  <c r="R39" i="18" s="1"/>
  <c r="S33" i="18"/>
  <c r="FN67" i="10"/>
  <c r="B73" i="10"/>
  <c r="BO22" i="10"/>
  <c r="BL22" i="10" s="1"/>
  <c r="FD36" i="14"/>
  <c r="CE42" i="10"/>
  <c r="BO66" i="10"/>
  <c r="BL66" i="10" s="1"/>
  <c r="CT61" i="10"/>
  <c r="BX45" i="10"/>
  <c r="CL45" i="10" s="1"/>
  <c r="CL48" i="10"/>
  <c r="DD77" i="10"/>
  <c r="EE39" i="10"/>
  <c r="EC39" i="10"/>
  <c r="BR47" i="10"/>
  <c r="BR45" i="10" s="1"/>
  <c r="CH45" i="10" s="1"/>
  <c r="M47" i="10"/>
  <c r="DF30" i="10"/>
  <c r="U20" i="18" s="1"/>
  <c r="CF59" i="10"/>
  <c r="S75" i="10"/>
  <c r="BO58" i="10"/>
  <c r="JS67" i="14"/>
  <c r="EC24" i="10"/>
  <c r="DC54" i="10"/>
  <c r="R44" i="18" s="1"/>
  <c r="BL20" i="10"/>
  <c r="JS78" i="14"/>
  <c r="JM78" i="14" s="1"/>
  <c r="EE38" i="10"/>
  <c r="EW62" i="10"/>
  <c r="EV62" i="10" s="1"/>
  <c r="L117" i="14"/>
  <c r="GV17" i="14"/>
  <c r="BA39" i="10"/>
  <c r="AX39" i="10" s="1"/>
  <c r="EH12" i="10"/>
  <c r="CP12" i="10"/>
  <c r="EF12" i="10" s="1"/>
  <c r="O68" i="10"/>
  <c r="F68" i="10" s="1"/>
  <c r="S29" i="18"/>
  <c r="BF61" i="10"/>
  <c r="DH25" i="10"/>
  <c r="FY48" i="10"/>
  <c r="CH24" i="10"/>
  <c r="BQ56" i="10"/>
  <c r="EW68" i="10"/>
  <c r="EW54" i="10"/>
  <c r="EV54" i="10" s="1"/>
  <c r="AB25" i="10"/>
  <c r="FY28" i="10"/>
  <c r="BV48" i="10"/>
  <c r="AD25" i="10"/>
  <c r="BN49" i="10"/>
  <c r="CP11" i="10"/>
  <c r="EF11" i="10" s="1"/>
  <c r="B84" i="14"/>
  <c r="D155" i="14"/>
  <c r="BC40" i="10"/>
  <c r="CF40" i="10" s="1"/>
  <c r="JS43" i="14"/>
  <c r="M55" i="10"/>
  <c r="BB43" i="10"/>
  <c r="EN55" i="10"/>
  <c r="ED21" i="10"/>
  <c r="S24" i="10"/>
  <c r="P24" i="10" s="1"/>
  <c r="EN53" i="10"/>
  <c r="E25" i="10"/>
  <c r="U55" i="10"/>
  <c r="P55" i="10" s="1"/>
  <c r="O69" i="10"/>
  <c r="F69" i="10" s="1"/>
  <c r="EU63" i="10"/>
  <c r="EP63" i="10" s="1"/>
  <c r="EO63" i="10" s="1"/>
  <c r="EW56" i="10"/>
  <c r="EV56" i="10" s="1"/>
  <c r="BQ25" i="10"/>
  <c r="EP31" i="10"/>
  <c r="EO31" i="10" s="1"/>
  <c r="AB56" i="10"/>
  <c r="F30" i="10"/>
  <c r="BN21" i="10"/>
  <c r="DH56" i="10"/>
  <c r="DI56" i="10" s="1"/>
  <c r="AF46" i="18" s="1"/>
  <c r="C126" i="14"/>
  <c r="D97" i="14"/>
  <c r="N24" i="10"/>
  <c r="BN24" i="10"/>
  <c r="BK24" i="10" s="1"/>
  <c r="S49" i="10"/>
  <c r="CK47" i="10"/>
  <c r="CK56" i="10"/>
  <c r="CH56" i="10"/>
  <c r="T36" i="14"/>
  <c r="O36" i="14" s="1"/>
  <c r="U48" i="10"/>
  <c r="BB35" i="10"/>
  <c r="S22" i="10"/>
  <c r="P22" i="10" s="1"/>
  <c r="FP22" i="10" s="1"/>
  <c r="M31" i="10"/>
  <c r="GH26" i="11"/>
  <c r="N35" i="10"/>
  <c r="AD22" i="14" s="1"/>
  <c r="DD78" i="10"/>
  <c r="BG52" i="10"/>
  <c r="S28" i="10"/>
  <c r="P28" i="10" s="1"/>
  <c r="BC38" i="10"/>
  <c r="EP48" i="10"/>
  <c r="EO48" i="10" s="1"/>
  <c r="BD33" i="10"/>
  <c r="EU21" i="10"/>
  <c r="EP21" i="10" s="1"/>
  <c r="O22" i="10"/>
  <c r="F22" i="10" s="1"/>
  <c r="O54" i="10"/>
  <c r="F54" i="10" s="1"/>
  <c r="N59" i="10"/>
  <c r="BA54" i="10"/>
  <c r="AX54" i="10" s="1"/>
  <c r="P68" i="10"/>
  <c r="W25" i="10"/>
  <c r="CK31" i="10"/>
  <c r="EW43" i="10"/>
  <c r="EV43" i="10" s="1"/>
  <c r="X25" i="10"/>
  <c r="Y25" i="10"/>
  <c r="O24" i="10"/>
  <c r="F24" i="10" s="1"/>
  <c r="Z25" i="10"/>
  <c r="V25" i="10"/>
  <c r="O25" i="10"/>
  <c r="F25" i="10" s="1"/>
  <c r="O49" i="10"/>
  <c r="O67" i="10"/>
  <c r="F67" i="10" s="1"/>
  <c r="EA48" i="10"/>
  <c r="AA25" i="10"/>
  <c r="ED37" i="10"/>
  <c r="DT37" i="10" s="1"/>
  <c r="DV37" i="10" s="1"/>
  <c r="BL46" i="10"/>
  <c r="BM46" i="10"/>
  <c r="BJ46" i="10" s="1"/>
  <c r="BO45" i="10"/>
  <c r="FS42" i="10"/>
  <c r="GP42" i="10" s="1"/>
  <c r="JS96" i="14"/>
  <c r="FX42" i="10"/>
  <c r="P69" i="10"/>
  <c r="V69" i="10" s="1"/>
  <c r="DJ56" i="10"/>
  <c r="AG46" i="18" s="1"/>
  <c r="DG56" i="10"/>
  <c r="AD46" i="18" s="1"/>
  <c r="DI47" i="10"/>
  <c r="AF37" i="18" s="1"/>
  <c r="AE37" i="18"/>
  <c r="AE44" i="18"/>
  <c r="DJ54" i="10"/>
  <c r="AG44" i="18" s="1"/>
  <c r="DG47" i="10"/>
  <c r="AD37" i="18" s="1"/>
  <c r="FU39" i="10"/>
  <c r="AS29" i="18" s="1"/>
  <c r="AQ29" i="18"/>
  <c r="GM39" i="10"/>
  <c r="DJ47" i="10"/>
  <c r="AG37" i="18" s="1"/>
  <c r="FR39" i="10"/>
  <c r="AP29" i="18" s="1"/>
  <c r="AE33" i="18"/>
  <c r="DI43" i="10"/>
  <c r="AF33" i="18" s="1"/>
  <c r="DG43" i="10"/>
  <c r="AD33" i="18" s="1"/>
  <c r="DJ43" i="10"/>
  <c r="AG33" i="18" s="1"/>
  <c r="C114" i="14"/>
  <c r="M112" i="14"/>
  <c r="L145" i="14"/>
  <c r="AY59" i="10"/>
  <c r="AY58" i="10" s="1"/>
  <c r="BF45" i="10"/>
  <c r="C17" i="10"/>
  <c r="AZ25" i="10"/>
  <c r="CF25" i="10"/>
  <c r="CF55" i="10"/>
  <c r="F50" i="10"/>
  <c r="JS111" i="14"/>
  <c r="BA55" i="10"/>
  <c r="CE55" i="10"/>
  <c r="DE39" i="10"/>
  <c r="T29" i="18" s="1"/>
  <c r="BM66" i="10"/>
  <c r="BJ66" i="10" s="1"/>
  <c r="DC39" i="10"/>
  <c r="R29" i="18" s="1"/>
  <c r="CF31" i="10"/>
  <c r="EO55" i="10"/>
  <c r="BL50" i="10"/>
  <c r="EK67" i="10"/>
  <c r="EQ45" i="10"/>
  <c r="AY29" i="10"/>
  <c r="BK55" i="10"/>
  <c r="CF46" i="10"/>
  <c r="BL30" i="10"/>
  <c r="CC76" i="10"/>
  <c r="GV29" i="14"/>
  <c r="AQ12" i="18"/>
  <c r="GH84" i="14"/>
  <c r="FP21" i="10"/>
  <c r="FN21" i="10"/>
  <c r="DE49" i="10"/>
  <c r="T39" i="18" s="1"/>
  <c r="S39" i="18"/>
  <c r="AE54" i="18"/>
  <c r="DG68" i="10"/>
  <c r="AD54" i="18" s="1"/>
  <c r="DX53" i="10"/>
  <c r="DJ29" i="10"/>
  <c r="AG19" i="18" s="1"/>
  <c r="DF49" i="10"/>
  <c r="U39" i="18" s="1"/>
  <c r="S20" i="18"/>
  <c r="G21" i="10"/>
  <c r="L21" i="10" s="1"/>
  <c r="AB15" i="14" s="1"/>
  <c r="B112" i="14"/>
  <c r="B114" i="14" s="1"/>
  <c r="EB39" i="10"/>
  <c r="FC27" i="14"/>
  <c r="FN66" i="10"/>
  <c r="FO66" i="10"/>
  <c r="BK40" i="10"/>
  <c r="BM40" i="10"/>
  <c r="BJ40" i="10" s="1"/>
  <c r="U16" i="14"/>
  <c r="CT45" i="10"/>
  <c r="DD50" i="10"/>
  <c r="DE50" i="10" s="1"/>
  <c r="T40" i="18" s="1"/>
  <c r="BQ66" i="10"/>
  <c r="BS65" i="10"/>
  <c r="CI65" i="10" s="1"/>
  <c r="FX54" i="10"/>
  <c r="M107" i="14"/>
  <c r="EB31" i="10"/>
  <c r="DZ31" i="10"/>
  <c r="BA40" i="10"/>
  <c r="AX40" i="10" s="1"/>
  <c r="FV40" i="10"/>
  <c r="EE53" i="10"/>
  <c r="EC53" i="10"/>
  <c r="G31" i="10"/>
  <c r="L31" i="10" s="1"/>
  <c r="JV88" i="14"/>
  <c r="IQ88" i="14"/>
  <c r="JW88" i="14"/>
  <c r="AY43" i="10"/>
  <c r="CE43" i="10"/>
  <c r="L139" i="14"/>
  <c r="AY48" i="10"/>
  <c r="CE48" i="10"/>
  <c r="FV39" i="10"/>
  <c r="JU82" i="14"/>
  <c r="AZ34" i="10"/>
  <c r="AZ33" i="10" s="1"/>
  <c r="CF34" i="10"/>
  <c r="BM39" i="10"/>
  <c r="EV35" i="10"/>
  <c r="FO24" i="10"/>
  <c r="FN24" i="10"/>
  <c r="CF29" i="10"/>
  <c r="CF35" i="10"/>
  <c r="BB37" i="10"/>
  <c r="CE66" i="10"/>
  <c r="BD45" i="10"/>
  <c r="EO42" i="10"/>
  <c r="P39" i="10"/>
  <c r="V39" i="10" s="1"/>
  <c r="BK67" i="10"/>
  <c r="BM67" i="10"/>
  <c r="BJ67" i="10" s="1"/>
  <c r="CU61" i="10"/>
  <c r="O21" i="10"/>
  <c r="O55" i="10"/>
  <c r="W24" i="10"/>
  <c r="E24" i="10"/>
  <c r="EC30" i="10"/>
  <c r="B64" i="14"/>
  <c r="B117" i="14"/>
  <c r="OC16" i="14"/>
  <c r="GL13" i="11"/>
  <c r="DP77" i="10"/>
  <c r="CF54" i="10"/>
  <c r="BA42" i="10"/>
  <c r="AX42" i="10" s="1"/>
  <c r="EO29" i="10"/>
  <c r="T63" i="10"/>
  <c r="O63" i="10" s="1"/>
  <c r="FD14" i="14"/>
  <c r="EE20" i="10"/>
  <c r="FX20" i="10"/>
  <c r="S63" i="10"/>
  <c r="S61" i="10" s="1"/>
  <c r="I61" i="10" s="1"/>
  <c r="EA61" i="10" s="1"/>
  <c r="DP61" i="10" s="1"/>
  <c r="BC63" i="10"/>
  <c r="DZ40" i="10"/>
  <c r="S35" i="10"/>
  <c r="CU19" i="10"/>
  <c r="BH19" i="10"/>
  <c r="EC35" i="10"/>
  <c r="O35" i="10"/>
  <c r="F35" i="10" s="1"/>
  <c r="O59" i="10"/>
  <c r="D154" i="14"/>
  <c r="BS45" i="10"/>
  <c r="BR41" i="10"/>
  <c r="S41" i="10"/>
  <c r="P41" i="10" s="1"/>
  <c r="EA41" i="10"/>
  <c r="FW25" i="10"/>
  <c r="FV25" i="10" s="1"/>
  <c r="EB25" i="10"/>
  <c r="BD37" i="10"/>
  <c r="AY76" i="10"/>
  <c r="CB76" i="10" s="1"/>
  <c r="D68" i="14"/>
  <c r="M62" i="10"/>
  <c r="AC33" i="14" s="1"/>
  <c r="U35" i="10"/>
  <c r="GH22" i="11"/>
  <c r="O28" i="10"/>
  <c r="F28" i="10" s="1"/>
  <c r="E23" i="10"/>
  <c r="EN23" i="10"/>
  <c r="EP35" i="10"/>
  <c r="BV40" i="10"/>
  <c r="DH40" i="10" s="1"/>
  <c r="DG40" i="10" s="1"/>
  <c r="AD30" i="18" s="1"/>
  <c r="AC56" i="10"/>
  <c r="BO23" i="10"/>
  <c r="CU45" i="10"/>
  <c r="M21" i="10"/>
  <c r="AC15" i="14" s="1"/>
  <c r="CK23" i="10"/>
  <c r="EN39" i="10"/>
  <c r="U47" i="10"/>
  <c r="M25" i="10"/>
  <c r="CK21" i="10"/>
  <c r="BC68" i="10"/>
  <c r="E48" i="10"/>
  <c r="U23" i="10"/>
  <c r="N40" i="10"/>
  <c r="AD28" i="14" s="1"/>
  <c r="O29" i="10"/>
  <c r="F29" i="10" s="1"/>
  <c r="O41" i="10"/>
  <c r="FW41" i="10"/>
  <c r="EP22" i="10"/>
  <c r="EP50" i="10"/>
  <c r="EO50" i="10" s="1"/>
  <c r="AD56" i="10"/>
  <c r="AA42" i="10"/>
  <c r="AE56" i="10"/>
  <c r="BG63" i="10"/>
  <c r="BG61" i="10" s="1"/>
  <c r="BQ21" i="10"/>
  <c r="CG21" i="10" s="1"/>
  <c r="BV22" i="10"/>
  <c r="N50" i="10"/>
  <c r="FW34" i="10"/>
  <c r="AY79" i="10"/>
  <c r="CB79" i="10" s="1"/>
  <c r="W48" i="10"/>
  <c r="BV50" i="10"/>
  <c r="CS63" i="10"/>
  <c r="CS61" i="10" s="1"/>
  <c r="FB21" i="10"/>
  <c r="EW21" i="10" s="1"/>
  <c r="X48" i="10"/>
  <c r="DH42" i="10"/>
  <c r="DJ42" i="10" s="1"/>
  <c r="AG32" i="18" s="1"/>
  <c r="BE27" i="10"/>
  <c r="EW29" i="10"/>
  <c r="U29" i="10"/>
  <c r="ED41" i="10"/>
  <c r="FD29" i="14" s="1"/>
  <c r="U46" i="10"/>
  <c r="N53" i="10"/>
  <c r="CS29" i="10"/>
  <c r="S56" i="10"/>
  <c r="ED22" i="10"/>
  <c r="S46" i="10"/>
  <c r="E66" i="10"/>
  <c r="E68" i="10"/>
  <c r="EN42" i="10"/>
  <c r="FY55" i="10"/>
  <c r="FX55" i="10" s="1"/>
  <c r="EN63" i="10"/>
  <c r="EN61" i="10" s="1"/>
  <c r="Y48" i="10"/>
  <c r="EP68" i="10"/>
  <c r="AA48" i="10"/>
  <c r="BQ40" i="10"/>
  <c r="CG40" i="10" s="1"/>
  <c r="EP66" i="10"/>
  <c r="AB48" i="10"/>
  <c r="EW31" i="10"/>
  <c r="AD48" i="10"/>
  <c r="FW24" i="10"/>
  <c r="FV24" i="10" s="1"/>
  <c r="AE48" i="10"/>
  <c r="EW24" i="10"/>
  <c r="EV24" i="10" s="1"/>
  <c r="X56" i="10"/>
  <c r="FY24" i="10"/>
  <c r="FW35" i="10"/>
  <c r="AY77" i="10"/>
  <c r="CB77" i="10" s="1"/>
  <c r="Y56" i="10"/>
  <c r="N21" i="10"/>
  <c r="AD15" i="14" s="1"/>
  <c r="CK24" i="10"/>
  <c r="FW43" i="10"/>
  <c r="EW34" i="10"/>
  <c r="Z56" i="10"/>
  <c r="FY40" i="10"/>
  <c r="FS40" i="10" s="1"/>
  <c r="AA56" i="10"/>
  <c r="JM152" i="14"/>
  <c r="IP152" i="14"/>
  <c r="DE53" i="10"/>
  <c r="T43" i="18" s="1"/>
  <c r="DC53" i="10"/>
  <c r="R43" i="18" s="1"/>
  <c r="DF53" i="10"/>
  <c r="U43" i="18" s="1"/>
  <c r="S43" i="18"/>
  <c r="AY73" i="10"/>
  <c r="FY122" i="14"/>
  <c r="FW122" i="14"/>
  <c r="DT21" i="10"/>
  <c r="DT54" i="10"/>
  <c r="DT29" i="10"/>
  <c r="DT23" i="10"/>
  <c r="DT38" i="10"/>
  <c r="DP30" i="10"/>
  <c r="DP22" i="10"/>
  <c r="DT39" i="10"/>
  <c r="DT63" i="10"/>
  <c r="DP62" i="10"/>
  <c r="DT66" i="10"/>
  <c r="DP25" i="10"/>
  <c r="BM42" i="10"/>
  <c r="CF42" i="10"/>
  <c r="BL42" i="10"/>
  <c r="CD55" i="10"/>
  <c r="AX55" i="10"/>
  <c r="EB54" i="10"/>
  <c r="DZ54" i="10"/>
  <c r="FM21" i="10"/>
  <c r="FO21" i="10"/>
  <c r="N15" i="14"/>
  <c r="Q15" i="14" s="1"/>
  <c r="BL33" i="10"/>
  <c r="L134" i="14"/>
  <c r="GW33" i="14"/>
  <c r="IB122" i="14" s="1"/>
  <c r="BM54" i="10"/>
  <c r="BK54" i="10"/>
  <c r="BK52" i="10" s="1"/>
  <c r="CF41" i="10"/>
  <c r="BA41" i="10"/>
  <c r="AZ41" i="10"/>
  <c r="AY46" i="10"/>
  <c r="BA46" i="10"/>
  <c r="EO39" i="10"/>
  <c r="GV27" i="14"/>
  <c r="DE43" i="10"/>
  <c r="T33" i="18" s="1"/>
  <c r="BQ27" i="14"/>
  <c r="CK84" i="14" s="1"/>
  <c r="CJ84" i="14" s="1"/>
  <c r="R74" i="18" s="1"/>
  <c r="DI54" i="10"/>
  <c r="AF44" i="18" s="1"/>
  <c r="DG54" i="10"/>
  <c r="AD44" i="18" s="1"/>
  <c r="BL28" i="10"/>
  <c r="BO27" i="10"/>
  <c r="P14" i="14"/>
  <c r="T14" i="14"/>
  <c r="O14" i="14" s="1"/>
  <c r="AZ40" i="10"/>
  <c r="JU96" i="14"/>
  <c r="FV42" i="10"/>
  <c r="GV14" i="14"/>
  <c r="BO52" i="10"/>
  <c r="JU111" i="14"/>
  <c r="BB58" i="10"/>
  <c r="FD26" i="14"/>
  <c r="AG84" i="14"/>
  <c r="JT106" i="14"/>
  <c r="AZ55" i="10"/>
  <c r="BL63" i="10"/>
  <c r="BL61" i="10" s="1"/>
  <c r="L107" i="14"/>
  <c r="DZ29" i="10"/>
  <c r="EB29" i="10"/>
  <c r="FO39" i="10"/>
  <c r="BL38" i="10"/>
  <c r="CF38" i="10"/>
  <c r="FP53" i="10"/>
  <c r="FN53" i="10"/>
  <c r="FM53" i="10"/>
  <c r="FO53" i="10"/>
  <c r="CF48" i="10"/>
  <c r="AZ48" i="10"/>
  <c r="F40" i="10"/>
  <c r="BD75" i="10"/>
  <c r="FP69" i="10"/>
  <c r="EE43" i="10"/>
  <c r="EC43" i="10"/>
  <c r="S43" i="10"/>
  <c r="M43" i="10"/>
  <c r="BQ79" i="10"/>
  <c r="BR75" i="10"/>
  <c r="BT75" i="10" s="1"/>
  <c r="CH79" i="10"/>
  <c r="EB56" i="10"/>
  <c r="AN19" i="10"/>
  <c r="AN62" i="10" s="1"/>
  <c r="AM19" i="10"/>
  <c r="AM62" i="10" s="1"/>
  <c r="AL19" i="10"/>
  <c r="AL62" i="10" s="1"/>
  <c r="AK19" i="10"/>
  <c r="AK62" i="10" s="1"/>
  <c r="AJ19" i="10"/>
  <c r="AJ62" i="10" s="1"/>
  <c r="AI19" i="10"/>
  <c r="AI62" i="10" s="1"/>
  <c r="AH19" i="10"/>
  <c r="AH62" i="10" s="1"/>
  <c r="AG19" i="10"/>
  <c r="AG62" i="10" s="1"/>
  <c r="AF19" i="10"/>
  <c r="AF62" i="10" s="1"/>
  <c r="BF19" i="10"/>
  <c r="CT19" i="10"/>
  <c r="BE19" i="10"/>
  <c r="BQ38" i="10"/>
  <c r="BR37" i="10"/>
  <c r="CH37" i="10" s="1"/>
  <c r="BQ69" i="10"/>
  <c r="BR65" i="10"/>
  <c r="FY30" i="10"/>
  <c r="BD52" i="10"/>
  <c r="FY25" i="10"/>
  <c r="OA14" i="14"/>
  <c r="BD27" i="10"/>
  <c r="BB63" i="10"/>
  <c r="BV63" i="10"/>
  <c r="AE21" i="10"/>
  <c r="AD21" i="10"/>
  <c r="AC21" i="10"/>
  <c r="AB21" i="10"/>
  <c r="AA21" i="10"/>
  <c r="Z21" i="10"/>
  <c r="Y21" i="10"/>
  <c r="X21" i="10"/>
  <c r="W21" i="10"/>
  <c r="CS21" i="10"/>
  <c r="DX21" i="10" s="1"/>
  <c r="E21" i="10"/>
  <c r="EN21" i="10"/>
  <c r="BR58" i="10"/>
  <c r="BQ59" i="10"/>
  <c r="JS116" i="14"/>
  <c r="GV33" i="14"/>
  <c r="HN122" i="14" s="1"/>
  <c r="BA62" i="10"/>
  <c r="BB21" i="10"/>
  <c r="GC63" i="10"/>
  <c r="FW20" i="10"/>
  <c r="BQ48" i="10"/>
  <c r="BW62" i="10"/>
  <c r="U62" i="10"/>
  <c r="EC25" i="10"/>
  <c r="GL22" i="11"/>
  <c r="BR29" i="10"/>
  <c r="BR27" i="10" s="1"/>
  <c r="CH27" i="10" s="1"/>
  <c r="M29" i="10"/>
  <c r="AE50" i="10"/>
  <c r="AD50" i="10"/>
  <c r="AC50" i="10"/>
  <c r="AB50" i="10"/>
  <c r="AA50" i="10"/>
  <c r="CS50" i="10"/>
  <c r="Z50" i="10"/>
  <c r="Y50" i="10"/>
  <c r="X50" i="10"/>
  <c r="W50" i="10"/>
  <c r="BN50" i="10"/>
  <c r="BB50" i="10"/>
  <c r="V40" i="10"/>
  <c r="AZ69" i="10"/>
  <c r="F20" i="10"/>
  <c r="EK14" i="11"/>
  <c r="P50" i="10"/>
  <c r="V50" i="10" s="1"/>
  <c r="BD19" i="10"/>
  <c r="BQ41" i="10"/>
  <c r="G40" i="10"/>
  <c r="BA67" i="10"/>
  <c r="T26" i="14"/>
  <c r="B80" i="14"/>
  <c r="GJ13" i="11"/>
  <c r="OA16" i="14"/>
  <c r="BA69" i="10"/>
  <c r="EP69" i="10"/>
  <c r="EK23" i="11"/>
  <c r="FC17" i="14"/>
  <c r="I76" i="10"/>
  <c r="BD65" i="10"/>
  <c r="FW59" i="10"/>
  <c r="EA43" i="10"/>
  <c r="AE34" i="10"/>
  <c r="AD34" i="10"/>
  <c r="AC34" i="10"/>
  <c r="AB34" i="10"/>
  <c r="AA34" i="10"/>
  <c r="Z34" i="10"/>
  <c r="Y34" i="10"/>
  <c r="X34" i="10"/>
  <c r="W34" i="10"/>
  <c r="BB34" i="10"/>
  <c r="BN34" i="10"/>
  <c r="EN34" i="10"/>
  <c r="CS34" i="10"/>
  <c r="AW19" i="10"/>
  <c r="AW62" i="10" s="1"/>
  <c r="AV19" i="10"/>
  <c r="AV62" i="10" s="1"/>
  <c r="AU19" i="10"/>
  <c r="AU62" i="10" s="1"/>
  <c r="AT19" i="10"/>
  <c r="AT62" i="10" s="1"/>
  <c r="AS19" i="10"/>
  <c r="AS62" i="10" s="1"/>
  <c r="AR19" i="10"/>
  <c r="AR62" i="10" s="1"/>
  <c r="AQ19" i="10"/>
  <c r="AQ62" i="10" s="1"/>
  <c r="AP19" i="10"/>
  <c r="AP62" i="10" s="1"/>
  <c r="BR23" i="10"/>
  <c r="M23" i="10"/>
  <c r="AC17" i="14" s="1"/>
  <c r="Y46" i="10"/>
  <c r="BS52" i="10"/>
  <c r="CI52" i="10" s="1"/>
  <c r="BV66" i="10"/>
  <c r="BX65" i="10"/>
  <c r="BS75" i="10"/>
  <c r="BU75" i="10" s="1"/>
  <c r="AA29" i="10"/>
  <c r="Z29" i="10"/>
  <c r="Y29" i="10"/>
  <c r="X29" i="10"/>
  <c r="W29" i="10"/>
  <c r="AE29" i="10"/>
  <c r="AD29" i="10"/>
  <c r="AC29" i="10"/>
  <c r="AE43" i="10"/>
  <c r="AD43" i="10"/>
  <c r="AC43" i="10"/>
  <c r="AB43" i="10"/>
  <c r="AA43" i="10"/>
  <c r="Z43" i="10"/>
  <c r="Y43" i="10"/>
  <c r="X43" i="10"/>
  <c r="W43" i="10"/>
  <c r="AA66" i="10"/>
  <c r="Z66" i="10"/>
  <c r="Y66" i="10"/>
  <c r="X66" i="10"/>
  <c r="W66" i="10"/>
  <c r="AE66" i="10"/>
  <c r="AD66" i="10"/>
  <c r="AC66" i="10"/>
  <c r="BW30" i="10"/>
  <c r="BW27" i="10" s="1"/>
  <c r="CK27" i="10" s="1"/>
  <c r="N30" i="10"/>
  <c r="U30" i="10"/>
  <c r="BQ46" i="10"/>
  <c r="BS33" i="10"/>
  <c r="CI33" i="10" s="1"/>
  <c r="BQ34" i="10"/>
  <c r="BX52" i="10"/>
  <c r="CL52" i="10" s="1"/>
  <c r="AE23" i="10"/>
  <c r="AD23" i="10"/>
  <c r="AC23" i="10"/>
  <c r="AB23" i="10"/>
  <c r="AA23" i="10"/>
  <c r="Z23" i="10"/>
  <c r="Y23" i="10"/>
  <c r="X23" i="10"/>
  <c r="W23" i="10"/>
  <c r="AD38" i="10"/>
  <c r="AC38" i="10"/>
  <c r="AB38" i="10"/>
  <c r="AA38" i="10"/>
  <c r="Z38" i="10"/>
  <c r="Y38" i="10"/>
  <c r="X38" i="10"/>
  <c r="W38" i="10"/>
  <c r="AE54" i="10"/>
  <c r="AD54" i="10"/>
  <c r="AC54" i="10"/>
  <c r="AB54" i="10"/>
  <c r="AA54" i="10"/>
  <c r="Z54" i="10"/>
  <c r="Y54" i="10"/>
  <c r="X54" i="10"/>
  <c r="W54" i="10"/>
  <c r="AE30" i="10"/>
  <c r="AD30" i="10"/>
  <c r="AC30" i="10"/>
  <c r="AB30" i="10"/>
  <c r="AA30" i="10"/>
  <c r="Z30" i="10"/>
  <c r="Y30" i="10"/>
  <c r="X30" i="10"/>
  <c r="W30" i="10"/>
  <c r="X46" i="10"/>
  <c r="W46" i="10"/>
  <c r="AE46" i="10"/>
  <c r="AD46" i="10"/>
  <c r="AC46" i="10"/>
  <c r="AB46" i="10"/>
  <c r="AA46" i="10"/>
  <c r="Z46" i="10"/>
  <c r="BR52" i="10"/>
  <c r="CH52" i="10" s="1"/>
  <c r="BQ55" i="10"/>
  <c r="BW33" i="10"/>
  <c r="CK33" i="10" s="1"/>
  <c r="BV35" i="10"/>
  <c r="Y55" i="10"/>
  <c r="X55" i="10"/>
  <c r="W55" i="10"/>
  <c r="AE55" i="10"/>
  <c r="AD55" i="10"/>
  <c r="AC55" i="10"/>
  <c r="AB55" i="10"/>
  <c r="AA55" i="10"/>
  <c r="AE67" i="10"/>
  <c r="AD67" i="10"/>
  <c r="AC67" i="10"/>
  <c r="AB67" i="10"/>
  <c r="AA67" i="10"/>
  <c r="Z67" i="10"/>
  <c r="Y67" i="10"/>
  <c r="X67" i="10"/>
  <c r="W67" i="10"/>
  <c r="FW28" i="10"/>
  <c r="BW58" i="10"/>
  <c r="BV59" i="10"/>
  <c r="EP46" i="10"/>
  <c r="BC43" i="10"/>
  <c r="B65" i="10"/>
  <c r="CS65" i="10" s="1"/>
  <c r="E55" i="10"/>
  <c r="BC66" i="10"/>
  <c r="B19" i="10"/>
  <c r="BX61" i="10"/>
  <c r="CL61" i="10" s="1"/>
  <c r="BI19" i="10"/>
  <c r="EA28" i="10"/>
  <c r="DP28" i="10" s="1"/>
  <c r="EA42" i="10"/>
  <c r="D50" i="14"/>
  <c r="BQ31" i="10"/>
  <c r="AE39" i="10"/>
  <c r="AD39" i="10"/>
  <c r="AC39" i="10"/>
  <c r="AB39" i="10"/>
  <c r="AA39" i="10"/>
  <c r="Z39" i="10"/>
  <c r="Y39" i="10"/>
  <c r="X39" i="10"/>
  <c r="W39" i="10"/>
  <c r="AE47" i="10"/>
  <c r="AD47" i="10"/>
  <c r="AC47" i="10"/>
  <c r="AB47" i="10"/>
  <c r="AA47" i="10"/>
  <c r="Z47" i="10"/>
  <c r="Y47" i="10"/>
  <c r="X47" i="10"/>
  <c r="W47" i="10"/>
  <c r="BW45" i="10"/>
  <c r="CK45" i="10" s="1"/>
  <c r="BV46" i="10"/>
  <c r="AB66" i="10"/>
  <c r="BS19" i="10"/>
  <c r="BX33" i="10"/>
  <c r="CL33" i="10" s="1"/>
  <c r="Z20" i="10"/>
  <c r="Y20" i="10"/>
  <c r="X20" i="10"/>
  <c r="W20" i="10"/>
  <c r="AE20" i="10"/>
  <c r="AD20" i="10"/>
  <c r="AC20" i="10"/>
  <c r="AB20" i="10"/>
  <c r="FW46" i="10"/>
  <c r="Z68" i="10"/>
  <c r="BS37" i="10"/>
  <c r="BH52" i="10"/>
  <c r="AE24" i="10"/>
  <c r="AD24" i="10"/>
  <c r="AC24" i="10"/>
  <c r="AB24" i="10"/>
  <c r="AA24" i="10"/>
  <c r="Z24" i="10"/>
  <c r="BC24" i="10"/>
  <c r="Y24" i="10"/>
  <c r="X24" i="10"/>
  <c r="Y31" i="10"/>
  <c r="X31" i="10"/>
  <c r="W31" i="10"/>
  <c r="AE31" i="10"/>
  <c r="AD31" i="10"/>
  <c r="AC31" i="10"/>
  <c r="AB31" i="10"/>
  <c r="AA31" i="10"/>
  <c r="AB40" i="10"/>
  <c r="AA40" i="10"/>
  <c r="Z40" i="10"/>
  <c r="Y40" i="10"/>
  <c r="X40" i="10"/>
  <c r="W40" i="10"/>
  <c r="AE40" i="10"/>
  <c r="AD40" i="10"/>
  <c r="BV28" i="10"/>
  <c r="ED31" i="10"/>
  <c r="ED40" i="10"/>
  <c r="EW48" i="10"/>
  <c r="AC49" i="10"/>
  <c r="AB49" i="10"/>
  <c r="AA49" i="10"/>
  <c r="Z49" i="10"/>
  <c r="Y49" i="10"/>
  <c r="X49" i="10"/>
  <c r="W49" i="10"/>
  <c r="AE49" i="10"/>
  <c r="Y68" i="10"/>
  <c r="X68" i="10"/>
  <c r="W68" i="10"/>
  <c r="BN68" i="10"/>
  <c r="AE68" i="10"/>
  <c r="AD68" i="10"/>
  <c r="AC68" i="10"/>
  <c r="EN68" i="10"/>
  <c r="AB68" i="10"/>
  <c r="AA68" i="10"/>
  <c r="BV38" i="10"/>
  <c r="BV55" i="10"/>
  <c r="BV52" i="10" s="1"/>
  <c r="BW52" i="10"/>
  <c r="AD49" i="10"/>
  <c r="BX27" i="10"/>
  <c r="CL27" i="10" s="1"/>
  <c r="BR61" i="10"/>
  <c r="CH61" i="10" s="1"/>
  <c r="BQ62" i="10"/>
  <c r="AE41" i="10"/>
  <c r="AD41" i="10"/>
  <c r="AC41" i="10"/>
  <c r="AB41" i="10"/>
  <c r="AA41" i="10"/>
  <c r="Z41" i="10"/>
  <c r="Y41" i="10"/>
  <c r="X41" i="10"/>
  <c r="W41" i="10"/>
  <c r="W59" i="10"/>
  <c r="W58" i="10" s="1"/>
  <c r="AE59" i="10"/>
  <c r="AE58" i="10" s="1"/>
  <c r="AD59" i="10"/>
  <c r="AD58" i="10" s="1"/>
  <c r="AC59" i="10"/>
  <c r="AC58" i="10" s="1"/>
  <c r="AB59" i="10"/>
  <c r="AB58" i="10" s="1"/>
  <c r="AA59" i="10"/>
  <c r="AA58" i="10" s="1"/>
  <c r="Z59" i="10"/>
  <c r="Z58" i="10" s="1"/>
  <c r="Y59" i="10"/>
  <c r="Y58" i="10" s="1"/>
  <c r="AE69" i="10"/>
  <c r="AD69" i="10"/>
  <c r="AC69" i="10"/>
  <c r="AB69" i="10"/>
  <c r="AA69" i="10"/>
  <c r="Z69" i="10"/>
  <c r="Y69" i="10"/>
  <c r="X69" i="10"/>
  <c r="W69" i="10"/>
  <c r="BW20" i="10"/>
  <c r="U20" i="10"/>
  <c r="AB29" i="10"/>
  <c r="Z55" i="10"/>
  <c r="BS27" i="10"/>
  <c r="CI27" i="10" s="1"/>
  <c r="BS61" i="10"/>
  <c r="CI61" i="10" s="1"/>
  <c r="BR22" i="10"/>
  <c r="M22" i="10"/>
  <c r="AC16" i="14" s="1"/>
  <c r="BQ28" i="10"/>
  <c r="BN28" i="10"/>
  <c r="M50" i="10"/>
  <c r="BQ20" i="10"/>
  <c r="FW69" i="10"/>
  <c r="Z31" i="10"/>
  <c r="BX19" i="10"/>
  <c r="BQ63" i="10"/>
  <c r="BR35" i="10"/>
  <c r="EA35" i="10"/>
  <c r="X35" i="10"/>
  <c r="AO19" i="10"/>
  <c r="AO62" i="10" s="1"/>
  <c r="N48" i="10"/>
  <c r="CS31" i="10"/>
  <c r="AE63" i="10"/>
  <c r="AD63" i="10"/>
  <c r="AC63" i="10"/>
  <c r="AB63" i="10"/>
  <c r="AA63" i="10"/>
  <c r="Z63" i="10"/>
  <c r="Y63" i="10"/>
  <c r="X63" i="10"/>
  <c r="W63" i="10"/>
  <c r="EN24" i="10"/>
  <c r="BB49" i="10"/>
  <c r="B58" i="10"/>
  <c r="CS20" i="10"/>
  <c r="X22" i="10"/>
  <c r="W22" i="10"/>
  <c r="AE22" i="10"/>
  <c r="BB22" i="10"/>
  <c r="AD22" i="10"/>
  <c r="AC22" i="10"/>
  <c r="AB22" i="10"/>
  <c r="AA22" i="10"/>
  <c r="Z22" i="10"/>
  <c r="AE28" i="10"/>
  <c r="AD28" i="10"/>
  <c r="AC28" i="10"/>
  <c r="AC27" i="10" s="1"/>
  <c r="AB28" i="10"/>
  <c r="AA28" i="10"/>
  <c r="AA27" i="10" s="1"/>
  <c r="Z28" i="10"/>
  <c r="Y28" i="10"/>
  <c r="X28" i="10"/>
  <c r="W28" i="10"/>
  <c r="Z42" i="10"/>
  <c r="Y42" i="10"/>
  <c r="X42" i="10"/>
  <c r="W42" i="10"/>
  <c r="AE42" i="10"/>
  <c r="AD42" i="10"/>
  <c r="AC42" i="10"/>
  <c r="AB42" i="10"/>
  <c r="AA53" i="10"/>
  <c r="Z53" i="10"/>
  <c r="Y53" i="10"/>
  <c r="X53" i="10"/>
  <c r="X52" i="10" s="1"/>
  <c r="W53" i="10"/>
  <c r="AE53" i="10"/>
  <c r="BB53" i="10"/>
  <c r="AD53" i="10"/>
  <c r="AC53" i="10"/>
  <c r="N56" i="10"/>
  <c r="BW65" i="10"/>
  <c r="CK65" i="10" s="1"/>
  <c r="BV69" i="10"/>
  <c r="FW66" i="10"/>
  <c r="EQ61" i="10"/>
  <c r="EP43" i="10"/>
  <c r="EW25" i="10"/>
  <c r="EV25" i="10" s="1"/>
  <c r="AE38" i="10"/>
  <c r="W35" i="10"/>
  <c r="AE35" i="10"/>
  <c r="AD35" i="10"/>
  <c r="AC35" i="10"/>
  <c r="AB35" i="10"/>
  <c r="AB33" i="10" s="1"/>
  <c r="AA35" i="10"/>
  <c r="Z35" i="10"/>
  <c r="Y35" i="10"/>
  <c r="AA20" i="10"/>
  <c r="AC40" i="10"/>
  <c r="Z48" i="10"/>
  <c r="BX37" i="10"/>
  <c r="CL37" i="10" s="1"/>
  <c r="GR27" i="49"/>
  <c r="BI53" i="49"/>
  <c r="BF53" i="49" s="1"/>
  <c r="Y53" i="49"/>
  <c r="BH38" i="49"/>
  <c r="BE38" i="49" s="1"/>
  <c r="BF76" i="49"/>
  <c r="IK41" i="49"/>
  <c r="IJ41" i="49" s="1"/>
  <c r="R15" i="50"/>
  <c r="O15" i="50" s="1"/>
  <c r="B50" i="50"/>
  <c r="Q56" i="49"/>
  <c r="IW50" i="49"/>
  <c r="U69" i="49"/>
  <c r="DB76" i="49"/>
  <c r="AA41" i="49"/>
  <c r="V41" i="49" s="1"/>
  <c r="Q21" i="49"/>
  <c r="F43" i="49"/>
  <c r="L43" i="49" s="1"/>
  <c r="FY23" i="49"/>
  <c r="BE76" i="49"/>
  <c r="S53" i="49"/>
  <c r="Y40" i="49"/>
  <c r="KD40" i="49"/>
  <c r="IW42" i="49"/>
  <c r="GV30" i="50" s="1"/>
  <c r="IK56" i="49"/>
  <c r="BI46" i="49"/>
  <c r="BF46" i="49" s="1"/>
  <c r="IJ40" i="49"/>
  <c r="T41" i="49"/>
  <c r="AD29" i="50" s="1"/>
  <c r="OC80" i="50"/>
  <c r="GL45" i="51" s="1"/>
  <c r="IL40" i="49"/>
  <c r="BD76" i="49"/>
  <c r="JD41" i="49"/>
  <c r="GW29" i="50" s="1"/>
  <c r="IK34" i="49"/>
  <c r="AH43" i="49"/>
  <c r="IW68" i="49"/>
  <c r="IV68" i="49" s="1"/>
  <c r="FY54" i="49"/>
  <c r="T56" i="49"/>
  <c r="O53" i="49"/>
  <c r="JD68" i="49"/>
  <c r="DO21" i="49"/>
  <c r="EC21" i="49" s="1"/>
  <c r="JE27" i="49"/>
  <c r="IU29" i="49"/>
  <c r="IW54" i="49"/>
  <c r="IV54" i="49" s="1"/>
  <c r="DI29" i="49"/>
  <c r="EA29" i="49" s="1"/>
  <c r="FB50" i="49"/>
  <c r="AA56" i="49"/>
  <c r="U25" i="49"/>
  <c r="F25" i="49" s="1"/>
  <c r="L25" i="49" s="1"/>
  <c r="DI50" i="49"/>
  <c r="JD56" i="49"/>
  <c r="JC56" i="49" s="1"/>
  <c r="IX37" i="49"/>
  <c r="KD21" i="49"/>
  <c r="JU48" i="50" s="1"/>
  <c r="IQ48" i="50" s="1"/>
  <c r="Q41" i="49"/>
  <c r="DI35" i="49"/>
  <c r="EA35" i="49" s="1"/>
  <c r="FW50" i="49"/>
  <c r="P21" i="50"/>
  <c r="P20" i="50" s="1"/>
  <c r="T21" i="50"/>
  <c r="O21" i="50" s="1"/>
  <c r="Y24" i="49"/>
  <c r="IH20" i="49"/>
  <c r="FC14" i="50" s="1"/>
  <c r="IU47" i="49"/>
  <c r="AI34" i="49"/>
  <c r="Y67" i="49"/>
  <c r="V67" i="49" s="1"/>
  <c r="JW67" i="49" s="1"/>
  <c r="AH66" i="49"/>
  <c r="CF65" i="49"/>
  <c r="Y48" i="49"/>
  <c r="KF43" i="49"/>
  <c r="EC48" i="49"/>
  <c r="DD78" i="49"/>
  <c r="DA78" i="49" s="1"/>
  <c r="JD47" i="49"/>
  <c r="JC47" i="49" s="1"/>
  <c r="IW24" i="49"/>
  <c r="IV24" i="49" s="1"/>
  <c r="DD54" i="49"/>
  <c r="DA54" i="49" s="1"/>
  <c r="AI39" i="49"/>
  <c r="GL14" i="51"/>
  <c r="AN19" i="49"/>
  <c r="AH55" i="49"/>
  <c r="S41" i="49"/>
  <c r="AC29" i="50" s="1"/>
  <c r="T34" i="49"/>
  <c r="AD21" i="50" s="1"/>
  <c r="AI63" i="50" s="1"/>
  <c r="O31" i="49"/>
  <c r="O24" i="49"/>
  <c r="O39" i="49"/>
  <c r="U66" i="49"/>
  <c r="F66" i="49" s="1"/>
  <c r="L66" i="49" s="1"/>
  <c r="EW24" i="49"/>
  <c r="Q47" i="49"/>
  <c r="EX24" i="49"/>
  <c r="IH24" i="49"/>
  <c r="IK47" i="49"/>
  <c r="IJ47" i="49" s="1"/>
  <c r="DA76" i="49"/>
  <c r="DT76" i="49" s="1"/>
  <c r="AC49" i="49"/>
  <c r="EC25" i="49"/>
  <c r="AA47" i="49"/>
  <c r="KF49" i="49"/>
  <c r="KE49" i="49" s="1"/>
  <c r="S24" i="49"/>
  <c r="BJ41" i="49"/>
  <c r="BJ69" i="49"/>
  <c r="CE21" i="49"/>
  <c r="EC29" i="49"/>
  <c r="S39" i="49"/>
  <c r="AC27" i="50" s="1"/>
  <c r="KF41" i="49"/>
  <c r="KD42" i="49"/>
  <c r="KC42" i="49" s="1"/>
  <c r="T47" i="49"/>
  <c r="FS21" i="49"/>
  <c r="DI21" i="49"/>
  <c r="EA21" i="49" s="1"/>
  <c r="FX21" i="49"/>
  <c r="DD69" i="49"/>
  <c r="DA69" i="49" s="1"/>
  <c r="E59" i="49"/>
  <c r="AK40" i="49"/>
  <c r="AF31" i="49"/>
  <c r="DC11" i="49"/>
  <c r="DV11" i="49" s="1"/>
  <c r="KF35" i="49"/>
  <c r="CE43" i="49"/>
  <c r="U21" i="49"/>
  <c r="F21" i="49" s="1"/>
  <c r="L21" i="49" s="1"/>
  <c r="KD38" i="49"/>
  <c r="KC38" i="49" s="1"/>
  <c r="AK59" i="49"/>
  <c r="AK58" i="49" s="1"/>
  <c r="AG59" i="49"/>
  <c r="AG58" i="49" s="1"/>
  <c r="IW31" i="49"/>
  <c r="IV31" i="49" s="1"/>
  <c r="AA48" i="49"/>
  <c r="FW69" i="49"/>
  <c r="AD59" i="49"/>
  <c r="AD58" i="49" s="1"/>
  <c r="BH59" i="49"/>
  <c r="BE59" i="49" s="1"/>
  <c r="BE58" i="49" s="1"/>
  <c r="II35" i="49"/>
  <c r="GP59" i="49"/>
  <c r="BI59" i="49"/>
  <c r="BI58" i="49" s="1"/>
  <c r="OB21" i="50"/>
  <c r="D50" i="50"/>
  <c r="Q48" i="49"/>
  <c r="Q45" i="49" s="1"/>
  <c r="JD24" i="49"/>
  <c r="JC24" i="49" s="1"/>
  <c r="KD43" i="49"/>
  <c r="KC43" i="49" s="1"/>
  <c r="IW62" i="49"/>
  <c r="IK48" i="49"/>
  <c r="IJ48" i="49" s="1"/>
  <c r="U50" i="49"/>
  <c r="V55" i="49"/>
  <c r="G55" i="49" s="1"/>
  <c r="M55" i="49" s="1"/>
  <c r="B58" i="49"/>
  <c r="T48" i="49"/>
  <c r="DD40" i="49"/>
  <c r="DA40" i="49" s="1"/>
  <c r="S43" i="49"/>
  <c r="KD46" i="49"/>
  <c r="KF67" i="49"/>
  <c r="KE67" i="49" s="1"/>
  <c r="B63" i="50"/>
  <c r="AF59" i="49"/>
  <c r="AF58" i="49" s="1"/>
  <c r="JD48" i="49"/>
  <c r="JC48" i="49" s="1"/>
  <c r="KF69" i="49"/>
  <c r="EX53" i="49"/>
  <c r="AI59" i="49"/>
  <c r="AI58" i="49" s="1"/>
  <c r="KF39" i="49"/>
  <c r="JS82" i="50" s="1"/>
  <c r="FA20" i="49"/>
  <c r="FA48" i="49"/>
  <c r="EY53" i="49"/>
  <c r="F59" i="49"/>
  <c r="L59" i="49" s="1"/>
  <c r="L58" i="49" s="1"/>
  <c r="EW21" i="49"/>
  <c r="EW28" i="49"/>
  <c r="EY43" i="49"/>
  <c r="FB53" i="49"/>
  <c r="AJ59" i="49"/>
  <c r="AJ58" i="49" s="1"/>
  <c r="IL39" i="49"/>
  <c r="DI31" i="49"/>
  <c r="FB28" i="49"/>
  <c r="JU78" i="50"/>
  <c r="IQ78" i="50" s="1"/>
  <c r="AH59" i="49"/>
  <c r="AH58" i="49" s="1"/>
  <c r="E55" i="49"/>
  <c r="IH39" i="49"/>
  <c r="AJ34" i="49"/>
  <c r="OA17" i="50"/>
  <c r="Y56" i="49"/>
  <c r="IH69" i="49"/>
  <c r="FC36" i="50" s="1"/>
  <c r="O43" i="49"/>
  <c r="JD34" i="49"/>
  <c r="EC47" i="49"/>
  <c r="IW69" i="49"/>
  <c r="U22" i="49"/>
  <c r="F22" i="49" s="1"/>
  <c r="L22" i="49" s="1"/>
  <c r="KD28" i="49"/>
  <c r="EL17" i="51" s="1"/>
  <c r="BH22" i="49"/>
  <c r="BE22" i="49" s="1"/>
  <c r="FX31" i="49"/>
  <c r="FX39" i="49"/>
  <c r="FT47" i="49"/>
  <c r="JI21" i="49"/>
  <c r="JD21" i="49" s="1"/>
  <c r="JC21" i="49" s="1"/>
  <c r="BI24" i="49"/>
  <c r="BF24" i="49" s="1"/>
  <c r="JC22" i="49"/>
  <c r="KF63" i="49"/>
  <c r="BU37" i="49"/>
  <c r="II31" i="49"/>
  <c r="AE59" i="49"/>
  <c r="AE58" i="49" s="1"/>
  <c r="BH54" i="49"/>
  <c r="BH39" i="49"/>
  <c r="BE39" i="49" s="1"/>
  <c r="IK25" i="49"/>
  <c r="IL25" i="49" s="1"/>
  <c r="AG46" i="49"/>
  <c r="AJ39" i="49"/>
  <c r="Y50" i="49"/>
  <c r="BI66" i="49"/>
  <c r="Y69" i="49"/>
  <c r="KF28" i="49"/>
  <c r="IW49" i="49"/>
  <c r="IV49" i="49" s="1"/>
  <c r="IW56" i="49"/>
  <c r="IV56" i="49" s="1"/>
  <c r="DP43" i="49"/>
  <c r="DN43" i="49" s="1"/>
  <c r="K63" i="49"/>
  <c r="P63" i="49"/>
  <c r="BG30" i="49"/>
  <c r="JD38" i="49"/>
  <c r="JC38" i="49" s="1"/>
  <c r="KF40" i="49"/>
  <c r="EZ53" i="49"/>
  <c r="IK53" i="49"/>
  <c r="IL53" i="49" s="1"/>
  <c r="BF79" i="49"/>
  <c r="FB20" i="49"/>
  <c r="FS23" i="49"/>
  <c r="FX29" i="49"/>
  <c r="FV40" i="49"/>
  <c r="FY48" i="49"/>
  <c r="B73" i="49"/>
  <c r="JD23" i="49"/>
  <c r="AE40" i="49"/>
  <c r="K62" i="49"/>
  <c r="P62" i="49"/>
  <c r="KF22" i="49"/>
  <c r="U28" i="49"/>
  <c r="KF30" i="49"/>
  <c r="EX21" i="49"/>
  <c r="FT53" i="49"/>
  <c r="FB21" i="49"/>
  <c r="FA47" i="49"/>
  <c r="FU53" i="49"/>
  <c r="EZ23" i="49"/>
  <c r="DP47" i="49"/>
  <c r="ED47" i="49" s="1"/>
  <c r="FX53" i="49"/>
  <c r="M145" i="50"/>
  <c r="DO52" i="49"/>
  <c r="EC55" i="49"/>
  <c r="JD20" i="49"/>
  <c r="U48" i="49"/>
  <c r="F48" i="49" s="1"/>
  <c r="L48" i="49" s="1"/>
  <c r="BJ25" i="49"/>
  <c r="O30" i="49"/>
  <c r="E38" i="49"/>
  <c r="B52" i="49"/>
  <c r="S50" i="49"/>
  <c r="O34" i="49"/>
  <c r="DH38" i="49"/>
  <c r="DD38" i="49" s="1"/>
  <c r="DW38" i="49" s="1"/>
  <c r="U20" i="49"/>
  <c r="F20" i="49" s="1"/>
  <c r="L20" i="49" s="1"/>
  <c r="IW46" i="49"/>
  <c r="DI48" i="49"/>
  <c r="IW53" i="49"/>
  <c r="IV53" i="49" s="1"/>
  <c r="O55" i="49"/>
  <c r="IU59" i="49"/>
  <c r="IU58" i="49" s="1"/>
  <c r="JB75" i="49"/>
  <c r="IW75" i="49" s="1"/>
  <c r="BJ38" i="49"/>
  <c r="CE35" i="49"/>
  <c r="FV53" i="49"/>
  <c r="EY67" i="49"/>
  <c r="AI49" i="49"/>
  <c r="CF19" i="49"/>
  <c r="BH49" i="49"/>
  <c r="DW49" i="49" s="1"/>
  <c r="GP49" i="49"/>
  <c r="B45" i="49"/>
  <c r="AF42" i="49"/>
  <c r="AE38" i="49"/>
  <c r="BI38" i="49"/>
  <c r="GP42" i="49"/>
  <c r="E49" i="49"/>
  <c r="BI49" i="49"/>
  <c r="BF49" i="49" s="1"/>
  <c r="AJ38" i="49"/>
  <c r="Y23" i="49"/>
  <c r="O23" i="49"/>
  <c r="BJ24" i="49"/>
  <c r="O56" i="49"/>
  <c r="U67" i="49"/>
  <c r="F67" i="49" s="1"/>
  <c r="L67" i="49" s="1"/>
  <c r="FT21" i="49"/>
  <c r="FW31" i="49"/>
  <c r="FU43" i="49"/>
  <c r="FU47" i="49"/>
  <c r="FW63" i="49"/>
  <c r="AE42" i="49"/>
  <c r="AK38" i="49"/>
  <c r="AG24" i="49"/>
  <c r="AE24" i="49"/>
  <c r="IW23" i="49"/>
  <c r="IV23" i="49" s="1"/>
  <c r="DI24" i="49"/>
  <c r="S30" i="49"/>
  <c r="EC69" i="49"/>
  <c r="D46" i="50"/>
  <c r="IK69" i="49"/>
  <c r="FD36" i="50" s="1"/>
  <c r="IG42" i="49"/>
  <c r="DO65" i="49"/>
  <c r="EC65" i="49" s="1"/>
  <c r="AH42" i="49"/>
  <c r="AE49" i="49"/>
  <c r="FC30" i="50"/>
  <c r="DD24" i="49"/>
  <c r="DA24" i="49" s="1"/>
  <c r="AI42" i="49"/>
  <c r="OC14" i="50"/>
  <c r="T69" i="49"/>
  <c r="AD36" i="50" s="1"/>
  <c r="IJ24" i="49"/>
  <c r="S38" i="49"/>
  <c r="AC26" i="50" s="1"/>
  <c r="AG35" i="49"/>
  <c r="AI24" i="49"/>
  <c r="AH20" i="49"/>
  <c r="AI22" i="49"/>
  <c r="E31" i="49"/>
  <c r="AI53" i="49"/>
  <c r="IU42" i="49"/>
  <c r="AC34" i="49"/>
  <c r="IH50" i="49"/>
  <c r="II50" i="49" s="1"/>
  <c r="AE55" i="49"/>
  <c r="IW20" i="49"/>
  <c r="KD22" i="49"/>
  <c r="JU53" i="50" s="1"/>
  <c r="JN53" i="50" s="1"/>
  <c r="KF29" i="49"/>
  <c r="U31" i="49"/>
  <c r="F31" i="49" s="1"/>
  <c r="L31" i="49" s="1"/>
  <c r="IW41" i="49"/>
  <c r="IV41" i="49" s="1"/>
  <c r="U56" i="49"/>
  <c r="F56" i="49" s="1"/>
  <c r="L56" i="49" s="1"/>
  <c r="U68" i="49"/>
  <c r="F68" i="49" s="1"/>
  <c r="L68" i="49" s="1"/>
  <c r="S69" i="49"/>
  <c r="AC36" i="50" s="1"/>
  <c r="BI22" i="49"/>
  <c r="BF22" i="49" s="1"/>
  <c r="FY31" i="49"/>
  <c r="EY59" i="49"/>
  <c r="F107" i="50"/>
  <c r="H107" i="50" s="1"/>
  <c r="G107" i="50" s="1"/>
  <c r="IU49" i="49"/>
  <c r="IU67" i="49"/>
  <c r="GP38" i="49"/>
  <c r="AJ24" i="49"/>
  <c r="IU38" i="49"/>
  <c r="KF53" i="49"/>
  <c r="KE53" i="49" s="1"/>
  <c r="EX38" i="49"/>
  <c r="IJ49" i="49"/>
  <c r="C107" i="50"/>
  <c r="AK49" i="49"/>
  <c r="AA69" i="49"/>
  <c r="IL47" i="49"/>
  <c r="AG67" i="49"/>
  <c r="IU24" i="49"/>
  <c r="AC24" i="49"/>
  <c r="IW30" i="49"/>
  <c r="IV30" i="49" s="1"/>
  <c r="KD41" i="49"/>
  <c r="JZ41" i="49" s="1"/>
  <c r="AQ31" i="48" s="1"/>
  <c r="AC53" i="49"/>
  <c r="JD66" i="49"/>
  <c r="JC66" i="49" s="1"/>
  <c r="EY34" i="49"/>
  <c r="CE38" i="49"/>
  <c r="CE41" i="49"/>
  <c r="IW67" i="49"/>
  <c r="IV67" i="49" s="1"/>
  <c r="EZ34" i="49"/>
  <c r="FY63" i="49"/>
  <c r="AK42" i="49"/>
  <c r="EW23" i="49"/>
  <c r="FT23" i="49"/>
  <c r="FA34" i="49"/>
  <c r="EW47" i="49"/>
  <c r="FA53" i="49"/>
  <c r="FV59" i="49"/>
  <c r="EY66" i="49"/>
  <c r="FU68" i="49"/>
  <c r="AG49" i="49"/>
  <c r="Q69" i="49"/>
  <c r="AF49" i="49"/>
  <c r="O20" i="49"/>
  <c r="KD30" i="49"/>
  <c r="EZ66" i="49"/>
  <c r="BU19" i="49"/>
  <c r="II28" i="49"/>
  <c r="FB47" i="49"/>
  <c r="FC53" i="49"/>
  <c r="EW69" i="49"/>
  <c r="F42" i="49"/>
  <c r="L42" i="49" s="1"/>
  <c r="DD67" i="49"/>
  <c r="DA67" i="49" s="1"/>
  <c r="GP24" i="49"/>
  <c r="BI55" i="49"/>
  <c r="BF55" i="49" s="1"/>
  <c r="BJ29" i="49"/>
  <c r="BJ53" i="49"/>
  <c r="FS34" i="49"/>
  <c r="FC47" i="49"/>
  <c r="CE55" i="49"/>
  <c r="DC78" i="49"/>
  <c r="CZ78" i="49" s="1"/>
  <c r="B19" i="49"/>
  <c r="AH67" i="49"/>
  <c r="AD49" i="49"/>
  <c r="AG42" i="49"/>
  <c r="AF67" i="49"/>
  <c r="KD31" i="49"/>
  <c r="U40" i="49"/>
  <c r="F40" i="49" s="1"/>
  <c r="L40" i="49" s="1"/>
  <c r="U54" i="49"/>
  <c r="F54" i="49" s="1"/>
  <c r="L54" i="49" s="1"/>
  <c r="BJ54" i="49"/>
  <c r="DY54" i="49" s="1"/>
  <c r="CE25" i="49"/>
  <c r="FW34" i="49"/>
  <c r="CE53" i="49"/>
  <c r="FT63" i="49"/>
  <c r="FU66" i="49"/>
  <c r="DD49" i="49"/>
  <c r="DA49" i="49" s="1"/>
  <c r="DH30" i="49"/>
  <c r="DD30" i="49" s="1"/>
  <c r="KF59" i="49"/>
  <c r="JD69" i="49"/>
  <c r="BH20" i="49"/>
  <c r="BE20" i="49" s="1"/>
  <c r="FY34" i="49"/>
  <c r="FS53" i="49"/>
  <c r="FY66" i="49"/>
  <c r="GK12" i="49"/>
  <c r="GK11" i="49"/>
  <c r="IM11" i="49" s="1"/>
  <c r="IA49" i="49" s="1"/>
  <c r="GX11" i="49"/>
  <c r="GX12" i="49"/>
  <c r="H13" i="52"/>
  <c r="I13" i="52" s="1"/>
  <c r="I10" i="52"/>
  <c r="ER75" i="49" s="1"/>
  <c r="I11" i="52"/>
  <c r="ES67" i="49" s="1"/>
  <c r="I9" i="52"/>
  <c r="EQ23" i="49" s="1"/>
  <c r="I8" i="52"/>
  <c r="I6" i="52"/>
  <c r="I12" i="52"/>
  <c r="ET67" i="49" s="1"/>
  <c r="EO42" i="49"/>
  <c r="H5" i="52"/>
  <c r="EQ25" i="49"/>
  <c r="EQ24" i="49"/>
  <c r="EN41" i="49"/>
  <c r="EN22" i="49"/>
  <c r="EP48" i="49"/>
  <c r="EP46" i="49"/>
  <c r="EP38" i="49"/>
  <c r="EP62" i="49"/>
  <c r="EP30" i="49"/>
  <c r="ET75" i="49"/>
  <c r="ET55" i="49"/>
  <c r="ET38" i="49"/>
  <c r="ET21" i="49"/>
  <c r="ET56" i="49"/>
  <c r="ET68" i="49"/>
  <c r="ET50" i="49"/>
  <c r="ET47" i="49"/>
  <c r="ET46" i="49"/>
  <c r="ET34" i="49"/>
  <c r="ET69" i="49"/>
  <c r="ET53" i="49"/>
  <c r="ET20" i="49"/>
  <c r="ET62" i="49"/>
  <c r="ET41" i="49"/>
  <c r="ET22" i="49"/>
  <c r="ET28" i="49"/>
  <c r="ET48" i="49"/>
  <c r="ET25" i="49"/>
  <c r="ET42" i="49"/>
  <c r="ET30" i="49"/>
  <c r="ET54" i="49"/>
  <c r="ET43" i="49"/>
  <c r="ET31" i="49"/>
  <c r="ES21" i="49"/>
  <c r="EO29" i="49"/>
  <c r="EO28" i="49"/>
  <c r="ER30" i="49"/>
  <c r="ET63" i="49"/>
  <c r="I5" i="52"/>
  <c r="EM75" i="49" s="1"/>
  <c r="EO22" i="49"/>
  <c r="EO24" i="49"/>
  <c r="EO41" i="49"/>
  <c r="ER42" i="49"/>
  <c r="EO62" i="49"/>
  <c r="ER29" i="49"/>
  <c r="EO40" i="49"/>
  <c r="FG53" i="49"/>
  <c r="ER28" i="49"/>
  <c r="FG38" i="49"/>
  <c r="EO53" i="49"/>
  <c r="EO59" i="49"/>
  <c r="EO69" i="49"/>
  <c r="ER22" i="49"/>
  <c r="ER24" i="49"/>
  <c r="ER62" i="49"/>
  <c r="ER40" i="49"/>
  <c r="EO47" i="49"/>
  <c r="FG48" i="49"/>
  <c r="EO50" i="49"/>
  <c r="EO68" i="49"/>
  <c r="EO39" i="49"/>
  <c r="EO56" i="49"/>
  <c r="ER59" i="49"/>
  <c r="ER69" i="49"/>
  <c r="ER63" i="49"/>
  <c r="EK31" i="49"/>
  <c r="EO38" i="49"/>
  <c r="ER47" i="49"/>
  <c r="EO55" i="49"/>
  <c r="EO67" i="49"/>
  <c r="ER68" i="49"/>
  <c r="EO21" i="49"/>
  <c r="EO23" i="49"/>
  <c r="EO25" i="49"/>
  <c r="EO34" i="49"/>
  <c r="EK43" i="49"/>
  <c r="EO46" i="49"/>
  <c r="EO48" i="49"/>
  <c r="EO49" i="49"/>
  <c r="EO66" i="49"/>
  <c r="EO31" i="49"/>
  <c r="EO35" i="49"/>
  <c r="EO63" i="49"/>
  <c r="ER54" i="49"/>
  <c r="EK20" i="49"/>
  <c r="EO43" i="49"/>
  <c r="EO54" i="49"/>
  <c r="ER67" i="49"/>
  <c r="ER43" i="49"/>
  <c r="EO20" i="49"/>
  <c r="ER21" i="49"/>
  <c r="ER25" i="49"/>
  <c r="EK21" i="49"/>
  <c r="ER46" i="49"/>
  <c r="ER48" i="49"/>
  <c r="ER49" i="49"/>
  <c r="ER66" i="49"/>
  <c r="EO30" i="49"/>
  <c r="ER31" i="49"/>
  <c r="EK22" i="49"/>
  <c r="FM29" i="49"/>
  <c r="EM31" i="49"/>
  <c r="FI38" i="49"/>
  <c r="EK47" i="49"/>
  <c r="EK48" i="49"/>
  <c r="FI48" i="49"/>
  <c r="EK54" i="49"/>
  <c r="FN68" i="49"/>
  <c r="EK23" i="49"/>
  <c r="FN20" i="49"/>
  <c r="FG28" i="49"/>
  <c r="FM31" i="49"/>
  <c r="EK38" i="49"/>
  <c r="FG40" i="49"/>
  <c r="FN41" i="49"/>
  <c r="FM43" i="49"/>
  <c r="EM47" i="49"/>
  <c r="FG50" i="49"/>
  <c r="FQ55" i="49"/>
  <c r="FG56" i="49"/>
  <c r="FG67" i="49"/>
  <c r="FN55" i="49"/>
  <c r="EK24" i="49"/>
  <c r="FO20" i="49"/>
  <c r="FM22" i="49"/>
  <c r="FI20" i="49"/>
  <c r="EK28" i="49"/>
  <c r="FN31" i="49"/>
  <c r="FQ34" i="49"/>
  <c r="EK40" i="49"/>
  <c r="FK53" i="49"/>
  <c r="FI22" i="49"/>
  <c r="FJ43" i="49"/>
  <c r="FQ66" i="49"/>
  <c r="EK25" i="49"/>
  <c r="FP20" i="49"/>
  <c r="EM28" i="49"/>
  <c r="FJ28" i="49"/>
  <c r="FP29" i="49"/>
  <c r="FO31" i="49"/>
  <c r="EM40" i="49"/>
  <c r="FG42" i="49"/>
  <c r="FO43" i="49"/>
  <c r="FG47" i="49"/>
  <c r="EK50" i="49"/>
  <c r="FJ50" i="49"/>
  <c r="EK56" i="49"/>
  <c r="FJ56" i="49"/>
  <c r="FQ59" i="49"/>
  <c r="EK67" i="49"/>
  <c r="FQ68" i="49"/>
  <c r="EM41" i="49"/>
  <c r="EM20" i="49"/>
  <c r="FQ20" i="49"/>
  <c r="FO22" i="49"/>
  <c r="FK28" i="49"/>
  <c r="FQ29" i="49"/>
  <c r="FG30" i="49"/>
  <c r="FK40" i="49"/>
  <c r="FQ41" i="49"/>
  <c r="FI42" i="49"/>
  <c r="FP43" i="49"/>
  <c r="FI47" i="49"/>
  <c r="FM48" i="49"/>
  <c r="FK50" i="49"/>
  <c r="FM53" i="49"/>
  <c r="FO54" i="49"/>
  <c r="EM56" i="49"/>
  <c r="FK56" i="49"/>
  <c r="FP66" i="49"/>
  <c r="FL29" i="49"/>
  <c r="EM43" i="49"/>
  <c r="FI21" i="49"/>
  <c r="FP22" i="49"/>
  <c r="FN24" i="49"/>
  <c r="FL28" i="49"/>
  <c r="FQ31" i="49"/>
  <c r="FN38" i="49"/>
  <c r="FL40" i="49"/>
  <c r="FJ42" i="49"/>
  <c r="FQ43" i="49"/>
  <c r="FG46" i="49"/>
  <c r="FN48" i="49"/>
  <c r="FN53" i="49"/>
  <c r="FP54" i="49"/>
  <c r="FL56" i="49"/>
  <c r="FL67" i="49"/>
  <c r="FG69" i="49"/>
  <c r="FJ31" i="49"/>
  <c r="FJ22" i="49"/>
  <c r="FN34" i="49"/>
  <c r="FJ21" i="49"/>
  <c r="FQ22" i="49"/>
  <c r="FO24" i="49"/>
  <c r="FJ30" i="49"/>
  <c r="FG35" i="49"/>
  <c r="FO38" i="49"/>
  <c r="FG39" i="49"/>
  <c r="FM40" i="49"/>
  <c r="EK42" i="49"/>
  <c r="FK42" i="49"/>
  <c r="FO48" i="49"/>
  <c r="FM50" i="49"/>
  <c r="FO53" i="49"/>
  <c r="FQ54" i="49"/>
  <c r="FM56" i="49"/>
  <c r="EM62" i="49"/>
  <c r="FG66" i="49"/>
  <c r="FM67" i="49"/>
  <c r="EK69" i="49"/>
  <c r="FI69" i="49"/>
  <c r="EM22" i="49"/>
  <c r="FQ69" i="49"/>
  <c r="FO25" i="49"/>
  <c r="FK31" i="49"/>
  <c r="FL41" i="49"/>
  <c r="FK43" i="49"/>
  <c r="FJ54" i="49"/>
  <c r="EM23" i="49"/>
  <c r="FG20" i="49"/>
  <c r="FK21" i="49"/>
  <c r="FI23" i="49"/>
  <c r="FP24" i="49"/>
  <c r="FN28" i="49"/>
  <c r="EK30" i="49"/>
  <c r="FK30" i="49"/>
  <c r="EK35" i="49"/>
  <c r="FI35" i="49"/>
  <c r="FP38" i="49"/>
  <c r="FI39" i="49"/>
  <c r="EM42" i="49"/>
  <c r="FL42" i="49"/>
  <c r="FJ46" i="49"/>
  <c r="FL47" i="49"/>
  <c r="FP48" i="49"/>
  <c r="FN50" i="49"/>
  <c r="FP53" i="49"/>
  <c r="FN56" i="49"/>
  <c r="EM63" i="49"/>
  <c r="FI66" i="49"/>
  <c r="FN67" i="49"/>
  <c r="FJ69" i="49"/>
  <c r="EM29" i="49"/>
  <c r="FQ46" i="49"/>
  <c r="FG21" i="49"/>
  <c r="FL21" i="49"/>
  <c r="FJ23" i="49"/>
  <c r="FQ24" i="49"/>
  <c r="FO28" i="49"/>
  <c r="EM30" i="49"/>
  <c r="FL30" i="49"/>
  <c r="EM35" i="49"/>
  <c r="FJ35" i="49"/>
  <c r="FQ38" i="49"/>
  <c r="FJ39" i="49"/>
  <c r="FM42" i="49"/>
  <c r="EK46" i="49"/>
  <c r="FK46" i="49"/>
  <c r="FQ48" i="49"/>
  <c r="FG49" i="49"/>
  <c r="FO50" i="49"/>
  <c r="FQ53" i="49"/>
  <c r="FG55" i="49"/>
  <c r="FO56" i="49"/>
  <c r="EK66" i="49"/>
  <c r="FJ66" i="49"/>
  <c r="FO67" i="49"/>
  <c r="FK69" i="49"/>
  <c r="FP35" i="49"/>
  <c r="FQ23" i="49"/>
  <c r="FP62" i="49"/>
  <c r="EM25" i="49"/>
  <c r="FG22" i="49"/>
  <c r="FM21" i="49"/>
  <c r="FK23" i="49"/>
  <c r="FI25" i="49"/>
  <c r="FP28" i="49"/>
  <c r="FM30" i="49"/>
  <c r="FG34" i="49"/>
  <c r="FK35" i="49"/>
  <c r="FK39" i="49"/>
  <c r="FP40" i="49"/>
  <c r="FN42" i="49"/>
  <c r="EM46" i="49"/>
  <c r="FN47" i="49"/>
  <c r="FI49" i="49"/>
  <c r="FP50" i="49"/>
  <c r="EK55" i="49"/>
  <c r="FI55" i="49"/>
  <c r="FP56" i="49"/>
  <c r="FJ62" i="49"/>
  <c r="EM66" i="49"/>
  <c r="FK66" i="49"/>
  <c r="FP67" i="49"/>
  <c r="FL69" i="49"/>
  <c r="EM53" i="49"/>
  <c r="FI54" i="49"/>
  <c r="FO55" i="49"/>
  <c r="FG23" i="49"/>
  <c r="FL23" i="49"/>
  <c r="FJ25" i="49"/>
  <c r="FQ28" i="49"/>
  <c r="EK34" i="49"/>
  <c r="FI34" i="49"/>
  <c r="FL35" i="49"/>
  <c r="EK39" i="49"/>
  <c r="FL39" i="49"/>
  <c r="FQ40" i="49"/>
  <c r="FO42" i="49"/>
  <c r="FM46" i="49"/>
  <c r="FO47" i="49"/>
  <c r="FJ49" i="49"/>
  <c r="FQ50" i="49"/>
  <c r="FJ55" i="49"/>
  <c r="FQ56" i="49"/>
  <c r="FG59" i="49"/>
  <c r="FL66" i="49"/>
  <c r="FQ67" i="49"/>
  <c r="FG68" i="49"/>
  <c r="FM69" i="49"/>
  <c r="FN25" i="49"/>
  <c r="FP39" i="49"/>
  <c r="FO62" i="49"/>
  <c r="FQ39" i="49"/>
  <c r="FG24" i="49"/>
  <c r="FO21" i="49"/>
  <c r="FM23" i="49"/>
  <c r="FG29" i="49"/>
  <c r="FO30" i="49"/>
  <c r="EM34" i="49"/>
  <c r="FM35" i="49"/>
  <c r="EM39" i="49"/>
  <c r="FM39" i="49"/>
  <c r="FG41" i="49"/>
  <c r="FP42" i="49"/>
  <c r="FN46" i="49"/>
  <c r="FP47" i="49"/>
  <c r="EK49" i="49"/>
  <c r="FK49" i="49"/>
  <c r="FK55" i="49"/>
  <c r="FI59" i="49"/>
  <c r="FM66" i="49"/>
  <c r="FI68" i="49"/>
  <c r="FN69" i="49"/>
  <c r="FK41" i="49"/>
  <c r="FG25" i="49"/>
  <c r="FP21" i="49"/>
  <c r="FN23" i="49"/>
  <c r="FL25" i="49"/>
  <c r="FI29" i="49"/>
  <c r="FP30" i="49"/>
  <c r="FG31" i="49"/>
  <c r="FK34" i="49"/>
  <c r="FN35" i="49"/>
  <c r="FN39" i="49"/>
  <c r="FQ42" i="49"/>
  <c r="FG43" i="49"/>
  <c r="FO46" i="49"/>
  <c r="EM49" i="49"/>
  <c r="FL49" i="49"/>
  <c r="FL55" i="49"/>
  <c r="EK59" i="49"/>
  <c r="FJ59" i="49"/>
  <c r="FM62" i="49"/>
  <c r="FN66" i="49"/>
  <c r="EK68" i="49"/>
  <c r="FJ68" i="49"/>
  <c r="FO69" i="49"/>
  <c r="FN49" i="49"/>
  <c r="FL20" i="49"/>
  <c r="FM59" i="49"/>
  <c r="FJ20" i="49"/>
  <c r="FQ21" i="49"/>
  <c r="FO23" i="49"/>
  <c r="FM25" i="49"/>
  <c r="EK29" i="49"/>
  <c r="FJ29" i="49"/>
  <c r="FQ30" i="49"/>
  <c r="FI31" i="49"/>
  <c r="FL34" i="49"/>
  <c r="FO35" i="49"/>
  <c r="FO39" i="49"/>
  <c r="EK41" i="49"/>
  <c r="FJ41" i="49"/>
  <c r="FI43" i="49"/>
  <c r="FP46" i="49"/>
  <c r="FM49" i="49"/>
  <c r="EK53" i="49"/>
  <c r="FG54" i="49"/>
  <c r="FM55" i="49"/>
  <c r="EM59" i="49"/>
  <c r="FK59" i="49"/>
  <c r="FN62" i="49"/>
  <c r="FO66" i="49"/>
  <c r="EM68" i="49"/>
  <c r="FK68" i="49"/>
  <c r="FP69" i="49"/>
  <c r="JC34" i="49"/>
  <c r="GW21" i="50"/>
  <c r="FS46" i="49"/>
  <c r="FX46" i="49"/>
  <c r="FV46" i="49"/>
  <c r="FC46" i="49"/>
  <c r="FU46" i="49"/>
  <c r="FA46" i="49"/>
  <c r="DI46" i="49"/>
  <c r="FY46" i="49"/>
  <c r="KC63" i="49"/>
  <c r="AB28" i="49"/>
  <c r="EL12" i="51"/>
  <c r="BF59" i="49"/>
  <c r="BF58" i="49" s="1"/>
  <c r="BF38" i="49"/>
  <c r="BG38" i="49"/>
  <c r="BD38" i="49" s="1"/>
  <c r="II30" i="49"/>
  <c r="IG30" i="49"/>
  <c r="JE37" i="49"/>
  <c r="GR37" i="49"/>
  <c r="EA53" i="49"/>
  <c r="DG53" i="49"/>
  <c r="DY53" i="49" s="1"/>
  <c r="AI21" i="49"/>
  <c r="GP21" i="49"/>
  <c r="BI21" i="49"/>
  <c r="BF21" i="49" s="1"/>
  <c r="AH21" i="49"/>
  <c r="AD21" i="49"/>
  <c r="AC21" i="49"/>
  <c r="AK21" i="49"/>
  <c r="E21" i="49"/>
  <c r="BH21" i="49"/>
  <c r="DW21" i="49" s="1"/>
  <c r="AE21" i="49"/>
  <c r="IW29" i="49"/>
  <c r="IV29" i="49" s="1"/>
  <c r="IV46" i="49"/>
  <c r="EC50" i="49"/>
  <c r="DO45" i="49"/>
  <c r="DD21" i="49"/>
  <c r="DA21" i="49" s="1"/>
  <c r="JZ43" i="49"/>
  <c r="AQ33" i="48" s="1"/>
  <c r="KE43" i="49"/>
  <c r="B126" i="50"/>
  <c r="U17" i="50"/>
  <c r="C122" i="50"/>
  <c r="B122" i="50" s="1"/>
  <c r="F122" i="50"/>
  <c r="H122" i="50" s="1"/>
  <c r="G122" i="50" s="1"/>
  <c r="DI23" i="49"/>
  <c r="EA23" i="49" s="1"/>
  <c r="DI47" i="49"/>
  <c r="BK27" i="49"/>
  <c r="BH31" i="49"/>
  <c r="BJ31" i="49"/>
  <c r="BH55" i="49"/>
  <c r="BJ55" i="49"/>
  <c r="CF37" i="49"/>
  <c r="DR67" i="49"/>
  <c r="DP67" i="49" s="1"/>
  <c r="DN67" i="49" s="1"/>
  <c r="DR46" i="49"/>
  <c r="DP46" i="49" s="1"/>
  <c r="DR42" i="49"/>
  <c r="DP42" i="49" s="1"/>
  <c r="ED42" i="49" s="1"/>
  <c r="DR68" i="49"/>
  <c r="DP68" i="49" s="1"/>
  <c r="DR59" i="49"/>
  <c r="DP59" i="49" s="1"/>
  <c r="DR53" i="49"/>
  <c r="DP53" i="49" s="1"/>
  <c r="DR23" i="49"/>
  <c r="DP23" i="49" s="1"/>
  <c r="ED23" i="49" s="1"/>
  <c r="DR54" i="49"/>
  <c r="DP54" i="49" s="1"/>
  <c r="DE54" i="49" s="1"/>
  <c r="DR50" i="49"/>
  <c r="DP50" i="49" s="1"/>
  <c r="ED50" i="49" s="1"/>
  <c r="DR34" i="49"/>
  <c r="DP34" i="49" s="1"/>
  <c r="DR22" i="49"/>
  <c r="DP22" i="49" s="1"/>
  <c r="ED22" i="49" s="1"/>
  <c r="DR31" i="49"/>
  <c r="DP31" i="49" s="1"/>
  <c r="DN31" i="49" s="1"/>
  <c r="DR39" i="49"/>
  <c r="DP39" i="49" s="1"/>
  <c r="DR35" i="49"/>
  <c r="DP35" i="49" s="1"/>
  <c r="DR29" i="49"/>
  <c r="DP29" i="49" s="1"/>
  <c r="DN29" i="49" s="1"/>
  <c r="DR20" i="49"/>
  <c r="DP20" i="49" s="1"/>
  <c r="ED20" i="49" s="1"/>
  <c r="DR63" i="49"/>
  <c r="DR55" i="49"/>
  <c r="DP55" i="49" s="1"/>
  <c r="ED55" i="49" s="1"/>
  <c r="DR40" i="49"/>
  <c r="DP40" i="49" s="1"/>
  <c r="DR30" i="49"/>
  <c r="DP30" i="49" s="1"/>
  <c r="DR38" i="49"/>
  <c r="DP38" i="49" s="1"/>
  <c r="ED38" i="49" s="1"/>
  <c r="DR66" i="49"/>
  <c r="DP66" i="49" s="1"/>
  <c r="DR24" i="49"/>
  <c r="DP24" i="49" s="1"/>
  <c r="DR48" i="49"/>
  <c r="DP48" i="49" s="1"/>
  <c r="DN48" i="49" s="1"/>
  <c r="DR41" i="49"/>
  <c r="DP41" i="49" s="1"/>
  <c r="ED41" i="49" s="1"/>
  <c r="DR28" i="49"/>
  <c r="DP28" i="49" s="1"/>
  <c r="ED28" i="49" s="1"/>
  <c r="DR21" i="49"/>
  <c r="DP21" i="49" s="1"/>
  <c r="DN21" i="49" s="1"/>
  <c r="DR56" i="49"/>
  <c r="DP56" i="49" s="1"/>
  <c r="DR69" i="49"/>
  <c r="DP69" i="49" s="1"/>
  <c r="ED69" i="49" s="1"/>
  <c r="DR49" i="49"/>
  <c r="DP49" i="49" s="1"/>
  <c r="ED49" i="49" s="1"/>
  <c r="FC27" i="50"/>
  <c r="IG39" i="49"/>
  <c r="II39" i="49"/>
  <c r="KF55" i="49"/>
  <c r="AG25" i="49"/>
  <c r="BH25" i="49"/>
  <c r="IU25" i="49"/>
  <c r="AH25" i="49"/>
  <c r="AC25" i="49"/>
  <c r="AF25" i="49"/>
  <c r="AI25" i="49"/>
  <c r="AJ25" i="49"/>
  <c r="AD25" i="49"/>
  <c r="Y59" i="49"/>
  <c r="Y58" i="49" s="1"/>
  <c r="I58" i="49" s="1"/>
  <c r="S59" i="49"/>
  <c r="BJ34" i="49"/>
  <c r="F62" i="49"/>
  <c r="L62" i="49" s="1"/>
  <c r="V62" i="49"/>
  <c r="JW62" i="49" s="1"/>
  <c r="Q43" i="49"/>
  <c r="AA43" i="49"/>
  <c r="T43" i="49"/>
  <c r="IK43" i="49"/>
  <c r="DO30" i="49"/>
  <c r="EC30" i="49" s="1"/>
  <c r="IK30" i="49"/>
  <c r="AA30" i="49"/>
  <c r="T30" i="49"/>
  <c r="CE46" i="49"/>
  <c r="BH46" i="49"/>
  <c r="EC46" i="49"/>
  <c r="DO33" i="49"/>
  <c r="EC33" i="49" s="1"/>
  <c r="EC35" i="49"/>
  <c r="JU88" i="50"/>
  <c r="KC40" i="49"/>
  <c r="JZ40" i="49"/>
  <c r="LF40" i="49" s="1"/>
  <c r="IK54" i="49"/>
  <c r="AA54" i="49"/>
  <c r="T54" i="49"/>
  <c r="Q54" i="49"/>
  <c r="FV41" i="49"/>
  <c r="DI41" i="49"/>
  <c r="FB41" i="49"/>
  <c r="EZ41" i="49"/>
  <c r="CE49" i="49"/>
  <c r="CP45" i="49"/>
  <c r="JU92" i="50"/>
  <c r="JV92" i="50" s="1"/>
  <c r="KC41" i="49"/>
  <c r="KD48" i="49"/>
  <c r="CP65" i="49"/>
  <c r="I77" i="49"/>
  <c r="I79" i="49"/>
  <c r="I78" i="49"/>
  <c r="O78" i="49" s="1"/>
  <c r="IG35" i="49"/>
  <c r="AF21" i="49"/>
  <c r="JV28" i="49"/>
  <c r="JC41" i="49"/>
  <c r="AG21" i="49"/>
  <c r="IG38" i="49"/>
  <c r="DH25" i="49"/>
  <c r="S25" i="49"/>
  <c r="AD29" i="49"/>
  <c r="E29" i="49"/>
  <c r="AE29" i="49"/>
  <c r="GP29" i="49"/>
  <c r="AK29" i="49"/>
  <c r="AF29" i="49"/>
  <c r="AJ29" i="49"/>
  <c r="T36" i="50"/>
  <c r="O36" i="50" s="1"/>
  <c r="B154" i="50"/>
  <c r="B153" i="50"/>
  <c r="BI34" i="49"/>
  <c r="BF34" i="49" s="1"/>
  <c r="DI34" i="49"/>
  <c r="EA34" i="49" s="1"/>
  <c r="BU33" i="49"/>
  <c r="BI56" i="49"/>
  <c r="BK37" i="49"/>
  <c r="JU28" i="49"/>
  <c r="IH46" i="49"/>
  <c r="Y46" i="49"/>
  <c r="V46" i="49" s="1"/>
  <c r="O46" i="49"/>
  <c r="BI31" i="49"/>
  <c r="BF31" i="49" s="1"/>
  <c r="CE31" i="49"/>
  <c r="CP27" i="49"/>
  <c r="DO59" i="49"/>
  <c r="DD59" i="49" s="1"/>
  <c r="Q59" i="49"/>
  <c r="Q58" i="49" s="1"/>
  <c r="T59" i="49"/>
  <c r="AA59" i="49"/>
  <c r="AA58" i="49" s="1"/>
  <c r="K58" i="49" s="1"/>
  <c r="IK59" i="49"/>
  <c r="GH14" i="51"/>
  <c r="NV17" i="50"/>
  <c r="KJ58" i="49"/>
  <c r="KD59" i="49"/>
  <c r="FX22" i="49"/>
  <c r="FY22" i="49"/>
  <c r="FS22" i="49"/>
  <c r="FC22" i="49"/>
  <c r="FB22" i="49"/>
  <c r="DI22" i="49"/>
  <c r="EA22" i="49" s="1"/>
  <c r="G28" i="49"/>
  <c r="R28" i="49" s="1"/>
  <c r="CM17" i="51" s="1"/>
  <c r="BI23" i="49"/>
  <c r="AC23" i="49"/>
  <c r="AE23" i="49"/>
  <c r="AJ23" i="49"/>
  <c r="AI23" i="49"/>
  <c r="AG23" i="49"/>
  <c r="BH23" i="49"/>
  <c r="AD23" i="49"/>
  <c r="E23" i="49"/>
  <c r="AK23" i="49"/>
  <c r="AH23" i="49"/>
  <c r="FV56" i="49"/>
  <c r="DI56" i="49"/>
  <c r="FY56" i="49"/>
  <c r="EZ56" i="49"/>
  <c r="D17" i="51"/>
  <c r="GH22" i="51"/>
  <c r="NV26" i="50"/>
  <c r="AF41" i="49"/>
  <c r="AE41" i="49"/>
  <c r="AC41" i="49"/>
  <c r="BI41" i="49"/>
  <c r="BF41" i="49" s="1"/>
  <c r="JW28" i="49"/>
  <c r="FV42" i="49"/>
  <c r="FX42" i="49"/>
  <c r="FU42" i="49"/>
  <c r="FB42" i="49"/>
  <c r="FS42" i="49"/>
  <c r="EY42" i="49"/>
  <c r="EW42" i="49"/>
  <c r="FY42" i="49"/>
  <c r="Y63" i="49"/>
  <c r="AC56" i="49"/>
  <c r="AJ53" i="49"/>
  <c r="AJ43" i="49"/>
  <c r="AD50" i="49"/>
  <c r="AJ31" i="49"/>
  <c r="AD34" i="49"/>
  <c r="Y30" i="49"/>
  <c r="V30" i="49" s="1"/>
  <c r="G30" i="49" s="1"/>
  <c r="R30" i="49" s="1"/>
  <c r="CM19" i="51" s="1"/>
  <c r="AK55" i="49"/>
  <c r="AC20" i="49"/>
  <c r="Y38" i="49"/>
  <c r="V38" i="49" s="1"/>
  <c r="DI69" i="49"/>
  <c r="FC20" i="49"/>
  <c r="FS20" i="49"/>
  <c r="FA28" i="49"/>
  <c r="FC43" i="49"/>
  <c r="FT43" i="49"/>
  <c r="FS47" i="49"/>
  <c r="EZ48" i="49"/>
  <c r="EY63" i="49"/>
  <c r="FX63" i="49"/>
  <c r="EW66" i="49"/>
  <c r="AW19" i="49"/>
  <c r="JD30" i="49"/>
  <c r="JC30" i="49" s="1"/>
  <c r="JD54" i="49"/>
  <c r="JC54" i="49" s="1"/>
  <c r="BJ43" i="49"/>
  <c r="FC28" i="49"/>
  <c r="FT28" i="49"/>
  <c r="EY38" i="49"/>
  <c r="FC48" i="49"/>
  <c r="FS48" i="49"/>
  <c r="IU75" i="49"/>
  <c r="AD55" i="49"/>
  <c r="AG50" i="49"/>
  <c r="AF43" i="49"/>
  <c r="IU34" i="49"/>
  <c r="AZ19" i="49"/>
  <c r="GP20" i="49"/>
  <c r="AC46" i="49"/>
  <c r="IH43" i="49"/>
  <c r="II43" i="49" s="1"/>
  <c r="AD42" i="49"/>
  <c r="GP67" i="49"/>
  <c r="AI56" i="49"/>
  <c r="AK53" i="49"/>
  <c r="S34" i="49"/>
  <c r="AC21" i="50" s="1"/>
  <c r="AK66" i="49"/>
  <c r="Y20" i="49"/>
  <c r="V20" i="49" s="1"/>
  <c r="D12" i="51" s="1"/>
  <c r="DD66" i="49"/>
  <c r="DA66" i="49" s="1"/>
  <c r="GP34" i="49"/>
  <c r="Q38" i="49"/>
  <c r="JI39" i="49"/>
  <c r="JD39" i="49" s="1"/>
  <c r="BU58" i="49"/>
  <c r="BD78" i="49"/>
  <c r="DI38" i="49"/>
  <c r="CE24" i="49"/>
  <c r="FU28" i="49"/>
  <c r="EW29" i="49"/>
  <c r="EY31" i="49"/>
  <c r="EZ38" i="49"/>
  <c r="FS38" i="49"/>
  <c r="EW39" i="49"/>
  <c r="FW48" i="49"/>
  <c r="FQ63" i="49"/>
  <c r="Q27" i="49"/>
  <c r="AI43" i="49"/>
  <c r="AE43" i="49"/>
  <c r="KD49" i="49"/>
  <c r="KD68" i="49"/>
  <c r="KC68" i="49" s="1"/>
  <c r="FV28" i="49"/>
  <c r="EX29" i="49"/>
  <c r="EW30" i="49"/>
  <c r="EZ31" i="49"/>
  <c r="FB38" i="49"/>
  <c r="FT38" i="49"/>
  <c r="EX39" i="49"/>
  <c r="FS39" i="49"/>
  <c r="F29" i="49"/>
  <c r="L29" i="49" s="1"/>
  <c r="GP43" i="49"/>
  <c r="AH24" i="49"/>
  <c r="U34" i="49"/>
  <c r="F34" i="49" s="1"/>
  <c r="L34" i="49" s="1"/>
  <c r="KF34" i="49"/>
  <c r="JS62" i="50" s="1"/>
  <c r="IW35" i="49"/>
  <c r="CE20" i="49"/>
  <c r="FW28" i="49"/>
  <c r="EY29" i="49"/>
  <c r="FC30" i="49"/>
  <c r="FT30" i="49"/>
  <c r="FA31" i="49"/>
  <c r="FU38" i="49"/>
  <c r="EZ39" i="49"/>
  <c r="FU39" i="49"/>
  <c r="BJ21" i="49"/>
  <c r="FX28" i="49"/>
  <c r="FA29" i="49"/>
  <c r="FU29" i="49"/>
  <c r="FU30" i="49"/>
  <c r="FB31" i="49"/>
  <c r="EW34" i="49"/>
  <c r="FV38" i="49"/>
  <c r="FC39" i="49"/>
  <c r="FV39" i="49"/>
  <c r="CE66" i="49"/>
  <c r="F41" i="49"/>
  <c r="L41" i="49" s="1"/>
  <c r="DU78" i="49"/>
  <c r="Y75" i="49"/>
  <c r="V75" i="49" s="1"/>
  <c r="AE56" i="49"/>
  <c r="AC55" i="49"/>
  <c r="AF50" i="49"/>
  <c r="AC50" i="49"/>
  <c r="DD39" i="49"/>
  <c r="AA31" i="49"/>
  <c r="IX19" i="49"/>
  <c r="IU54" i="49"/>
  <c r="IU52" i="49" s="1"/>
  <c r="AK24" i="49"/>
  <c r="IX27" i="49"/>
  <c r="AF34" i="49"/>
  <c r="BH34" i="49"/>
  <c r="AA34" i="49"/>
  <c r="O40" i="49"/>
  <c r="AA23" i="49"/>
  <c r="KF21" i="49"/>
  <c r="KF25" i="49"/>
  <c r="KE25" i="49" s="1"/>
  <c r="KD39" i="49"/>
  <c r="JU82" i="50" s="1"/>
  <c r="BK45" i="49"/>
  <c r="CE23" i="49"/>
  <c r="EY23" i="49"/>
  <c r="FY28" i="49"/>
  <c r="FW29" i="49"/>
  <c r="FY30" i="49"/>
  <c r="FC31" i="49"/>
  <c r="FS31" i="49"/>
  <c r="EX34" i="49"/>
  <c r="FX38" i="49"/>
  <c r="FW39" i="49"/>
  <c r="IW59" i="49"/>
  <c r="IV59" i="49" s="1"/>
  <c r="IL28" i="49"/>
  <c r="DU79" i="49"/>
  <c r="BH43" i="49"/>
  <c r="BE43" i="49" s="1"/>
  <c r="IU50" i="49"/>
  <c r="KD35" i="49"/>
  <c r="JZ35" i="49" s="1"/>
  <c r="LF35" i="49" s="1"/>
  <c r="JD59" i="49"/>
  <c r="JC59" i="49" s="1"/>
  <c r="DD77" i="49"/>
  <c r="DA77" i="49" s="1"/>
  <c r="DT77" i="49" s="1"/>
  <c r="DH75" i="49"/>
  <c r="DZ75" i="49" s="1"/>
  <c r="DZ73" i="49" s="1"/>
  <c r="CE39" i="49"/>
  <c r="EW50" i="49"/>
  <c r="FU63" i="49"/>
  <c r="II20" i="49"/>
  <c r="AE50" i="49"/>
  <c r="AD43" i="49"/>
  <c r="U30" i="49"/>
  <c r="F30" i="49" s="1"/>
  <c r="L30" i="49" s="1"/>
  <c r="KD56" i="49"/>
  <c r="KC56" i="49" s="1"/>
  <c r="BJ56" i="49"/>
  <c r="FX50" i="49"/>
  <c r="EY68" i="49"/>
  <c r="FV68" i="49"/>
  <c r="EX69" i="49"/>
  <c r="JZ54" i="49"/>
  <c r="AQ44" i="48" s="1"/>
  <c r="DH48" i="49"/>
  <c r="DG48" i="49" s="1"/>
  <c r="Q68" i="49"/>
  <c r="O48" i="49"/>
  <c r="KF31" i="49"/>
  <c r="KE31" i="49" s="1"/>
  <c r="U49" i="49"/>
  <c r="F49" i="49" s="1"/>
  <c r="L49" i="49" s="1"/>
  <c r="F50" i="49"/>
  <c r="L50" i="49" s="1"/>
  <c r="EX28" i="49"/>
  <c r="EZ43" i="49"/>
  <c r="FA59" i="49"/>
  <c r="FW59" i="49"/>
  <c r="FW67" i="49"/>
  <c r="EZ68" i="49"/>
  <c r="FW68" i="49"/>
  <c r="EY69" i="49"/>
  <c r="BG54" i="49"/>
  <c r="BD54" i="49" s="1"/>
  <c r="IG50" i="49"/>
  <c r="AA68" i="49"/>
  <c r="JD53" i="49"/>
  <c r="JC53" i="49" s="1"/>
  <c r="U55" i="49"/>
  <c r="F55" i="49" s="1"/>
  <c r="L55" i="49" s="1"/>
  <c r="AF66" i="49"/>
  <c r="EY28" i="49"/>
  <c r="FA43" i="49"/>
  <c r="EW48" i="49"/>
  <c r="EW63" i="49"/>
  <c r="EW67" i="49"/>
  <c r="FX67" i="49"/>
  <c r="FX68" i="49"/>
  <c r="EZ69" i="49"/>
  <c r="IG53" i="49"/>
  <c r="GP50" i="49"/>
  <c r="JI63" i="49"/>
  <c r="IK68" i="49"/>
  <c r="IJ68" i="49" s="1"/>
  <c r="DE50" i="49"/>
  <c r="DB50" i="49" s="1"/>
  <c r="BU52" i="49"/>
  <c r="DI30" i="49"/>
  <c r="FB43" i="49"/>
  <c r="FS43" i="49"/>
  <c r="EY48" i="49"/>
  <c r="FT59" i="49"/>
  <c r="EW59" i="49"/>
  <c r="FY68" i="49"/>
  <c r="FC69" i="49"/>
  <c r="R9" i="42"/>
  <c r="U9" i="42" s="1"/>
  <c r="R9" i="41"/>
  <c r="Z14" i="41" s="1"/>
  <c r="AC14" i="41" s="1"/>
  <c r="Z14" i="42"/>
  <c r="AC14" i="42" s="1"/>
  <c r="FU91" i="51"/>
  <c r="EY84" i="51"/>
  <c r="CL81" i="51"/>
  <c r="BC81" i="51"/>
  <c r="BD81" i="51"/>
  <c r="BE81" i="51"/>
  <c r="BG81" i="51"/>
  <c r="BH81" i="51"/>
  <c r="BN81" i="51"/>
  <c r="BO81" i="51"/>
  <c r="BQ81" i="51"/>
  <c r="BI81" i="51"/>
  <c r="FL91" i="51"/>
  <c r="BC91" i="51"/>
  <c r="BD91" i="51"/>
  <c r="BE91" i="51"/>
  <c r="BG91" i="51"/>
  <c r="BH91" i="51"/>
  <c r="BI91" i="51"/>
  <c r="CL91" i="51"/>
  <c r="FL81" i="51"/>
  <c r="DK71" i="51"/>
  <c r="CY65" i="51"/>
  <c r="DA65" i="51"/>
  <c r="FV75" i="51"/>
  <c r="EY75" i="51" s="1"/>
  <c r="FY79" i="51"/>
  <c r="EZ79" i="51" s="1"/>
  <c r="AY79" i="51"/>
  <c r="CY68" i="51"/>
  <c r="AY77" i="51"/>
  <c r="C36" i="51"/>
  <c r="FT79" i="51"/>
  <c r="EX79" i="51" s="1"/>
  <c r="FV87" i="51"/>
  <c r="EY87" i="51" s="1"/>
  <c r="FU87" i="51" s="1"/>
  <c r="AY87" i="51"/>
  <c r="DA68" i="51"/>
  <c r="AY75" i="51"/>
  <c r="DA62" i="51"/>
  <c r="FY77" i="51"/>
  <c r="EZ77" i="51" s="1"/>
  <c r="FX77" i="51" s="1"/>
  <c r="FV77" i="51"/>
  <c r="EY77" i="51" s="1"/>
  <c r="FU77" i="51" s="1"/>
  <c r="DA64" i="51"/>
  <c r="FT77" i="51"/>
  <c r="EX77" i="51" s="1"/>
  <c r="FM77" i="51"/>
  <c r="EV77" i="51" s="1"/>
  <c r="FL77" i="51" s="1"/>
  <c r="O42" i="39"/>
  <c r="Q42" i="39" s="1"/>
  <c r="Q43" i="39" s="1"/>
  <c r="B12" i="36" s="1"/>
  <c r="N42" i="39"/>
  <c r="DG39" i="10"/>
  <c r="AD29" i="18" s="1"/>
  <c r="DG67" i="10"/>
  <c r="AD53" i="18" s="1"/>
  <c r="AE53" i="18"/>
  <c r="BR27" i="14"/>
  <c r="DJ39" i="10"/>
  <c r="AG29" i="18" s="1"/>
  <c r="AE29" i="18"/>
  <c r="DI39" i="10"/>
  <c r="AF29" i="18" s="1"/>
  <c r="GP40" i="10"/>
  <c r="DJ23" i="10"/>
  <c r="AG13" i="18" s="1"/>
  <c r="DG23" i="10"/>
  <c r="AD13" i="18" s="1"/>
  <c r="DJ53" i="10"/>
  <c r="AG43" i="18" s="1"/>
  <c r="DG53" i="10"/>
  <c r="AD43" i="18" s="1"/>
  <c r="AE43" i="18"/>
  <c r="DI53" i="10"/>
  <c r="AF43" i="18" s="1"/>
  <c r="DI23" i="10"/>
  <c r="AF13" i="18" s="1"/>
  <c r="AE13" i="18"/>
  <c r="BR30" i="14"/>
  <c r="DG42" i="10"/>
  <c r="AD32" i="18" s="1"/>
  <c r="DI42" i="10"/>
  <c r="AF32" i="18" s="1"/>
  <c r="AE32" i="18"/>
  <c r="Z25" i="40"/>
  <c r="Z27" i="40" s="1"/>
  <c r="AB25" i="40"/>
  <c r="W13" i="40"/>
  <c r="X17" i="40"/>
  <c r="X18" i="40"/>
  <c r="R9" i="40"/>
  <c r="Z14" i="40" s="1"/>
  <c r="AB27" i="40"/>
  <c r="Y22" i="40"/>
  <c r="X26" i="40"/>
  <c r="AB14" i="40"/>
  <c r="AB26" i="40"/>
  <c r="AC26" i="40" s="1"/>
  <c r="B55" i="50"/>
  <c r="R16" i="50"/>
  <c r="IB112" i="50"/>
  <c r="IA112" i="50" s="1"/>
  <c r="JO48" i="50"/>
  <c r="JS111" i="50"/>
  <c r="B127" i="50"/>
  <c r="R14" i="50"/>
  <c r="JU111" i="50"/>
  <c r="JW111" i="50" s="1"/>
  <c r="AG112" i="50"/>
  <c r="C128" i="50"/>
  <c r="U16" i="50"/>
  <c r="C113" i="50"/>
  <c r="B113" i="50" s="1"/>
  <c r="B114" i="50" s="1"/>
  <c r="B44" i="50"/>
  <c r="R22" i="50"/>
  <c r="B70" i="50"/>
  <c r="B68" i="50"/>
  <c r="F112" i="50"/>
  <c r="H112" i="50" s="1"/>
  <c r="G112" i="50" s="1"/>
  <c r="GV33" i="50"/>
  <c r="IV62" i="49"/>
  <c r="D44" i="50"/>
  <c r="C108" i="50"/>
  <c r="B108" i="50" s="1"/>
  <c r="JU41" i="49"/>
  <c r="GW15" i="50"/>
  <c r="JV30" i="49"/>
  <c r="EA20" i="49"/>
  <c r="IR28" i="49"/>
  <c r="KC55" i="49"/>
  <c r="JU43" i="50"/>
  <c r="IR41" i="49"/>
  <c r="GV16" i="50"/>
  <c r="IV22" i="49"/>
  <c r="EA76" i="49"/>
  <c r="DG76" i="49"/>
  <c r="DC76" i="49" s="1"/>
  <c r="CZ76" i="49" s="1"/>
  <c r="DS76" i="49" s="1"/>
  <c r="V42" i="49"/>
  <c r="DZ49" i="49"/>
  <c r="L112" i="50"/>
  <c r="KC28" i="49"/>
  <c r="GV17" i="50"/>
  <c r="GV26" i="50"/>
  <c r="IV38" i="49"/>
  <c r="II56" i="49"/>
  <c r="IG56" i="49"/>
  <c r="EL30" i="51"/>
  <c r="KC75" i="49"/>
  <c r="IU69" i="49"/>
  <c r="AJ69" i="49"/>
  <c r="AK69" i="49"/>
  <c r="AC69" i="49"/>
  <c r="BH69" i="49"/>
  <c r="AF69" i="49"/>
  <c r="E69" i="49"/>
  <c r="AD69" i="49"/>
  <c r="AH69" i="49"/>
  <c r="BI69" i="49"/>
  <c r="AI69" i="49"/>
  <c r="AG69" i="49"/>
  <c r="AE69" i="49"/>
  <c r="GP69" i="49"/>
  <c r="DG67" i="49"/>
  <c r="T22" i="49"/>
  <c r="AD16" i="50" s="1"/>
  <c r="Q22" i="49"/>
  <c r="IK22" i="49"/>
  <c r="AA22" i="49"/>
  <c r="DO22" i="49"/>
  <c r="DD22" i="49" s="1"/>
  <c r="CE22" i="49"/>
  <c r="IW66" i="49"/>
  <c r="IV66" i="49" s="1"/>
  <c r="Y66" i="49"/>
  <c r="S66" i="49"/>
  <c r="BI42" i="49"/>
  <c r="DI42" i="49"/>
  <c r="BJ42" i="49"/>
  <c r="GM45" i="51"/>
  <c r="IH21" i="49"/>
  <c r="Y21" i="49"/>
  <c r="O21" i="49"/>
  <c r="S21" i="49"/>
  <c r="AC15" i="50" s="1"/>
  <c r="GM48" i="51"/>
  <c r="OC94" i="50"/>
  <c r="GL48" i="51" s="1"/>
  <c r="DZ69" i="49"/>
  <c r="DZ21" i="49"/>
  <c r="IV50" i="49"/>
  <c r="Y62" i="49"/>
  <c r="IH62" i="49"/>
  <c r="DH62" i="49"/>
  <c r="DZ62" i="49" s="1"/>
  <c r="S62" i="49"/>
  <c r="AC33" i="50" s="1"/>
  <c r="D85" i="50"/>
  <c r="D83" i="50"/>
  <c r="BE66" i="49"/>
  <c r="AD48" i="49"/>
  <c r="AC48" i="49"/>
  <c r="AG48" i="49"/>
  <c r="AE48" i="49"/>
  <c r="AI48" i="49"/>
  <c r="IU48" i="49"/>
  <c r="AH48" i="49"/>
  <c r="BI48" i="49"/>
  <c r="AF48" i="49"/>
  <c r="E48" i="49"/>
  <c r="IK21" i="49"/>
  <c r="BK52" i="49"/>
  <c r="FV24" i="49"/>
  <c r="FS24" i="49"/>
  <c r="EY24" i="49"/>
  <c r="AH35" i="49"/>
  <c r="AI35" i="49"/>
  <c r="GP35" i="49"/>
  <c r="IU41" i="49"/>
  <c r="E41" i="49"/>
  <c r="F69" i="49"/>
  <c r="L69" i="49" s="1"/>
  <c r="D70" i="50"/>
  <c r="D68" i="50"/>
  <c r="FN63" i="49"/>
  <c r="IJ42" i="49"/>
  <c r="U39" i="49"/>
  <c r="AJ55" i="49"/>
  <c r="GP55" i="49"/>
  <c r="AF55" i="49"/>
  <c r="AF52" i="49" s="1"/>
  <c r="T28" i="50"/>
  <c r="O28" i="50" s="1"/>
  <c r="BK33" i="49"/>
  <c r="DZ34" i="49"/>
  <c r="BC19" i="49"/>
  <c r="Q25" i="49"/>
  <c r="U35" i="49"/>
  <c r="F35" i="49" s="1"/>
  <c r="L35" i="49" s="1"/>
  <c r="IW47" i="49"/>
  <c r="IV47" i="49" s="1"/>
  <c r="D55" i="50"/>
  <c r="BI25" i="49"/>
  <c r="BU45" i="49"/>
  <c r="DZ24" i="49"/>
  <c r="DO42" i="49"/>
  <c r="DD42" i="49" s="1"/>
  <c r="Q42" i="49"/>
  <c r="AE25" i="49"/>
  <c r="BJ50" i="49"/>
  <c r="BJ23" i="49"/>
  <c r="FW22" i="49"/>
  <c r="CE28" i="49"/>
  <c r="BE54" i="49"/>
  <c r="BH56" i="49"/>
  <c r="BH53" i="49"/>
  <c r="S40" i="49"/>
  <c r="AC28" i="50" s="1"/>
  <c r="AC43" i="49"/>
  <c r="GP25" i="49"/>
  <c r="AK25" i="49"/>
  <c r="BI39" i="49"/>
  <c r="BF39" i="49" s="1"/>
  <c r="DH31" i="49"/>
  <c r="E42" i="49"/>
  <c r="AJ47" i="49"/>
  <c r="AJ42" i="49"/>
  <c r="JE65" i="49"/>
  <c r="DX11" i="49"/>
  <c r="DH20" i="49"/>
  <c r="DG20" i="49" s="1"/>
  <c r="U23" i="49"/>
  <c r="KF23" i="49"/>
  <c r="KD34" i="49"/>
  <c r="IU46" i="49"/>
  <c r="AD46" i="49"/>
  <c r="KF46" i="49"/>
  <c r="KE46" i="49" s="1"/>
  <c r="DD68" i="49"/>
  <c r="AC68" i="49"/>
  <c r="EZ24" i="49"/>
  <c r="CP62" i="49"/>
  <c r="BI62" i="49" s="1"/>
  <c r="BF62" i="49" s="1"/>
  <c r="FS62" i="49"/>
  <c r="FR62" i="49" s="1"/>
  <c r="BB19" i="49"/>
  <c r="BA19" i="49"/>
  <c r="JE19" i="49"/>
  <c r="AH56" i="49"/>
  <c r="AH52" i="49" s="1"/>
  <c r="AG56" i="49"/>
  <c r="AG52" i="49" s="1"/>
  <c r="EA54" i="49"/>
  <c r="DZ40" i="49"/>
  <c r="AX19" i="49"/>
  <c r="GR19" i="49"/>
  <c r="E25" i="49"/>
  <c r="FV22" i="49"/>
  <c r="EX22" i="49"/>
  <c r="AU19" i="49"/>
  <c r="JB21" i="49"/>
  <c r="IW21" i="49" s="1"/>
  <c r="KD29" i="49"/>
  <c r="KF47" i="49"/>
  <c r="AI54" i="49"/>
  <c r="DH55" i="49"/>
  <c r="O63" i="49"/>
  <c r="S63" i="49"/>
  <c r="BH42" i="49"/>
  <c r="D30" i="51"/>
  <c r="CP19" i="49"/>
  <c r="AV19" i="49"/>
  <c r="DO20" i="49"/>
  <c r="EC20" i="49" s="1"/>
  <c r="IK20" i="49"/>
  <c r="AC38" i="49"/>
  <c r="AD38" i="49"/>
  <c r="JB39" i="49"/>
  <c r="IW39" i="49" s="1"/>
  <c r="JD43" i="49"/>
  <c r="JC43" i="49" s="1"/>
  <c r="AJ50" i="49"/>
  <c r="AH50" i="49"/>
  <c r="CE29" i="49"/>
  <c r="FV29" i="49"/>
  <c r="FT29" i="49"/>
  <c r="FS29" i="49"/>
  <c r="FC29" i="49"/>
  <c r="FB29" i="49"/>
  <c r="FY29" i="49"/>
  <c r="CE30" i="49"/>
  <c r="FX30" i="49"/>
  <c r="FA30" i="49"/>
  <c r="FS30" i="49"/>
  <c r="O54" i="49"/>
  <c r="O52" i="49" s="1"/>
  <c r="IH54" i="49"/>
  <c r="D63" i="49"/>
  <c r="IU63" i="49" s="1"/>
  <c r="IU61" i="49" s="1"/>
  <c r="D64" i="50"/>
  <c r="BJ46" i="49"/>
  <c r="IW25" i="49"/>
  <c r="IV25" i="49" s="1"/>
  <c r="AK43" i="49"/>
  <c r="DD43" i="49"/>
  <c r="FL63" i="49"/>
  <c r="FV63" i="49"/>
  <c r="JD67" i="49"/>
  <c r="DI68" i="49"/>
  <c r="BI68" i="49"/>
  <c r="BJ48" i="49"/>
  <c r="FW24" i="49"/>
  <c r="C61" i="49"/>
  <c r="IX61" i="49" s="1"/>
  <c r="AJ67" i="49"/>
  <c r="DZ79" i="49"/>
  <c r="AC47" i="49"/>
  <c r="E43" i="49"/>
  <c r="AG38" i="49"/>
  <c r="AF23" i="49"/>
  <c r="AG34" i="49"/>
  <c r="AF24" i="49"/>
  <c r="E20" i="49"/>
  <c r="GP41" i="49"/>
  <c r="DH41" i="49"/>
  <c r="DG41" i="49" s="1"/>
  <c r="DY41" i="49" s="1"/>
  <c r="BI67" i="49"/>
  <c r="E56" i="49"/>
  <c r="AD24" i="49"/>
  <c r="AA21" i="49"/>
  <c r="AI40" i="49"/>
  <c r="DH23" i="49"/>
  <c r="JD25" i="49"/>
  <c r="JC25" i="49" s="1"/>
  <c r="U47" i="49"/>
  <c r="KD67" i="49"/>
  <c r="BJ22" i="49"/>
  <c r="EW22" i="49"/>
  <c r="FX24" i="49"/>
  <c r="U24" i="49"/>
  <c r="F24" i="49" s="1"/>
  <c r="L24" i="49" s="1"/>
  <c r="IW40" i="49"/>
  <c r="BU65" i="49"/>
  <c r="KD66" i="49"/>
  <c r="KC66" i="49" s="1"/>
  <c r="KD69" i="49"/>
  <c r="EZ20" i="49"/>
  <c r="EW38" i="49"/>
  <c r="CE42" i="49"/>
  <c r="FW42" i="49"/>
  <c r="EX43" i="49"/>
  <c r="FT46" i="49"/>
  <c r="CE50" i="49"/>
  <c r="FV50" i="49"/>
  <c r="EW53" i="49"/>
  <c r="CE54" i="49"/>
  <c r="FX54" i="49"/>
  <c r="FC59" i="49"/>
  <c r="FU59" i="49"/>
  <c r="FW46" i="49"/>
  <c r="FY50" i="49"/>
  <c r="CE59" i="49"/>
  <c r="CE58" i="49" s="1"/>
  <c r="FX59" i="49"/>
  <c r="CE69" i="49"/>
  <c r="BH29" i="49"/>
  <c r="IW43" i="49"/>
  <c r="IV43" i="49" s="1"/>
  <c r="FW20" i="49"/>
  <c r="FB34" i="49"/>
  <c r="FX34" i="49"/>
  <c r="FW38" i="49"/>
  <c r="FB39" i="49"/>
  <c r="FT39" i="49"/>
  <c r="FC41" i="49"/>
  <c r="FS41" i="49"/>
  <c r="EX42" i="49"/>
  <c r="FV43" i="49"/>
  <c r="EW46" i="49"/>
  <c r="FY47" i="49"/>
  <c r="FB48" i="49"/>
  <c r="EX50" i="49"/>
  <c r="EX54" i="49"/>
  <c r="FW66" i="49"/>
  <c r="EZ67" i="49"/>
  <c r="FU67" i="49"/>
  <c r="FT41" i="49"/>
  <c r="FW43" i="49"/>
  <c r="EX46" i="49"/>
  <c r="EY50" i="49"/>
  <c r="EY54" i="49"/>
  <c r="FY20" i="49"/>
  <c r="FX41" i="49"/>
  <c r="EZ42" i="49"/>
  <c r="FX43" i="49"/>
  <c r="EY46" i="49"/>
  <c r="EZ50" i="49"/>
  <c r="EZ54" i="49"/>
  <c r="FA56" i="49"/>
  <c r="FG63" i="49"/>
  <c r="CF63" i="49"/>
  <c r="FO63" i="49"/>
  <c r="FB63" i="49"/>
  <c r="FY41" i="49"/>
  <c r="FA42" i="49"/>
  <c r="FY43" i="49"/>
  <c r="EZ46" i="49"/>
  <c r="CE48" i="49"/>
  <c r="FU48" i="49"/>
  <c r="FA50" i="49"/>
  <c r="FA54" i="49"/>
  <c r="FS54" i="49"/>
  <c r="FB56" i="49"/>
  <c r="EX59" i="49"/>
  <c r="FI63" i="49"/>
  <c r="FY67" i="49"/>
  <c r="FB54" i="49"/>
  <c r="FT54" i="49"/>
  <c r="CE40" i="49"/>
  <c r="FC42" i="49"/>
  <c r="FT42" i="49"/>
  <c r="FB46" i="49"/>
  <c r="FX48" i="49"/>
  <c r="FC50" i="49"/>
  <c r="FS50" i="49"/>
  <c r="FC54" i="49"/>
  <c r="FU54" i="49"/>
  <c r="FX56" i="49"/>
  <c r="EZ59" i="49"/>
  <c r="CE67" i="49"/>
  <c r="FT50" i="49"/>
  <c r="FV54" i="49"/>
  <c r="CE56" i="49"/>
  <c r="FB59" i="49"/>
  <c r="FS59" i="49"/>
  <c r="FM63" i="49"/>
  <c r="CE68" i="49"/>
  <c r="DI62" i="49"/>
  <c r="M28" i="49"/>
  <c r="FC63" i="49"/>
  <c r="BU63" i="49"/>
  <c r="BK63" i="49"/>
  <c r="EK26" i="51"/>
  <c r="KE62" i="49"/>
  <c r="GP58" i="49"/>
  <c r="O29" i="50"/>
  <c r="KB41" i="49"/>
  <c r="AS31" i="48" s="1"/>
  <c r="KA41" i="49"/>
  <c r="AR31" i="48" s="1"/>
  <c r="JY41" i="49"/>
  <c r="AP31" i="48" s="1"/>
  <c r="IV48" i="49"/>
  <c r="ED25" i="49"/>
  <c r="KE41" i="49"/>
  <c r="JS92" i="50"/>
  <c r="M30" i="49"/>
  <c r="IE30" i="49"/>
  <c r="BD30" i="49"/>
  <c r="KC31" i="49"/>
  <c r="JU125" i="50"/>
  <c r="EL14" i="51"/>
  <c r="V49" i="49"/>
  <c r="AB30" i="49"/>
  <c r="D19" i="51"/>
  <c r="JU30" i="49"/>
  <c r="BJ62" i="49"/>
  <c r="JC68" i="49"/>
  <c r="IL41" i="49"/>
  <c r="FD29" i="50"/>
  <c r="FD26" i="50"/>
  <c r="IJ38" i="49"/>
  <c r="JZ39" i="49"/>
  <c r="IV42" i="49"/>
  <c r="KF58" i="49"/>
  <c r="KE59" i="49"/>
  <c r="JC31" i="49"/>
  <c r="IG41" i="49"/>
  <c r="FC29" i="50"/>
  <c r="DZ22" i="49"/>
  <c r="IJ53" i="49"/>
  <c r="G20" i="49"/>
  <c r="IR20" i="49"/>
  <c r="IH47" i="49"/>
  <c r="KF50" i="49"/>
  <c r="D89" i="50"/>
  <c r="D90" i="50"/>
  <c r="AA155" i="50"/>
  <c r="GM50" i="51"/>
  <c r="GW22" i="50"/>
  <c r="JC35" i="49"/>
  <c r="BE40" i="49"/>
  <c r="BG40" i="49"/>
  <c r="IL48" i="49"/>
  <c r="KF38" i="49"/>
  <c r="GV36" i="50"/>
  <c r="IV69" i="49"/>
  <c r="HD75" i="49"/>
  <c r="KE68" i="49"/>
  <c r="O47" i="49"/>
  <c r="S47" i="49"/>
  <c r="DH47" i="49"/>
  <c r="Y47" i="49"/>
  <c r="D80" i="50"/>
  <c r="D79" i="50"/>
  <c r="DH58" i="49"/>
  <c r="DG59" i="49"/>
  <c r="DG58" i="49" s="1"/>
  <c r="GV21" i="50"/>
  <c r="S29" i="49"/>
  <c r="IH29" i="49"/>
  <c r="Y29" i="49"/>
  <c r="O29" i="49"/>
  <c r="O27" i="49" s="1"/>
  <c r="DH29" i="49"/>
  <c r="FD21" i="50"/>
  <c r="IL34" i="49"/>
  <c r="IJ34" i="49"/>
  <c r="M117" i="50"/>
  <c r="AF28" i="49"/>
  <c r="BH28" i="49"/>
  <c r="IU28" i="49"/>
  <c r="B27" i="49"/>
  <c r="AH28" i="49"/>
  <c r="AI28" i="49"/>
  <c r="AC28" i="49"/>
  <c r="AE28" i="49"/>
  <c r="AG28" i="49"/>
  <c r="E28" i="49"/>
  <c r="GP28" i="49"/>
  <c r="BI28" i="49"/>
  <c r="AJ28" i="49"/>
  <c r="FD27" i="50"/>
  <c r="IJ39" i="49"/>
  <c r="F28" i="49"/>
  <c r="L28" i="49" s="1"/>
  <c r="U27" i="49"/>
  <c r="Y73" i="49"/>
  <c r="D29" i="51" s="1"/>
  <c r="S28" i="49"/>
  <c r="DH28" i="49"/>
  <c r="CP37" i="49"/>
  <c r="DO23" i="49"/>
  <c r="DH46" i="49"/>
  <c r="S46" i="49"/>
  <c r="T66" i="49"/>
  <c r="AA66" i="49"/>
  <c r="Q66" i="49"/>
  <c r="IK66" i="49"/>
  <c r="IJ66" i="49" s="1"/>
  <c r="OA26" i="50"/>
  <c r="AJ49" i="49"/>
  <c r="E54" i="49"/>
  <c r="AE54" i="49"/>
  <c r="AE52" i="49" s="1"/>
  <c r="AG41" i="49"/>
  <c r="AJ41" i="49"/>
  <c r="BH41" i="49"/>
  <c r="AD41" i="49"/>
  <c r="B37" i="49"/>
  <c r="AK41" i="49"/>
  <c r="AC67" i="49"/>
  <c r="AE67" i="49"/>
  <c r="B65" i="49"/>
  <c r="AI67" i="49"/>
  <c r="E67" i="49"/>
  <c r="BH67" i="49"/>
  <c r="IJ46" i="49"/>
  <c r="I76" i="49"/>
  <c r="O76" i="49" s="1"/>
  <c r="GP75" i="49"/>
  <c r="AK54" i="49"/>
  <c r="EA50" i="49"/>
  <c r="KF20" i="49"/>
  <c r="FC28" i="50"/>
  <c r="IG40" i="49"/>
  <c r="II40" i="49"/>
  <c r="AK35" i="49"/>
  <c r="B33" i="49"/>
  <c r="IU35" i="49"/>
  <c r="OC26" i="50"/>
  <c r="O67" i="49"/>
  <c r="FV25" i="49"/>
  <c r="FU25" i="49"/>
  <c r="FC25" i="49"/>
  <c r="EZ25" i="49"/>
  <c r="DI25" i="49"/>
  <c r="FW25" i="49"/>
  <c r="FX25" i="49"/>
  <c r="FT25" i="49"/>
  <c r="FB25" i="49"/>
  <c r="FS25" i="49"/>
  <c r="FA25" i="49"/>
  <c r="EY25" i="49"/>
  <c r="EX25" i="49"/>
  <c r="EW25" i="49"/>
  <c r="FY25" i="49"/>
  <c r="DT79" i="49"/>
  <c r="AC54" i="49"/>
  <c r="DC12" i="49"/>
  <c r="DV12" i="49" s="1"/>
  <c r="GE12" i="49"/>
  <c r="GC12" i="49" s="1"/>
  <c r="JA63" i="49"/>
  <c r="JB63" i="49" s="1"/>
  <c r="IW63" i="49" s="1"/>
  <c r="AI29" i="49"/>
  <c r="AC29" i="49"/>
  <c r="AG29" i="49"/>
  <c r="AH29" i="49"/>
  <c r="FX55" i="49"/>
  <c r="EZ55" i="49"/>
  <c r="FW55" i="49"/>
  <c r="EY55" i="49"/>
  <c r="DI55" i="49"/>
  <c r="FV55" i="49"/>
  <c r="EX55" i="49"/>
  <c r="FU55" i="49"/>
  <c r="EW55" i="49"/>
  <c r="FT55" i="49"/>
  <c r="FS55" i="49"/>
  <c r="FC55" i="49"/>
  <c r="FY55" i="49"/>
  <c r="FA55" i="49"/>
  <c r="AF47" i="49"/>
  <c r="BI47" i="49"/>
  <c r="GQ19" i="49"/>
  <c r="AO19" i="49"/>
  <c r="AM19" i="49"/>
  <c r="AA53" i="49"/>
  <c r="V53" i="49" s="1"/>
  <c r="T53" i="49"/>
  <c r="EA38" i="49"/>
  <c r="AS19" i="49"/>
  <c r="CF52" i="49"/>
  <c r="EC52" i="49" s="1"/>
  <c r="GR52" i="49"/>
  <c r="CP52" i="49"/>
  <c r="O59" i="49"/>
  <c r="O58" i="49" s="1"/>
  <c r="IH59" i="49"/>
  <c r="DI39" i="49"/>
  <c r="EA39" i="49" s="1"/>
  <c r="BJ67" i="49"/>
  <c r="EA67" i="49"/>
  <c r="BJ47" i="49"/>
  <c r="BH47" i="49"/>
  <c r="IJ50" i="49"/>
  <c r="KF42" i="49"/>
  <c r="Q39" i="49"/>
  <c r="AA39" i="49"/>
  <c r="GR65" i="49"/>
  <c r="IX65" i="49"/>
  <c r="AH41" i="49"/>
  <c r="AT19" i="49"/>
  <c r="GP47" i="49"/>
  <c r="O42" i="49"/>
  <c r="BH48" i="49"/>
  <c r="GP48" i="49"/>
  <c r="AK48" i="49"/>
  <c r="AJ48" i="49"/>
  <c r="U53" i="49"/>
  <c r="AI41" i="49"/>
  <c r="AP19" i="49"/>
  <c r="BK19" i="49"/>
  <c r="AD54" i="49"/>
  <c r="AD67" i="49"/>
  <c r="AH47" i="49"/>
  <c r="Q20" i="49"/>
  <c r="T20" i="49"/>
  <c r="AD14" i="50" s="1"/>
  <c r="GL13" i="51"/>
  <c r="OC16" i="50"/>
  <c r="KF24" i="49"/>
  <c r="Y25" i="49"/>
  <c r="O25" i="49"/>
  <c r="IH25" i="49"/>
  <c r="Y35" i="49"/>
  <c r="O35" i="49"/>
  <c r="O33" i="49" s="1"/>
  <c r="DH35" i="49"/>
  <c r="IU23" i="49"/>
  <c r="AI38" i="49"/>
  <c r="IH23" i="49"/>
  <c r="DI66" i="49"/>
  <c r="BJ35" i="49"/>
  <c r="BK58" i="49"/>
  <c r="BJ59" i="49"/>
  <c r="FX40" i="49"/>
  <c r="EZ40" i="49"/>
  <c r="DI40" i="49"/>
  <c r="FW40" i="49"/>
  <c r="EY40" i="49"/>
  <c r="FU40" i="49"/>
  <c r="EW40" i="49"/>
  <c r="FT40" i="49"/>
  <c r="FS40" i="49"/>
  <c r="FY40" i="49"/>
  <c r="FA40" i="49"/>
  <c r="DZ66" i="49"/>
  <c r="BJ66" i="49"/>
  <c r="FG62" i="49"/>
  <c r="CF62" i="49"/>
  <c r="FI62" i="49"/>
  <c r="EK63" i="49"/>
  <c r="AD20" i="49"/>
  <c r="GP23" i="49"/>
  <c r="AF38" i="49"/>
  <c r="DZ39" i="49"/>
  <c r="BJ39" i="49"/>
  <c r="BI50" i="49"/>
  <c r="BU27" i="49"/>
  <c r="BJ40" i="49"/>
  <c r="CE47" i="49"/>
  <c r="CF45" i="49"/>
  <c r="EC45" i="49" s="1"/>
  <c r="AH34" i="49"/>
  <c r="KF56" i="49"/>
  <c r="FV23" i="49"/>
  <c r="FB23" i="49"/>
  <c r="FU23" i="49"/>
  <c r="FA23" i="49"/>
  <c r="EX23" i="49"/>
  <c r="FW23" i="49"/>
  <c r="FC23" i="49"/>
  <c r="T28" i="49"/>
  <c r="DO28" i="49"/>
  <c r="FC35" i="49"/>
  <c r="FY35" i="49"/>
  <c r="FA35" i="49"/>
  <c r="FX35" i="49"/>
  <c r="EZ35" i="49"/>
  <c r="FW35" i="49"/>
  <c r="EY35" i="49"/>
  <c r="FV35" i="49"/>
  <c r="EX35" i="49"/>
  <c r="FU35" i="49"/>
  <c r="EW35" i="49"/>
  <c r="FT35" i="49"/>
  <c r="FS35" i="49"/>
  <c r="DN40" i="49"/>
  <c r="O66" i="49"/>
  <c r="IH66" i="49"/>
  <c r="CP33" i="49"/>
  <c r="CE34" i="49"/>
  <c r="DN35" i="49"/>
  <c r="FC49" i="49"/>
  <c r="FY49" i="49"/>
  <c r="FA49" i="49"/>
  <c r="FX49" i="49"/>
  <c r="EZ49" i="49"/>
  <c r="FW49" i="49"/>
  <c r="EY49" i="49"/>
  <c r="FV49" i="49"/>
  <c r="EX49" i="49"/>
  <c r="FU49" i="49"/>
  <c r="EW49" i="49"/>
  <c r="FT49" i="49"/>
  <c r="FS49" i="49"/>
  <c r="DI49" i="49"/>
  <c r="BJ49" i="49"/>
  <c r="FV21" i="49"/>
  <c r="EZ21" i="49"/>
  <c r="FU21" i="49"/>
  <c r="EY21" i="49"/>
  <c r="FW21" i="49"/>
  <c r="FA21" i="49"/>
  <c r="DG79" i="49"/>
  <c r="DY79" i="49" s="1"/>
  <c r="GR79" i="49" s="1"/>
  <c r="IU20" i="49"/>
  <c r="BH24" i="49"/>
  <c r="BH35" i="49"/>
  <c r="BJ28" i="49"/>
  <c r="FC21" i="49"/>
  <c r="DI28" i="49"/>
  <c r="BJ68" i="49"/>
  <c r="DI43" i="49"/>
  <c r="BI43" i="49"/>
  <c r="DZ53" i="49"/>
  <c r="FC38" i="49"/>
  <c r="FA39" i="49"/>
  <c r="EY41" i="49"/>
  <c r="FW41" i="49"/>
  <c r="EY56" i="49"/>
  <c r="FW56" i="49"/>
  <c r="FC66" i="49"/>
  <c r="FC67" i="49"/>
  <c r="FC68" i="49"/>
  <c r="EW20" i="49"/>
  <c r="EY22" i="49"/>
  <c r="FA24" i="49"/>
  <c r="FT20" i="49"/>
  <c r="FT22" i="49"/>
  <c r="FT24" i="49"/>
  <c r="EX30" i="49"/>
  <c r="FV30" i="49"/>
  <c r="FT31" i="49"/>
  <c r="FT34" i="49"/>
  <c r="EX47" i="49"/>
  <c r="FV47" i="49"/>
  <c r="FT48" i="49"/>
  <c r="FJ63" i="49"/>
  <c r="EX20" i="49"/>
  <c r="EZ22" i="49"/>
  <c r="FB24" i="49"/>
  <c r="FU20" i="49"/>
  <c r="FU22" i="49"/>
  <c r="FU24" i="49"/>
  <c r="EY30" i="49"/>
  <c r="FW30" i="49"/>
  <c r="EW31" i="49"/>
  <c r="FU31" i="49"/>
  <c r="FU34" i="49"/>
  <c r="EY47" i="49"/>
  <c r="FW47" i="49"/>
  <c r="EK62" i="49"/>
  <c r="FS66" i="49"/>
  <c r="FS67" i="49"/>
  <c r="FS68" i="49"/>
  <c r="BD79" i="49"/>
  <c r="EY20" i="49"/>
  <c r="FA22" i="49"/>
  <c r="FC24" i="49"/>
  <c r="EZ30" i="49"/>
  <c r="EX31" i="49"/>
  <c r="FV34" i="49"/>
  <c r="EZ47" i="49"/>
  <c r="EX48" i="49"/>
  <c r="FK63" i="49"/>
  <c r="FT66" i="49"/>
  <c r="FT67" i="49"/>
  <c r="FT68" i="49"/>
  <c r="CP63" i="49"/>
  <c r="FS63" i="49"/>
  <c r="FV66" i="49"/>
  <c r="FV67" i="49"/>
  <c r="EX66" i="49"/>
  <c r="FX66" i="49"/>
  <c r="FS56" i="49"/>
  <c r="FT56" i="49"/>
  <c r="BF77" i="49"/>
  <c r="FA38" i="49"/>
  <c r="EY39" i="49"/>
  <c r="EW41" i="49"/>
  <c r="FU41" i="49"/>
  <c r="EW56" i="49"/>
  <c r="FU56" i="49"/>
  <c r="FA66" i="49"/>
  <c r="FA67" i="49"/>
  <c r="FA68" i="49"/>
  <c r="FA69" i="49"/>
  <c r="FX69" i="49"/>
  <c r="FR69" i="49" s="1"/>
  <c r="BD77" i="49"/>
  <c r="EX41" i="49"/>
  <c r="EX56" i="49"/>
  <c r="FB69" i="49"/>
  <c r="EA75" i="49"/>
  <c r="EA73" i="49" s="1"/>
  <c r="DE77" i="49"/>
  <c r="DB77" i="49" s="1"/>
  <c r="DB73" i="49"/>
  <c r="DU73" i="49" s="1"/>
  <c r="DG77" i="49"/>
  <c r="DS78" i="49"/>
  <c r="BE73" i="49"/>
  <c r="IV75" i="49"/>
  <c r="IR75" i="49"/>
  <c r="EV62" i="49"/>
  <c r="AA94" i="50" l="1"/>
  <c r="D48" i="51"/>
  <c r="Y94" i="50"/>
  <c r="AK93" i="50" s="1"/>
  <c r="V94" i="50"/>
  <c r="AM93" i="50" s="1"/>
  <c r="EV20" i="10"/>
  <c r="GW14" i="14"/>
  <c r="EY84" i="11"/>
  <c r="FU89" i="11"/>
  <c r="GW14" i="50"/>
  <c r="JC20" i="49"/>
  <c r="KE63" i="49"/>
  <c r="JZ63" i="49"/>
  <c r="LF63" i="49" s="1"/>
  <c r="KE55" i="49"/>
  <c r="JZ55" i="49"/>
  <c r="LF55" i="49" s="1"/>
  <c r="DN34" i="49"/>
  <c r="ED34" i="49"/>
  <c r="F41" i="10"/>
  <c r="O37" i="10"/>
  <c r="FR56" i="10"/>
  <c r="AP46" i="18" s="1"/>
  <c r="FX50" i="10"/>
  <c r="FS50" i="10"/>
  <c r="GY50" i="10" s="1"/>
  <c r="FV67" i="10"/>
  <c r="FS67" i="10"/>
  <c r="GP67" i="10" s="1"/>
  <c r="CF21" i="10"/>
  <c r="BL21" i="10"/>
  <c r="V50" i="49"/>
  <c r="IR50" i="49"/>
  <c r="Q62" i="49"/>
  <c r="Q61" i="49" s="1"/>
  <c r="DO62" i="49"/>
  <c r="DN62" i="49" s="1"/>
  <c r="EK27" i="51"/>
  <c r="EJ27" i="51" s="1"/>
  <c r="EN42" i="49"/>
  <c r="EN21" i="49"/>
  <c r="EN38" i="49"/>
  <c r="EN50" i="49"/>
  <c r="EN69" i="49"/>
  <c r="EN63" i="49"/>
  <c r="EN53" i="49"/>
  <c r="EN30" i="49"/>
  <c r="EN40" i="49"/>
  <c r="JV41" i="49"/>
  <c r="G41" i="49"/>
  <c r="JT41" i="49"/>
  <c r="CL91" i="11"/>
  <c r="BI91" i="11"/>
  <c r="AY84" i="11"/>
  <c r="AW84" i="11" s="1"/>
  <c r="CJ31" i="10"/>
  <c r="DH31" i="10"/>
  <c r="DG31" i="10" s="1"/>
  <c r="AD21" i="18" s="1"/>
  <c r="DZ21" i="10"/>
  <c r="FC15" i="14"/>
  <c r="FS29" i="10"/>
  <c r="EN46" i="49"/>
  <c r="EP63" i="49"/>
  <c r="EP75" i="49"/>
  <c r="EP34" i="49"/>
  <c r="EP39" i="49"/>
  <c r="EP41" i="49"/>
  <c r="EP54" i="49"/>
  <c r="EP25" i="49"/>
  <c r="EP50" i="49"/>
  <c r="EP24" i="49"/>
  <c r="EP43" i="49"/>
  <c r="EP23" i="49"/>
  <c r="EP47" i="49"/>
  <c r="EP22" i="49"/>
  <c r="EP35" i="49"/>
  <c r="EP21" i="49"/>
  <c r="EP69" i="49"/>
  <c r="EP28" i="49"/>
  <c r="EP31" i="49"/>
  <c r="EP67" i="49"/>
  <c r="EP53" i="49"/>
  <c r="EP29" i="49"/>
  <c r="EP66" i="49"/>
  <c r="EP55" i="49"/>
  <c r="EP40" i="49"/>
  <c r="EP42" i="49"/>
  <c r="CY67" i="51"/>
  <c r="CY64" i="51"/>
  <c r="BM38" i="10"/>
  <c r="BJ38" i="10" s="1"/>
  <c r="BO37" i="10"/>
  <c r="FN34" i="10"/>
  <c r="FQ34" i="10"/>
  <c r="FQ33" i="10" s="1"/>
  <c r="FO34" i="10"/>
  <c r="N21" i="14"/>
  <c r="Q21" i="14" s="1"/>
  <c r="FP34" i="10"/>
  <c r="FM34" i="10"/>
  <c r="V34" i="10"/>
  <c r="AB46" i="49"/>
  <c r="JW46" i="49"/>
  <c r="KB43" i="49"/>
  <c r="AS33" i="48" s="1"/>
  <c r="KC29" i="49"/>
  <c r="JZ29" i="49"/>
  <c r="LF29" i="49" s="1"/>
  <c r="EP20" i="49"/>
  <c r="EN31" i="49"/>
  <c r="FP68" i="10"/>
  <c r="FM68" i="10"/>
  <c r="DP66" i="10"/>
  <c r="DT68" i="10"/>
  <c r="DT22" i="10"/>
  <c r="DP41" i="10"/>
  <c r="BT29" i="14" s="1"/>
  <c r="DP31" i="10"/>
  <c r="DR31" i="10" s="1"/>
  <c r="Y21" i="18" s="1"/>
  <c r="DT62" i="10"/>
  <c r="DP55" i="10"/>
  <c r="DP47" i="10"/>
  <c r="DT50" i="10"/>
  <c r="DT59" i="10"/>
  <c r="DT55" i="10"/>
  <c r="DU55" i="10" s="1"/>
  <c r="AJ45" i="18" s="1"/>
  <c r="DT30" i="10"/>
  <c r="AI20" i="18" s="1"/>
  <c r="DP21" i="10"/>
  <c r="DP53" i="10"/>
  <c r="DP24" i="10"/>
  <c r="DP49" i="10"/>
  <c r="DT28" i="10"/>
  <c r="DT46" i="10"/>
  <c r="DT24" i="10"/>
  <c r="AI14" i="18" s="1"/>
  <c r="DP65" i="10"/>
  <c r="DP23" i="10"/>
  <c r="DP69" i="10"/>
  <c r="DP54" i="10"/>
  <c r="DP59" i="10"/>
  <c r="DP20" i="10"/>
  <c r="DT25" i="10"/>
  <c r="DP63" i="10"/>
  <c r="DR63" i="10" s="1"/>
  <c r="DP68" i="10"/>
  <c r="W54" i="18" s="1"/>
  <c r="O54" i="18" s="1"/>
  <c r="DT47" i="10"/>
  <c r="DP67" i="10"/>
  <c r="DP38" i="10"/>
  <c r="DT49" i="10"/>
  <c r="DT20" i="10"/>
  <c r="DT42" i="10"/>
  <c r="DS42" i="10" s="1"/>
  <c r="AH32" i="18" s="1"/>
  <c r="Z32" i="18" s="1"/>
  <c r="DT69" i="10"/>
  <c r="DS69" i="10" s="1"/>
  <c r="AH55" i="18" s="1"/>
  <c r="DP46" i="10"/>
  <c r="DP56" i="10"/>
  <c r="DT67" i="10"/>
  <c r="DT53" i="10"/>
  <c r="DP39" i="10"/>
  <c r="DT56" i="10"/>
  <c r="DP34" i="10"/>
  <c r="BT21" i="14" s="1"/>
  <c r="DP50" i="10"/>
  <c r="DO50" i="10" s="1"/>
  <c r="V40" i="18" s="1"/>
  <c r="N40" i="18" s="1"/>
  <c r="DD56" i="49"/>
  <c r="DA56" i="49" s="1"/>
  <c r="DZ56" i="49"/>
  <c r="IJ35" i="49"/>
  <c r="IL35" i="49"/>
  <c r="FM31" i="10"/>
  <c r="FO31" i="10"/>
  <c r="V31" i="10"/>
  <c r="FN31" i="10"/>
  <c r="FL31" i="10" s="1"/>
  <c r="FP31" i="10"/>
  <c r="FU56" i="10"/>
  <c r="AS46" i="18" s="1"/>
  <c r="AQ46" i="18"/>
  <c r="AA33" i="49"/>
  <c r="V34" i="49"/>
  <c r="AB34" i="49" s="1"/>
  <c r="EA41" i="49"/>
  <c r="DE41" i="49"/>
  <c r="DB41" i="49" s="1"/>
  <c r="EP56" i="49"/>
  <c r="BK49" i="10"/>
  <c r="BM49" i="10"/>
  <c r="BJ49" i="10" s="1"/>
  <c r="P59" i="10"/>
  <c r="S58" i="10"/>
  <c r="I58" i="10" s="1"/>
  <c r="IG48" i="49"/>
  <c r="II48" i="49"/>
  <c r="DC30" i="10"/>
  <c r="R20" i="18" s="1"/>
  <c r="DE30" i="10"/>
  <c r="T20" i="18" s="1"/>
  <c r="GV21" i="14"/>
  <c r="EO34" i="10"/>
  <c r="P48" i="10"/>
  <c r="V48" i="10" s="1"/>
  <c r="JZ68" i="49"/>
  <c r="LF68" i="49" s="1"/>
  <c r="Y65" i="49"/>
  <c r="I65" i="49" s="1"/>
  <c r="IH65" i="49" s="1"/>
  <c r="AE30" i="18"/>
  <c r="EZ84" i="51"/>
  <c r="FY84" i="51" s="1"/>
  <c r="BG89" i="51"/>
  <c r="AY84" i="51"/>
  <c r="JD63" i="49"/>
  <c r="JC63" i="49" s="1"/>
  <c r="JZ53" i="49"/>
  <c r="ER35" i="49"/>
  <c r="ER34" i="49"/>
  <c r="ER55" i="49"/>
  <c r="ER39" i="49"/>
  <c r="ER50" i="49"/>
  <c r="ER53" i="49"/>
  <c r="ER41" i="49"/>
  <c r="ET35" i="49"/>
  <c r="ET29" i="49"/>
  <c r="ET59" i="49"/>
  <c r="ET39" i="49"/>
  <c r="EB43" i="49"/>
  <c r="JV67" i="49"/>
  <c r="FP40" i="10"/>
  <c r="BM56" i="10"/>
  <c r="FO40" i="10"/>
  <c r="BM63" i="10"/>
  <c r="BJ63" i="10" s="1"/>
  <c r="BL45" i="10"/>
  <c r="CZ25" i="10"/>
  <c r="DJ49" i="10"/>
  <c r="AG39" i="18" s="1"/>
  <c r="AE46" i="18"/>
  <c r="CS52" i="10"/>
  <c r="JU125" i="14"/>
  <c r="FT154" i="14"/>
  <c r="FM67" i="10"/>
  <c r="AM46" i="50"/>
  <c r="V108" i="14"/>
  <c r="J108" i="14" s="1"/>
  <c r="I108" i="14" s="1"/>
  <c r="B59" i="14"/>
  <c r="BY91" i="11"/>
  <c r="AM153" i="14"/>
  <c r="GW26" i="14"/>
  <c r="JC40" i="49"/>
  <c r="GW28" i="50"/>
  <c r="CG77" i="10"/>
  <c r="CU77" i="10" s="1"/>
  <c r="BM77" i="10"/>
  <c r="BJ77" i="10" s="1"/>
  <c r="CA77" i="10" s="1"/>
  <c r="BE79" i="11"/>
  <c r="BB79" i="11" s="1"/>
  <c r="BH79" i="11"/>
  <c r="BF79" i="11" s="1"/>
  <c r="BN79" i="11"/>
  <c r="BM79" i="11" s="1"/>
  <c r="BI79" i="11"/>
  <c r="BO79" i="11"/>
  <c r="BQ79" i="11"/>
  <c r="CL79" i="11"/>
  <c r="BD75" i="11"/>
  <c r="BO75" i="11"/>
  <c r="BN75" i="11"/>
  <c r="BE75" i="11"/>
  <c r="BI75" i="11"/>
  <c r="BH75" i="11"/>
  <c r="BC75" i="11"/>
  <c r="BQ75" i="11"/>
  <c r="BI89" i="11"/>
  <c r="BC89" i="11"/>
  <c r="BB89" i="11" s="1"/>
  <c r="BH89" i="11"/>
  <c r="BE89" i="11"/>
  <c r="BG89" i="11"/>
  <c r="CL89" i="11"/>
  <c r="BD89" i="11"/>
  <c r="V48" i="49"/>
  <c r="EK62" i="10"/>
  <c r="EM62" i="10" s="1"/>
  <c r="EC55" i="10"/>
  <c r="DG49" i="10"/>
  <c r="AD39" i="18" s="1"/>
  <c r="AZ59" i="10"/>
  <c r="AZ58" i="10" s="1"/>
  <c r="EV38" i="10"/>
  <c r="D22" i="11"/>
  <c r="FN38" i="10"/>
  <c r="AC26" i="43"/>
  <c r="F62" i="10"/>
  <c r="P62" i="10"/>
  <c r="DZ24" i="10"/>
  <c r="EB24" i="10"/>
  <c r="EB53" i="10"/>
  <c r="DZ53" i="10"/>
  <c r="IP53" i="14"/>
  <c r="JM53" i="14"/>
  <c r="JK53" i="14" s="1"/>
  <c r="IW55" i="14" s="1"/>
  <c r="CI37" i="10"/>
  <c r="AK19" i="49"/>
  <c r="G67" i="49"/>
  <c r="BE49" i="49"/>
  <c r="DI40" i="10"/>
  <c r="AF30" i="18" s="1"/>
  <c r="EX62" i="51"/>
  <c r="II38" i="49"/>
  <c r="KC22" i="49"/>
  <c r="JU67" i="49"/>
  <c r="AC52" i="10"/>
  <c r="AG108" i="14"/>
  <c r="G39" i="10"/>
  <c r="BL27" i="10"/>
  <c r="N26" i="14"/>
  <c r="Q26" i="14" s="1"/>
  <c r="BM53" i="10"/>
  <c r="BJ53" i="10" s="1"/>
  <c r="DL53" i="10"/>
  <c r="DM53" i="10" s="1"/>
  <c r="L43" i="18" s="1"/>
  <c r="DI49" i="10"/>
  <c r="AF39" i="18" s="1"/>
  <c r="GP56" i="10"/>
  <c r="GQ56" i="10" s="1"/>
  <c r="DP48" i="10"/>
  <c r="CF30" i="10"/>
  <c r="BC58" i="10"/>
  <c r="FM66" i="10"/>
  <c r="AM154" i="14"/>
  <c r="AM46" i="14"/>
  <c r="Z75" i="14"/>
  <c r="BF75" i="11"/>
  <c r="BN58" i="10"/>
  <c r="EK18" i="11"/>
  <c r="EJ18" i="11" s="1"/>
  <c r="Y17" i="43"/>
  <c r="AY38" i="10"/>
  <c r="AY37" i="10" s="1"/>
  <c r="CE38" i="10"/>
  <c r="KC39" i="49"/>
  <c r="AB67" i="49"/>
  <c r="JW30" i="49"/>
  <c r="AI64" i="50"/>
  <c r="JZ22" i="49"/>
  <c r="KA22" i="49" s="1"/>
  <c r="AR12" i="48" s="1"/>
  <c r="DP33" i="49"/>
  <c r="ER20" i="49"/>
  <c r="ER23" i="49"/>
  <c r="ER38" i="49"/>
  <c r="ER56" i="49"/>
  <c r="ET66" i="49"/>
  <c r="ET24" i="49"/>
  <c r="ET23" i="49"/>
  <c r="ET49" i="49"/>
  <c r="DT78" i="49"/>
  <c r="V40" i="49"/>
  <c r="AD52" i="10"/>
  <c r="BM59" i="10"/>
  <c r="BJ59" i="10" s="1"/>
  <c r="BJ58" i="10" s="1"/>
  <c r="N27" i="14"/>
  <c r="Q27" i="14" s="1"/>
  <c r="AG154" i="14"/>
  <c r="G38" i="10"/>
  <c r="V38" i="10"/>
  <c r="DD42" i="10"/>
  <c r="EL14" i="11"/>
  <c r="U65" i="10"/>
  <c r="K65" i="10" s="1"/>
  <c r="ED65" i="10" s="1"/>
  <c r="DT65" i="10" s="1"/>
  <c r="G66" i="10"/>
  <c r="DX66" i="10" s="1"/>
  <c r="DW66" i="10" s="1"/>
  <c r="EV84" i="11"/>
  <c r="BK59" i="10"/>
  <c r="BK58" i="10" s="1"/>
  <c r="FX29" i="10"/>
  <c r="BM69" i="10"/>
  <c r="BJ69" i="10" s="1"/>
  <c r="AC27" i="43"/>
  <c r="AY67" i="10"/>
  <c r="AY65" i="10" s="1"/>
  <c r="CE67" i="10"/>
  <c r="DY56" i="49"/>
  <c r="DG56" i="49"/>
  <c r="EL13" i="51"/>
  <c r="X27" i="10"/>
  <c r="DT40" i="10"/>
  <c r="AB52" i="10"/>
  <c r="FS23" i="10"/>
  <c r="GP23" i="10" s="1"/>
  <c r="FP67" i="10"/>
  <c r="FL67" i="10" s="1"/>
  <c r="FP38" i="10"/>
  <c r="FL38" i="10" s="1"/>
  <c r="BA30" i="10"/>
  <c r="AX30" i="10" s="1"/>
  <c r="CF69" i="10"/>
  <c r="N28" i="14"/>
  <c r="Q28" i="14" s="1"/>
  <c r="FS54" i="10"/>
  <c r="BN52" i="10"/>
  <c r="CV75" i="10"/>
  <c r="CF56" i="10"/>
  <c r="FP66" i="10"/>
  <c r="FL66" i="10" s="1"/>
  <c r="EZ84" i="11"/>
  <c r="DX75" i="10"/>
  <c r="DZ30" i="11" s="1"/>
  <c r="G25" i="10"/>
  <c r="FN25" i="10"/>
  <c r="IE28" i="49"/>
  <c r="IE55" i="49"/>
  <c r="DL71" i="51"/>
  <c r="DM71" i="51" s="1"/>
  <c r="FU71" i="51" s="1"/>
  <c r="JZ69" i="49"/>
  <c r="JY69" i="49" s="1"/>
  <c r="AP55" i="48" s="1"/>
  <c r="IB50" i="50"/>
  <c r="DJ40" i="10"/>
  <c r="AG30" i="18" s="1"/>
  <c r="BR28" i="14"/>
  <c r="ES41" i="49"/>
  <c r="IG20" i="49"/>
  <c r="II34" i="49"/>
  <c r="Y27" i="10"/>
  <c r="DT31" i="10"/>
  <c r="DU31" i="10" s="1"/>
  <c r="AJ21" i="18" s="1"/>
  <c r="BC37" i="10"/>
  <c r="BQ65" i="10"/>
  <c r="V67" i="10"/>
  <c r="FO38" i="10"/>
  <c r="BC27" i="10"/>
  <c r="CF63" i="10"/>
  <c r="FM40" i="10"/>
  <c r="FL40" i="10" s="1"/>
  <c r="BM31" i="10"/>
  <c r="CD31" i="10" s="1"/>
  <c r="DP75" i="10"/>
  <c r="FM38" i="10"/>
  <c r="AC26" i="42"/>
  <c r="Z27" i="42"/>
  <c r="DH21" i="10"/>
  <c r="EN39" i="49"/>
  <c r="EN67" i="49"/>
  <c r="EN25" i="49"/>
  <c r="EN49" i="49"/>
  <c r="EN43" i="49"/>
  <c r="EN75" i="49"/>
  <c r="DJ70" i="11"/>
  <c r="IB154" i="14"/>
  <c r="FQ21" i="10"/>
  <c r="FQ19" i="10" s="1"/>
  <c r="AB27" i="42"/>
  <c r="AC27" i="42" s="1"/>
  <c r="AC25" i="42"/>
  <c r="FS68" i="10"/>
  <c r="FX68" i="10"/>
  <c r="Y18" i="42"/>
  <c r="J14" i="37"/>
  <c r="AC14" i="40"/>
  <c r="LF53" i="49"/>
  <c r="EN24" i="49"/>
  <c r="EN29" i="49"/>
  <c r="EN47" i="49"/>
  <c r="EN56" i="49"/>
  <c r="EN20" i="49"/>
  <c r="EN34" i="49"/>
  <c r="EN66" i="49"/>
  <c r="EN54" i="49"/>
  <c r="L107" i="50"/>
  <c r="B107" i="50"/>
  <c r="GP39" i="10"/>
  <c r="AA76" i="14"/>
  <c r="OD76" i="14" s="1"/>
  <c r="BL65" i="10"/>
  <c r="EB25" i="49"/>
  <c r="CG30" i="10"/>
  <c r="EJ22" i="11"/>
  <c r="JS62" i="14"/>
  <c r="FX34" i="10"/>
  <c r="AZ53" i="10"/>
  <c r="AZ52" i="10" s="1"/>
  <c r="CF53" i="10"/>
  <c r="BE91" i="11"/>
  <c r="BG91" i="11"/>
  <c r="BD91" i="11"/>
  <c r="BC91" i="11"/>
  <c r="BH91" i="11"/>
  <c r="BF91" i="11" s="1"/>
  <c r="EB31" i="49"/>
  <c r="CJ40" i="10"/>
  <c r="DJ71" i="11"/>
  <c r="AC26" i="41"/>
  <c r="Z27" i="41"/>
  <c r="AC27" i="41" s="1"/>
  <c r="J22" i="37"/>
  <c r="Y17" i="40"/>
  <c r="U9" i="41"/>
  <c r="LF39" i="49"/>
  <c r="EN28" i="49"/>
  <c r="EN62" i="49"/>
  <c r="EN59" i="49"/>
  <c r="EN68" i="49"/>
  <c r="EN55" i="49"/>
  <c r="EN23" i="49"/>
  <c r="EN48" i="49"/>
  <c r="EN35" i="49"/>
  <c r="FR53" i="49"/>
  <c r="AY83" i="11"/>
  <c r="BH87" i="11"/>
  <c r="BG87" i="11"/>
  <c r="BF87" i="11" s="1"/>
  <c r="BC87" i="11"/>
  <c r="CL87" i="11"/>
  <c r="BD87" i="11"/>
  <c r="BE87" i="11"/>
  <c r="W52" i="18"/>
  <c r="DO66" i="10"/>
  <c r="V52" i="18" s="1"/>
  <c r="DN42" i="49"/>
  <c r="EB42" i="49" s="1"/>
  <c r="BG20" i="49"/>
  <c r="BD20" i="49" s="1"/>
  <c r="BH58" i="49"/>
  <c r="Y33" i="10"/>
  <c r="BR19" i="10"/>
  <c r="CH19" i="10" s="1"/>
  <c r="AE117" i="14"/>
  <c r="O65" i="10"/>
  <c r="GH65" i="10" s="1"/>
  <c r="BO33" i="10"/>
  <c r="CF33" i="10" s="1"/>
  <c r="FX53" i="10"/>
  <c r="FS53" i="10"/>
  <c r="BK48" i="10"/>
  <c r="BM48" i="10"/>
  <c r="AA33" i="10"/>
  <c r="HN117" i="14"/>
  <c r="DH24" i="10"/>
  <c r="DZ38" i="49"/>
  <c r="AB41" i="49"/>
  <c r="W52" i="10"/>
  <c r="FW117" i="14"/>
  <c r="U52" i="10"/>
  <c r="K52" i="10" s="1"/>
  <c r="ED52" i="10" s="1"/>
  <c r="DT52" i="10" s="1"/>
  <c r="AI42" i="18" s="1"/>
  <c r="S73" i="10"/>
  <c r="D29" i="11" s="1"/>
  <c r="BC45" i="10"/>
  <c r="CF45" i="10" s="1"/>
  <c r="W76" i="50"/>
  <c r="D44" i="51" s="1"/>
  <c r="C46" i="51" s="1"/>
  <c r="AK89" i="51" s="1"/>
  <c r="CC89" i="51" s="1"/>
  <c r="AM68" i="14"/>
  <c r="FY63" i="10"/>
  <c r="GG62" i="10"/>
  <c r="AZ49" i="10"/>
  <c r="CF49" i="10"/>
  <c r="EK40" i="10"/>
  <c r="AQ12" i="48"/>
  <c r="FS117" i="14"/>
  <c r="FX117" i="14" s="1"/>
  <c r="DG21" i="49"/>
  <c r="DY21" i="49" s="1"/>
  <c r="V24" i="49"/>
  <c r="P75" i="10"/>
  <c r="EK75" i="10" s="1"/>
  <c r="ED30" i="11" s="1"/>
  <c r="Q16" i="39"/>
  <c r="B15" i="36" s="1"/>
  <c r="N16" i="39"/>
  <c r="DN47" i="49"/>
  <c r="EB47" i="49" s="1"/>
  <c r="IR49" i="49"/>
  <c r="IQ49" i="49" s="1"/>
  <c r="AL39" i="48" s="1"/>
  <c r="AD33" i="10"/>
  <c r="FS55" i="10"/>
  <c r="AG117" i="14"/>
  <c r="BA47" i="10"/>
  <c r="AX47" i="10" s="1"/>
  <c r="CE24" i="10"/>
  <c r="D30" i="11"/>
  <c r="GG122" i="14"/>
  <c r="GL122" i="14" s="1"/>
  <c r="CG78" i="10"/>
  <c r="CU78" i="10" s="1"/>
  <c r="BM78" i="10"/>
  <c r="BJ78" i="10" s="1"/>
  <c r="CA78" i="10" s="1"/>
  <c r="P42" i="10"/>
  <c r="V42" i="10" s="1"/>
  <c r="JU78" i="14"/>
  <c r="FS38" i="10"/>
  <c r="GY38" i="10" s="1"/>
  <c r="AI45" i="49"/>
  <c r="DC68" i="10"/>
  <c r="R54" i="18" s="1"/>
  <c r="Q52" i="49"/>
  <c r="DC54" i="49"/>
  <c r="CZ54" i="49" s="1"/>
  <c r="KJ62" i="49"/>
  <c r="JV48" i="49"/>
  <c r="KC21" i="49"/>
  <c r="BW37" i="10"/>
  <c r="CK37" i="10" s="1"/>
  <c r="AG98" i="14"/>
  <c r="O27" i="10"/>
  <c r="F27" i="10" s="1"/>
  <c r="BM24" i="10"/>
  <c r="BJ24" i="10" s="1"/>
  <c r="EV69" i="10"/>
  <c r="JW41" i="49"/>
  <c r="CH65" i="10"/>
  <c r="FV38" i="10"/>
  <c r="EK55" i="10"/>
  <c r="EL55" i="10" s="1"/>
  <c r="AN45" i="18" s="1"/>
  <c r="FL25" i="10"/>
  <c r="AK63" i="14"/>
  <c r="AK64" i="14" s="1"/>
  <c r="AN64" i="14" s="1"/>
  <c r="AM154" i="50"/>
  <c r="FQ17" i="10"/>
  <c r="FO8" i="10" s="1"/>
  <c r="Y60" i="50"/>
  <c r="AY56" i="10"/>
  <c r="CE56" i="10"/>
  <c r="BA56" i="10"/>
  <c r="AX56" i="10" s="1"/>
  <c r="EV23" i="10"/>
  <c r="GW17" i="14"/>
  <c r="OC80" i="14"/>
  <c r="GL45" i="11" s="1"/>
  <c r="GM45" i="11"/>
  <c r="LF41" i="49"/>
  <c r="GW30" i="14"/>
  <c r="IB98" i="14" s="1"/>
  <c r="EV42" i="10"/>
  <c r="BG34" i="49"/>
  <c r="JV55" i="49"/>
  <c r="EL22" i="51"/>
  <c r="CF22" i="10"/>
  <c r="AI122" i="14"/>
  <c r="BJ25" i="10"/>
  <c r="CD25" i="10"/>
  <c r="FX47" i="10"/>
  <c r="FS47" i="10"/>
  <c r="CF47" i="10"/>
  <c r="FC16" i="50"/>
  <c r="FT112" i="50" s="1"/>
  <c r="FS112" i="50" s="1"/>
  <c r="FX112" i="50" s="1"/>
  <c r="IG22" i="49"/>
  <c r="FV49" i="10"/>
  <c r="FS49" i="10"/>
  <c r="EO53" i="10"/>
  <c r="EK53" i="10"/>
  <c r="AG45" i="49"/>
  <c r="IG34" i="49"/>
  <c r="BG59" i="49"/>
  <c r="BG58" i="49" s="1"/>
  <c r="DI31" i="10"/>
  <c r="AF21" i="18" s="1"/>
  <c r="AC52" i="49"/>
  <c r="AJ27" i="49"/>
  <c r="EL18" i="51"/>
  <c r="JY43" i="49"/>
  <c r="AP33" i="48" s="1"/>
  <c r="DJ31" i="10"/>
  <c r="AG21" i="18" s="1"/>
  <c r="DW54" i="49"/>
  <c r="EQ17" i="10"/>
  <c r="AZ45" i="10"/>
  <c r="EK39" i="10"/>
  <c r="EX17" i="10"/>
  <c r="IB84" i="14"/>
  <c r="AN49" i="50"/>
  <c r="AI49" i="50" s="1"/>
  <c r="Y80" i="50"/>
  <c r="AK79" i="50" s="1"/>
  <c r="EB23" i="10"/>
  <c r="DZ23" i="10"/>
  <c r="FD17" i="14"/>
  <c r="EC23" i="10"/>
  <c r="EE23" i="10"/>
  <c r="EC34" i="10"/>
  <c r="EE34" i="10"/>
  <c r="FD21" i="14"/>
  <c r="GH117" i="14" s="1"/>
  <c r="FS21" i="10"/>
  <c r="FV21" i="10"/>
  <c r="JU48" i="14"/>
  <c r="DA38" i="49"/>
  <c r="JU67" i="50"/>
  <c r="JN67" i="50" s="1"/>
  <c r="AE21" i="18"/>
  <c r="DG50" i="49"/>
  <c r="EN33" i="10"/>
  <c r="BK108" i="14"/>
  <c r="DF24" i="10"/>
  <c r="U14" i="18" s="1"/>
  <c r="DC24" i="10"/>
  <c r="R14" i="18" s="1"/>
  <c r="DE24" i="10"/>
  <c r="T14" i="18" s="1"/>
  <c r="S14" i="18"/>
  <c r="BA23" i="10"/>
  <c r="AX23" i="10" s="1"/>
  <c r="AY23" i="10"/>
  <c r="LF54" i="49"/>
  <c r="IL23" i="49"/>
  <c r="IJ23" i="49"/>
  <c r="LF22" i="49"/>
  <c r="EV53" i="49"/>
  <c r="GP31" i="10"/>
  <c r="GR31" i="10" s="1"/>
  <c r="CL65" i="10"/>
  <c r="EB59" i="10"/>
  <c r="DZ59" i="10"/>
  <c r="EE42" i="10"/>
  <c r="EC42" i="10"/>
  <c r="BK61" i="49"/>
  <c r="DY50" i="49"/>
  <c r="DZ50" i="49"/>
  <c r="R55" i="49"/>
  <c r="DU76" i="49"/>
  <c r="AA41" i="50"/>
  <c r="OD41" i="50" s="1"/>
  <c r="R13" i="14"/>
  <c r="DC67" i="10"/>
  <c r="R53" i="18" s="1"/>
  <c r="S53" i="18"/>
  <c r="LF43" i="49"/>
  <c r="BU61" i="49"/>
  <c r="AE19" i="49"/>
  <c r="JU55" i="49"/>
  <c r="CF27" i="10"/>
  <c r="BV41" i="10"/>
  <c r="CJ41" i="10" s="1"/>
  <c r="AI117" i="14"/>
  <c r="CJ34" i="10"/>
  <c r="DH34" i="10"/>
  <c r="C46" i="11"/>
  <c r="AK89" i="11" s="1"/>
  <c r="CC89" i="11" s="1"/>
  <c r="CY68" i="11"/>
  <c r="CY65" i="11"/>
  <c r="CY62" i="11"/>
  <c r="CY64" i="11"/>
  <c r="FY84" i="11"/>
  <c r="FZ84" i="11"/>
  <c r="FN84" i="11"/>
  <c r="FM84" i="11"/>
  <c r="C47" i="11"/>
  <c r="AL87" i="11" s="1"/>
  <c r="CD87" i="11" s="1"/>
  <c r="C48" i="11"/>
  <c r="AM75" i="11" s="1"/>
  <c r="CE75" i="11" s="1"/>
  <c r="AG87" i="11"/>
  <c r="BY87" i="11" s="1"/>
  <c r="AG89" i="11"/>
  <c r="BY89" i="11" s="1"/>
  <c r="DL70" i="11"/>
  <c r="DM70" i="11" s="1"/>
  <c r="DK70" i="11"/>
  <c r="CZ64" i="11"/>
  <c r="FV84" i="11"/>
  <c r="FW84" i="11"/>
  <c r="C45" i="11"/>
  <c r="AJ81" i="11" s="1"/>
  <c r="CB81" i="11" s="1"/>
  <c r="AV81" i="11"/>
  <c r="DK72" i="11"/>
  <c r="DA66" i="11"/>
  <c r="FM81" i="11"/>
  <c r="EV81" i="11" s="1"/>
  <c r="FV81" i="11"/>
  <c r="EY81" i="11" s="1"/>
  <c r="AY81" i="11"/>
  <c r="FT81" i="11"/>
  <c r="EX81" i="11" s="1"/>
  <c r="FY81" i="11"/>
  <c r="EZ81" i="11" s="1"/>
  <c r="FV77" i="11"/>
  <c r="EY77" i="11" s="1"/>
  <c r="FM77" i="11"/>
  <c r="EV77" i="11" s="1"/>
  <c r="DA65" i="11"/>
  <c r="FT77" i="11"/>
  <c r="EX77" i="11" s="1"/>
  <c r="DA64" i="11"/>
  <c r="AV77" i="11"/>
  <c r="FY77" i="11"/>
  <c r="EZ77" i="11" s="1"/>
  <c r="DA62" i="11"/>
  <c r="AY77" i="11"/>
  <c r="DL71" i="11"/>
  <c r="DM71" i="11" s="1"/>
  <c r="CZ62" i="11"/>
  <c r="FS72" i="51"/>
  <c r="FU72" i="51"/>
  <c r="FX72" i="51"/>
  <c r="FL72" i="51"/>
  <c r="EV84" i="51"/>
  <c r="FN84" i="51" s="1"/>
  <c r="EX84" i="51"/>
  <c r="DL70" i="51"/>
  <c r="DM70" i="51" s="1"/>
  <c r="BH89" i="51"/>
  <c r="BC89" i="51"/>
  <c r="BD89" i="51"/>
  <c r="BE89" i="51"/>
  <c r="CL89" i="51"/>
  <c r="BF89" i="51"/>
  <c r="C42" i="51"/>
  <c r="AH87" i="51" s="1"/>
  <c r="BZ87" i="51" s="1"/>
  <c r="DL73" i="51"/>
  <c r="DM73" i="51" s="1"/>
  <c r="DK73" i="51"/>
  <c r="CY62" i="51"/>
  <c r="HN97" i="14"/>
  <c r="HQ97" i="14" s="1"/>
  <c r="AI97" i="14"/>
  <c r="IB97" i="14"/>
  <c r="IA97" i="14" s="1"/>
  <c r="AG97" i="14"/>
  <c r="JN48" i="50"/>
  <c r="JT78" i="14"/>
  <c r="F117" i="50"/>
  <c r="H117" i="50" s="1"/>
  <c r="G117" i="50" s="1"/>
  <c r="IP78" i="14"/>
  <c r="AG77" i="11"/>
  <c r="BY77" i="11" s="1"/>
  <c r="O11" i="39"/>
  <c r="Q11" i="39" s="1"/>
  <c r="Q12" i="39" s="1"/>
  <c r="B7" i="36" s="1"/>
  <c r="D45" i="51"/>
  <c r="V80" i="50"/>
  <c r="V76" i="50" s="1"/>
  <c r="JQ53" i="14"/>
  <c r="IQ53" i="14"/>
  <c r="IO53" i="14" s="1"/>
  <c r="E12" i="39"/>
  <c r="M28" i="39"/>
  <c r="Q32" i="39"/>
  <c r="Q33" i="39" s="1"/>
  <c r="Y33" i="39" s="1"/>
  <c r="FT69" i="50"/>
  <c r="FS69" i="50" s="1"/>
  <c r="AM70" i="50"/>
  <c r="JN78" i="50"/>
  <c r="AI69" i="50"/>
  <c r="JV78" i="50"/>
  <c r="GH69" i="14"/>
  <c r="AN65" i="50"/>
  <c r="AG81" i="11"/>
  <c r="M11" i="39"/>
  <c r="N11" i="39" s="1"/>
  <c r="M37" i="39"/>
  <c r="O37" i="39"/>
  <c r="Q37" i="39" s="1"/>
  <c r="Q38" i="39" s="1"/>
  <c r="JW78" i="50"/>
  <c r="Q22" i="39"/>
  <c r="Q23" i="39" s="1"/>
  <c r="Y23" i="39" s="1"/>
  <c r="AK83" i="50"/>
  <c r="AM97" i="14"/>
  <c r="FT107" i="14"/>
  <c r="FS107" i="14" s="1"/>
  <c r="FX107" i="14" s="1"/>
  <c r="E117" i="50"/>
  <c r="V41" i="14"/>
  <c r="B41" i="14" s="1"/>
  <c r="GM48" i="11"/>
  <c r="OC94" i="14"/>
  <c r="GL48" i="11" s="1"/>
  <c r="AK77" i="11"/>
  <c r="AI107" i="14"/>
  <c r="JU106" i="50"/>
  <c r="IQ106" i="50" s="1"/>
  <c r="AA41" i="14"/>
  <c r="OD41" i="14" s="1"/>
  <c r="AA60" i="14"/>
  <c r="U14" i="50"/>
  <c r="T14" i="50" s="1"/>
  <c r="O14" i="50" s="1"/>
  <c r="U17" i="14"/>
  <c r="P17" i="14" s="1"/>
  <c r="V60" i="14"/>
  <c r="AM64" i="14"/>
  <c r="JL121" i="14"/>
  <c r="IZ122" i="14" s="1"/>
  <c r="IZ123" i="14" s="1"/>
  <c r="JP121" i="14"/>
  <c r="AK87" i="11"/>
  <c r="CC87" i="11" s="1"/>
  <c r="AK91" i="11"/>
  <c r="CC91" i="11" s="1"/>
  <c r="AK75" i="11"/>
  <c r="CC75" i="11" s="1"/>
  <c r="IS74" i="14"/>
  <c r="AH87" i="11"/>
  <c r="BZ87" i="11" s="1"/>
  <c r="AH75" i="11"/>
  <c r="BZ75" i="11" s="1"/>
  <c r="AH79" i="11"/>
  <c r="BZ79" i="11" s="1"/>
  <c r="AH81" i="11"/>
  <c r="BZ81" i="11" s="1"/>
  <c r="AH77" i="11"/>
  <c r="BZ77" i="11" s="1"/>
  <c r="AH89" i="11"/>
  <c r="BZ89" i="11" s="1"/>
  <c r="AH91" i="11"/>
  <c r="BZ91" i="11" s="1"/>
  <c r="JS125" i="14"/>
  <c r="JQ125" i="14" s="1"/>
  <c r="C50" i="11"/>
  <c r="C49" i="11"/>
  <c r="GK122" i="14"/>
  <c r="AF89" i="51"/>
  <c r="BX89" i="51" s="1"/>
  <c r="AF75" i="51"/>
  <c r="AF87" i="51"/>
  <c r="BX87" i="51" s="1"/>
  <c r="FV69" i="50"/>
  <c r="AM83" i="50"/>
  <c r="AM84" i="50"/>
  <c r="IO121" i="50"/>
  <c r="Y41" i="50"/>
  <c r="AM85" i="50"/>
  <c r="AM68" i="50"/>
  <c r="V60" i="50"/>
  <c r="AM69" i="50"/>
  <c r="AG77" i="51"/>
  <c r="FT68" i="50"/>
  <c r="FU68" i="50" s="1"/>
  <c r="AI68" i="50"/>
  <c r="AG75" i="51"/>
  <c r="AM117" i="50"/>
  <c r="AG87" i="51"/>
  <c r="AG91" i="51"/>
  <c r="BY91" i="51" s="1"/>
  <c r="AG89" i="51"/>
  <c r="BY89" i="51" s="1"/>
  <c r="JK121" i="50"/>
  <c r="JP121" i="50" s="1"/>
  <c r="AG81" i="51"/>
  <c r="BY81" i="51" s="1"/>
  <c r="N22" i="39"/>
  <c r="FV108" i="14"/>
  <c r="FS108" i="14"/>
  <c r="AK127" i="14"/>
  <c r="AN127" i="14" s="1"/>
  <c r="AN126" i="14"/>
  <c r="AF75" i="11"/>
  <c r="BX75" i="11" s="1"/>
  <c r="AF87" i="11"/>
  <c r="BX87" i="11" s="1"/>
  <c r="AF77" i="11"/>
  <c r="BX77" i="11" s="1"/>
  <c r="AF89" i="11"/>
  <c r="BX89" i="11" s="1"/>
  <c r="AF79" i="11"/>
  <c r="BX79" i="11" s="1"/>
  <c r="AF91" i="11"/>
  <c r="BX91" i="11" s="1"/>
  <c r="AF81" i="11"/>
  <c r="AM108" i="14"/>
  <c r="V127" i="14"/>
  <c r="AA127" i="14"/>
  <c r="D55" i="11"/>
  <c r="AI84" i="14"/>
  <c r="C35" i="11"/>
  <c r="C36" i="11"/>
  <c r="C37" i="11"/>
  <c r="Y41" i="14"/>
  <c r="AK44" i="14"/>
  <c r="AK45" i="14"/>
  <c r="AN45" i="14" s="1"/>
  <c r="AN54" i="14"/>
  <c r="AK55" i="14"/>
  <c r="AN55" i="14" s="1"/>
  <c r="AI69" i="14"/>
  <c r="W104" i="14"/>
  <c r="D52" i="11" s="1"/>
  <c r="AN83" i="14"/>
  <c r="FT83" i="14" s="1"/>
  <c r="AK85" i="14"/>
  <c r="AN85" i="14" s="1"/>
  <c r="HN85" i="14" s="1"/>
  <c r="AK94" i="14"/>
  <c r="AN94" i="14" s="1"/>
  <c r="AN93" i="14"/>
  <c r="Y76" i="14"/>
  <c r="AK79" i="14"/>
  <c r="AN68" i="14"/>
  <c r="AK70" i="14"/>
  <c r="AN70" i="14" s="1"/>
  <c r="AK113" i="14"/>
  <c r="AN113" i="14" s="1"/>
  <c r="AG113" i="14" s="1"/>
  <c r="AN112" i="14"/>
  <c r="AG69" i="14"/>
  <c r="AM89" i="14"/>
  <c r="AM90" i="14"/>
  <c r="D54" i="11"/>
  <c r="V113" i="14"/>
  <c r="AA113" i="14"/>
  <c r="AL89" i="11"/>
  <c r="CD89" i="11" s="1"/>
  <c r="GG117" i="14"/>
  <c r="GL117" i="14" s="1"/>
  <c r="GM117" i="14"/>
  <c r="GK117" i="14"/>
  <c r="AM54" i="14"/>
  <c r="AN89" i="14"/>
  <c r="AK90" i="14"/>
  <c r="AN90" i="14" s="1"/>
  <c r="CL84" i="14"/>
  <c r="T74" i="18" s="1"/>
  <c r="AN63" i="14"/>
  <c r="AK155" i="14"/>
  <c r="AN155" i="14" s="1"/>
  <c r="GH155" i="14" s="1"/>
  <c r="AN153" i="14"/>
  <c r="AJ91" i="11"/>
  <c r="CB91" i="11" s="1"/>
  <c r="AM93" i="14"/>
  <c r="AM94" i="14"/>
  <c r="S74" i="18"/>
  <c r="AI126" i="14"/>
  <c r="JC122" i="14"/>
  <c r="JD122" i="14"/>
  <c r="JB122" i="14"/>
  <c r="JA122" i="14"/>
  <c r="BW135" i="18" s="1"/>
  <c r="IV122" i="14"/>
  <c r="V76" i="14"/>
  <c r="B6" i="36"/>
  <c r="Y28" i="39"/>
  <c r="B14" i="36"/>
  <c r="AK81" i="51"/>
  <c r="CC81" i="51" s="1"/>
  <c r="AI117" i="50"/>
  <c r="AG117" i="50"/>
  <c r="AN89" i="50"/>
  <c r="AG89" i="50" s="1"/>
  <c r="AG145" i="50" s="1"/>
  <c r="AK90" i="50"/>
  <c r="AN90" i="50" s="1"/>
  <c r="FT90" i="50" s="1"/>
  <c r="L134" i="50"/>
  <c r="FT117" i="50"/>
  <c r="FY117" i="50" s="1"/>
  <c r="M50" i="39"/>
  <c r="N50" i="39" s="1"/>
  <c r="O50" i="39"/>
  <c r="P50" i="39"/>
  <c r="AM90" i="50"/>
  <c r="AM89" i="50"/>
  <c r="AN126" i="50"/>
  <c r="AK127" i="50"/>
  <c r="AN127" i="50" s="1"/>
  <c r="HN127" i="50" s="1"/>
  <c r="D55" i="51"/>
  <c r="AA127" i="50"/>
  <c r="V127" i="50"/>
  <c r="AM55" i="50"/>
  <c r="AM54" i="50"/>
  <c r="Y19" i="40"/>
  <c r="AK153" i="50"/>
  <c r="AK154" i="50"/>
  <c r="AN154" i="50" s="1"/>
  <c r="AI154" i="50" s="1"/>
  <c r="Y75" i="50"/>
  <c r="Y104" i="50"/>
  <c r="W108" i="50"/>
  <c r="C37" i="51"/>
  <c r="AF81" i="51"/>
  <c r="BX81" i="51" s="1"/>
  <c r="AF91" i="51"/>
  <c r="BX91" i="51" s="1"/>
  <c r="AF79" i="51"/>
  <c r="BX79" i="51" s="1"/>
  <c r="AF77" i="51"/>
  <c r="BX77" i="51" s="1"/>
  <c r="J113" i="50"/>
  <c r="I113" i="50" s="1"/>
  <c r="AM113" i="50"/>
  <c r="AM112" i="50"/>
  <c r="AK70" i="50"/>
  <c r="AN70" i="50" s="1"/>
  <c r="AN71" i="50" s="1"/>
  <c r="IB117" i="50"/>
  <c r="IA117" i="50" s="1"/>
  <c r="AN54" i="50"/>
  <c r="AI54" i="50" s="1"/>
  <c r="AK55" i="50"/>
  <c r="AN55" i="50" s="1"/>
  <c r="AI55" i="50" s="1"/>
  <c r="AK107" i="50"/>
  <c r="AM45" i="50"/>
  <c r="AM44" i="50"/>
  <c r="V41" i="50"/>
  <c r="AK45" i="50"/>
  <c r="AN45" i="50" s="1"/>
  <c r="AI45" i="50" s="1"/>
  <c r="AK44" i="50"/>
  <c r="AK94" i="50"/>
  <c r="AN94" i="50" s="1"/>
  <c r="AI94" i="50" s="1"/>
  <c r="AN93" i="50"/>
  <c r="C35" i="51"/>
  <c r="AK98" i="50"/>
  <c r="AN98" i="50" s="1"/>
  <c r="AN97" i="50"/>
  <c r="HN97" i="50" s="1"/>
  <c r="AK118" i="50"/>
  <c r="AN118" i="50" s="1"/>
  <c r="AM118" i="50"/>
  <c r="GF65" i="10"/>
  <c r="F49" i="10"/>
  <c r="O45" i="10"/>
  <c r="GD45" i="10" s="1"/>
  <c r="EK17" i="11"/>
  <c r="FX28" i="10"/>
  <c r="X33" i="10"/>
  <c r="W45" i="10"/>
  <c r="Z19" i="10"/>
  <c r="P49" i="10"/>
  <c r="EK49" i="10" s="1"/>
  <c r="EN52" i="10"/>
  <c r="IP67" i="14"/>
  <c r="JM67" i="14"/>
  <c r="AE37" i="10"/>
  <c r="Y52" i="10"/>
  <c r="AE45" i="10"/>
  <c r="AE65" i="10"/>
  <c r="FM24" i="10"/>
  <c r="FP24" i="10"/>
  <c r="G24" i="10"/>
  <c r="V24" i="10"/>
  <c r="FU22" i="10"/>
  <c r="AS12" i="18" s="1"/>
  <c r="BK113" i="14"/>
  <c r="FT22" i="10"/>
  <c r="AR12" i="18" s="1"/>
  <c r="DF50" i="10"/>
  <c r="U40" i="18" s="1"/>
  <c r="AB27" i="10"/>
  <c r="P65" i="10"/>
  <c r="G65" i="10" s="1"/>
  <c r="DX65" i="10" s="1"/>
  <c r="DL65" i="10" s="1"/>
  <c r="DY53" i="10"/>
  <c r="AZ38" i="10"/>
  <c r="BA38" i="10"/>
  <c r="FD15" i="14"/>
  <c r="EC21" i="10"/>
  <c r="EE21" i="10"/>
  <c r="EV68" i="10"/>
  <c r="GP68" i="10"/>
  <c r="FT31" i="10"/>
  <c r="AR21" i="18" s="1"/>
  <c r="FR31" i="10"/>
  <c r="AP21" i="18" s="1"/>
  <c r="FU31" i="10"/>
  <c r="AS21" i="18" s="1"/>
  <c r="AQ21" i="18"/>
  <c r="Z52" i="10"/>
  <c r="X45" i="10"/>
  <c r="DW53" i="10"/>
  <c r="CG56" i="10"/>
  <c r="DD56" i="10"/>
  <c r="GW29" i="14"/>
  <c r="EV41" i="10"/>
  <c r="AE52" i="10"/>
  <c r="CD42" i="10"/>
  <c r="B126" i="14"/>
  <c r="C128" i="14"/>
  <c r="FO68" i="10"/>
  <c r="FX48" i="10"/>
  <c r="FS48" i="10"/>
  <c r="DL75" i="10"/>
  <c r="DQ30" i="11" s="1"/>
  <c r="DO75" i="10"/>
  <c r="DZ47" i="10"/>
  <c r="EB47" i="10"/>
  <c r="DC50" i="10"/>
  <c r="R40" i="18" s="1"/>
  <c r="S40" i="18"/>
  <c r="FN68" i="10"/>
  <c r="BK21" i="10"/>
  <c r="BM21" i="10"/>
  <c r="BJ21" i="10" s="1"/>
  <c r="IP43" i="14"/>
  <c r="JM43" i="14"/>
  <c r="DI25" i="10"/>
  <c r="AF15" i="18" s="1"/>
  <c r="AE15" i="18"/>
  <c r="DJ25" i="10"/>
  <c r="AG15" i="18" s="1"/>
  <c r="DG25" i="10"/>
  <c r="AD15" i="18" s="1"/>
  <c r="L67" i="10"/>
  <c r="DX67" i="10"/>
  <c r="EN65" i="10"/>
  <c r="G22" i="10"/>
  <c r="L22" i="10" s="1"/>
  <c r="EW37" i="10"/>
  <c r="IA154" i="14"/>
  <c r="IC154" i="14"/>
  <c r="Y45" i="10"/>
  <c r="S27" i="10"/>
  <c r="I27" i="10" s="1"/>
  <c r="EA27" i="10" s="1"/>
  <c r="DP27" i="10" s="1"/>
  <c r="FW107" i="14"/>
  <c r="F51" i="10"/>
  <c r="S19" i="10"/>
  <c r="I19" i="10" s="1"/>
  <c r="EA19" i="10" s="1"/>
  <c r="DP19" i="10" s="1"/>
  <c r="EN37" i="10"/>
  <c r="V22" i="10"/>
  <c r="D13" i="11"/>
  <c r="FM22" i="10"/>
  <c r="N16" i="14"/>
  <c r="FN22" i="10"/>
  <c r="BA35" i="10"/>
  <c r="AX35" i="10" s="1"/>
  <c r="AY35" i="10"/>
  <c r="DD25" i="10"/>
  <c r="CG25" i="10"/>
  <c r="DT35" i="10"/>
  <c r="DP40" i="10"/>
  <c r="DT34" i="10"/>
  <c r="DT43" i="10"/>
  <c r="DT48" i="10"/>
  <c r="GY48" i="10" s="1"/>
  <c r="DP29" i="10"/>
  <c r="GH154" i="14"/>
  <c r="AB37" i="10"/>
  <c r="FU154" i="14"/>
  <c r="FS154" i="14"/>
  <c r="HM97" i="14"/>
  <c r="HO97" i="14"/>
  <c r="AE19" i="10"/>
  <c r="FO22" i="10"/>
  <c r="FL22" i="10" s="1"/>
  <c r="O33" i="10"/>
  <c r="F33" i="10" s="1"/>
  <c r="AY31" i="10"/>
  <c r="AY27" i="10" s="1"/>
  <c r="CE31" i="10"/>
  <c r="BB27" i="10"/>
  <c r="BA31" i="10"/>
  <c r="CZ31" i="10" s="1"/>
  <c r="HM98" i="14"/>
  <c r="HP98" i="14"/>
  <c r="W27" i="10"/>
  <c r="G68" i="10"/>
  <c r="DZ48" i="10"/>
  <c r="EB48" i="10"/>
  <c r="BQ47" i="10"/>
  <c r="CH47" i="10"/>
  <c r="BN47" i="10"/>
  <c r="BN45" i="10" s="1"/>
  <c r="X19" i="10"/>
  <c r="AB45" i="10"/>
  <c r="V68" i="10"/>
  <c r="CZ38" i="10"/>
  <c r="GJ38" i="10" s="1"/>
  <c r="EO21" i="10"/>
  <c r="GV15" i="14"/>
  <c r="V55" i="10"/>
  <c r="FO55" i="10"/>
  <c r="G55" i="10"/>
  <c r="FN55" i="10"/>
  <c r="FM55" i="10"/>
  <c r="FP55" i="10"/>
  <c r="CJ48" i="10"/>
  <c r="DH48" i="10"/>
  <c r="W19" i="10"/>
  <c r="AA37" i="10"/>
  <c r="FV43" i="10"/>
  <c r="FS43" i="10"/>
  <c r="P29" i="10"/>
  <c r="EK29" i="10" s="1"/>
  <c r="FR54" i="10"/>
  <c r="AP44" i="18" s="1"/>
  <c r="FU54" i="10"/>
  <c r="AS44" i="18" s="1"/>
  <c r="AQ44" i="18"/>
  <c r="GP54" i="10"/>
  <c r="GQ54" i="10" s="1"/>
  <c r="GM54" i="10"/>
  <c r="GN54" i="10" s="1"/>
  <c r="HN93" i="14"/>
  <c r="HN94" i="14"/>
  <c r="FM28" i="10"/>
  <c r="G28" i="10"/>
  <c r="FO28" i="10"/>
  <c r="FP28" i="10"/>
  <c r="FN28" i="10"/>
  <c r="EO68" i="10"/>
  <c r="EK68" i="10"/>
  <c r="EV29" i="10"/>
  <c r="GP29" i="10"/>
  <c r="U33" i="10"/>
  <c r="K33" i="10" s="1"/>
  <c r="ED33" i="10" s="1"/>
  <c r="DT33" i="10" s="1"/>
  <c r="O58" i="10"/>
  <c r="F59" i="10"/>
  <c r="AA52" i="10"/>
  <c r="AD27" i="10"/>
  <c r="AC37" i="10"/>
  <c r="AI50" i="14"/>
  <c r="AI49" i="14"/>
  <c r="AG49" i="14"/>
  <c r="AG50" i="14"/>
  <c r="L122" i="14"/>
  <c r="AG122" i="14"/>
  <c r="EM55" i="10"/>
  <c r="AO45" i="18" s="1"/>
  <c r="EJ55" i="10"/>
  <c r="AL45" i="18" s="1"/>
  <c r="BJ31" i="10"/>
  <c r="AE27" i="10"/>
  <c r="AD45" i="10"/>
  <c r="F55" i="10"/>
  <c r="O52" i="10"/>
  <c r="F52" i="10" s="1"/>
  <c r="F57" i="10"/>
  <c r="GN39" i="10"/>
  <c r="GO39" i="10"/>
  <c r="AA19" i="10"/>
  <c r="AD19" i="10"/>
  <c r="DE42" i="10"/>
  <c r="T32" i="18" s="1"/>
  <c r="BQ30" i="14"/>
  <c r="GM42" i="10"/>
  <c r="DC42" i="10"/>
  <c r="R32" i="18" s="1"/>
  <c r="S32" i="18"/>
  <c r="DF42" i="10"/>
  <c r="U32" i="18" s="1"/>
  <c r="F21" i="10"/>
  <c r="O19" i="10"/>
  <c r="DD21" i="10"/>
  <c r="BS17" i="10"/>
  <c r="CF37" i="10"/>
  <c r="AC65" i="10"/>
  <c r="Z33" i="10"/>
  <c r="FV35" i="10"/>
  <c r="JU67" i="14"/>
  <c r="FS35" i="10"/>
  <c r="GV16" i="14"/>
  <c r="EO22" i="10"/>
  <c r="EK22" i="10"/>
  <c r="CU17" i="10"/>
  <c r="CG66" i="10"/>
  <c r="DD66" i="10"/>
  <c r="DD40" i="10"/>
  <c r="Y37" i="10"/>
  <c r="AB65" i="10"/>
  <c r="Y19" i="10"/>
  <c r="AD65" i="10"/>
  <c r="FS24" i="10"/>
  <c r="GV24" i="10" s="1"/>
  <c r="FX24" i="10"/>
  <c r="FS41" i="10"/>
  <c r="FV41" i="10"/>
  <c r="JU92" i="14"/>
  <c r="P35" i="10"/>
  <c r="IQ125" i="14"/>
  <c r="JN125" i="14"/>
  <c r="FT54" i="10"/>
  <c r="AR44" i="18" s="1"/>
  <c r="EV21" i="10"/>
  <c r="GW15" i="14"/>
  <c r="GH52" i="10"/>
  <c r="EK21" i="10"/>
  <c r="FO69" i="10"/>
  <c r="N36" i="14"/>
  <c r="Q36" i="14" s="1"/>
  <c r="FM69" i="10"/>
  <c r="G69" i="10"/>
  <c r="FN69" i="10"/>
  <c r="W65" i="10"/>
  <c r="AC33" i="10"/>
  <c r="D17" i="11"/>
  <c r="BL23" i="10"/>
  <c r="BL19" i="10" s="1"/>
  <c r="CF23" i="10"/>
  <c r="AZ63" i="10"/>
  <c r="AZ61" i="10" s="1"/>
  <c r="BC61" i="10"/>
  <c r="CF61" i="10" s="1"/>
  <c r="FP39" i="10"/>
  <c r="FM39" i="10"/>
  <c r="FN39" i="10"/>
  <c r="EK24" i="10"/>
  <c r="GJ69" i="14"/>
  <c r="GG69" i="14"/>
  <c r="GB52" i="10"/>
  <c r="FT84" i="14"/>
  <c r="X65" i="10"/>
  <c r="S45" i="10"/>
  <c r="I45" i="10" s="1"/>
  <c r="EA45" i="10" s="1"/>
  <c r="DP45" i="10" s="1"/>
  <c r="DQ45" i="10" s="1"/>
  <c r="X35" i="18" s="1"/>
  <c r="P46" i="10"/>
  <c r="V46" i="10" s="1"/>
  <c r="CJ50" i="10"/>
  <c r="DH50" i="10"/>
  <c r="AI90" i="14"/>
  <c r="M145" i="14"/>
  <c r="AI89" i="14"/>
  <c r="AI145" i="14" s="1"/>
  <c r="S33" i="10"/>
  <c r="I33" i="10" s="1"/>
  <c r="EA33" i="10" s="1"/>
  <c r="DP33" i="10" s="1"/>
  <c r="JM96" i="14"/>
  <c r="IP96" i="14"/>
  <c r="AB19" i="10"/>
  <c r="Y65" i="10"/>
  <c r="AE33" i="10"/>
  <c r="BL37" i="10"/>
  <c r="BL17" i="10" s="1"/>
  <c r="CF52" i="10"/>
  <c r="FD16" i="14"/>
  <c r="EC22" i="10"/>
  <c r="EE22" i="10"/>
  <c r="P23" i="10"/>
  <c r="V23" i="10" s="1"/>
  <c r="P16" i="14"/>
  <c r="T16" i="14"/>
  <c r="O16" i="14" s="1"/>
  <c r="EI67" i="10"/>
  <c r="AM53" i="18"/>
  <c r="EJ67" i="10"/>
  <c r="AL53" i="18" s="1"/>
  <c r="IC84" i="14"/>
  <c r="IA84" i="14"/>
  <c r="FR42" i="10"/>
  <c r="AP32" i="18" s="1"/>
  <c r="AQ32" i="18"/>
  <c r="FU42" i="10"/>
  <c r="AS32" i="18" s="1"/>
  <c r="FT42" i="10"/>
  <c r="AR32" i="18" s="1"/>
  <c r="AC19" i="10"/>
  <c r="Z65" i="10"/>
  <c r="GM68" i="10"/>
  <c r="S52" i="10"/>
  <c r="P56" i="10"/>
  <c r="EK56" i="10" s="1"/>
  <c r="GV22" i="14"/>
  <c r="EO35" i="10"/>
  <c r="DZ41" i="10"/>
  <c r="FC29" i="14"/>
  <c r="EB41" i="10"/>
  <c r="DW52" i="10"/>
  <c r="DK52" i="10" s="1"/>
  <c r="W33" i="10"/>
  <c r="W37" i="10"/>
  <c r="AA65" i="10"/>
  <c r="Y62" i="10"/>
  <c r="Y61" i="10" s="1"/>
  <c r="EV31" i="10"/>
  <c r="EK31" i="10"/>
  <c r="FV34" i="10"/>
  <c r="JU62" i="14"/>
  <c r="JU116" i="14"/>
  <c r="CF68" i="10"/>
  <c r="AZ68" i="10"/>
  <c r="BA68" i="10"/>
  <c r="AX68" i="10" s="1"/>
  <c r="FN41" i="10"/>
  <c r="FM41" i="10"/>
  <c r="V41" i="10"/>
  <c r="FO41" i="10"/>
  <c r="G41" i="10"/>
  <c r="N29" i="14"/>
  <c r="Q29" i="14" s="1"/>
  <c r="FP41" i="10"/>
  <c r="BJ39" i="10"/>
  <c r="CD39" i="10"/>
  <c r="JT111" i="14"/>
  <c r="IP111" i="14"/>
  <c r="JM111" i="14"/>
  <c r="CI45" i="10"/>
  <c r="FP59" i="10"/>
  <c r="FP58" i="10" s="1"/>
  <c r="P58" i="10"/>
  <c r="V58" i="10" s="1"/>
  <c r="FM59" i="10"/>
  <c r="FM58" i="10" s="1"/>
  <c r="FO59" i="10"/>
  <c r="FO58" i="10" s="1"/>
  <c r="V59" i="10"/>
  <c r="FN75" i="10"/>
  <c r="FM75" i="10"/>
  <c r="AD37" i="10"/>
  <c r="AA45" i="10"/>
  <c r="X37" i="10"/>
  <c r="Z62" i="10"/>
  <c r="Z61" i="10" s="1"/>
  <c r="CZ39" i="10"/>
  <c r="CY39" i="10" s="1"/>
  <c r="F29" i="18" s="1"/>
  <c r="GB27" i="10"/>
  <c r="FX40" i="10"/>
  <c r="JS88" i="14"/>
  <c r="BN41" i="10"/>
  <c r="CH41" i="10"/>
  <c r="CD40" i="10"/>
  <c r="AE50" i="14"/>
  <c r="CM36" i="11" s="1"/>
  <c r="AE49" i="14"/>
  <c r="GG84" i="14"/>
  <c r="GI84" i="14"/>
  <c r="Z27" i="10"/>
  <c r="EO66" i="10"/>
  <c r="EK66" i="10"/>
  <c r="U45" i="10"/>
  <c r="K45" i="10" s="1"/>
  <c r="ED45" i="10" s="1"/>
  <c r="DT45" i="10" s="1"/>
  <c r="AI35" i="18" s="1"/>
  <c r="CJ22" i="10"/>
  <c r="DH22" i="10"/>
  <c r="GH107" i="14"/>
  <c r="GH45" i="14"/>
  <c r="GH108" i="14"/>
  <c r="BA58" i="10"/>
  <c r="AX59" i="10"/>
  <c r="AX58" i="10" s="1"/>
  <c r="EK28" i="10"/>
  <c r="AC45" i="10"/>
  <c r="Z45" i="10"/>
  <c r="Z37" i="10"/>
  <c r="EV34" i="10"/>
  <c r="GW21" i="14"/>
  <c r="EK34" i="10"/>
  <c r="EC41" i="10"/>
  <c r="EE41" i="10"/>
  <c r="DT41" i="10"/>
  <c r="P47" i="10"/>
  <c r="EK47" i="10" s="1"/>
  <c r="FS34" i="10"/>
  <c r="F63" i="10"/>
  <c r="P63" i="10"/>
  <c r="JV82" i="14"/>
  <c r="JR82" i="14" s="1"/>
  <c r="JQ82" i="14" s="1"/>
  <c r="IQ82" i="14"/>
  <c r="IO82" i="14" s="1"/>
  <c r="JN82" i="14"/>
  <c r="JK82" i="14" s="1"/>
  <c r="JW82" i="14"/>
  <c r="EK41" i="10"/>
  <c r="CZ55" i="10"/>
  <c r="V28" i="10"/>
  <c r="DS40" i="10"/>
  <c r="AH30" i="18" s="1"/>
  <c r="Z30" i="18" s="1"/>
  <c r="GY40" i="10"/>
  <c r="DV40" i="10"/>
  <c r="AK30" i="18" s="1"/>
  <c r="AI30" i="18"/>
  <c r="DU40" i="10"/>
  <c r="AJ30" i="18" s="1"/>
  <c r="AB30" i="18" s="1"/>
  <c r="BU28" i="14"/>
  <c r="EI62" i="10"/>
  <c r="DO28" i="10"/>
  <c r="V18" i="18" s="1"/>
  <c r="W18" i="18"/>
  <c r="DQ28" i="10"/>
  <c r="X18" i="18" s="1"/>
  <c r="DR28" i="10"/>
  <c r="Y18" i="18" s="1"/>
  <c r="EO43" i="10"/>
  <c r="CS19" i="10"/>
  <c r="AQ13" i="18"/>
  <c r="FU23" i="10"/>
  <c r="AS13" i="18" s="1"/>
  <c r="FT23" i="10"/>
  <c r="AR13" i="18" s="1"/>
  <c r="FR23" i="10"/>
  <c r="AP13" i="18" s="1"/>
  <c r="FS20" i="10"/>
  <c r="GY20" i="10" s="1"/>
  <c r="FV20" i="10"/>
  <c r="JU106" i="14"/>
  <c r="EL12" i="11"/>
  <c r="JU43" i="14"/>
  <c r="DW21" i="10"/>
  <c r="DY21" i="10"/>
  <c r="FB15" i="14"/>
  <c r="DL21" i="10"/>
  <c r="P43" i="10"/>
  <c r="S37" i="10"/>
  <c r="EP37" i="10" s="1"/>
  <c r="HN108" i="14"/>
  <c r="HN45" i="14"/>
  <c r="HN107" i="14"/>
  <c r="JQ96" i="14"/>
  <c r="JN96" i="14"/>
  <c r="IQ96" i="14"/>
  <c r="EL39" i="10"/>
  <c r="AN29" i="18" s="1"/>
  <c r="EI39" i="10"/>
  <c r="EJ39" i="10"/>
  <c r="AL29" i="18" s="1"/>
  <c r="AM29" i="18"/>
  <c r="GU27" i="14"/>
  <c r="EM39" i="10"/>
  <c r="AO29" i="18" s="1"/>
  <c r="W14" i="18"/>
  <c r="DQ24" i="10"/>
  <c r="X14" i="18" s="1"/>
  <c r="P14" i="18" s="1"/>
  <c r="DR24" i="10"/>
  <c r="Y14" i="18" s="1"/>
  <c r="DO24" i="10"/>
  <c r="V14" i="18" s="1"/>
  <c r="BT36" i="14"/>
  <c r="DO69" i="10"/>
  <c r="V55" i="18" s="1"/>
  <c r="W55" i="18"/>
  <c r="DS30" i="10"/>
  <c r="AH20" i="18" s="1"/>
  <c r="GY67" i="10"/>
  <c r="DS67" i="10"/>
  <c r="AH53" i="18" s="1"/>
  <c r="Z53" i="18" s="1"/>
  <c r="AI53" i="18"/>
  <c r="AA53" i="18" s="1"/>
  <c r="EB35" i="10"/>
  <c r="FC22" i="14"/>
  <c r="DZ35" i="10"/>
  <c r="BX17" i="10"/>
  <c r="GV36" i="14"/>
  <c r="EO69" i="10"/>
  <c r="EK69" i="10"/>
  <c r="GC62" i="10"/>
  <c r="FW63" i="10"/>
  <c r="FS25" i="10"/>
  <c r="GV25" i="10" s="1"/>
  <c r="FX25" i="10"/>
  <c r="DX68" i="10"/>
  <c r="L68" i="10"/>
  <c r="GV53" i="10"/>
  <c r="DR53" i="10"/>
  <c r="Y43" i="18" s="1"/>
  <c r="Q43" i="18" s="1"/>
  <c r="W43" i="18"/>
  <c r="DO53" i="10"/>
  <c r="V43" i="18" s="1"/>
  <c r="N43" i="18" s="1"/>
  <c r="DQ53" i="10"/>
  <c r="X43" i="18" s="1"/>
  <c r="GV31" i="10"/>
  <c r="W44" i="18"/>
  <c r="O44" i="18" s="1"/>
  <c r="DQ54" i="10"/>
  <c r="X44" i="18" s="1"/>
  <c r="P44" i="18" s="1"/>
  <c r="GV54" i="10"/>
  <c r="GW54" i="10" s="1"/>
  <c r="DR54" i="10"/>
  <c r="Y44" i="18" s="1"/>
  <c r="Q44" i="18" s="1"/>
  <c r="DO54" i="10"/>
  <c r="V44" i="18" s="1"/>
  <c r="N44" i="18" s="1"/>
  <c r="AC30" i="18"/>
  <c r="FV66" i="10"/>
  <c r="FS66" i="10"/>
  <c r="GY66" i="10" s="1"/>
  <c r="AY49" i="10"/>
  <c r="BA49" i="10"/>
  <c r="CE49" i="10"/>
  <c r="BQ35" i="10"/>
  <c r="BQ33" i="10" s="1"/>
  <c r="BR33" i="10"/>
  <c r="CH33" i="10" s="1"/>
  <c r="CH35" i="10"/>
  <c r="BN35" i="10"/>
  <c r="BV58" i="10"/>
  <c r="DH59" i="10"/>
  <c r="CJ59" i="10"/>
  <c r="CS33" i="10"/>
  <c r="DX34" i="10"/>
  <c r="BJ56" i="10"/>
  <c r="CD56" i="10"/>
  <c r="BM52" i="10"/>
  <c r="AA62" i="10"/>
  <c r="AA61" i="10" s="1"/>
  <c r="L38" i="10"/>
  <c r="DX38" i="10"/>
  <c r="DO55" i="10"/>
  <c r="V45" i="18" s="1"/>
  <c r="W45" i="18"/>
  <c r="DR55" i="10"/>
  <c r="Y45" i="18" s="1"/>
  <c r="GV55" i="10"/>
  <c r="GW55" i="10" s="1"/>
  <c r="DQ55" i="10"/>
  <c r="X45" i="18" s="1"/>
  <c r="DP35" i="10"/>
  <c r="BU27" i="14"/>
  <c r="GY39" i="10"/>
  <c r="DS39" i="10"/>
  <c r="AH29" i="18" s="1"/>
  <c r="Z29" i="18" s="1"/>
  <c r="AI29" i="18"/>
  <c r="AA29" i="18" s="1"/>
  <c r="DU39" i="10"/>
  <c r="AJ29" i="18" s="1"/>
  <c r="AB29" i="18" s="1"/>
  <c r="DV39" i="10"/>
  <c r="AK29" i="18" s="1"/>
  <c r="DS38" i="10"/>
  <c r="AH28" i="18" s="1"/>
  <c r="BU26" i="14"/>
  <c r="DV38" i="10"/>
  <c r="AK28" i="18" s="1"/>
  <c r="DU38" i="10"/>
  <c r="AJ28" i="18" s="1"/>
  <c r="AI28" i="18"/>
  <c r="DV25" i="10"/>
  <c r="AK15" i="18" s="1"/>
  <c r="AI15" i="18"/>
  <c r="DS25" i="10"/>
  <c r="AH15" i="18" s="1"/>
  <c r="Z15" i="18" s="1"/>
  <c r="DU25" i="10"/>
  <c r="AJ15" i="18" s="1"/>
  <c r="P43" i="18"/>
  <c r="BA53" i="10"/>
  <c r="AY53" i="10"/>
  <c r="CE53" i="10"/>
  <c r="BB52" i="10"/>
  <c r="CE52" i="10" s="1"/>
  <c r="CJ52" i="10"/>
  <c r="BV45" i="10"/>
  <c r="CJ46" i="10"/>
  <c r="DH46" i="10"/>
  <c r="CI75" i="10"/>
  <c r="BO75" i="10"/>
  <c r="BL75" i="10" s="1"/>
  <c r="DH69" i="10"/>
  <c r="CJ69" i="10"/>
  <c r="DD63" i="10"/>
  <c r="CG63" i="10"/>
  <c r="U19" i="10"/>
  <c r="EW19" i="10" s="1"/>
  <c r="P20" i="10"/>
  <c r="V20" i="10" s="1"/>
  <c r="EK20" i="10"/>
  <c r="AZ24" i="10"/>
  <c r="AZ19" i="10" s="1"/>
  <c r="BA24" i="10"/>
  <c r="CF24" i="10"/>
  <c r="BC19" i="10"/>
  <c r="BV65" i="10"/>
  <c r="CJ66" i="10"/>
  <c r="DH66" i="10"/>
  <c r="AX69" i="10"/>
  <c r="CD69" i="10"/>
  <c r="CZ69" i="10"/>
  <c r="AY21" i="10"/>
  <c r="BB19" i="10"/>
  <c r="BA21" i="10"/>
  <c r="CE21" i="10"/>
  <c r="BB45" i="10"/>
  <c r="DQ25" i="10"/>
  <c r="X15" i="18" s="1"/>
  <c r="DO25" i="10"/>
  <c r="V15" i="18" s="1"/>
  <c r="W15" i="18"/>
  <c r="DR25" i="10"/>
  <c r="Y15" i="18" s="1"/>
  <c r="AI43" i="18"/>
  <c r="AA43" i="18" s="1"/>
  <c r="DV53" i="10"/>
  <c r="AK43" i="18" s="1"/>
  <c r="AC43" i="18" s="1"/>
  <c r="DS53" i="10"/>
  <c r="AH43" i="18" s="1"/>
  <c r="Z43" i="18" s="1"/>
  <c r="DU53" i="10"/>
  <c r="AJ43" i="18" s="1"/>
  <c r="AB43" i="18" s="1"/>
  <c r="DV28" i="10"/>
  <c r="AK18" i="18" s="1"/>
  <c r="AI18" i="18"/>
  <c r="DS28" i="10"/>
  <c r="AH18" i="18" s="1"/>
  <c r="DU28" i="10"/>
  <c r="AJ18" i="18" s="1"/>
  <c r="EO46" i="10"/>
  <c r="EP45" i="10"/>
  <c r="GQ31" i="10"/>
  <c r="BW19" i="10"/>
  <c r="BV20" i="10"/>
  <c r="CK20" i="10"/>
  <c r="BN20" i="10"/>
  <c r="FV28" i="10"/>
  <c r="EL17" i="11"/>
  <c r="FS28" i="10"/>
  <c r="GY28" i="10" s="1"/>
  <c r="BK34" i="10"/>
  <c r="BN33" i="10"/>
  <c r="BM34" i="10"/>
  <c r="AB62" i="10"/>
  <c r="AB61" i="10" s="1"/>
  <c r="CD46" i="10"/>
  <c r="AX46" i="10"/>
  <c r="DR23" i="10"/>
  <c r="Y13" i="18" s="1"/>
  <c r="W13" i="18"/>
  <c r="GV23" i="10"/>
  <c r="DQ23" i="10"/>
  <c r="X13" i="18" s="1"/>
  <c r="DO23" i="10"/>
  <c r="V13" i="18" s="1"/>
  <c r="BT17" i="14"/>
  <c r="BT16" i="14"/>
  <c r="DQ22" i="10"/>
  <c r="X12" i="18" s="1"/>
  <c r="DO22" i="10"/>
  <c r="V12" i="18" s="1"/>
  <c r="DR22" i="10"/>
  <c r="Y12" i="18" s="1"/>
  <c r="W12" i="18"/>
  <c r="GV22" i="10"/>
  <c r="DO38" i="10"/>
  <c r="V28" i="18" s="1"/>
  <c r="BT26" i="14"/>
  <c r="DR38" i="10"/>
  <c r="Y28" i="18" s="1"/>
  <c r="W28" i="18"/>
  <c r="DQ38" i="10"/>
  <c r="X28" i="18" s="1"/>
  <c r="DU50" i="10"/>
  <c r="AJ40" i="18" s="1"/>
  <c r="DV50" i="10"/>
  <c r="AK40" i="18" s="1"/>
  <c r="DS50" i="10"/>
  <c r="AH40" i="18" s="1"/>
  <c r="AI40" i="18"/>
  <c r="CG31" i="10"/>
  <c r="DD31" i="10"/>
  <c r="BB33" i="10"/>
  <c r="CE34" i="10"/>
  <c r="AY34" i="10"/>
  <c r="BA34" i="10"/>
  <c r="FX30" i="10"/>
  <c r="EK19" i="11"/>
  <c r="EJ19" i="11" s="1"/>
  <c r="FS30" i="10"/>
  <c r="AC62" i="10"/>
  <c r="AC61" i="10" s="1"/>
  <c r="G28" i="18"/>
  <c r="GH98" i="14"/>
  <c r="GH97" i="14"/>
  <c r="IB45" i="14"/>
  <c r="IB108" i="14"/>
  <c r="IB107" i="14"/>
  <c r="AI52" i="18"/>
  <c r="DS66" i="10"/>
  <c r="AH52" i="18" s="1"/>
  <c r="DO39" i="10"/>
  <c r="V29" i="18" s="1"/>
  <c r="N29" i="18" s="1"/>
  <c r="W29" i="18"/>
  <c r="O29" i="18" s="1"/>
  <c r="GV39" i="10"/>
  <c r="DR39" i="10"/>
  <c r="Y29" i="18" s="1"/>
  <c r="Q29" i="18" s="1"/>
  <c r="DQ39" i="10"/>
  <c r="X29" i="18" s="1"/>
  <c r="P29" i="18" s="1"/>
  <c r="BT27" i="14"/>
  <c r="DO63" i="10"/>
  <c r="GY68" i="10"/>
  <c r="DS68" i="10"/>
  <c r="AH54" i="18" s="1"/>
  <c r="Z54" i="18" s="1"/>
  <c r="AI54" i="18"/>
  <c r="AA54" i="18" s="1"/>
  <c r="JU152" i="14"/>
  <c r="FV69" i="10"/>
  <c r="FS69" i="10"/>
  <c r="DH55" i="10"/>
  <c r="CJ55" i="10"/>
  <c r="BV33" i="10"/>
  <c r="CJ35" i="10"/>
  <c r="DH35" i="10"/>
  <c r="AG127" i="14"/>
  <c r="AG126" i="14"/>
  <c r="BQ29" i="10"/>
  <c r="BQ27" i="10" s="1"/>
  <c r="CH29" i="10"/>
  <c r="BN29" i="10"/>
  <c r="AX62" i="10"/>
  <c r="AD62" i="10"/>
  <c r="AD61" i="10" s="1"/>
  <c r="FL21" i="10"/>
  <c r="W24" i="18"/>
  <c r="DO34" i="10"/>
  <c r="V24" i="18" s="1"/>
  <c r="DQ21" i="10"/>
  <c r="X11" i="18" s="1"/>
  <c r="W11" i="18"/>
  <c r="DR21" i="10"/>
  <c r="Y11" i="18" s="1"/>
  <c r="DO21" i="10"/>
  <c r="V11" i="18" s="1"/>
  <c r="BT15" i="14"/>
  <c r="GV21" i="10"/>
  <c r="AI10" i="18"/>
  <c r="BU14" i="14"/>
  <c r="DU20" i="10"/>
  <c r="AJ10" i="18" s="1"/>
  <c r="DS20" i="10"/>
  <c r="AH10" i="18" s="1"/>
  <c r="DV20" i="10"/>
  <c r="AK10" i="18" s="1"/>
  <c r="DV46" i="10"/>
  <c r="AK36" i="18" s="1"/>
  <c r="DU46" i="10"/>
  <c r="AJ36" i="18" s="1"/>
  <c r="AI36" i="18"/>
  <c r="DS46" i="10"/>
  <c r="AH36" i="18" s="1"/>
  <c r="DZ42" i="10"/>
  <c r="FC30" i="14"/>
  <c r="EB42" i="10"/>
  <c r="BQ23" i="10"/>
  <c r="CH23" i="10"/>
  <c r="BN23" i="10"/>
  <c r="O26" i="14"/>
  <c r="T25" i="14"/>
  <c r="DD69" i="10"/>
  <c r="CG69" i="10"/>
  <c r="AE62" i="10"/>
  <c r="AE61" i="10" s="1"/>
  <c r="EK25" i="10"/>
  <c r="AI55" i="18"/>
  <c r="DV62" i="10"/>
  <c r="BU33" i="14"/>
  <c r="EO122" i="14" s="1"/>
  <c r="DS62" i="10"/>
  <c r="DS59" i="10"/>
  <c r="AH49" i="18" s="1"/>
  <c r="AI49" i="18"/>
  <c r="DV59" i="10"/>
  <c r="AK49" i="18" s="1"/>
  <c r="DU59" i="10"/>
  <c r="AJ49" i="18" s="1"/>
  <c r="AI44" i="18"/>
  <c r="AA44" i="18" s="1"/>
  <c r="GY54" i="10"/>
  <c r="GZ54" i="10" s="1"/>
  <c r="DV54" i="10"/>
  <c r="AK44" i="18" s="1"/>
  <c r="AC44" i="18" s="1"/>
  <c r="DS54" i="10"/>
  <c r="AH44" i="18" s="1"/>
  <c r="Z44" i="18" s="1"/>
  <c r="DU54" i="10"/>
  <c r="AJ44" i="18" s="1"/>
  <c r="AB44" i="18" s="1"/>
  <c r="AC29" i="18"/>
  <c r="CG20" i="10"/>
  <c r="DD20" i="10"/>
  <c r="CJ38" i="10"/>
  <c r="DH38" i="10"/>
  <c r="EB28" i="10"/>
  <c r="DZ28" i="10"/>
  <c r="BQ52" i="10"/>
  <c r="CG55" i="10"/>
  <c r="DD55" i="10"/>
  <c r="DD34" i="10"/>
  <c r="CG34" i="10"/>
  <c r="AX67" i="10"/>
  <c r="CD67" i="10"/>
  <c r="CZ67" i="10"/>
  <c r="HQ122" i="14"/>
  <c r="HM122" i="14"/>
  <c r="HS122" i="14"/>
  <c r="HR122" i="14"/>
  <c r="F37" i="10"/>
  <c r="DW37" i="10" s="1"/>
  <c r="DK37" i="10" s="1"/>
  <c r="GF37" i="10"/>
  <c r="GH37" i="10"/>
  <c r="GD37" i="10"/>
  <c r="GB37" i="10"/>
  <c r="DN53" i="10"/>
  <c r="M43" i="18" s="1"/>
  <c r="DO62" i="10"/>
  <c r="BT33" i="14"/>
  <c r="EA122" i="14" s="1"/>
  <c r="DR62" i="10"/>
  <c r="W38" i="18"/>
  <c r="DR48" i="10"/>
  <c r="Y38" i="18" s="1"/>
  <c r="DO48" i="10"/>
  <c r="V38" i="18" s="1"/>
  <c r="GV48" i="10"/>
  <c r="DQ48" i="10"/>
  <c r="X38" i="18" s="1"/>
  <c r="AI12" i="18"/>
  <c r="DV22" i="10"/>
  <c r="AK12" i="18" s="1"/>
  <c r="GY22" i="10"/>
  <c r="BU16" i="14"/>
  <c r="DU22" i="10"/>
  <c r="AJ12" i="18" s="1"/>
  <c r="DS22" i="10"/>
  <c r="AH12" i="18" s="1"/>
  <c r="DV21" i="10"/>
  <c r="AK11" i="18" s="1"/>
  <c r="GY21" i="10"/>
  <c r="DU21" i="10"/>
  <c r="AJ11" i="18" s="1"/>
  <c r="DS21" i="10"/>
  <c r="AH11" i="18" s="1"/>
  <c r="BU15" i="14"/>
  <c r="AI11" i="18"/>
  <c r="CL19" i="10"/>
  <c r="BI17" i="10"/>
  <c r="DZ43" i="10"/>
  <c r="EB43" i="10"/>
  <c r="L40" i="10"/>
  <c r="AB28" i="14" s="1"/>
  <c r="DX40" i="10"/>
  <c r="BA50" i="10"/>
  <c r="CE50" i="10"/>
  <c r="AY50" i="10"/>
  <c r="JM116" i="14"/>
  <c r="IP116" i="14"/>
  <c r="JT116" i="14"/>
  <c r="BQ37" i="10"/>
  <c r="CG38" i="10"/>
  <c r="DD38" i="10"/>
  <c r="L39" i="10"/>
  <c r="AB27" i="14" s="1"/>
  <c r="DX39" i="10"/>
  <c r="GM43" i="10"/>
  <c r="DR50" i="10"/>
  <c r="Y40" i="18" s="1"/>
  <c r="Q40" i="18" s="1"/>
  <c r="DV63" i="10"/>
  <c r="DS63" i="10"/>
  <c r="DQ56" i="10"/>
  <c r="X46" i="18" s="1"/>
  <c r="GV56" i="10"/>
  <c r="GW56" i="10" s="1"/>
  <c r="DO56" i="10"/>
  <c r="V46" i="18" s="1"/>
  <c r="W46" i="18"/>
  <c r="DR56" i="10"/>
  <c r="Y46" i="18" s="1"/>
  <c r="BM28" i="10"/>
  <c r="BK28" i="10"/>
  <c r="CE28" i="10"/>
  <c r="CK52" i="10"/>
  <c r="BH17" i="10"/>
  <c r="FM54" i="10"/>
  <c r="G54" i="10"/>
  <c r="CZ54" i="10" s="1"/>
  <c r="FN54" i="10"/>
  <c r="FP54" i="10"/>
  <c r="V54" i="10"/>
  <c r="FO54" i="10"/>
  <c r="BK50" i="10"/>
  <c r="BM50" i="10"/>
  <c r="BE17" i="10"/>
  <c r="BA75" i="10"/>
  <c r="AX75" i="10" s="1"/>
  <c r="JV111" i="14"/>
  <c r="IQ111" i="14"/>
  <c r="JW111" i="14"/>
  <c r="JN111" i="14"/>
  <c r="IA69" i="14"/>
  <c r="ID69" i="14"/>
  <c r="DO46" i="10"/>
  <c r="V36" i="18" s="1"/>
  <c r="W36" i="18"/>
  <c r="DR46" i="10"/>
  <c r="Y36" i="18" s="1"/>
  <c r="DQ46" i="10"/>
  <c r="X36" i="18" s="1"/>
  <c r="DU24" i="10"/>
  <c r="AJ14" i="18" s="1"/>
  <c r="DV24" i="10"/>
  <c r="AK14" i="18" s="1"/>
  <c r="AI13" i="18"/>
  <c r="AA13" i="18" s="1"/>
  <c r="GY23" i="10"/>
  <c r="BU17" i="14"/>
  <c r="DS23" i="10"/>
  <c r="AH13" i="18" s="1"/>
  <c r="Z13" i="18" s="1"/>
  <c r="DU23" i="10"/>
  <c r="AJ13" i="18" s="1"/>
  <c r="AB13" i="18" s="1"/>
  <c r="DV23" i="10"/>
  <c r="AK13" i="18" s="1"/>
  <c r="AC13" i="18" s="1"/>
  <c r="DU49" i="10"/>
  <c r="AJ39" i="18" s="1"/>
  <c r="DS49" i="10"/>
  <c r="AH39" i="18" s="1"/>
  <c r="Z39" i="18" s="1"/>
  <c r="GY49" i="10"/>
  <c r="DV49" i="10"/>
  <c r="AK39" i="18" s="1"/>
  <c r="AI39" i="18"/>
  <c r="AA39" i="18" s="1"/>
  <c r="DD28" i="10"/>
  <c r="CG28" i="10"/>
  <c r="B17" i="10"/>
  <c r="F19" i="10"/>
  <c r="BO19" i="10"/>
  <c r="BQ45" i="10"/>
  <c r="CG46" i="10"/>
  <c r="DD46" i="10"/>
  <c r="FV59" i="10"/>
  <c r="FW58" i="10"/>
  <c r="FS59" i="10"/>
  <c r="CG41" i="10"/>
  <c r="DD41" i="10"/>
  <c r="FP48" i="10"/>
  <c r="FO48" i="10"/>
  <c r="FM48" i="10"/>
  <c r="G48" i="10"/>
  <c r="P45" i="10"/>
  <c r="FY45" i="10" s="1"/>
  <c r="FN48" i="10"/>
  <c r="CT17" i="10"/>
  <c r="GH94" i="14"/>
  <c r="GH93" i="14"/>
  <c r="IG122" i="14"/>
  <c r="IA122" i="14"/>
  <c r="IF122" i="14"/>
  <c r="IE122" i="14"/>
  <c r="DV56" i="10"/>
  <c r="AK46" i="18" s="1"/>
  <c r="AC46" i="18" s="1"/>
  <c r="GY56" i="10"/>
  <c r="GZ56" i="10" s="1"/>
  <c r="DU56" i="10"/>
  <c r="AJ46" i="18" s="1"/>
  <c r="AB46" i="18" s="1"/>
  <c r="AI46" i="18"/>
  <c r="AA46" i="18" s="1"/>
  <c r="DS56" i="10"/>
  <c r="AH46" i="18" s="1"/>
  <c r="Z46" i="18" s="1"/>
  <c r="DS55" i="10"/>
  <c r="AH45" i="18" s="1"/>
  <c r="AI45" i="18"/>
  <c r="DU29" i="10"/>
  <c r="AJ19" i="18" s="1"/>
  <c r="AB19" i="18" s="1"/>
  <c r="GY29" i="10"/>
  <c r="AI19" i="18"/>
  <c r="AA19" i="18" s="1"/>
  <c r="DS29" i="10"/>
  <c r="AH19" i="18" s="1"/>
  <c r="Z19" i="18" s="1"/>
  <c r="DV29" i="10"/>
  <c r="AK19" i="18" s="1"/>
  <c r="AC19" i="18" s="1"/>
  <c r="AA30" i="18"/>
  <c r="AY22" i="10"/>
  <c r="BA22" i="10"/>
  <c r="EV48" i="10"/>
  <c r="EK48" i="10"/>
  <c r="GP48" i="10"/>
  <c r="EW45" i="10"/>
  <c r="CF66" i="10"/>
  <c r="BC65" i="10"/>
  <c r="AZ66" i="10"/>
  <c r="BA66" i="10"/>
  <c r="P30" i="10"/>
  <c r="U27" i="10"/>
  <c r="K27" i="10" s="1"/>
  <c r="ED27" i="10" s="1"/>
  <c r="DT27" i="10" s="1"/>
  <c r="CG65" i="10"/>
  <c r="DD65" i="10"/>
  <c r="V62" i="10"/>
  <c r="U61" i="10"/>
  <c r="K61" i="10" s="1"/>
  <c r="ED61" i="10" s="1"/>
  <c r="DT61" i="10" s="1"/>
  <c r="BQ58" i="10"/>
  <c r="CG59" i="10"/>
  <c r="DD59" i="10"/>
  <c r="FR67" i="10"/>
  <c r="AP53" i="18" s="1"/>
  <c r="AQ53" i="18"/>
  <c r="GM67" i="10"/>
  <c r="CI19" i="10"/>
  <c r="BF17" i="10"/>
  <c r="BQ75" i="10"/>
  <c r="BM75" i="10" s="1"/>
  <c r="BJ75" i="10" s="1"/>
  <c r="BJ73" i="10" s="1"/>
  <c r="BN75" i="10"/>
  <c r="BK75" i="10" s="1"/>
  <c r="CH75" i="10"/>
  <c r="EK54" i="10"/>
  <c r="FM65" i="10"/>
  <c r="GU26" i="14"/>
  <c r="EJ38" i="10"/>
  <c r="EM38" i="10"/>
  <c r="AO28" i="18" s="1"/>
  <c r="EL38" i="10"/>
  <c r="AN28" i="18" s="1"/>
  <c r="EI38" i="10"/>
  <c r="ED22" i="11"/>
  <c r="AM28" i="18"/>
  <c r="GV67" i="10"/>
  <c r="W53" i="18"/>
  <c r="O53" i="18" s="1"/>
  <c r="DO67" i="10"/>
  <c r="V53" i="18" s="1"/>
  <c r="GY42" i="10"/>
  <c r="DV42" i="10"/>
  <c r="AK32" i="18" s="1"/>
  <c r="AC32" i="18" s="1"/>
  <c r="DP43" i="10"/>
  <c r="DO20" i="10"/>
  <c r="V10" i="18" s="1"/>
  <c r="W10" i="18"/>
  <c r="DR20" i="10"/>
  <c r="Y10" i="18" s="1"/>
  <c r="DQ20" i="10"/>
  <c r="X10" i="18" s="1"/>
  <c r="BT14" i="14"/>
  <c r="DX31" i="10"/>
  <c r="CS27" i="10"/>
  <c r="AG55" i="14"/>
  <c r="L112" i="14"/>
  <c r="EE40" i="10"/>
  <c r="FD28" i="14"/>
  <c r="EC40" i="10"/>
  <c r="EL23" i="11"/>
  <c r="EJ23" i="11" s="1"/>
  <c r="FS46" i="10"/>
  <c r="FV46" i="10"/>
  <c r="BW61" i="10"/>
  <c r="CK61" i="10" s="1"/>
  <c r="BV62" i="10"/>
  <c r="BN62" i="10"/>
  <c r="CK62" i="10"/>
  <c r="CJ63" i="10"/>
  <c r="DH63" i="10"/>
  <c r="BM79" i="10"/>
  <c r="BJ79" i="10" s="1"/>
  <c r="CA79" i="10" s="1"/>
  <c r="DD79" i="10"/>
  <c r="CG79" i="10"/>
  <c r="CU79" i="10" s="1"/>
  <c r="BJ54" i="10"/>
  <c r="CD54" i="10"/>
  <c r="CZ40" i="10"/>
  <c r="GY47" i="10"/>
  <c r="DU47" i="10"/>
  <c r="AJ37" i="18" s="1"/>
  <c r="AB37" i="18" s="1"/>
  <c r="AI37" i="18"/>
  <c r="AA37" i="18" s="1"/>
  <c r="DV47" i="10"/>
  <c r="AK37" i="18" s="1"/>
  <c r="AC37" i="18" s="1"/>
  <c r="DS47" i="10"/>
  <c r="AH37" i="18" s="1"/>
  <c r="Z37" i="18" s="1"/>
  <c r="DO41" i="10"/>
  <c r="V31" i="18" s="1"/>
  <c r="W31" i="18"/>
  <c r="DR49" i="10"/>
  <c r="Y39" i="18" s="1"/>
  <c r="Q39" i="18" s="1"/>
  <c r="GV49" i="10"/>
  <c r="DO49" i="10"/>
  <c r="V39" i="18" s="1"/>
  <c r="N39" i="18" s="1"/>
  <c r="DQ49" i="10"/>
  <c r="X39" i="18" s="1"/>
  <c r="P39" i="18" s="1"/>
  <c r="W39" i="18"/>
  <c r="O39" i="18" s="1"/>
  <c r="BQ22" i="10"/>
  <c r="BN22" i="10"/>
  <c r="CH22" i="10"/>
  <c r="EE31" i="10"/>
  <c r="EC31" i="10"/>
  <c r="BB65" i="10"/>
  <c r="BO65" i="10"/>
  <c r="BV30" i="10"/>
  <c r="CK30" i="10"/>
  <c r="BN30" i="10"/>
  <c r="BN27" i="10" s="1"/>
  <c r="EA76" i="10"/>
  <c r="DP76" i="10" s="1"/>
  <c r="DD76" i="10"/>
  <c r="G50" i="10"/>
  <c r="L50" i="10" s="1"/>
  <c r="FN50" i="10"/>
  <c r="FM50" i="10"/>
  <c r="FO50" i="10"/>
  <c r="EK50" i="10"/>
  <c r="FP50" i="10"/>
  <c r="AQ30" i="18"/>
  <c r="FT40" i="10"/>
  <c r="AR30" i="18" s="1"/>
  <c r="FR40" i="10"/>
  <c r="FU40" i="10"/>
  <c r="AS30" i="18" s="1"/>
  <c r="GV40" i="10"/>
  <c r="EN19" i="10"/>
  <c r="AY63" i="10"/>
  <c r="AY61" i="10" s="1"/>
  <c r="BB61" i="10"/>
  <c r="BA63" i="10"/>
  <c r="BA61" i="10" s="1"/>
  <c r="CE63" i="10"/>
  <c r="W62" i="10"/>
  <c r="W61" i="10" s="1"/>
  <c r="FL53" i="10"/>
  <c r="HN84" i="14"/>
  <c r="AX41" i="10"/>
  <c r="BJ42" i="10"/>
  <c r="DP42" i="10"/>
  <c r="DQ30" i="10"/>
  <c r="X20" i="18" s="1"/>
  <c r="GV30" i="10"/>
  <c r="W20" i="18"/>
  <c r="O20" i="18" s="1"/>
  <c r="DR30" i="10"/>
  <c r="Y20" i="18" s="1"/>
  <c r="Q20" i="18" s="1"/>
  <c r="DO30" i="10"/>
  <c r="V20" i="18" s="1"/>
  <c r="DR47" i="10"/>
  <c r="Y37" i="18" s="1"/>
  <c r="DQ47" i="10"/>
  <c r="X37" i="18" s="1"/>
  <c r="W37" i="18"/>
  <c r="GV47" i="10"/>
  <c r="DO47" i="10"/>
  <c r="V37" i="18" s="1"/>
  <c r="BQ61" i="10"/>
  <c r="CG62" i="10"/>
  <c r="DD62" i="10"/>
  <c r="CE68" i="10"/>
  <c r="BK68" i="10"/>
  <c r="BK65" i="10" s="1"/>
  <c r="BM68" i="10"/>
  <c r="BN65" i="10"/>
  <c r="BV27" i="10"/>
  <c r="CJ28" i="10"/>
  <c r="DH28" i="10"/>
  <c r="BA43" i="10"/>
  <c r="AZ43" i="10"/>
  <c r="AZ37" i="10" s="1"/>
  <c r="CF43" i="10"/>
  <c r="FT127" i="14"/>
  <c r="FT126" i="14"/>
  <c r="EJ14" i="11"/>
  <c r="CS45" i="10"/>
  <c r="DD48" i="10"/>
  <c r="CG48" i="10"/>
  <c r="X62" i="10"/>
  <c r="X61" i="10" s="1"/>
  <c r="FY65" i="10"/>
  <c r="BA37" i="10"/>
  <c r="O43" i="18"/>
  <c r="JS116" i="50"/>
  <c r="JT116" i="50" s="1"/>
  <c r="JT20" i="49"/>
  <c r="JZ31" i="49"/>
  <c r="LF31" i="49" s="1"/>
  <c r="V56" i="49"/>
  <c r="DH19" i="49"/>
  <c r="ED43" i="49"/>
  <c r="IL56" i="49"/>
  <c r="IJ56" i="49"/>
  <c r="AI19" i="49"/>
  <c r="JZ34" i="49"/>
  <c r="LF34" i="49" s="1"/>
  <c r="AA76" i="50"/>
  <c r="KE34" i="49"/>
  <c r="AJ52" i="49"/>
  <c r="AK45" i="49"/>
  <c r="Y61" i="49"/>
  <c r="I61" i="49" s="1"/>
  <c r="N29" i="50"/>
  <c r="Q29" i="50" s="1"/>
  <c r="KA54" i="49"/>
  <c r="AR44" i="48" s="1"/>
  <c r="IG69" i="49"/>
  <c r="BH19" i="49"/>
  <c r="DN41" i="49"/>
  <c r="EB41" i="49" s="1"/>
  <c r="DZ48" i="49"/>
  <c r="G24" i="49"/>
  <c r="JT67" i="49"/>
  <c r="G48" i="49"/>
  <c r="IE48" i="49" s="1"/>
  <c r="L139" i="50"/>
  <c r="AG84" i="50"/>
  <c r="JU96" i="50"/>
  <c r="IB49" i="50"/>
  <c r="IA49" i="50" s="1"/>
  <c r="DJ75" i="49"/>
  <c r="AD19" i="49"/>
  <c r="DG42" i="49"/>
  <c r="DY42" i="49" s="1"/>
  <c r="IR30" i="49"/>
  <c r="IQ30" i="49" s="1"/>
  <c r="AL20" i="48" s="1"/>
  <c r="CE52" i="49"/>
  <c r="KC35" i="49"/>
  <c r="JT55" i="49"/>
  <c r="IR55" i="49"/>
  <c r="AB48" i="49"/>
  <c r="Y52" i="49"/>
  <c r="GV29" i="50"/>
  <c r="JW55" i="49"/>
  <c r="EK23" i="51"/>
  <c r="JW48" i="49"/>
  <c r="KE39" i="49"/>
  <c r="AB55" i="49"/>
  <c r="II24" i="49"/>
  <c r="IG24" i="49"/>
  <c r="IU33" i="49"/>
  <c r="GP65" i="49"/>
  <c r="Q65" i="49"/>
  <c r="DD48" i="49"/>
  <c r="JW20" i="49"/>
  <c r="DN50" i="49"/>
  <c r="V59" i="49"/>
  <c r="IJ69" i="49"/>
  <c r="U65" i="49"/>
  <c r="KM65" i="49" s="1"/>
  <c r="DN59" i="49"/>
  <c r="EB59" i="49" s="1"/>
  <c r="T62" i="49"/>
  <c r="AD33" i="50" s="1"/>
  <c r="AI122" i="50" s="1"/>
  <c r="JN106" i="50"/>
  <c r="AF45" i="49"/>
  <c r="GP52" i="49"/>
  <c r="KA43" i="49"/>
  <c r="AR33" i="48" s="1"/>
  <c r="DE34" i="49"/>
  <c r="DB34" i="49" s="1"/>
  <c r="DN38" i="49"/>
  <c r="EB38" i="49" s="1"/>
  <c r="Y37" i="49"/>
  <c r="I37" i="49" s="1"/>
  <c r="HN122" i="50"/>
  <c r="HR122" i="50" s="1"/>
  <c r="IK62" i="49"/>
  <c r="AA62" i="49"/>
  <c r="KE69" i="49"/>
  <c r="JS152" i="50"/>
  <c r="EA31" i="49"/>
  <c r="BF33" i="49"/>
  <c r="IJ25" i="49"/>
  <c r="JS67" i="50"/>
  <c r="JQ67" i="50" s="1"/>
  <c r="KE35" i="49"/>
  <c r="DW40" i="49"/>
  <c r="GW26" i="50"/>
  <c r="JD62" i="49"/>
  <c r="KC46" i="49"/>
  <c r="EL23" i="51"/>
  <c r="EK17" i="51"/>
  <c r="EJ17" i="51" s="1"/>
  <c r="KE28" i="49"/>
  <c r="EB35" i="49"/>
  <c r="JV20" i="49"/>
  <c r="JT30" i="49"/>
  <c r="JS30" i="49" s="1"/>
  <c r="HN113" i="50"/>
  <c r="JV24" i="49"/>
  <c r="AE45" i="49"/>
  <c r="BF66" i="49"/>
  <c r="BG66" i="49"/>
  <c r="BD66" i="49" s="1"/>
  <c r="AB50" i="49"/>
  <c r="JU50" i="49"/>
  <c r="JZ28" i="49"/>
  <c r="EK19" i="51"/>
  <c r="KE30" i="49"/>
  <c r="F57" i="49"/>
  <c r="R13" i="50"/>
  <c r="B41" i="50" s="1"/>
  <c r="AG19" i="49"/>
  <c r="AD52" i="49"/>
  <c r="L145" i="50"/>
  <c r="N14" i="50"/>
  <c r="JS53" i="50"/>
  <c r="JQ53" i="50" s="1"/>
  <c r="KE22" i="49"/>
  <c r="EK13" i="51"/>
  <c r="EJ13" i="51" s="1"/>
  <c r="JS88" i="50"/>
  <c r="KE40" i="49"/>
  <c r="AJ19" i="49"/>
  <c r="DP19" i="49"/>
  <c r="ED19" i="49" s="1"/>
  <c r="BI19" i="49"/>
  <c r="JC23" i="49"/>
  <c r="GW17" i="50"/>
  <c r="AK52" i="49"/>
  <c r="DO63" i="49"/>
  <c r="EC63" i="49" s="1"/>
  <c r="Q63" i="49"/>
  <c r="IK63" i="49"/>
  <c r="IJ63" i="49" s="1"/>
  <c r="T63" i="49"/>
  <c r="V23" i="49"/>
  <c r="N17" i="50" s="1"/>
  <c r="IG43" i="49"/>
  <c r="JZ66" i="49"/>
  <c r="LF66" i="49" s="1"/>
  <c r="DN69" i="49"/>
  <c r="EB69" i="49" s="1"/>
  <c r="DW66" i="49"/>
  <c r="IG117" i="50"/>
  <c r="IB63" i="50"/>
  <c r="EL19" i="51"/>
  <c r="KC30" i="49"/>
  <c r="JZ30" i="49"/>
  <c r="LF30" i="49" s="1"/>
  <c r="AD45" i="49"/>
  <c r="IQ92" i="50"/>
  <c r="AH19" i="49"/>
  <c r="GP27" i="49"/>
  <c r="JN92" i="50"/>
  <c r="U33" i="49"/>
  <c r="KI33" i="49" s="1"/>
  <c r="IM12" i="49"/>
  <c r="JC69" i="49"/>
  <c r="GW36" i="50"/>
  <c r="DN49" i="49"/>
  <c r="EB49" i="49" s="1"/>
  <c r="AK33" i="49"/>
  <c r="AH65" i="49"/>
  <c r="AI63" i="49"/>
  <c r="AI61" i="49" s="1"/>
  <c r="JW92" i="50"/>
  <c r="IB64" i="50"/>
  <c r="DY67" i="49"/>
  <c r="JZ25" i="49"/>
  <c r="LF25" i="49" s="1"/>
  <c r="DG24" i="49"/>
  <c r="DY24" i="49" s="1"/>
  <c r="EK18" i="51"/>
  <c r="KE29" i="49"/>
  <c r="EA48" i="49"/>
  <c r="ED21" i="49"/>
  <c r="CE37" i="49"/>
  <c r="DZ30" i="49"/>
  <c r="GV14" i="50"/>
  <c r="IV20" i="49"/>
  <c r="BG49" i="49"/>
  <c r="BD49" i="49" s="1"/>
  <c r="BH37" i="49"/>
  <c r="DE21" i="49"/>
  <c r="DC21" i="49" s="1"/>
  <c r="DG22" i="49"/>
  <c r="EA24" i="49"/>
  <c r="BG22" i="49"/>
  <c r="BD22" i="49" s="1"/>
  <c r="DZ19" i="49"/>
  <c r="DE67" i="49"/>
  <c r="DB67" i="49" s="1"/>
  <c r="IQ67" i="50"/>
  <c r="DY76" i="49"/>
  <c r="GR76" i="49" s="1"/>
  <c r="V69" i="49"/>
  <c r="AB69" i="49" s="1"/>
  <c r="ES40" i="49"/>
  <c r="ES25" i="49"/>
  <c r="EQ62" i="49"/>
  <c r="EQ46" i="49"/>
  <c r="ES63" i="49"/>
  <c r="ES53" i="49"/>
  <c r="ES34" i="49"/>
  <c r="EQ40" i="49"/>
  <c r="EQ48" i="49"/>
  <c r="ES59" i="49"/>
  <c r="ES46" i="49"/>
  <c r="EQ53" i="49"/>
  <c r="EQ49" i="49"/>
  <c r="ES69" i="49"/>
  <c r="ES48" i="49"/>
  <c r="EQ59" i="49"/>
  <c r="EQ66" i="49"/>
  <c r="ES23" i="49"/>
  <c r="ES47" i="49"/>
  <c r="ES49" i="49"/>
  <c r="EQ69" i="49"/>
  <c r="EQ31" i="49"/>
  <c r="EQ41" i="49"/>
  <c r="ES43" i="49"/>
  <c r="ES50" i="49"/>
  <c r="ES66" i="49"/>
  <c r="EQ47" i="49"/>
  <c r="EQ35" i="49"/>
  <c r="ES54" i="49"/>
  <c r="ES68" i="49"/>
  <c r="ES75" i="49"/>
  <c r="EQ50" i="49"/>
  <c r="EQ43" i="49"/>
  <c r="EQ34" i="49"/>
  <c r="EQ63" i="49"/>
  <c r="ES30" i="49"/>
  <c r="ES20" i="49"/>
  <c r="EQ68" i="49"/>
  <c r="EQ54" i="49"/>
  <c r="EM38" i="49"/>
  <c r="ES42" i="49"/>
  <c r="ES39" i="49"/>
  <c r="EQ30" i="49"/>
  <c r="EQ39" i="49"/>
  <c r="EQ75" i="49"/>
  <c r="ES29" i="49"/>
  <c r="ES56" i="49"/>
  <c r="EQ20" i="49"/>
  <c r="EQ56" i="49"/>
  <c r="EK75" i="49"/>
  <c r="ES35" i="49"/>
  <c r="ES31" i="49"/>
  <c r="EQ42" i="49"/>
  <c r="EQ38" i="49"/>
  <c r="ES62" i="49"/>
  <c r="ES28" i="49"/>
  <c r="ES38" i="49"/>
  <c r="EQ29" i="49"/>
  <c r="EQ55" i="49"/>
  <c r="ES22" i="49"/>
  <c r="ES55" i="49"/>
  <c r="EQ28" i="49"/>
  <c r="EQ67" i="49"/>
  <c r="ES24" i="49"/>
  <c r="EQ22" i="49"/>
  <c r="EQ21" i="49"/>
  <c r="IA62" i="49"/>
  <c r="HW30" i="49"/>
  <c r="IE112" i="50"/>
  <c r="IF112" i="50"/>
  <c r="IG112" i="50"/>
  <c r="HW23" i="49"/>
  <c r="HX23" i="49" s="1"/>
  <c r="X13" i="48" s="1"/>
  <c r="HW41" i="49"/>
  <c r="W31" i="48" s="1"/>
  <c r="HW46" i="49"/>
  <c r="HX46" i="49" s="1"/>
  <c r="X36" i="48" s="1"/>
  <c r="HW40" i="49"/>
  <c r="HY40" i="49" s="1"/>
  <c r="Y30" i="48" s="1"/>
  <c r="IA34" i="49"/>
  <c r="IA59" i="49"/>
  <c r="AI49" i="48" s="1"/>
  <c r="IA21" i="49"/>
  <c r="IA40" i="49"/>
  <c r="AI30" i="48" s="1"/>
  <c r="IA20" i="49"/>
  <c r="HW38" i="49"/>
  <c r="HY38" i="49" s="1"/>
  <c r="Y28" i="48" s="1"/>
  <c r="FR38" i="49"/>
  <c r="IA29" i="49"/>
  <c r="AI19" i="48" s="1"/>
  <c r="HW53" i="49"/>
  <c r="IA46" i="49"/>
  <c r="IA55" i="49"/>
  <c r="AK45" i="48" s="1"/>
  <c r="O37" i="49"/>
  <c r="IA28" i="49"/>
  <c r="AK18" i="48" s="1"/>
  <c r="HW21" i="49"/>
  <c r="W11" i="48" s="1"/>
  <c r="HW63" i="49"/>
  <c r="HV63" i="49" s="1"/>
  <c r="HS55" i="49"/>
  <c r="HU55" i="49" s="1"/>
  <c r="M45" i="48" s="1"/>
  <c r="HW34" i="49"/>
  <c r="HY34" i="49" s="1"/>
  <c r="Y24" i="48" s="1"/>
  <c r="IA25" i="49"/>
  <c r="IA35" i="49"/>
  <c r="AI25" i="48" s="1"/>
  <c r="HW49" i="49"/>
  <c r="O45" i="49"/>
  <c r="FH42" i="49"/>
  <c r="FF42" i="49" s="1"/>
  <c r="FR28" i="49"/>
  <c r="EV48" i="49"/>
  <c r="EV43" i="49"/>
  <c r="EU24" i="49"/>
  <c r="EU34" i="49"/>
  <c r="EU75" i="49"/>
  <c r="EU22" i="49"/>
  <c r="EU25" i="49"/>
  <c r="EU35" i="49"/>
  <c r="EU56" i="49"/>
  <c r="EU28" i="49"/>
  <c r="EU23" i="49"/>
  <c r="EU53" i="49"/>
  <c r="EU39" i="49"/>
  <c r="EU29" i="49"/>
  <c r="EU21" i="49"/>
  <c r="EU68" i="49"/>
  <c r="EU42" i="49"/>
  <c r="EU50" i="49"/>
  <c r="EU30" i="49"/>
  <c r="EU47" i="49"/>
  <c r="EU67" i="49"/>
  <c r="EU31" i="49"/>
  <c r="EU20" i="49"/>
  <c r="EU63" i="49"/>
  <c r="EU38" i="49"/>
  <c r="EU54" i="49"/>
  <c r="EU69" i="49"/>
  <c r="EU43" i="49"/>
  <c r="EU40" i="49"/>
  <c r="EU66" i="49"/>
  <c r="EU55" i="49"/>
  <c r="EU49" i="49"/>
  <c r="EU62" i="49"/>
  <c r="EU48" i="49"/>
  <c r="EU41" i="49"/>
  <c r="EU46" i="49"/>
  <c r="EU59" i="49"/>
  <c r="FN29" i="49"/>
  <c r="FP25" i="49"/>
  <c r="FM20" i="49"/>
  <c r="FP59" i="49"/>
  <c r="EM24" i="49"/>
  <c r="FQ47" i="49"/>
  <c r="FP23" i="49"/>
  <c r="FH23" i="49" s="1"/>
  <c r="FF23" i="49" s="1"/>
  <c r="FJ34" i="49"/>
  <c r="FK62" i="49"/>
  <c r="FN30" i="49"/>
  <c r="FM47" i="49"/>
  <c r="FO49" i="49"/>
  <c r="FN40" i="49"/>
  <c r="FQ35" i="49"/>
  <c r="FH35" i="49" s="1"/>
  <c r="FF35" i="49" s="1"/>
  <c r="FI46" i="49"/>
  <c r="FP63" i="49"/>
  <c r="FH63" i="49" s="1"/>
  <c r="EM21" i="49"/>
  <c r="FM38" i="49"/>
  <c r="FL48" i="49"/>
  <c r="FI56" i="49"/>
  <c r="FH56" i="49" s="1"/>
  <c r="FF56" i="49" s="1"/>
  <c r="FL59" i="49"/>
  <c r="ET40" i="49"/>
  <c r="EP59" i="49"/>
  <c r="EP49" i="49"/>
  <c r="FI50" i="49"/>
  <c r="FL54" i="49"/>
  <c r="FQ62" i="49"/>
  <c r="FK48" i="49"/>
  <c r="FN59" i="49"/>
  <c r="FI41" i="49"/>
  <c r="FL62" i="49"/>
  <c r="FK25" i="49"/>
  <c r="EM55" i="49"/>
  <c r="FN21" i="49"/>
  <c r="FH21" i="49" s="1"/>
  <c r="FF21" i="49" s="1"/>
  <c r="FL46" i="49"/>
  <c r="FL68" i="49"/>
  <c r="FO40" i="49"/>
  <c r="EM69" i="49"/>
  <c r="FK29" i="49"/>
  <c r="FL50" i="49"/>
  <c r="EM67" i="49"/>
  <c r="FM24" i="49"/>
  <c r="FJ40" i="49"/>
  <c r="FN43" i="49"/>
  <c r="FQ49" i="49"/>
  <c r="EP68" i="49"/>
  <c r="EM48" i="49"/>
  <c r="FP49" i="49"/>
  <c r="FK38" i="49"/>
  <c r="FO59" i="49"/>
  <c r="FP34" i="49"/>
  <c r="FI53" i="49"/>
  <c r="FP68" i="49"/>
  <c r="FO29" i="49"/>
  <c r="EM54" i="49"/>
  <c r="FQ25" i="49"/>
  <c r="FK47" i="49"/>
  <c r="FK20" i="49"/>
  <c r="FI30" i="49"/>
  <c r="EM50" i="49"/>
  <c r="FM68" i="49"/>
  <c r="FP41" i="49"/>
  <c r="FI67" i="49"/>
  <c r="FI28" i="49"/>
  <c r="FJ53" i="49"/>
  <c r="FJ24" i="49"/>
  <c r="FL43" i="49"/>
  <c r="FL22" i="49"/>
  <c r="FM41" i="49"/>
  <c r="FJ67" i="49"/>
  <c r="FL38" i="49"/>
  <c r="FM54" i="49"/>
  <c r="FK24" i="49"/>
  <c r="FJ48" i="49"/>
  <c r="FO34" i="49"/>
  <c r="FL31" i="49"/>
  <c r="FH69" i="49"/>
  <c r="FF69" i="49" s="1"/>
  <c r="FD69" i="49" s="1"/>
  <c r="FP31" i="49"/>
  <c r="FN54" i="49"/>
  <c r="FL24" i="49"/>
  <c r="FO41" i="49"/>
  <c r="FM34" i="49"/>
  <c r="FP55" i="49"/>
  <c r="FH55" i="49" s="1"/>
  <c r="FF55" i="49" s="1"/>
  <c r="FI24" i="49"/>
  <c r="FM28" i="49"/>
  <c r="FJ47" i="49"/>
  <c r="FK67" i="49"/>
  <c r="FL53" i="49"/>
  <c r="FN22" i="49"/>
  <c r="FI40" i="49"/>
  <c r="FO68" i="49"/>
  <c r="FJ38" i="49"/>
  <c r="FK54" i="49"/>
  <c r="FK22" i="49"/>
  <c r="FH39" i="49"/>
  <c r="FF39" i="49" s="1"/>
  <c r="FH66" i="49"/>
  <c r="FF66" i="49" s="1"/>
  <c r="EV28" i="49"/>
  <c r="FR63" i="49"/>
  <c r="Q37" i="49"/>
  <c r="FR39" i="49"/>
  <c r="JY35" i="49"/>
  <c r="AP25" i="48" s="1"/>
  <c r="KA35" i="49"/>
  <c r="AR25" i="48" s="1"/>
  <c r="AQ25" i="48"/>
  <c r="KB35" i="49"/>
  <c r="AS25" i="48" s="1"/>
  <c r="JT38" i="49"/>
  <c r="JV38" i="49"/>
  <c r="D22" i="51"/>
  <c r="AB38" i="49"/>
  <c r="G38" i="49"/>
  <c r="N26" i="50"/>
  <c r="Q26" i="50" s="1"/>
  <c r="JU38" i="49"/>
  <c r="JW38" i="49"/>
  <c r="IR59" i="49"/>
  <c r="IT59" i="49" s="1"/>
  <c r="AO49" i="48" s="1"/>
  <c r="AA27" i="49"/>
  <c r="K27" i="49" s="1"/>
  <c r="IK27" i="49" s="1"/>
  <c r="IA27" i="49" s="1"/>
  <c r="AI17" i="48" s="1"/>
  <c r="DW39" i="49"/>
  <c r="DA39" i="49"/>
  <c r="EC59" i="49"/>
  <c r="DO58" i="49"/>
  <c r="IJ54" i="49"/>
  <c r="IL54" i="49"/>
  <c r="IH78" i="49"/>
  <c r="HW78" i="49" s="1"/>
  <c r="DP62" i="49"/>
  <c r="ED62" i="49" s="1"/>
  <c r="IU19" i="49"/>
  <c r="AE27" i="49"/>
  <c r="BJ52" i="49"/>
  <c r="KC48" i="49"/>
  <c r="JZ48" i="49"/>
  <c r="LF48" i="49" s="1"/>
  <c r="JY40" i="49"/>
  <c r="AP30" i="48" s="1"/>
  <c r="AQ30" i="48"/>
  <c r="KA40" i="49"/>
  <c r="AR30" i="48" s="1"/>
  <c r="KB40" i="49"/>
  <c r="AS30" i="48" s="1"/>
  <c r="FT84" i="50"/>
  <c r="V54" i="49"/>
  <c r="IR54" i="49" s="1"/>
  <c r="EA69" i="49"/>
  <c r="DG69" i="49"/>
  <c r="DY69" i="49" s="1"/>
  <c r="DE69" i="49"/>
  <c r="DX69" i="49" s="1"/>
  <c r="EA56" i="49"/>
  <c r="AF19" i="49"/>
  <c r="BF56" i="49"/>
  <c r="BF52" i="49" s="1"/>
  <c r="BI52" i="49"/>
  <c r="JV88" i="50"/>
  <c r="IQ88" i="50"/>
  <c r="JN88" i="50"/>
  <c r="JW88" i="50"/>
  <c r="BG46" i="49"/>
  <c r="BD46" i="49" s="1"/>
  <c r="BE46" i="49"/>
  <c r="ED35" i="49"/>
  <c r="DE35" i="49"/>
  <c r="BE55" i="49"/>
  <c r="BG55" i="49"/>
  <c r="BD55" i="49" s="1"/>
  <c r="D26" i="51"/>
  <c r="JU62" i="49"/>
  <c r="G62" i="49"/>
  <c r="V22" i="49"/>
  <c r="JW22" i="49" s="1"/>
  <c r="IV35" i="49"/>
  <c r="GV22" i="50"/>
  <c r="DG38" i="49"/>
  <c r="DY38" i="49" s="1"/>
  <c r="DE38" i="49"/>
  <c r="IR38" i="49"/>
  <c r="DN39" i="49"/>
  <c r="ED39" i="49"/>
  <c r="EA46" i="49"/>
  <c r="IQ53" i="50"/>
  <c r="KE21" i="49"/>
  <c r="JS48" i="50"/>
  <c r="JZ21" i="49"/>
  <c r="LF21" i="49" s="1"/>
  <c r="DW30" i="49"/>
  <c r="DA30" i="49"/>
  <c r="JM62" i="50"/>
  <c r="IP62" i="50"/>
  <c r="KC49" i="49"/>
  <c r="JZ49" i="49"/>
  <c r="DZ25" i="49"/>
  <c r="DD25" i="49"/>
  <c r="DA25" i="49" s="1"/>
  <c r="IJ62" i="49"/>
  <c r="FD33" i="50"/>
  <c r="GH122" i="50" s="1"/>
  <c r="BG31" i="49"/>
  <c r="BD31" i="49" s="1"/>
  <c r="BE31" i="49"/>
  <c r="DC50" i="49"/>
  <c r="CZ50" i="49" s="1"/>
  <c r="DA50" i="49"/>
  <c r="V31" i="49"/>
  <c r="AB31" i="49" s="1"/>
  <c r="CE62" i="49"/>
  <c r="JZ46" i="49"/>
  <c r="LF46" i="49" s="1"/>
  <c r="DN22" i="49"/>
  <c r="EB22" i="49" s="1"/>
  <c r="IA23" i="49"/>
  <c r="AJ13" i="48" s="1"/>
  <c r="IA39" i="49"/>
  <c r="AI29" i="48" s="1"/>
  <c r="AC45" i="49"/>
  <c r="IU45" i="49"/>
  <c r="JU75" i="49"/>
  <c r="JT75" i="49"/>
  <c r="JZ59" i="49"/>
  <c r="LF59" i="49" s="1"/>
  <c r="KD58" i="49"/>
  <c r="KC59" i="49"/>
  <c r="DG34" i="49"/>
  <c r="DY34" i="49" s="1"/>
  <c r="DI33" i="49"/>
  <c r="EA33" i="49" s="1"/>
  <c r="DE22" i="49"/>
  <c r="DC22" i="49" s="1"/>
  <c r="AK27" i="49"/>
  <c r="DE30" i="49"/>
  <c r="EA30" i="49"/>
  <c r="DG30" i="49"/>
  <c r="DY30" i="49" s="1"/>
  <c r="GH68" i="50"/>
  <c r="GH70" i="50"/>
  <c r="GH69" i="50"/>
  <c r="GW27" i="50"/>
  <c r="JC39" i="49"/>
  <c r="BE23" i="49"/>
  <c r="BG23" i="49"/>
  <c r="BD23" i="49" s="1"/>
  <c r="IL30" i="49"/>
  <c r="IJ30" i="49"/>
  <c r="DE47" i="49"/>
  <c r="DB47" i="49" s="1"/>
  <c r="IR46" i="49"/>
  <c r="AH45" i="49"/>
  <c r="IU27" i="49"/>
  <c r="AC19" i="49"/>
  <c r="EA47" i="49"/>
  <c r="O61" i="49"/>
  <c r="EC22" i="49"/>
  <c r="JV111" i="50"/>
  <c r="DW34" i="49"/>
  <c r="BE34" i="49"/>
  <c r="JY53" i="49"/>
  <c r="AP43" i="48" s="1"/>
  <c r="AQ43" i="48"/>
  <c r="KB53" i="49"/>
  <c r="AS43" i="48" s="1"/>
  <c r="KA53" i="49"/>
  <c r="AR43" i="48" s="1"/>
  <c r="IH79" i="49"/>
  <c r="HW79" i="49" s="1"/>
  <c r="O79" i="49"/>
  <c r="IL43" i="49"/>
  <c r="IJ43" i="49"/>
  <c r="DN54" i="49"/>
  <c r="EB54" i="49" s="1"/>
  <c r="ED54" i="49"/>
  <c r="EB48" i="49"/>
  <c r="CE19" i="49"/>
  <c r="V68" i="49"/>
  <c r="AB68" i="49" s="1"/>
  <c r="G46" i="49"/>
  <c r="JV46" i="49"/>
  <c r="D23" i="51"/>
  <c r="JU46" i="49"/>
  <c r="JT46" i="49"/>
  <c r="IH77" i="49"/>
  <c r="HW77" i="49" s="1"/>
  <c r="O77" i="49"/>
  <c r="HN93" i="50"/>
  <c r="HN94" i="50"/>
  <c r="ED24" i="49"/>
  <c r="DN24" i="49"/>
  <c r="EB24" i="49" s="1"/>
  <c r="DE24" i="49"/>
  <c r="DN55" i="49"/>
  <c r="AI52" i="49"/>
  <c r="ED48" i="49"/>
  <c r="DE48" i="49"/>
  <c r="DB48" i="49" s="1"/>
  <c r="JU20" i="49"/>
  <c r="JS20" i="49" s="1"/>
  <c r="AB20" i="49"/>
  <c r="IG46" i="49"/>
  <c r="II46" i="49"/>
  <c r="V43" i="49"/>
  <c r="AB43" i="49" s="1"/>
  <c r="BE25" i="49"/>
  <c r="DN66" i="49"/>
  <c r="EB66" i="49" s="1"/>
  <c r="ED66" i="49"/>
  <c r="DP65" i="49"/>
  <c r="ED65" i="49" s="1"/>
  <c r="DN53" i="49"/>
  <c r="EB53" i="49" s="1"/>
  <c r="ED53" i="49"/>
  <c r="DE53" i="49"/>
  <c r="DE23" i="49"/>
  <c r="DB23" i="49" s="1"/>
  <c r="DE20" i="49"/>
  <c r="JV62" i="49"/>
  <c r="T25" i="50"/>
  <c r="EV34" i="49"/>
  <c r="KB54" i="49"/>
  <c r="AS44" i="48" s="1"/>
  <c r="JY54" i="49"/>
  <c r="AP44" i="48" s="1"/>
  <c r="KB55" i="49"/>
  <c r="AS45" i="48" s="1"/>
  <c r="AQ45" i="48"/>
  <c r="KA55" i="49"/>
  <c r="AR45" i="48" s="1"/>
  <c r="JY55" i="49"/>
  <c r="AP45" i="48" s="1"/>
  <c r="IJ59" i="49"/>
  <c r="IL59" i="49"/>
  <c r="JS28" i="49"/>
  <c r="DE59" i="49"/>
  <c r="DC59" i="49" s="1"/>
  <c r="DP58" i="49"/>
  <c r="ED59" i="49"/>
  <c r="BE21" i="49"/>
  <c r="BG21" i="49"/>
  <c r="BD21" i="49" s="1"/>
  <c r="EV67" i="49"/>
  <c r="AC27" i="49"/>
  <c r="AB62" i="49"/>
  <c r="DD75" i="49"/>
  <c r="DA75" i="49" s="1"/>
  <c r="DA73" i="49" s="1"/>
  <c r="DT73" i="49" s="1"/>
  <c r="DG75" i="49"/>
  <c r="AG63" i="50"/>
  <c r="AG64" i="50"/>
  <c r="L117" i="50"/>
  <c r="BF23" i="49"/>
  <c r="BK113" i="50"/>
  <c r="JY22" i="49"/>
  <c r="AP12" i="48" s="1"/>
  <c r="BK108" i="50"/>
  <c r="KB22" i="49"/>
  <c r="AS12" i="48" s="1"/>
  <c r="DN30" i="49"/>
  <c r="EB30" i="49" s="1"/>
  <c r="ED30" i="49"/>
  <c r="IF117" i="50"/>
  <c r="IE117" i="50"/>
  <c r="EV68" i="49"/>
  <c r="EG53" i="49"/>
  <c r="DY48" i="49"/>
  <c r="HW68" i="49"/>
  <c r="HV68" i="49" s="1"/>
  <c r="V54" i="48" s="1"/>
  <c r="DN68" i="49"/>
  <c r="EB68" i="49" s="1"/>
  <c r="ED68" i="49"/>
  <c r="ED67" i="49"/>
  <c r="JT82" i="50"/>
  <c r="IP82" i="50"/>
  <c r="JM82" i="50"/>
  <c r="P17" i="50"/>
  <c r="T17" i="50"/>
  <c r="O17" i="50" s="1"/>
  <c r="FR50" i="49"/>
  <c r="O19" i="49"/>
  <c r="Q19" i="49"/>
  <c r="U9" i="40"/>
  <c r="FZ84" i="51"/>
  <c r="BF91" i="51"/>
  <c r="EY62" i="51"/>
  <c r="FU75" i="51"/>
  <c r="EV62" i="51"/>
  <c r="FM84" i="51"/>
  <c r="BF81" i="51"/>
  <c r="BH87" i="51"/>
  <c r="BI87" i="51"/>
  <c r="AY83" i="51"/>
  <c r="CL87" i="51"/>
  <c r="BC87" i="51"/>
  <c r="BY87" i="51"/>
  <c r="BD87" i="51"/>
  <c r="BE87" i="51"/>
  <c r="BG87" i="51"/>
  <c r="FS70" i="51"/>
  <c r="AW84" i="51"/>
  <c r="AV84" i="51"/>
  <c r="AB87" i="51"/>
  <c r="BU87" i="51" s="1"/>
  <c r="AB75" i="51"/>
  <c r="BU75" i="51" s="1"/>
  <c r="AB77" i="51"/>
  <c r="BU77" i="51" s="1"/>
  <c r="AB79" i="51"/>
  <c r="BU79" i="51" s="1"/>
  <c r="AB81" i="51"/>
  <c r="BU81" i="51" s="1"/>
  <c r="AB91" i="51"/>
  <c r="BU91" i="51" s="1"/>
  <c r="AB89" i="51"/>
  <c r="BU89" i="51" s="1"/>
  <c r="EZ62" i="51"/>
  <c r="BE77" i="51"/>
  <c r="BY77" i="51"/>
  <c r="BG77" i="51"/>
  <c r="BH77" i="51"/>
  <c r="BI77" i="51"/>
  <c r="CL77" i="51"/>
  <c r="BN77" i="51"/>
  <c r="BO77" i="51"/>
  <c r="BQ77" i="51"/>
  <c r="BC77" i="51"/>
  <c r="BD77" i="51"/>
  <c r="BB91" i="51"/>
  <c r="CW81" i="51"/>
  <c r="CR81" i="51" s="1"/>
  <c r="BP81" i="51"/>
  <c r="CP81" i="51" s="1"/>
  <c r="CV81" i="51" s="1"/>
  <c r="BB81" i="51"/>
  <c r="FX79" i="51"/>
  <c r="FX71" i="51"/>
  <c r="FX67" i="51" s="1"/>
  <c r="FX70" i="51"/>
  <c r="BN75" i="51"/>
  <c r="AY65" i="51"/>
  <c r="BO75" i="51"/>
  <c r="BQ75" i="51"/>
  <c r="AY64" i="51"/>
  <c r="AY62" i="51"/>
  <c r="AW62" i="51" s="1"/>
  <c r="BE75" i="51"/>
  <c r="BY75" i="51"/>
  <c r="CL75" i="51"/>
  <c r="BC75" i="51"/>
  <c r="BX75" i="51"/>
  <c r="BD75" i="51"/>
  <c r="BG75" i="51"/>
  <c r="BH75" i="51"/>
  <c r="BI75" i="51"/>
  <c r="BD79" i="51"/>
  <c r="BE79" i="51"/>
  <c r="BY79" i="51"/>
  <c r="BG79" i="51"/>
  <c r="BH79" i="51"/>
  <c r="BI79" i="51"/>
  <c r="BN79" i="51"/>
  <c r="BO79" i="51"/>
  <c r="CL79" i="51"/>
  <c r="AY66" i="51"/>
  <c r="BC79" i="51"/>
  <c r="BQ79" i="51"/>
  <c r="FW84" i="51"/>
  <c r="FV84" i="51"/>
  <c r="BM81" i="51"/>
  <c r="Y43" i="39"/>
  <c r="Z43" i="39" s="1"/>
  <c r="GR40" i="10"/>
  <c r="GQ40" i="10"/>
  <c r="CY89" i="14"/>
  <c r="CY90" i="14"/>
  <c r="CY84" i="14"/>
  <c r="GR23" i="10"/>
  <c r="GQ23" i="10"/>
  <c r="CY98" i="14"/>
  <c r="CY97" i="14"/>
  <c r="GR42" i="10"/>
  <c r="GQ42" i="10"/>
  <c r="AC27" i="40"/>
  <c r="AC25" i="40"/>
  <c r="Y18" i="40"/>
  <c r="FR59" i="49"/>
  <c r="FR42" i="49"/>
  <c r="EV63" i="49"/>
  <c r="EV39" i="49"/>
  <c r="FR29" i="49"/>
  <c r="EV41" i="49"/>
  <c r="FR30" i="49"/>
  <c r="EV29" i="49"/>
  <c r="FR43" i="49"/>
  <c r="EG43" i="49" s="1"/>
  <c r="EV69" i="49"/>
  <c r="EV50" i="49"/>
  <c r="EV59" i="49"/>
  <c r="FR48" i="49"/>
  <c r="EG62" i="49"/>
  <c r="EV54" i="49"/>
  <c r="EV47" i="49"/>
  <c r="AG113" i="50"/>
  <c r="IB113" i="50"/>
  <c r="T16" i="50"/>
  <c r="O16" i="50" s="1"/>
  <c r="P16" i="50"/>
  <c r="JT111" i="50"/>
  <c r="JM111" i="50"/>
  <c r="IP111" i="50"/>
  <c r="C114" i="50"/>
  <c r="O22" i="50"/>
  <c r="B59" i="50"/>
  <c r="HN112" i="50"/>
  <c r="HS112" i="50" s="1"/>
  <c r="JN111" i="50"/>
  <c r="IQ111" i="50"/>
  <c r="ED46" i="49"/>
  <c r="DE46" i="49"/>
  <c r="DP45" i="49"/>
  <c r="ED45" i="49" s="1"/>
  <c r="JU152" i="50"/>
  <c r="KC69" i="49"/>
  <c r="GQ61" i="49"/>
  <c r="C17" i="49"/>
  <c r="IX17" i="49" s="1"/>
  <c r="G23" i="49"/>
  <c r="IE23" i="49" s="1"/>
  <c r="D14" i="51"/>
  <c r="JV23" i="49"/>
  <c r="AB23" i="49"/>
  <c r="JW23" i="49"/>
  <c r="IR23" i="49"/>
  <c r="DA68" i="49"/>
  <c r="DA65" i="49" s="1"/>
  <c r="DW68" i="49"/>
  <c r="DN46" i="49"/>
  <c r="EB46" i="49" s="1"/>
  <c r="DH61" i="49"/>
  <c r="DZ61" i="49" s="1"/>
  <c r="V21" i="49"/>
  <c r="IT28" i="49"/>
  <c r="AO18" i="48" s="1"/>
  <c r="IS28" i="49"/>
  <c r="AN18" i="48" s="1"/>
  <c r="IP28" i="49"/>
  <c r="ED17" i="51"/>
  <c r="AM18" i="48"/>
  <c r="IQ28" i="49"/>
  <c r="AL18" i="48" s="1"/>
  <c r="EV38" i="49"/>
  <c r="FR54" i="49"/>
  <c r="AA19" i="49"/>
  <c r="IG62" i="49"/>
  <c r="FC33" i="50"/>
  <c r="FT122" i="50" s="1"/>
  <c r="II21" i="49"/>
  <c r="FC15" i="50"/>
  <c r="IG21" i="49"/>
  <c r="BF69" i="49"/>
  <c r="C109" i="50"/>
  <c r="AG122" i="50"/>
  <c r="L122" i="50"/>
  <c r="DT75" i="49"/>
  <c r="FR22" i="49"/>
  <c r="AF37" i="49"/>
  <c r="BF48" i="49"/>
  <c r="BE29" i="49"/>
  <c r="BG29" i="49"/>
  <c r="BD29" i="49" s="1"/>
  <c r="GV28" i="50"/>
  <c r="IV40" i="49"/>
  <c r="IR40" i="49"/>
  <c r="BE42" i="49"/>
  <c r="BG42" i="49"/>
  <c r="BD42" i="49" s="1"/>
  <c r="EC42" i="49"/>
  <c r="DO37" i="49"/>
  <c r="EC37" i="49" s="1"/>
  <c r="HN126" i="50"/>
  <c r="BF67" i="49"/>
  <c r="JU62" i="50"/>
  <c r="KC34" i="49"/>
  <c r="JU116" i="50"/>
  <c r="IT50" i="49"/>
  <c r="AO40" i="48" s="1"/>
  <c r="IP50" i="49"/>
  <c r="IQ50" i="49"/>
  <c r="AL40" i="48" s="1"/>
  <c r="AM40" i="48"/>
  <c r="IS50" i="49"/>
  <c r="AN40" i="48" s="1"/>
  <c r="FT63" i="50"/>
  <c r="FT64" i="50"/>
  <c r="AH37" i="49"/>
  <c r="AJ45" i="49"/>
  <c r="K45" i="49"/>
  <c r="IK45" i="49" s="1"/>
  <c r="IA45" i="49" s="1"/>
  <c r="JD45" i="49"/>
  <c r="DZ41" i="49"/>
  <c r="DD41" i="49"/>
  <c r="DA41" i="49" s="1"/>
  <c r="DH37" i="49"/>
  <c r="DZ37" i="49" s="1"/>
  <c r="BF68" i="49"/>
  <c r="BG68" i="49"/>
  <c r="D61" i="49"/>
  <c r="CP61" i="49" s="1"/>
  <c r="AJ63" i="49"/>
  <c r="AJ61" i="49" s="1"/>
  <c r="AC63" i="49"/>
  <c r="AC61" i="49" s="1"/>
  <c r="AK63" i="49"/>
  <c r="AK61" i="49" s="1"/>
  <c r="E63" i="49"/>
  <c r="AA63" i="49"/>
  <c r="AG63" i="49"/>
  <c r="AG61" i="49" s="1"/>
  <c r="GP63" i="49"/>
  <c r="AE63" i="49"/>
  <c r="AE61" i="49" s="1"/>
  <c r="Z63" i="49"/>
  <c r="U63" i="49" s="1"/>
  <c r="AD63" i="49"/>
  <c r="AD61" i="49" s="1"/>
  <c r="AF63" i="49"/>
  <c r="AF61" i="49" s="1"/>
  <c r="AH63" i="49"/>
  <c r="AH61" i="49" s="1"/>
  <c r="EB29" i="49"/>
  <c r="EK14" i="51"/>
  <c r="EJ14" i="51" s="1"/>
  <c r="JS125" i="50"/>
  <c r="JQ125" i="50" s="1"/>
  <c r="KE23" i="49"/>
  <c r="JZ23" i="49"/>
  <c r="LF23" i="49" s="1"/>
  <c r="BG53" i="49"/>
  <c r="DW53" i="49"/>
  <c r="BE53" i="49"/>
  <c r="BH52" i="49"/>
  <c r="DB54" i="49"/>
  <c r="DX54" i="49"/>
  <c r="AI37" i="49"/>
  <c r="BG39" i="49"/>
  <c r="BD39" i="49" s="1"/>
  <c r="EV22" i="49"/>
  <c r="EV40" i="49"/>
  <c r="AD65" i="49"/>
  <c r="EV66" i="49"/>
  <c r="EV20" i="49"/>
  <c r="AG27" i="49"/>
  <c r="IE41" i="49"/>
  <c r="DG68" i="49"/>
  <c r="DY68" i="49" s="1"/>
  <c r="EA68" i="49"/>
  <c r="DE68" i="49"/>
  <c r="DB68" i="49" s="1"/>
  <c r="IG54" i="49"/>
  <c r="II54" i="49"/>
  <c r="DD55" i="49"/>
  <c r="DZ55" i="49"/>
  <c r="DH52" i="49"/>
  <c r="DZ52" i="49" s="1"/>
  <c r="F23" i="49"/>
  <c r="L23" i="49" s="1"/>
  <c r="L19" i="49" s="1"/>
  <c r="U19" i="49"/>
  <c r="BE56" i="49"/>
  <c r="BG56" i="49"/>
  <c r="DW56" i="49"/>
  <c r="IF55" i="49"/>
  <c r="ID55" i="49"/>
  <c r="IA31" i="49"/>
  <c r="IA67" i="49"/>
  <c r="IA50" i="49"/>
  <c r="IA48" i="49"/>
  <c r="IA42" i="49"/>
  <c r="HW20" i="49"/>
  <c r="HW62" i="49"/>
  <c r="HW56" i="49"/>
  <c r="IA56" i="49"/>
  <c r="HW35" i="49"/>
  <c r="HW28" i="49"/>
  <c r="HW65" i="49"/>
  <c r="IA54" i="49"/>
  <c r="IA43" i="49"/>
  <c r="HW24" i="49"/>
  <c r="HW42" i="49"/>
  <c r="HW50" i="49"/>
  <c r="IA24" i="49"/>
  <c r="HW69" i="49"/>
  <c r="HW31" i="49"/>
  <c r="LC31" i="49" s="1"/>
  <c r="HW67" i="49"/>
  <c r="IA22" i="49"/>
  <c r="IA41" i="49"/>
  <c r="HW48" i="49"/>
  <c r="IA38" i="49"/>
  <c r="IA53" i="49"/>
  <c r="HW39" i="49"/>
  <c r="LC39" i="49" s="1"/>
  <c r="HW22" i="49"/>
  <c r="IA69" i="49"/>
  <c r="IA68" i="49"/>
  <c r="HW43" i="49"/>
  <c r="HW54" i="49"/>
  <c r="IA30" i="49"/>
  <c r="HW55" i="49"/>
  <c r="IA47" i="49"/>
  <c r="BG69" i="49"/>
  <c r="BD69" i="49" s="1"/>
  <c r="BE69" i="49"/>
  <c r="DW69" i="49"/>
  <c r="AH33" i="49"/>
  <c r="EV46" i="49"/>
  <c r="JC67" i="49"/>
  <c r="IR67" i="49"/>
  <c r="G59" i="49"/>
  <c r="AB59" i="49"/>
  <c r="JU59" i="49"/>
  <c r="JU58" i="49" s="1"/>
  <c r="JW59" i="49"/>
  <c r="JW58" i="49" s="1"/>
  <c r="JV59" i="49"/>
  <c r="V58" i="49"/>
  <c r="JT59" i="49"/>
  <c r="JT58" i="49" s="1"/>
  <c r="BF25" i="49"/>
  <c r="BG25" i="49"/>
  <c r="BD25" i="49" s="1"/>
  <c r="IL22" i="49"/>
  <c r="FD16" i="50"/>
  <c r="IJ22" i="49"/>
  <c r="IQ41" i="49"/>
  <c r="AL31" i="48" s="1"/>
  <c r="AM31" i="48"/>
  <c r="IP41" i="49"/>
  <c r="IT41" i="49"/>
  <c r="AO31" i="48" s="1"/>
  <c r="GU29" i="50"/>
  <c r="IS41" i="49"/>
  <c r="AN31" i="48" s="1"/>
  <c r="FR68" i="49"/>
  <c r="EA62" i="49"/>
  <c r="CE65" i="49"/>
  <c r="EB67" i="49"/>
  <c r="ED29" i="49"/>
  <c r="DP27" i="49"/>
  <c r="ED27" i="49" s="1"/>
  <c r="DE29" i="49"/>
  <c r="EB50" i="49"/>
  <c r="JZ47" i="49"/>
  <c r="LF47" i="49" s="1"/>
  <c r="KE47" i="49"/>
  <c r="DZ20" i="49"/>
  <c r="JW42" i="49"/>
  <c r="JV42" i="49"/>
  <c r="N30" i="50"/>
  <c r="Q30" i="50" s="1"/>
  <c r="IR42" i="49"/>
  <c r="JU42" i="49"/>
  <c r="G42" i="49"/>
  <c r="AB42" i="49"/>
  <c r="JT42" i="49"/>
  <c r="JW106" i="50"/>
  <c r="JV106" i="50"/>
  <c r="JS41" i="49"/>
  <c r="EV42" i="49"/>
  <c r="FR46" i="49"/>
  <c r="BJ19" i="49"/>
  <c r="U37" i="49"/>
  <c r="F39" i="49"/>
  <c r="L39" i="49" s="1"/>
  <c r="L37" i="49" s="1"/>
  <c r="DE42" i="49"/>
  <c r="DB42" i="49" s="1"/>
  <c r="EA42" i="49"/>
  <c r="AI113" i="50"/>
  <c r="M112" i="50"/>
  <c r="AI112" i="50"/>
  <c r="R67" i="49"/>
  <c r="M67" i="49"/>
  <c r="IE67" i="49"/>
  <c r="ID67" i="49" s="1"/>
  <c r="IQ43" i="50"/>
  <c r="JN43" i="50"/>
  <c r="P14" i="50"/>
  <c r="R41" i="49"/>
  <c r="AB29" i="50" s="1"/>
  <c r="M41" i="49"/>
  <c r="KO33" i="49"/>
  <c r="KC67" i="49"/>
  <c r="JZ67" i="49"/>
  <c r="LF67" i="49" s="1"/>
  <c r="GV27" i="50"/>
  <c r="IV39" i="49"/>
  <c r="GV15" i="50"/>
  <c r="IV21" i="49"/>
  <c r="CE27" i="49"/>
  <c r="BF42" i="49"/>
  <c r="KB25" i="49"/>
  <c r="AS15" i="48" s="1"/>
  <c r="JY25" i="49"/>
  <c r="AP15" i="48" s="1"/>
  <c r="AQ15" i="48"/>
  <c r="FR47" i="49"/>
  <c r="AK37" i="49"/>
  <c r="AI27" i="49"/>
  <c r="DN33" i="49"/>
  <c r="DN56" i="49"/>
  <c r="EB56" i="49" s="1"/>
  <c r="DP52" i="49"/>
  <c r="ED52" i="49" s="1"/>
  <c r="ED56" i="49"/>
  <c r="DE56" i="49"/>
  <c r="ED40" i="49"/>
  <c r="DP37" i="49"/>
  <c r="ED37" i="49" s="1"/>
  <c r="F47" i="49"/>
  <c r="L47" i="49" s="1"/>
  <c r="L45" i="49" s="1"/>
  <c r="U45" i="49"/>
  <c r="F45" i="49" s="1"/>
  <c r="F51" i="49"/>
  <c r="DE31" i="49"/>
  <c r="ED31" i="49"/>
  <c r="DC67" i="49"/>
  <c r="CZ67" i="49" s="1"/>
  <c r="DY22" i="49"/>
  <c r="EV21" i="49"/>
  <c r="FR34" i="49"/>
  <c r="FR21" i="49"/>
  <c r="AD37" i="49"/>
  <c r="DW43" i="49"/>
  <c r="DA43" i="49"/>
  <c r="FD14" i="50"/>
  <c r="IJ20" i="49"/>
  <c r="IL20" i="49"/>
  <c r="EV23" i="49"/>
  <c r="FR41" i="49"/>
  <c r="FR31" i="49"/>
  <c r="L27" i="49"/>
  <c r="DG23" i="49"/>
  <c r="DY23" i="49" s="1"/>
  <c r="DZ23" i="49"/>
  <c r="DD20" i="49"/>
  <c r="DN20" i="49"/>
  <c r="EB20" i="49" s="1"/>
  <c r="DZ31" i="49"/>
  <c r="DD31" i="49"/>
  <c r="DG31" i="49"/>
  <c r="DY31" i="49" s="1"/>
  <c r="IJ21" i="49"/>
  <c r="IL21" i="49"/>
  <c r="FD15" i="50"/>
  <c r="AG50" i="50"/>
  <c r="AG49" i="50"/>
  <c r="FC75" i="49"/>
  <c r="IS49" i="49"/>
  <c r="AN39" i="48" s="1"/>
  <c r="IP49" i="49"/>
  <c r="CZ21" i="49"/>
  <c r="BT17" i="50"/>
  <c r="HY23" i="49"/>
  <c r="Y13" i="48" s="1"/>
  <c r="HV23" i="49"/>
  <c r="V13" i="48" s="1"/>
  <c r="F27" i="49"/>
  <c r="ID27" i="49" s="1"/>
  <c r="HR27" i="49" s="1"/>
  <c r="J17" i="48" s="1"/>
  <c r="KI27" i="49"/>
  <c r="KO27" i="49"/>
  <c r="KM27" i="49"/>
  <c r="EA49" i="49"/>
  <c r="DI45" i="49"/>
  <c r="EA45" i="49" s="1"/>
  <c r="DG49" i="49"/>
  <c r="DY49" i="49" s="1"/>
  <c r="DE49" i="49"/>
  <c r="FR49" i="49"/>
  <c r="FR23" i="49"/>
  <c r="EV56" i="49"/>
  <c r="BJ58" i="49"/>
  <c r="DY59" i="49"/>
  <c r="V35" i="49"/>
  <c r="IR35" i="49" s="1"/>
  <c r="Y33" i="49"/>
  <c r="AA37" i="49"/>
  <c r="K37" i="49" s="1"/>
  <c r="IK37" i="49" s="1"/>
  <c r="IA37" i="49" s="1"/>
  <c r="V39" i="49"/>
  <c r="AB39" i="49" s="1"/>
  <c r="DI52" i="49"/>
  <c r="EA52" i="49" s="1"/>
  <c r="EA55" i="49"/>
  <c r="DG55" i="49"/>
  <c r="DE55" i="49"/>
  <c r="AG37" i="49"/>
  <c r="KK27" i="49"/>
  <c r="IB45" i="50"/>
  <c r="JX34" i="49"/>
  <c r="JX33" i="49" s="1"/>
  <c r="JT34" i="49"/>
  <c r="G34" i="49"/>
  <c r="JU34" i="49"/>
  <c r="IR34" i="49"/>
  <c r="JV34" i="49"/>
  <c r="N21" i="50"/>
  <c r="Q21" i="50" s="1"/>
  <c r="JW34" i="49"/>
  <c r="IB68" i="50"/>
  <c r="IB70" i="50"/>
  <c r="IB69" i="50"/>
  <c r="DA22" i="49"/>
  <c r="DW22" i="49"/>
  <c r="IA66" i="49"/>
  <c r="LC40" i="49"/>
  <c r="JT92" i="50"/>
  <c r="JR92" i="50" s="1"/>
  <c r="JQ92" i="50" s="1"/>
  <c r="JM92" i="50"/>
  <c r="JK92" i="50" s="1"/>
  <c r="IP92" i="50"/>
  <c r="AM10" i="48"/>
  <c r="GU14" i="50"/>
  <c r="BD108" i="50"/>
  <c r="IQ20" i="49"/>
  <c r="ED12" i="51"/>
  <c r="IS20" i="49"/>
  <c r="AN10" i="48" s="1"/>
  <c r="IP20" i="49"/>
  <c r="BD113" i="50"/>
  <c r="IT20" i="49"/>
  <c r="AO10" i="48" s="1"/>
  <c r="JY68" i="49"/>
  <c r="AP54" i="48" s="1"/>
  <c r="AQ54" i="48"/>
  <c r="HY53" i="49"/>
  <c r="Y43" i="48" s="1"/>
  <c r="HX53" i="49"/>
  <c r="X43" i="48" s="1"/>
  <c r="HV53" i="49"/>
  <c r="V43" i="48" s="1"/>
  <c r="W43" i="48"/>
  <c r="LC53" i="49"/>
  <c r="AJ36" i="48"/>
  <c r="AH36" i="48"/>
  <c r="AK36" i="48"/>
  <c r="AI36" i="48"/>
  <c r="EV31" i="49"/>
  <c r="EV30" i="49"/>
  <c r="BJ33" i="49"/>
  <c r="Y19" i="49"/>
  <c r="IW19" i="49" s="1"/>
  <c r="V25" i="49"/>
  <c r="IR25" i="49" s="1"/>
  <c r="JS96" i="50"/>
  <c r="KE42" i="49"/>
  <c r="JZ42" i="49"/>
  <c r="LF42" i="49" s="1"/>
  <c r="II59" i="49"/>
  <c r="IG59" i="49"/>
  <c r="HW59" i="49"/>
  <c r="DN23" i="49"/>
  <c r="EB23" i="49" s="1"/>
  <c r="DD23" i="49"/>
  <c r="EC23" i="49"/>
  <c r="DO19" i="49"/>
  <c r="AH27" i="49"/>
  <c r="HC75" i="49"/>
  <c r="IH75" i="49"/>
  <c r="EB21" i="49"/>
  <c r="JN125" i="50"/>
  <c r="IQ125" i="50"/>
  <c r="HY49" i="49"/>
  <c r="Y39" i="48" s="1"/>
  <c r="W39" i="48"/>
  <c r="HX49" i="49"/>
  <c r="X39" i="48" s="1"/>
  <c r="HV49" i="49"/>
  <c r="V39" i="48" s="1"/>
  <c r="IP59" i="49"/>
  <c r="IP58" i="49" s="1"/>
  <c r="IS59" i="49"/>
  <c r="AN49" i="48" s="1"/>
  <c r="J41" i="44" s="1"/>
  <c r="IR58" i="49"/>
  <c r="AM49" i="48"/>
  <c r="DG46" i="49"/>
  <c r="DD46" i="49"/>
  <c r="DH45" i="49"/>
  <c r="DZ45" i="49" s="1"/>
  <c r="DZ46" i="49"/>
  <c r="DV54" i="49"/>
  <c r="IV63" i="49"/>
  <c r="DU77" i="49"/>
  <c r="FR24" i="49"/>
  <c r="CE33" i="49"/>
  <c r="EB33" i="49" s="1"/>
  <c r="EB34" i="49"/>
  <c r="CE63" i="49"/>
  <c r="JZ24" i="49"/>
  <c r="LF24" i="49" s="1"/>
  <c r="KE24" i="49"/>
  <c r="EV25" i="49"/>
  <c r="B17" i="49"/>
  <c r="AD27" i="49"/>
  <c r="IH76" i="49"/>
  <c r="HW76" i="49" s="1"/>
  <c r="R20" i="49"/>
  <c r="IE20" i="49"/>
  <c r="M20" i="49"/>
  <c r="FT93" i="50"/>
  <c r="AE37" i="49"/>
  <c r="F53" i="49"/>
  <c r="L53" i="49" s="1"/>
  <c r="L52" i="49" s="1"/>
  <c r="U52" i="49"/>
  <c r="F52" i="49" s="1"/>
  <c r="ID52" i="49" s="1"/>
  <c r="HR52" i="49" s="1"/>
  <c r="AI33" i="49"/>
  <c r="BI33" i="49"/>
  <c r="AG33" i="49"/>
  <c r="AC33" i="49"/>
  <c r="AD33" i="49"/>
  <c r="AE33" i="49"/>
  <c r="AJ33" i="49"/>
  <c r="BE67" i="49"/>
  <c r="DW67" i="49"/>
  <c r="BG67" i="49"/>
  <c r="BH65" i="49"/>
  <c r="GH84" i="50"/>
  <c r="DX21" i="49"/>
  <c r="DB21" i="49"/>
  <c r="JT49" i="49"/>
  <c r="JW49" i="49"/>
  <c r="G49" i="49"/>
  <c r="JV49" i="49"/>
  <c r="JU49" i="49"/>
  <c r="AB49" i="49"/>
  <c r="KA31" i="49"/>
  <c r="AR21" i="48" s="1"/>
  <c r="KB31" i="49"/>
  <c r="AS21" i="48" s="1"/>
  <c r="AQ21" i="48"/>
  <c r="JY31" i="49"/>
  <c r="AP21" i="48" s="1"/>
  <c r="W20" i="48"/>
  <c r="DA59" i="49"/>
  <c r="DA58" i="49" s="1"/>
  <c r="DD58" i="49"/>
  <c r="DW59" i="49"/>
  <c r="BF47" i="49"/>
  <c r="BI45" i="49"/>
  <c r="FR35" i="49"/>
  <c r="BG48" i="49"/>
  <c r="BE48" i="49"/>
  <c r="DW48" i="49"/>
  <c r="BE28" i="49"/>
  <c r="BG28" i="49"/>
  <c r="BH27" i="49"/>
  <c r="IG47" i="49"/>
  <c r="II47" i="49"/>
  <c r="HW47" i="49"/>
  <c r="II25" i="49"/>
  <c r="IG25" i="49"/>
  <c r="AI15" i="48"/>
  <c r="AJ15" i="48"/>
  <c r="AK15" i="48"/>
  <c r="AH15" i="48"/>
  <c r="DI37" i="49"/>
  <c r="EA37" i="49" s="1"/>
  <c r="DG39" i="49"/>
  <c r="DE39" i="49"/>
  <c r="K33" i="49"/>
  <c r="IK33" i="49" s="1"/>
  <c r="IA33" i="49" s="1"/>
  <c r="JD33" i="49"/>
  <c r="ED33" i="49"/>
  <c r="EB40" i="49"/>
  <c r="DN28" i="49"/>
  <c r="DO27" i="49"/>
  <c r="EC27" i="49" s="1"/>
  <c r="EC28" i="49"/>
  <c r="CE45" i="49"/>
  <c r="FR20" i="49"/>
  <c r="BJ27" i="49"/>
  <c r="FR56" i="49"/>
  <c r="EV24" i="49"/>
  <c r="BH33" i="49"/>
  <c r="BG35" i="49"/>
  <c r="BG33" i="49" s="1"/>
  <c r="BE35" i="49"/>
  <c r="DP63" i="49"/>
  <c r="EC62" i="49"/>
  <c r="CF61" i="49"/>
  <c r="FR40" i="49"/>
  <c r="M107" i="50"/>
  <c r="DW42" i="49"/>
  <c r="DA42" i="49"/>
  <c r="GP33" i="49"/>
  <c r="AI65" i="49"/>
  <c r="BF28" i="49"/>
  <c r="BF27" i="49" s="1"/>
  <c r="BI27" i="49"/>
  <c r="AF27" i="49"/>
  <c r="AJ49" i="48"/>
  <c r="AK49" i="48"/>
  <c r="AH49" i="48"/>
  <c r="AK29" i="48"/>
  <c r="BE24" i="49"/>
  <c r="BG24" i="49"/>
  <c r="DW24" i="49"/>
  <c r="EV35" i="49"/>
  <c r="DG66" i="49"/>
  <c r="EA66" i="49"/>
  <c r="DE66" i="49"/>
  <c r="DI65" i="49"/>
  <c r="EA65" i="49" s="1"/>
  <c r="GP45" i="49"/>
  <c r="FR25" i="49"/>
  <c r="AF65" i="49"/>
  <c r="AK65" i="49"/>
  <c r="IU65" i="49"/>
  <c r="AJ65" i="49"/>
  <c r="BI65" i="49"/>
  <c r="AG65" i="49"/>
  <c r="L65" i="49"/>
  <c r="DH27" i="49"/>
  <c r="DZ27" i="49" s="1"/>
  <c r="DZ28" i="49"/>
  <c r="DG28" i="49"/>
  <c r="DY28" i="49" s="1"/>
  <c r="DD28" i="49"/>
  <c r="DW28" i="49" s="1"/>
  <c r="HS28" i="49"/>
  <c r="ID28" i="49"/>
  <c r="IF28" i="49"/>
  <c r="DZ17" i="51"/>
  <c r="V47" i="49"/>
  <c r="IR47" i="49" s="1"/>
  <c r="Y45" i="49"/>
  <c r="I45" i="49" s="1"/>
  <c r="BH62" i="49"/>
  <c r="HW25" i="49"/>
  <c r="M24" i="49"/>
  <c r="R24" i="49"/>
  <c r="IE24" i="49"/>
  <c r="IG23" i="49"/>
  <c r="FC17" i="50"/>
  <c r="II23" i="49"/>
  <c r="AE65" i="49"/>
  <c r="BD34" i="49"/>
  <c r="DA48" i="49"/>
  <c r="DD47" i="49"/>
  <c r="DW47" i="49" s="1"/>
  <c r="DG47" i="49"/>
  <c r="DY47" i="49" s="1"/>
  <c r="DZ47" i="49"/>
  <c r="EK22" i="51"/>
  <c r="EJ22" i="51" s="1"/>
  <c r="JS78" i="50"/>
  <c r="KE38" i="49"/>
  <c r="JZ38" i="49"/>
  <c r="LF38" i="49" s="1"/>
  <c r="AK11" i="48"/>
  <c r="AH11" i="48"/>
  <c r="AI11" i="48"/>
  <c r="AJ11" i="48"/>
  <c r="DZ19" i="51"/>
  <c r="IF30" i="49"/>
  <c r="ID30" i="49"/>
  <c r="HS30" i="49"/>
  <c r="DY20" i="49"/>
  <c r="BF43" i="49"/>
  <c r="BI37" i="49"/>
  <c r="BG43" i="49"/>
  <c r="IG66" i="49"/>
  <c r="HW66" i="49"/>
  <c r="FR55" i="49"/>
  <c r="AC65" i="49"/>
  <c r="HV34" i="49"/>
  <c r="V24" i="48" s="1"/>
  <c r="ID50" i="50"/>
  <c r="IA50" i="50"/>
  <c r="BF50" i="49"/>
  <c r="DX50" i="49"/>
  <c r="BG50" i="49"/>
  <c r="FT89" i="50"/>
  <c r="GH63" i="50"/>
  <c r="GH64" i="50"/>
  <c r="GH117" i="50"/>
  <c r="DD29" i="49"/>
  <c r="DG29" i="49"/>
  <c r="DY29" i="49" s="1"/>
  <c r="DZ29" i="49"/>
  <c r="AH10" i="48"/>
  <c r="AI10" i="48"/>
  <c r="AK10" i="48"/>
  <c r="AJ10" i="48"/>
  <c r="AK39" i="48"/>
  <c r="AI39" i="48"/>
  <c r="AH39" i="48"/>
  <c r="AJ39" i="48"/>
  <c r="L33" i="49"/>
  <c r="DN58" i="49"/>
  <c r="EV55" i="49"/>
  <c r="AC37" i="49"/>
  <c r="GP37" i="49"/>
  <c r="IU37" i="49"/>
  <c r="BD40" i="49"/>
  <c r="KE50" i="49"/>
  <c r="JZ50" i="49"/>
  <c r="LF50" i="49" s="1"/>
  <c r="AH30" i="48"/>
  <c r="AJ30" i="48"/>
  <c r="AK30" i="48"/>
  <c r="HR55" i="49"/>
  <c r="J45" i="48" s="1"/>
  <c r="K45" i="48"/>
  <c r="HT55" i="49"/>
  <c r="L45" i="48" s="1"/>
  <c r="KZ55" i="49"/>
  <c r="LA55" i="49" s="1"/>
  <c r="DD65" i="49"/>
  <c r="HP113" i="50"/>
  <c r="HM113" i="50"/>
  <c r="GP19" i="49"/>
  <c r="DE43" i="49"/>
  <c r="EA43" i="49"/>
  <c r="DG43" i="49"/>
  <c r="DY43" i="49" s="1"/>
  <c r="BG47" i="49"/>
  <c r="BE47" i="49"/>
  <c r="BH45" i="49"/>
  <c r="DG25" i="49"/>
  <c r="DY25" i="49" s="1"/>
  <c r="EA25" i="49"/>
  <c r="DE25" i="49"/>
  <c r="AA65" i="49"/>
  <c r="K65" i="49" s="1"/>
  <c r="IK65" i="49" s="1"/>
  <c r="IA65" i="49" s="1"/>
  <c r="V66" i="49"/>
  <c r="IR66" i="49" s="1"/>
  <c r="V29" i="49"/>
  <c r="IR29" i="49" s="1"/>
  <c r="Y27" i="49"/>
  <c r="I27" i="49" s="1"/>
  <c r="HN117" i="50"/>
  <c r="HN63" i="50"/>
  <c r="HN64" i="50"/>
  <c r="AF33" i="49"/>
  <c r="JV53" i="49"/>
  <c r="G53" i="49"/>
  <c r="JW53" i="49"/>
  <c r="JT53" i="49"/>
  <c r="JU53" i="49"/>
  <c r="O65" i="49"/>
  <c r="FR67" i="49"/>
  <c r="BJ65" i="49"/>
  <c r="EA28" i="49"/>
  <c r="DI27" i="49"/>
  <c r="EA27" i="49" s="1"/>
  <c r="DE28" i="49"/>
  <c r="EA40" i="49"/>
  <c r="DG40" i="49"/>
  <c r="DY40" i="49" s="1"/>
  <c r="DE40" i="49"/>
  <c r="KE56" i="49"/>
  <c r="JZ56" i="49"/>
  <c r="LF56" i="49" s="1"/>
  <c r="DG35" i="49"/>
  <c r="DD35" i="49"/>
  <c r="DW35" i="49" s="1"/>
  <c r="DZ35" i="49"/>
  <c r="DH33" i="49"/>
  <c r="DZ33" i="49" s="1"/>
  <c r="BJ45" i="49"/>
  <c r="KE20" i="49"/>
  <c r="EK12" i="51"/>
  <c r="JS43" i="50"/>
  <c r="JZ20" i="49"/>
  <c r="LF20" i="49" s="1"/>
  <c r="JS106" i="50"/>
  <c r="BG41" i="49"/>
  <c r="BE41" i="49"/>
  <c r="F33" i="49"/>
  <c r="KK33" i="49"/>
  <c r="IP116" i="50"/>
  <c r="IG29" i="49"/>
  <c r="II29" i="49"/>
  <c r="HW29" i="49"/>
  <c r="GH93" i="50"/>
  <c r="LG35" i="49"/>
  <c r="AH25" i="48"/>
  <c r="AJ25" i="48"/>
  <c r="AK25" i="48"/>
  <c r="DZ63" i="49"/>
  <c r="BH63" i="49"/>
  <c r="BJ63" i="49"/>
  <c r="BJ61" i="49" s="1"/>
  <c r="IQ82" i="50"/>
  <c r="JW82" i="50"/>
  <c r="JV82" i="50"/>
  <c r="JN82" i="50"/>
  <c r="AJ19" i="48"/>
  <c r="AK19" i="48"/>
  <c r="AH19" i="48"/>
  <c r="DC79" i="49"/>
  <c r="CZ79" i="49" s="1"/>
  <c r="DS79" i="49" s="1"/>
  <c r="EV49" i="49"/>
  <c r="FR66" i="49"/>
  <c r="BJ37" i="49"/>
  <c r="AB53" i="49"/>
  <c r="IR53" i="49"/>
  <c r="AA52" i="49"/>
  <c r="JD52" i="49" s="1"/>
  <c r="AJ37" i="49"/>
  <c r="KM33" i="49"/>
  <c r="KB39" i="49"/>
  <c r="AS29" i="48" s="1"/>
  <c r="AQ29" i="48"/>
  <c r="JY39" i="49"/>
  <c r="AP29" i="48" s="1"/>
  <c r="KA39" i="49"/>
  <c r="AR29" i="48" s="1"/>
  <c r="ED19" i="51"/>
  <c r="IP30" i="49"/>
  <c r="DI63" i="49"/>
  <c r="EA63" i="49" s="1"/>
  <c r="BI63" i="49"/>
  <c r="DG62" i="49"/>
  <c r="DI19" i="49"/>
  <c r="HK77" i="49"/>
  <c r="DC77" i="49"/>
  <c r="CZ77" i="49" s="1"/>
  <c r="DS77" i="49" s="1"/>
  <c r="DY77" i="49"/>
  <c r="GR77" i="49" s="1"/>
  <c r="DU75" i="49"/>
  <c r="ED30" i="51"/>
  <c r="IT75" i="49"/>
  <c r="IP75" i="49"/>
  <c r="IQ75" i="49"/>
  <c r="AQ55" i="48" l="1"/>
  <c r="GI65" i="10"/>
  <c r="W21" i="18"/>
  <c r="DB25" i="10"/>
  <c r="I15" i="18" s="1"/>
  <c r="G15" i="18"/>
  <c r="JY34" i="49"/>
  <c r="AP24" i="48" s="1"/>
  <c r="W30" i="48"/>
  <c r="FW112" i="50"/>
  <c r="DX67" i="49"/>
  <c r="DD62" i="49"/>
  <c r="FL71" i="51"/>
  <c r="FL67" i="51" s="1"/>
  <c r="AQ24" i="48"/>
  <c r="HX40" i="49"/>
  <c r="X30" i="48" s="1"/>
  <c r="IW37" i="49"/>
  <c r="FY112" i="50"/>
  <c r="CY85" i="14"/>
  <c r="GA65" i="10"/>
  <c r="DQ41" i="10"/>
  <c r="X31" i="18" s="1"/>
  <c r="DU42" i="10"/>
  <c r="AJ32" i="18" s="1"/>
  <c r="AB32" i="18" s="1"/>
  <c r="N53" i="18"/>
  <c r="DV55" i="10"/>
  <c r="AK45" i="18" s="1"/>
  <c r="AD17" i="10"/>
  <c r="AB39" i="18"/>
  <c r="DS24" i="10"/>
  <c r="AH14" i="18" s="1"/>
  <c r="DQ50" i="10"/>
  <c r="X40" i="18" s="1"/>
  <c r="P40" i="18" s="1"/>
  <c r="AY45" i="10"/>
  <c r="GS53" i="10"/>
  <c r="BU36" i="14"/>
  <c r="DQ34" i="10"/>
  <c r="X24" i="18" s="1"/>
  <c r="EK46" i="10"/>
  <c r="EM46" i="10" s="1"/>
  <c r="AO36" i="18" s="1"/>
  <c r="DQ31" i="10"/>
  <c r="X21" i="18" s="1"/>
  <c r="DV30" i="10"/>
  <c r="AK20" i="18" s="1"/>
  <c r="Q14" i="18"/>
  <c r="GJ39" i="10"/>
  <c r="ED26" i="11"/>
  <c r="CY25" i="10"/>
  <c r="F15" i="18" s="1"/>
  <c r="AJ79" i="11"/>
  <c r="CB79" i="11" s="1"/>
  <c r="D26" i="11"/>
  <c r="G62" i="10"/>
  <c r="FN62" i="10"/>
  <c r="FP62" i="10"/>
  <c r="BM75" i="11"/>
  <c r="AM20" i="48"/>
  <c r="DX41" i="49"/>
  <c r="KA29" i="49"/>
  <c r="AR19" i="48" s="1"/>
  <c r="IO92" i="50"/>
  <c r="HV40" i="49"/>
  <c r="V30" i="48" s="1"/>
  <c r="HM122" i="50"/>
  <c r="DX48" i="49"/>
  <c r="JY63" i="49"/>
  <c r="GH154" i="50"/>
  <c r="JS67" i="49"/>
  <c r="GC65" i="10"/>
  <c r="DR41" i="10"/>
  <c r="Y31" i="18" s="1"/>
  <c r="AI32" i="18"/>
  <c r="AA32" i="18" s="1"/>
  <c r="GV68" i="10"/>
  <c r="GV50" i="10"/>
  <c r="GV34" i="10"/>
  <c r="FP65" i="10"/>
  <c r="BM58" i="10"/>
  <c r="GY31" i="10"/>
  <c r="HA31" i="10" s="1"/>
  <c r="AB15" i="18"/>
  <c r="DU30" i="10"/>
  <c r="AJ20" i="18" s="1"/>
  <c r="JM125" i="14"/>
  <c r="AQ40" i="18"/>
  <c r="T17" i="14"/>
  <c r="O17" i="14" s="1"/>
  <c r="GM50" i="10"/>
  <c r="AJ87" i="11"/>
  <c r="CB87" i="11" s="1"/>
  <c r="AA104" i="14"/>
  <c r="AM107" i="14"/>
  <c r="BB91" i="11"/>
  <c r="G40" i="49"/>
  <c r="N28" i="50"/>
  <c r="Q28" i="50" s="1"/>
  <c r="JT40" i="49"/>
  <c r="JV40" i="49"/>
  <c r="JU40" i="49"/>
  <c r="JW40" i="49"/>
  <c r="AB40" i="49"/>
  <c r="JU48" i="49"/>
  <c r="JT48" i="49"/>
  <c r="BP75" i="11"/>
  <c r="CP75" i="11" s="1"/>
  <c r="CV75" i="11" s="1"/>
  <c r="CW75" i="11"/>
  <c r="CR75" i="11" s="1"/>
  <c r="FL34" i="10"/>
  <c r="W40" i="18"/>
  <c r="O40" i="18" s="1"/>
  <c r="CZ59" i="10"/>
  <c r="CY59" i="10" s="1"/>
  <c r="F49" i="18" s="1"/>
  <c r="AQ19" i="48"/>
  <c r="IR62" i="49"/>
  <c r="ED26" i="51" s="1"/>
  <c r="W35" i="18"/>
  <c r="DO68" i="10"/>
  <c r="V54" i="18" s="1"/>
  <c r="N54" i="18" s="1"/>
  <c r="CD59" i="10"/>
  <c r="DV31" i="10"/>
  <c r="AK21" i="18" s="1"/>
  <c r="AC21" i="18" s="1"/>
  <c r="IP125" i="14"/>
  <c r="IO125" i="14" s="1"/>
  <c r="GH27" i="10"/>
  <c r="DX22" i="10"/>
  <c r="FR50" i="10"/>
  <c r="AP40" i="18" s="1"/>
  <c r="GV41" i="10"/>
  <c r="IE97" i="14"/>
  <c r="L66" i="10"/>
  <c r="AM94" i="50"/>
  <c r="AJ89" i="11"/>
  <c r="CB89" i="11" s="1"/>
  <c r="CB62" i="11" s="1"/>
  <c r="F45" i="11" s="1"/>
  <c r="AE11" i="18"/>
  <c r="AA11" i="18" s="1"/>
  <c r="DI21" i="10"/>
  <c r="AF11" i="18" s="1"/>
  <c r="AB11" i="18" s="1"/>
  <c r="DJ21" i="10"/>
  <c r="AG11" i="18" s="1"/>
  <c r="BR15" i="14"/>
  <c r="DG21" i="10"/>
  <c r="AD11" i="18" s="1"/>
  <c r="Z11" i="18" s="1"/>
  <c r="BB75" i="11"/>
  <c r="BP79" i="11"/>
  <c r="CP79" i="11" s="1"/>
  <c r="CV79" i="11" s="1"/>
  <c r="CW79" i="11"/>
  <c r="CR79" i="11" s="1"/>
  <c r="FR29" i="10"/>
  <c r="AP19" i="18" s="1"/>
  <c r="FT29" i="10"/>
  <c r="AR19" i="18" s="1"/>
  <c r="AQ19" i="18"/>
  <c r="FU29" i="10"/>
  <c r="AS19" i="18" s="1"/>
  <c r="G50" i="49"/>
  <c r="JT50" i="49"/>
  <c r="JW50" i="49"/>
  <c r="JV50" i="49"/>
  <c r="JS50" i="49" s="1"/>
  <c r="P20" i="18"/>
  <c r="GY69" i="10"/>
  <c r="AJ77" i="11"/>
  <c r="CB77" i="11" s="1"/>
  <c r="FS117" i="50"/>
  <c r="FX117" i="50" s="1"/>
  <c r="FU67" i="51"/>
  <c r="IS30" i="49"/>
  <c r="AN20" i="48" s="1"/>
  <c r="GH94" i="50"/>
  <c r="GG94" i="50" s="1"/>
  <c r="HY21" i="49"/>
  <c r="Y11" i="48" s="1"/>
  <c r="KB34" i="49"/>
  <c r="AS24" i="48" s="1"/>
  <c r="KB29" i="49"/>
  <c r="AS19" i="48" s="1"/>
  <c r="FT94" i="50"/>
  <c r="FW117" i="50"/>
  <c r="EG34" i="49"/>
  <c r="HS122" i="50"/>
  <c r="BD59" i="49"/>
  <c r="BD58" i="49" s="1"/>
  <c r="EL53" i="49"/>
  <c r="EJ53" i="49" s="1"/>
  <c r="EH53" i="49" s="1"/>
  <c r="HK53" i="49" s="1"/>
  <c r="S43" i="48" s="1"/>
  <c r="O43" i="48" s="1"/>
  <c r="IA63" i="49"/>
  <c r="GE65" i="10"/>
  <c r="DR45" i="10"/>
  <c r="Y35" i="18" s="1"/>
  <c r="AC39" i="18"/>
  <c r="DK53" i="10"/>
  <c r="J43" i="18" s="1"/>
  <c r="DS31" i="10"/>
  <c r="AH21" i="18" s="1"/>
  <c r="Z21" i="18" s="1"/>
  <c r="FW65" i="10"/>
  <c r="GU33" i="14"/>
  <c r="GZ122" i="14" s="1"/>
  <c r="HC122" i="14" s="1"/>
  <c r="FU50" i="10"/>
  <c r="AS40" i="18" s="1"/>
  <c r="FT85" i="14"/>
  <c r="IC97" i="14"/>
  <c r="AJ75" i="11"/>
  <c r="CB75" i="11" s="1"/>
  <c r="AV84" i="11"/>
  <c r="LF69" i="49"/>
  <c r="DQ59" i="10"/>
  <c r="X49" i="18" s="1"/>
  <c r="DR59" i="10"/>
  <c r="Y49" i="18" s="1"/>
  <c r="W49" i="18"/>
  <c r="DO59" i="10"/>
  <c r="V49" i="18" s="1"/>
  <c r="FT50" i="14"/>
  <c r="FT49" i="14"/>
  <c r="HN154" i="50"/>
  <c r="BT28" i="50"/>
  <c r="AG94" i="50"/>
  <c r="P52" i="10"/>
  <c r="GA52" i="10" s="1"/>
  <c r="FT50" i="10"/>
  <c r="AR40" i="18" s="1"/>
  <c r="CK85" i="14"/>
  <c r="DE62" i="49"/>
  <c r="IT30" i="49"/>
  <c r="AO20" i="48" s="1"/>
  <c r="HQ122" i="50"/>
  <c r="KB63" i="49"/>
  <c r="KA34" i="49"/>
  <c r="AR24" i="48" s="1"/>
  <c r="JY29" i="49"/>
  <c r="AP19" i="48" s="1"/>
  <c r="FT113" i="50"/>
  <c r="FV113" i="50" s="1"/>
  <c r="FS71" i="51"/>
  <c r="FS67" i="51" s="1"/>
  <c r="GG65" i="10"/>
  <c r="N20" i="18"/>
  <c r="GF27" i="10"/>
  <c r="BU30" i="14"/>
  <c r="AC11" i="18"/>
  <c r="K43" i="18"/>
  <c r="DR34" i="10"/>
  <c r="Y24" i="18" s="1"/>
  <c r="AI21" i="18"/>
  <c r="AA21" i="18" s="1"/>
  <c r="DO31" i="10"/>
  <c r="V21" i="18" s="1"/>
  <c r="EJ62" i="10"/>
  <c r="GD27" i="10"/>
  <c r="IW54" i="14"/>
  <c r="GY55" i="10"/>
  <c r="GZ55" i="10" s="1"/>
  <c r="L25" i="10"/>
  <c r="DX25" i="10"/>
  <c r="BF89" i="11"/>
  <c r="EK59" i="10"/>
  <c r="FN59" i="10"/>
  <c r="FN58" i="10" s="1"/>
  <c r="G59" i="10"/>
  <c r="CI17" i="10"/>
  <c r="CL17" i="10"/>
  <c r="DA25" i="10"/>
  <c r="H15" i="18" s="1"/>
  <c r="IW122" i="50"/>
  <c r="IR48" i="49"/>
  <c r="AW83" i="11"/>
  <c r="AV83" i="11"/>
  <c r="JM62" i="14"/>
  <c r="IP62" i="14"/>
  <c r="EL54" i="49"/>
  <c r="EJ54" i="49" s="1"/>
  <c r="FL39" i="10"/>
  <c r="BB87" i="11"/>
  <c r="BI62" i="51"/>
  <c r="F19" i="51" s="1"/>
  <c r="E19" i="51" s="1"/>
  <c r="EL41" i="49"/>
  <c r="EJ41" i="49" s="1"/>
  <c r="EK23" i="10"/>
  <c r="GQ39" i="10"/>
  <c r="GR39" i="10"/>
  <c r="AQ54" i="18"/>
  <c r="FR68" i="10"/>
  <c r="AP54" i="18" s="1"/>
  <c r="LC30" i="49"/>
  <c r="GD33" i="10"/>
  <c r="AE17" i="10"/>
  <c r="IA98" i="14"/>
  <c r="ID98" i="14"/>
  <c r="AE24" i="18"/>
  <c r="BR21" i="14"/>
  <c r="CY117" i="14" s="1"/>
  <c r="DD117" i="14" s="1"/>
  <c r="BQ134" i="18" s="1"/>
  <c r="DI34" i="10"/>
  <c r="AF24" i="18" s="1"/>
  <c r="DG34" i="10"/>
  <c r="AD24" i="18" s="1"/>
  <c r="DJ34" i="10"/>
  <c r="AG24" i="18" s="1"/>
  <c r="FY62" i="10"/>
  <c r="FO62" i="10"/>
  <c r="BE65" i="49"/>
  <c r="AM39" i="48"/>
  <c r="JY28" i="49"/>
  <c r="AP18" i="48" s="1"/>
  <c r="LF28" i="49"/>
  <c r="AY52" i="10"/>
  <c r="FO65" i="10"/>
  <c r="KN75" i="49"/>
  <c r="KD62" i="49"/>
  <c r="KP75" i="49"/>
  <c r="JW75" i="49" s="1"/>
  <c r="FX63" i="10"/>
  <c r="EK27" i="11"/>
  <c r="FT53" i="10"/>
  <c r="AR43" i="18" s="1"/>
  <c r="FR53" i="10"/>
  <c r="AP43" i="18" s="1"/>
  <c r="GP53" i="10"/>
  <c r="GQ53" i="10" s="1"/>
  <c r="GM53" i="10"/>
  <c r="GN53" i="10" s="1"/>
  <c r="AQ43" i="18"/>
  <c r="FU53" i="10"/>
  <c r="AS43" i="18" s="1"/>
  <c r="IT49" i="49"/>
  <c r="AO39" i="48" s="1"/>
  <c r="KA25" i="49"/>
  <c r="AR15" i="48" s="1"/>
  <c r="JT62" i="49"/>
  <c r="JS62" i="49" s="1"/>
  <c r="EL39" i="49"/>
  <c r="EJ39" i="49" s="1"/>
  <c r="GY24" i="10"/>
  <c r="GV38" i="10"/>
  <c r="GY53" i="10"/>
  <c r="DU45" i="10"/>
  <c r="AJ35" i="18" s="1"/>
  <c r="FY107" i="14"/>
  <c r="FL24" i="10"/>
  <c r="C50" i="51"/>
  <c r="AO81" i="51" s="1"/>
  <c r="CG81" i="51" s="1"/>
  <c r="JL121" i="50"/>
  <c r="IZ122" i="50" s="1"/>
  <c r="AK79" i="11"/>
  <c r="CC79" i="11" s="1"/>
  <c r="AH17" i="49"/>
  <c r="EN17" i="10"/>
  <c r="GI45" i="10"/>
  <c r="EI55" i="10"/>
  <c r="EP19" i="10"/>
  <c r="AK75" i="51"/>
  <c r="CC75" i="51" s="1"/>
  <c r="EI75" i="10"/>
  <c r="EJ75" i="10"/>
  <c r="EM75" i="10"/>
  <c r="JS55" i="49"/>
  <c r="AG54" i="14"/>
  <c r="AY33" i="10"/>
  <c r="AQ45" i="18"/>
  <c r="AB21" i="18"/>
  <c r="AC15" i="18"/>
  <c r="AM45" i="18"/>
  <c r="FL68" i="10"/>
  <c r="AK91" i="51"/>
  <c r="CC91" i="51" s="1"/>
  <c r="AM91" i="11"/>
  <c r="CE91" i="11" s="1"/>
  <c r="EJ53" i="10"/>
  <c r="AL43" i="18" s="1"/>
  <c r="EI53" i="10"/>
  <c r="EM53" i="10"/>
  <c r="AO43" i="18" s="1"/>
  <c r="EL53" i="10"/>
  <c r="AN43" i="18" s="1"/>
  <c r="AM43" i="18"/>
  <c r="IQ78" i="14"/>
  <c r="JW78" i="14"/>
  <c r="JV78" i="14"/>
  <c r="JR78" i="14" s="1"/>
  <c r="JQ78" i="14" s="1"/>
  <c r="JQ75" i="14" s="1"/>
  <c r="JN78" i="14"/>
  <c r="JK78" i="14" s="1"/>
  <c r="CY64" i="14"/>
  <c r="AE95" i="18" s="1"/>
  <c r="JM116" i="50"/>
  <c r="HV38" i="49"/>
  <c r="V28" i="48" s="1"/>
  <c r="EG38" i="49"/>
  <c r="EL25" i="49"/>
  <c r="EJ25" i="49" s="1"/>
  <c r="EH25" i="49" s="1"/>
  <c r="GC45" i="10"/>
  <c r="FU55" i="10"/>
  <c r="AS45" i="18" s="1"/>
  <c r="FL59" i="10"/>
  <c r="FL58" i="10" s="1"/>
  <c r="BC17" i="10"/>
  <c r="G58" i="10"/>
  <c r="GB65" i="10"/>
  <c r="GF33" i="10"/>
  <c r="C45" i="51"/>
  <c r="AK79" i="51"/>
  <c r="CC79" i="51" s="1"/>
  <c r="AM79" i="11"/>
  <c r="CE79" i="11" s="1"/>
  <c r="AK77" i="51"/>
  <c r="CC77" i="51" s="1"/>
  <c r="BE19" i="49"/>
  <c r="AB17" i="10"/>
  <c r="AA15" i="18"/>
  <c r="W28" i="48"/>
  <c r="IH45" i="49"/>
  <c r="HW45" i="49" s="1"/>
  <c r="W35" i="48" s="1"/>
  <c r="IC45" i="49"/>
  <c r="IB45" i="49"/>
  <c r="DN37" i="49"/>
  <c r="EB37" i="49" s="1"/>
  <c r="EL31" i="49"/>
  <c r="EJ31" i="49" s="1"/>
  <c r="EH31" i="49" s="1"/>
  <c r="X17" i="10"/>
  <c r="BV37" i="10"/>
  <c r="FR55" i="10"/>
  <c r="P12" i="14"/>
  <c r="EW52" i="10"/>
  <c r="V29" i="10"/>
  <c r="AK87" i="51"/>
  <c r="CC87" i="51" s="1"/>
  <c r="GP49" i="10"/>
  <c r="FT49" i="10"/>
  <c r="AR39" i="18" s="1"/>
  <c r="FU49" i="10"/>
  <c r="AS39" i="18" s="1"/>
  <c r="AQ39" i="18"/>
  <c r="FR49" i="10"/>
  <c r="AP39" i="18" s="1"/>
  <c r="GM49" i="10"/>
  <c r="FN42" i="10"/>
  <c r="FM42" i="10"/>
  <c r="FO42" i="10"/>
  <c r="EK42" i="10"/>
  <c r="FP42" i="10"/>
  <c r="N30" i="14"/>
  <c r="Q30" i="14" s="1"/>
  <c r="G42" i="10"/>
  <c r="AB24" i="49"/>
  <c r="JT24" i="49"/>
  <c r="JW24" i="49"/>
  <c r="JU24" i="49"/>
  <c r="DX34" i="49"/>
  <c r="KO65" i="49"/>
  <c r="B76" i="14"/>
  <c r="DB38" i="10"/>
  <c r="I28" i="18" s="1"/>
  <c r="FT55" i="10"/>
  <c r="AR45" i="18" s="1"/>
  <c r="AZ45" i="18" s="1"/>
  <c r="N14" i="18"/>
  <c r="GF52" i="10"/>
  <c r="GH33" i="10"/>
  <c r="D14" i="35"/>
  <c r="DE33" i="49"/>
  <c r="BT26" i="50"/>
  <c r="DW41" i="49"/>
  <c r="HX34" i="49"/>
  <c r="X24" i="48" s="1"/>
  <c r="DC41" i="49"/>
  <c r="CZ41" i="49" s="1"/>
  <c r="CY83" i="14"/>
  <c r="EL46" i="49"/>
  <c r="EJ46" i="49" s="1"/>
  <c r="EH46" i="49" s="1"/>
  <c r="EL34" i="49"/>
  <c r="EJ34" i="49" s="1"/>
  <c r="BP26" i="14"/>
  <c r="C48" i="51"/>
  <c r="JN48" i="14"/>
  <c r="JK48" i="14" s="1"/>
  <c r="JQ48" i="14"/>
  <c r="IQ48" i="14"/>
  <c r="IO48" i="14" s="1"/>
  <c r="DI24" i="10"/>
  <c r="AF14" i="18" s="1"/>
  <c r="AB14" i="18" s="1"/>
  <c r="DJ24" i="10"/>
  <c r="AG14" i="18" s="1"/>
  <c r="AC14" i="18" s="1"/>
  <c r="DG24" i="10"/>
  <c r="AD14" i="18" s="1"/>
  <c r="Z14" i="18" s="1"/>
  <c r="AE14" i="18"/>
  <c r="AA14" i="18" s="1"/>
  <c r="OD76" i="50"/>
  <c r="DA37" i="49"/>
  <c r="DC34" i="49"/>
  <c r="DV34" i="49" s="1"/>
  <c r="BT21" i="50"/>
  <c r="EA117" i="50" s="1"/>
  <c r="HY30" i="49"/>
  <c r="Y20" i="48" s="1"/>
  <c r="EJ18" i="51"/>
  <c r="CS17" i="10"/>
  <c r="CY38" i="10"/>
  <c r="F28" i="18" s="1"/>
  <c r="DB39" i="10"/>
  <c r="I29" i="18" s="1"/>
  <c r="DU52" i="10"/>
  <c r="AJ42" i="18" s="1"/>
  <c r="HR117" i="14"/>
  <c r="HM117" i="14"/>
  <c r="HQ117" i="14"/>
  <c r="HS117" i="14"/>
  <c r="GD65" i="10"/>
  <c r="JR82" i="50"/>
  <c r="JQ82" i="50" s="1"/>
  <c r="LC34" i="49"/>
  <c r="IC49" i="50"/>
  <c r="HX30" i="49"/>
  <c r="X20" i="48" s="1"/>
  <c r="LC49" i="49"/>
  <c r="LF49" i="49"/>
  <c r="FE69" i="49"/>
  <c r="IV122" i="50"/>
  <c r="KI65" i="49"/>
  <c r="IO111" i="14"/>
  <c r="DA38" i="10"/>
  <c r="H28" i="18" s="1"/>
  <c r="AZ28" i="18" s="1"/>
  <c r="DH52" i="10"/>
  <c r="DI52" i="10" s="1"/>
  <c r="AF42" i="18" s="1"/>
  <c r="AB42" i="18" s="1"/>
  <c r="BP27" i="14"/>
  <c r="FN65" i="10"/>
  <c r="FL55" i="10"/>
  <c r="Y76" i="50"/>
  <c r="AQ11" i="18"/>
  <c r="FU21" i="10"/>
  <c r="AS11" i="18" s="1"/>
  <c r="FR21" i="10"/>
  <c r="AP11" i="18" s="1"/>
  <c r="FT21" i="10"/>
  <c r="AR11" i="18" s="1"/>
  <c r="GP21" i="10"/>
  <c r="EL40" i="10"/>
  <c r="AN30" i="18" s="1"/>
  <c r="GU28" i="14"/>
  <c r="GZ90" i="14" s="1"/>
  <c r="EM40" i="10"/>
  <c r="AO30" i="18" s="1"/>
  <c r="EI40" i="10"/>
  <c r="EJ40" i="10"/>
  <c r="AL30" i="18" s="1"/>
  <c r="AM30" i="18"/>
  <c r="IR24" i="49"/>
  <c r="JS48" i="49"/>
  <c r="FT38" i="10"/>
  <c r="AR28" i="18" s="1"/>
  <c r="AQ28" i="18"/>
  <c r="FR38" i="10"/>
  <c r="AP28" i="18" s="1"/>
  <c r="FU38" i="10"/>
  <c r="AS28" i="18" s="1"/>
  <c r="HX38" i="49"/>
  <c r="X28" i="48" s="1"/>
  <c r="IH27" i="49"/>
  <c r="HW27" i="49" s="1"/>
  <c r="W17" i="48" s="1"/>
  <c r="IB27" i="49"/>
  <c r="AJ17" i="48" s="1"/>
  <c r="W24" i="48"/>
  <c r="HV30" i="49"/>
  <c r="V20" i="48" s="1"/>
  <c r="B76" i="50"/>
  <c r="EL42" i="49"/>
  <c r="EJ42" i="49" s="1"/>
  <c r="EF42" i="49" s="1"/>
  <c r="IH37" i="49"/>
  <c r="HW37" i="49" s="1"/>
  <c r="HY37" i="49" s="1"/>
  <c r="IC37" i="49"/>
  <c r="DP22" i="11"/>
  <c r="O14" i="18"/>
  <c r="DA39" i="10"/>
  <c r="H29" i="18" s="1"/>
  <c r="DH41" i="10"/>
  <c r="C47" i="51"/>
  <c r="AL87" i="51" s="1"/>
  <c r="CD87" i="51" s="1"/>
  <c r="AK81" i="11"/>
  <c r="IO78" i="14"/>
  <c r="FU47" i="10"/>
  <c r="AS37" i="18" s="1"/>
  <c r="AQ37" i="18"/>
  <c r="FT47" i="10"/>
  <c r="AR37" i="18" s="1"/>
  <c r="FR47" i="10"/>
  <c r="AP37" i="18" s="1"/>
  <c r="GP47" i="10"/>
  <c r="IO82" i="50"/>
  <c r="FD42" i="49"/>
  <c r="FE42" i="49" s="1"/>
  <c r="M122" i="50"/>
  <c r="W17" i="10"/>
  <c r="C49" i="51"/>
  <c r="AN87" i="51" s="1"/>
  <c r="CF87" i="51" s="1"/>
  <c r="BJ48" i="10"/>
  <c r="CD48" i="10"/>
  <c r="EJ17" i="11"/>
  <c r="AL75" i="11"/>
  <c r="CD75" i="11" s="1"/>
  <c r="BW89" i="11"/>
  <c r="AL81" i="11"/>
  <c r="CD81" i="11" s="1"/>
  <c r="AL91" i="11"/>
  <c r="CD91" i="11" s="1"/>
  <c r="AL77" i="11"/>
  <c r="CD77" i="11" s="1"/>
  <c r="CD62" i="11" s="1"/>
  <c r="F47" i="11" s="1"/>
  <c r="E47" i="11" s="1"/>
  <c r="AL79" i="11"/>
  <c r="CD79" i="11" s="1"/>
  <c r="FL77" i="11"/>
  <c r="EV62" i="11"/>
  <c r="FU77" i="11"/>
  <c r="EY62" i="11"/>
  <c r="FX81" i="11"/>
  <c r="FX73" i="11"/>
  <c r="FX68" i="11" s="1"/>
  <c r="FX72" i="11"/>
  <c r="FS73" i="11"/>
  <c r="FS68" i="11" s="1"/>
  <c r="FS72" i="11"/>
  <c r="BC81" i="11"/>
  <c r="BE81" i="11"/>
  <c r="AY66" i="11"/>
  <c r="BQ81" i="11"/>
  <c r="BO81" i="11"/>
  <c r="BG81" i="11"/>
  <c r="BH81" i="11"/>
  <c r="BI81" i="11"/>
  <c r="CL81" i="11"/>
  <c r="BD81" i="11"/>
  <c r="BN81" i="11"/>
  <c r="FU73" i="11"/>
  <c r="FU68" i="11" s="1"/>
  <c r="FU81" i="11"/>
  <c r="FU72" i="11"/>
  <c r="FL72" i="11"/>
  <c r="FL73" i="11"/>
  <c r="FL68" i="11" s="1"/>
  <c r="FL81" i="11"/>
  <c r="FL71" i="11"/>
  <c r="FL67" i="11" s="1"/>
  <c r="FX71" i="11"/>
  <c r="FX67" i="11" s="1"/>
  <c r="FU71" i="11"/>
  <c r="FU67" i="11" s="1"/>
  <c r="FS71" i="11"/>
  <c r="FS67" i="11" s="1"/>
  <c r="AM89" i="11"/>
  <c r="CE89" i="11" s="1"/>
  <c r="CL77" i="11"/>
  <c r="CL62" i="11" s="1"/>
  <c r="BC77" i="11"/>
  <c r="BD77" i="11"/>
  <c r="BD62" i="11" s="1"/>
  <c r="BE77" i="11"/>
  <c r="BN77" i="11"/>
  <c r="BQ77" i="11"/>
  <c r="BG77" i="11"/>
  <c r="BH77" i="11"/>
  <c r="AY64" i="11"/>
  <c r="AY65" i="11"/>
  <c r="BI77" i="11"/>
  <c r="BI62" i="11" s="1"/>
  <c r="F19" i="11" s="1"/>
  <c r="E19" i="11" s="1"/>
  <c r="BO77" i="11"/>
  <c r="AY62" i="11"/>
  <c r="AW62" i="11" s="1"/>
  <c r="BY81" i="11"/>
  <c r="BY62" i="11" s="1"/>
  <c r="F41" i="11" s="1"/>
  <c r="E41" i="11" s="1"/>
  <c r="AM77" i="11"/>
  <c r="CE77" i="11" s="1"/>
  <c r="CC81" i="11"/>
  <c r="EZ62" i="11"/>
  <c r="FX77" i="11"/>
  <c r="AM81" i="11"/>
  <c r="CE81" i="11" s="1"/>
  <c r="CC77" i="11"/>
  <c r="AM87" i="11"/>
  <c r="CE87" i="11" s="1"/>
  <c r="C53" i="11"/>
  <c r="AQ77" i="11" s="1"/>
  <c r="CI77" i="11" s="1"/>
  <c r="BX81" i="11"/>
  <c r="EX62" i="11"/>
  <c r="BW91" i="11"/>
  <c r="FL70" i="11"/>
  <c r="FX70" i="11"/>
  <c r="FS70" i="11"/>
  <c r="FU70" i="11"/>
  <c r="FS84" i="51"/>
  <c r="FT84" i="51"/>
  <c r="BF87" i="51"/>
  <c r="BF77" i="51"/>
  <c r="BE62" i="51"/>
  <c r="BF79" i="51"/>
  <c r="FU73" i="51"/>
  <c r="FU68" i="51" s="1"/>
  <c r="FS73" i="51"/>
  <c r="FS68" i="51" s="1"/>
  <c r="FL73" i="51"/>
  <c r="FL68" i="51" s="1"/>
  <c r="FX73" i="51"/>
  <c r="FX68" i="51" s="1"/>
  <c r="AH77" i="51"/>
  <c r="BZ77" i="51" s="1"/>
  <c r="BW77" i="51" s="1"/>
  <c r="AH89" i="51"/>
  <c r="BZ89" i="51" s="1"/>
  <c r="BW89" i="51" s="1"/>
  <c r="AH75" i="51"/>
  <c r="BZ75" i="51" s="1"/>
  <c r="AH91" i="51"/>
  <c r="BZ91" i="51" s="1"/>
  <c r="BW91" i="51" s="1"/>
  <c r="AH81" i="51"/>
  <c r="BZ81" i="51" s="1"/>
  <c r="BW81" i="51" s="1"/>
  <c r="AH79" i="51"/>
  <c r="BZ79" i="51" s="1"/>
  <c r="BW79" i="51" s="1"/>
  <c r="BH62" i="51"/>
  <c r="F18" i="51" s="1"/>
  <c r="E18" i="51" s="1"/>
  <c r="BB89" i="51"/>
  <c r="FU70" i="51"/>
  <c r="FL70" i="51"/>
  <c r="B5" i="36"/>
  <c r="B13" i="36"/>
  <c r="D13" i="35"/>
  <c r="Y38" i="39"/>
  <c r="AA38" i="39" s="1"/>
  <c r="AA23" i="39"/>
  <c r="Z23" i="39"/>
  <c r="AM80" i="50"/>
  <c r="AM79" i="50"/>
  <c r="M38" i="39"/>
  <c r="N37" i="39"/>
  <c r="M12" i="39"/>
  <c r="Y12" i="39"/>
  <c r="D10" i="35"/>
  <c r="AA33" i="39"/>
  <c r="Z33" i="39"/>
  <c r="BV135" i="18"/>
  <c r="AN83" i="50"/>
  <c r="AK85" i="50"/>
  <c r="AN85" i="50" s="1"/>
  <c r="AG154" i="50"/>
  <c r="FT97" i="50"/>
  <c r="AL75" i="51"/>
  <c r="CD75" i="51" s="1"/>
  <c r="AL91" i="51"/>
  <c r="CD91" i="51" s="1"/>
  <c r="JK96" i="14"/>
  <c r="IW98" i="14" s="1"/>
  <c r="HN83" i="14"/>
  <c r="AL81" i="51"/>
  <c r="CD81" i="51" s="1"/>
  <c r="Q16" i="14"/>
  <c r="CK83" i="14"/>
  <c r="CJ83" i="14" s="1"/>
  <c r="R73" i="18" s="1"/>
  <c r="AL89" i="51"/>
  <c r="CD89" i="51" s="1"/>
  <c r="FT154" i="50"/>
  <c r="BZ62" i="11"/>
  <c r="F42" i="11" s="1"/>
  <c r="E42" i="11" s="1"/>
  <c r="JK111" i="14"/>
  <c r="JL111" i="14" s="1"/>
  <c r="IZ112" i="14" s="1"/>
  <c r="IZ113" i="14" s="1"/>
  <c r="BW79" i="11"/>
  <c r="BW77" i="11"/>
  <c r="BW87" i="11"/>
  <c r="AN91" i="11"/>
  <c r="CF91" i="11" s="1"/>
  <c r="AN79" i="11"/>
  <c r="CF79" i="11" s="1"/>
  <c r="AN77" i="11"/>
  <c r="CF77" i="11" s="1"/>
  <c r="AN81" i="11"/>
  <c r="CF81" i="11" s="1"/>
  <c r="AN75" i="11"/>
  <c r="CF75" i="11" s="1"/>
  <c r="AN89" i="11"/>
  <c r="CF89" i="11" s="1"/>
  <c r="AN87" i="11"/>
  <c r="CF87" i="11" s="1"/>
  <c r="C55" i="11"/>
  <c r="AS91" i="11" s="1"/>
  <c r="CK91" i="11" s="1"/>
  <c r="AO89" i="11"/>
  <c r="CG89" i="11" s="1"/>
  <c r="AO87" i="11"/>
  <c r="CG87" i="11" s="1"/>
  <c r="AO77" i="11"/>
  <c r="CG77" i="11" s="1"/>
  <c r="AO91" i="11"/>
  <c r="CG91" i="11" s="1"/>
  <c r="AO81" i="11"/>
  <c r="CG81" i="11" s="1"/>
  <c r="AO75" i="11"/>
  <c r="CG75" i="11" s="1"/>
  <c r="AO79" i="11"/>
  <c r="CG79" i="11" s="1"/>
  <c r="FS68" i="50"/>
  <c r="HN54" i="50"/>
  <c r="AG90" i="50"/>
  <c r="AL79" i="51"/>
  <c r="CD79" i="51" s="1"/>
  <c r="Q50" i="39"/>
  <c r="FW68" i="50"/>
  <c r="AL77" i="51"/>
  <c r="CD77" i="51" s="1"/>
  <c r="IB112" i="14"/>
  <c r="FT112" i="14"/>
  <c r="AI112" i="14"/>
  <c r="AN44" i="14"/>
  <c r="EO44" i="14" s="1"/>
  <c r="AK46" i="14"/>
  <c r="AN46" i="14" s="1"/>
  <c r="EA46" i="14" s="1"/>
  <c r="JR111" i="14"/>
  <c r="JQ111" i="14" s="1"/>
  <c r="JK125" i="14"/>
  <c r="IB113" i="14"/>
  <c r="FT113" i="14"/>
  <c r="AI113" i="14"/>
  <c r="AG112" i="14"/>
  <c r="IO96" i="14"/>
  <c r="AG70" i="14"/>
  <c r="IB70" i="14"/>
  <c r="GH70" i="14"/>
  <c r="AN71" i="14"/>
  <c r="GH68" i="14"/>
  <c r="IB68" i="14"/>
  <c r="AG68" i="14"/>
  <c r="AD77" i="11"/>
  <c r="BV77" i="11" s="1"/>
  <c r="AD81" i="11"/>
  <c r="BV81" i="11" s="1"/>
  <c r="AD79" i="11"/>
  <c r="BV79" i="11" s="1"/>
  <c r="AD91" i="11"/>
  <c r="BV91" i="11" s="1"/>
  <c r="AD89" i="11"/>
  <c r="BV89" i="11" s="1"/>
  <c r="AD87" i="11"/>
  <c r="BV87" i="11" s="1"/>
  <c r="AD75" i="11"/>
  <c r="BV75" i="11" s="1"/>
  <c r="AN79" i="14"/>
  <c r="GZ79" i="14" s="1"/>
  <c r="AK80" i="14"/>
  <c r="AN80" i="14" s="1"/>
  <c r="GZ80" i="14" s="1"/>
  <c r="AB91" i="11"/>
  <c r="BU91" i="11" s="1"/>
  <c r="AB87" i="11"/>
  <c r="BU87" i="11" s="1"/>
  <c r="AB81" i="11"/>
  <c r="BU81" i="11" s="1"/>
  <c r="AB77" i="11"/>
  <c r="BU77" i="11" s="1"/>
  <c r="AB79" i="11"/>
  <c r="BU79" i="11" s="1"/>
  <c r="AB89" i="11"/>
  <c r="BU89" i="11" s="1"/>
  <c r="AB75" i="11"/>
  <c r="BU75" i="11" s="1"/>
  <c r="AC81" i="11"/>
  <c r="BT81" i="11" s="1"/>
  <c r="AC79" i="11"/>
  <c r="BT79" i="11" s="1"/>
  <c r="AC89" i="11"/>
  <c r="BT89" i="11" s="1"/>
  <c r="AC77" i="11"/>
  <c r="BT77" i="11" s="1"/>
  <c r="AC87" i="11"/>
  <c r="BT87" i="11" s="1"/>
  <c r="AC91" i="11"/>
  <c r="BT91" i="11" s="1"/>
  <c r="AC75" i="11"/>
  <c r="BT75" i="11" s="1"/>
  <c r="AN156" i="14"/>
  <c r="FT153" i="14"/>
  <c r="FS153" i="14" s="1"/>
  <c r="GH153" i="14"/>
  <c r="GG153" i="14" s="1"/>
  <c r="AI153" i="14"/>
  <c r="IB153" i="14"/>
  <c r="IA153" i="14" s="1"/>
  <c r="AG153" i="14"/>
  <c r="AI70" i="14"/>
  <c r="AG155" i="14"/>
  <c r="FT155" i="14"/>
  <c r="AI155" i="14"/>
  <c r="IB155" i="14"/>
  <c r="AI93" i="14"/>
  <c r="AG93" i="14"/>
  <c r="GH64" i="14"/>
  <c r="AE64" i="14"/>
  <c r="CM40" i="11" s="1"/>
  <c r="HN64" i="14"/>
  <c r="AG64" i="14"/>
  <c r="FT64" i="14"/>
  <c r="AI64" i="14"/>
  <c r="AG94" i="14"/>
  <c r="AI94" i="14"/>
  <c r="GH63" i="14"/>
  <c r="FT63" i="14"/>
  <c r="AG63" i="14"/>
  <c r="AN65" i="14"/>
  <c r="AE63" i="14"/>
  <c r="AI63" i="14"/>
  <c r="HN63" i="14"/>
  <c r="AG85" i="14"/>
  <c r="AI85" i="14"/>
  <c r="GH85" i="14"/>
  <c r="IB85" i="14"/>
  <c r="BW75" i="11"/>
  <c r="BX62" i="11"/>
  <c r="F40" i="11" s="1"/>
  <c r="AM113" i="14"/>
  <c r="J113" i="14"/>
  <c r="I113" i="14" s="1"/>
  <c r="AM112" i="14"/>
  <c r="AI83" i="14"/>
  <c r="AI139" i="14" s="1"/>
  <c r="GH83" i="14"/>
  <c r="AN86" i="14"/>
  <c r="IB83" i="14"/>
  <c r="AG83" i="14"/>
  <c r="AG139" i="14" s="1"/>
  <c r="C54" i="11"/>
  <c r="AI68" i="14"/>
  <c r="IB90" i="14"/>
  <c r="AG90" i="14"/>
  <c r="HN90" i="14"/>
  <c r="FT90" i="14"/>
  <c r="AM127" i="14"/>
  <c r="AM126" i="14"/>
  <c r="IB126" i="14"/>
  <c r="HN126" i="14"/>
  <c r="CY126" i="14"/>
  <c r="GH126" i="14"/>
  <c r="IB89" i="14"/>
  <c r="HN89" i="14"/>
  <c r="AG89" i="14"/>
  <c r="AG145" i="14" s="1"/>
  <c r="FT89" i="14"/>
  <c r="IB55" i="14"/>
  <c r="FT55" i="14"/>
  <c r="AI55" i="14"/>
  <c r="AI127" i="14"/>
  <c r="HN127" i="14"/>
  <c r="CY127" i="14"/>
  <c r="GH127" i="14"/>
  <c r="IB127" i="14"/>
  <c r="IB54" i="14"/>
  <c r="FT54" i="14"/>
  <c r="AI54" i="14"/>
  <c r="AI45" i="14"/>
  <c r="FT45" i="14"/>
  <c r="AG45" i="14"/>
  <c r="V104" i="14"/>
  <c r="AI98" i="50"/>
  <c r="GH98" i="50"/>
  <c r="AG98" i="50"/>
  <c r="FT98" i="50"/>
  <c r="IB98" i="50"/>
  <c r="HN98" i="50"/>
  <c r="AM77" i="51"/>
  <c r="CE77" i="51" s="1"/>
  <c r="AM79" i="51"/>
  <c r="CE79" i="51" s="1"/>
  <c r="AM81" i="51"/>
  <c r="CE81" i="51" s="1"/>
  <c r="AM91" i="51"/>
  <c r="CE91" i="51" s="1"/>
  <c r="AM89" i="51"/>
  <c r="CE89" i="51" s="1"/>
  <c r="AM87" i="51"/>
  <c r="CE87" i="51" s="1"/>
  <c r="AM75" i="51"/>
  <c r="CE75" i="51" s="1"/>
  <c r="AJ91" i="51"/>
  <c r="CB91" i="51" s="1"/>
  <c r="AJ77" i="51"/>
  <c r="CB77" i="51" s="1"/>
  <c r="AJ79" i="51"/>
  <c r="CB79" i="51" s="1"/>
  <c r="AJ89" i="51"/>
  <c r="CB89" i="51" s="1"/>
  <c r="AJ87" i="51"/>
  <c r="CB87" i="51" s="1"/>
  <c r="AJ81" i="51"/>
  <c r="CB81" i="51" s="1"/>
  <c r="AJ75" i="51"/>
  <c r="CB75" i="51" s="1"/>
  <c r="AD89" i="51"/>
  <c r="BV89" i="51" s="1"/>
  <c r="AD91" i="51"/>
  <c r="BV91" i="51" s="1"/>
  <c r="AD87" i="51"/>
  <c r="BV87" i="51" s="1"/>
  <c r="AD79" i="51"/>
  <c r="BV79" i="51" s="1"/>
  <c r="BS79" i="51" s="1"/>
  <c r="AD81" i="51"/>
  <c r="BV81" i="51" s="1"/>
  <c r="AD75" i="51"/>
  <c r="BV75" i="51" s="1"/>
  <c r="AD77" i="51"/>
  <c r="BV77" i="51" s="1"/>
  <c r="V108" i="50"/>
  <c r="W104" i="50"/>
  <c r="D52" i="51" s="1"/>
  <c r="AA108" i="50"/>
  <c r="AA104" i="50" s="1"/>
  <c r="D53" i="51"/>
  <c r="AC87" i="51"/>
  <c r="BT87" i="51" s="1"/>
  <c r="AC75" i="51"/>
  <c r="BT75" i="51" s="1"/>
  <c r="AC79" i="51"/>
  <c r="BT79" i="51" s="1"/>
  <c r="AC89" i="51"/>
  <c r="BT89" i="51" s="1"/>
  <c r="AC91" i="51"/>
  <c r="BT91" i="51" s="1"/>
  <c r="AC81" i="51"/>
  <c r="BT81" i="51" s="1"/>
  <c r="AC77" i="51"/>
  <c r="BT77" i="51" s="1"/>
  <c r="IB93" i="50"/>
  <c r="AI93" i="50"/>
  <c r="AG55" i="50"/>
  <c r="IB55" i="50"/>
  <c r="FT55" i="50"/>
  <c r="AM127" i="50"/>
  <c r="AM126" i="50"/>
  <c r="IB54" i="50"/>
  <c r="FT54" i="50"/>
  <c r="AG54" i="50"/>
  <c r="AN91" i="51"/>
  <c r="CF91" i="51" s="1"/>
  <c r="AG93" i="50"/>
  <c r="AK155" i="50"/>
  <c r="AN155" i="50" s="1"/>
  <c r="IB155" i="50" s="1"/>
  <c r="AN153" i="50"/>
  <c r="FS97" i="50"/>
  <c r="FU97" i="50"/>
  <c r="FW97" i="50"/>
  <c r="AG127" i="50"/>
  <c r="GH127" i="50"/>
  <c r="AI127" i="50"/>
  <c r="AN44" i="50"/>
  <c r="GZ44" i="50" s="1"/>
  <c r="AK46" i="50"/>
  <c r="AN46" i="50" s="1"/>
  <c r="FT70" i="50"/>
  <c r="AG70" i="50"/>
  <c r="AI70" i="50"/>
  <c r="AG126" i="50"/>
  <c r="AI126" i="50"/>
  <c r="GH90" i="50"/>
  <c r="AI90" i="50"/>
  <c r="IB90" i="50"/>
  <c r="AG45" i="50"/>
  <c r="FT45" i="50"/>
  <c r="AI89" i="50"/>
  <c r="AI145" i="50" s="1"/>
  <c r="GH89" i="50"/>
  <c r="IB89" i="50"/>
  <c r="GH126" i="50"/>
  <c r="HN55" i="50"/>
  <c r="IB94" i="50"/>
  <c r="AO89" i="51"/>
  <c r="CG89" i="51" s="1"/>
  <c r="AN79" i="50"/>
  <c r="AK80" i="50"/>
  <c r="AN80" i="50" s="1"/>
  <c r="Z28" i="39"/>
  <c r="AA28" i="39"/>
  <c r="BW87" i="51"/>
  <c r="AG97" i="50"/>
  <c r="IB97" i="50"/>
  <c r="GH97" i="50"/>
  <c r="AI97" i="50"/>
  <c r="AN107" i="50"/>
  <c r="AK108" i="50"/>
  <c r="AN108" i="50" s="1"/>
  <c r="DQ27" i="10"/>
  <c r="X17" i="18" s="1"/>
  <c r="W17" i="18"/>
  <c r="EM49" i="10"/>
  <c r="AO39" i="18" s="1"/>
  <c r="EI49" i="10"/>
  <c r="EL49" i="10"/>
  <c r="AN39" i="18" s="1"/>
  <c r="AM39" i="18"/>
  <c r="EJ49" i="10"/>
  <c r="AL39" i="18" s="1"/>
  <c r="DE25" i="10"/>
  <c r="T15" i="18" s="1"/>
  <c r="P15" i="18" s="1"/>
  <c r="DC25" i="10"/>
  <c r="R15" i="18" s="1"/>
  <c r="N15" i="18" s="1"/>
  <c r="S15" i="18"/>
  <c r="DF25" i="10"/>
  <c r="U15" i="18" s="1"/>
  <c r="Q15" i="18" s="1"/>
  <c r="CE27" i="10"/>
  <c r="GV20" i="10"/>
  <c r="GV19" i="10" s="1"/>
  <c r="L24" i="10"/>
  <c r="DX24" i="10"/>
  <c r="CE33" i="10"/>
  <c r="Z17" i="10"/>
  <c r="BK47" i="10"/>
  <c r="BK45" i="10" s="1"/>
  <c r="BM47" i="10"/>
  <c r="CE47" i="10"/>
  <c r="DI48" i="10"/>
  <c r="AF38" i="18" s="1"/>
  <c r="DG48" i="10"/>
  <c r="AD38" i="18" s="1"/>
  <c r="DJ48" i="10"/>
  <c r="AG38" i="18" s="1"/>
  <c r="AE38" i="18"/>
  <c r="IB93" i="14"/>
  <c r="IB94" i="14"/>
  <c r="GH50" i="14"/>
  <c r="GH49" i="14"/>
  <c r="DV45" i="10"/>
  <c r="AK35" i="18" s="1"/>
  <c r="G29" i="18"/>
  <c r="GD52" i="10"/>
  <c r="CG47" i="10"/>
  <c r="DD47" i="10"/>
  <c r="GG154" i="14"/>
  <c r="GI154" i="14"/>
  <c r="AX38" i="10"/>
  <c r="AX37" i="10" s="1"/>
  <c r="CD38" i="10"/>
  <c r="DX50" i="10"/>
  <c r="DY50" i="10" s="1"/>
  <c r="O15" i="18"/>
  <c r="FL69" i="10"/>
  <c r="GJ155" i="14"/>
  <c r="GG155" i="14"/>
  <c r="F45" i="10"/>
  <c r="DW45" i="10" s="1"/>
  <c r="DK45" i="10" s="1"/>
  <c r="J35" i="18" s="1"/>
  <c r="GH45" i="10"/>
  <c r="DL66" i="10"/>
  <c r="GS66" i="10" s="1"/>
  <c r="DC56" i="10"/>
  <c r="R46" i="18" s="1"/>
  <c r="N46" i="18" s="1"/>
  <c r="GM56" i="10"/>
  <c r="GN56" i="10" s="1"/>
  <c r="S46" i="18"/>
  <c r="O46" i="18" s="1"/>
  <c r="DE56" i="10"/>
  <c r="T46" i="18" s="1"/>
  <c r="P46" i="18" s="1"/>
  <c r="DF56" i="10"/>
  <c r="U46" i="18" s="1"/>
  <c r="Q46" i="18" s="1"/>
  <c r="GF45" i="10"/>
  <c r="GV29" i="10"/>
  <c r="DQ29" i="10"/>
  <c r="X19" i="18" s="1"/>
  <c r="DR29" i="10"/>
  <c r="Y19" i="18" s="1"/>
  <c r="W19" i="18"/>
  <c r="DO29" i="10"/>
  <c r="V19" i="18" s="1"/>
  <c r="DL67" i="10"/>
  <c r="DW67" i="10"/>
  <c r="GB45" i="10"/>
  <c r="L55" i="10"/>
  <c r="DX55" i="10"/>
  <c r="AI38" i="18"/>
  <c r="DU48" i="10"/>
  <c r="AJ38" i="18" s="1"/>
  <c r="DV48" i="10"/>
  <c r="AK38" i="18" s="1"/>
  <c r="DS48" i="10"/>
  <c r="AH38" i="18" s="1"/>
  <c r="AQ38" i="18"/>
  <c r="FT48" i="10"/>
  <c r="AR38" i="18" s="1"/>
  <c r="FR48" i="10"/>
  <c r="AP38" i="18" s="1"/>
  <c r="FU48" i="10"/>
  <c r="AS38" i="18" s="1"/>
  <c r="AI33" i="18"/>
  <c r="AA33" i="18" s="1"/>
  <c r="DS43" i="10"/>
  <c r="AH33" i="18" s="1"/>
  <c r="Z33" i="18" s="1"/>
  <c r="DU43" i="10"/>
  <c r="AJ33" i="18" s="1"/>
  <c r="AB33" i="18" s="1"/>
  <c r="DV43" i="10"/>
  <c r="AK33" i="18" s="1"/>
  <c r="AC33" i="18" s="1"/>
  <c r="GB33" i="10"/>
  <c r="EP27" i="10"/>
  <c r="BU21" i="14"/>
  <c r="DS34" i="10"/>
  <c r="AH24" i="18" s="1"/>
  <c r="Z24" i="18" s="1"/>
  <c r="DV34" i="10"/>
  <c r="AK24" i="18" s="1"/>
  <c r="AC24" i="18" s="1"/>
  <c r="AI24" i="18"/>
  <c r="AA24" i="18" s="1"/>
  <c r="DU34" i="10"/>
  <c r="AJ24" i="18" s="1"/>
  <c r="GY25" i="10"/>
  <c r="HN50" i="14"/>
  <c r="HN49" i="14"/>
  <c r="DO40" i="10"/>
  <c r="V30" i="18" s="1"/>
  <c r="DR40" i="10"/>
  <c r="Y30" i="18" s="1"/>
  <c r="W30" i="18"/>
  <c r="BT28" i="14"/>
  <c r="DQ40" i="10"/>
  <c r="X30" i="18" s="1"/>
  <c r="AX31" i="10"/>
  <c r="AX27" i="10" s="1"/>
  <c r="BA27" i="10"/>
  <c r="AI25" i="18"/>
  <c r="DV35" i="10"/>
  <c r="AK25" i="18" s="1"/>
  <c r="BU22" i="14"/>
  <c r="DU35" i="10"/>
  <c r="AJ25" i="18" s="1"/>
  <c r="DS35" i="10"/>
  <c r="AH25" i="18" s="1"/>
  <c r="FP49" i="10"/>
  <c r="FO49" i="10"/>
  <c r="FM49" i="10"/>
  <c r="FN49" i="10"/>
  <c r="G49" i="10"/>
  <c r="CZ49" i="10" s="1"/>
  <c r="V49" i="10"/>
  <c r="CG27" i="10"/>
  <c r="DD27" i="10"/>
  <c r="EM47" i="10"/>
  <c r="AO37" i="18" s="1"/>
  <c r="EL47" i="10"/>
  <c r="AN37" i="18" s="1"/>
  <c r="EI47" i="10"/>
  <c r="AM37" i="18"/>
  <c r="EJ47" i="10"/>
  <c r="AL37" i="18" s="1"/>
  <c r="EJ56" i="10"/>
  <c r="AL46" i="18" s="1"/>
  <c r="EL56" i="10"/>
  <c r="AN46" i="18" s="1"/>
  <c r="AM46" i="18"/>
  <c r="EM56" i="10"/>
  <c r="AO46" i="18" s="1"/>
  <c r="EI56" i="10"/>
  <c r="GJ45" i="14"/>
  <c r="GG45" i="14"/>
  <c r="JN67" i="14"/>
  <c r="JK67" i="14" s="1"/>
  <c r="JQ67" i="14"/>
  <c r="IQ67" i="14"/>
  <c r="IO67" i="14" s="1"/>
  <c r="AE31" i="18"/>
  <c r="DG41" i="10"/>
  <c r="AD31" i="18" s="1"/>
  <c r="GP41" i="10"/>
  <c r="DI41" i="10"/>
  <c r="AF31" i="18" s="1"/>
  <c r="BR29" i="14"/>
  <c r="DJ41" i="10"/>
  <c r="AG31" i="18" s="1"/>
  <c r="S73" i="18"/>
  <c r="AZ65" i="10"/>
  <c r="AZ17" i="10" s="1"/>
  <c r="D23" i="11"/>
  <c r="FN46" i="10"/>
  <c r="FM46" i="10"/>
  <c r="G46" i="10"/>
  <c r="FO46" i="10"/>
  <c r="FP46" i="10"/>
  <c r="GO42" i="10"/>
  <c r="GN42" i="10"/>
  <c r="HP94" i="14"/>
  <c r="HM94" i="14"/>
  <c r="CN83" i="14"/>
  <c r="CN139" i="14" s="1"/>
  <c r="CK139" i="14" s="1"/>
  <c r="GE45" i="10"/>
  <c r="GK107" i="14"/>
  <c r="GM107" i="14"/>
  <c r="GG107" i="14"/>
  <c r="GL107" i="14" s="1"/>
  <c r="IQ116" i="14"/>
  <c r="IO116" i="14" s="1"/>
  <c r="JN116" i="14"/>
  <c r="JK116" i="14" s="1"/>
  <c r="JV116" i="14"/>
  <c r="JW116" i="14"/>
  <c r="IB50" i="14"/>
  <c r="IB49" i="14"/>
  <c r="EP33" i="10"/>
  <c r="CK97" i="14"/>
  <c r="CK98" i="14"/>
  <c r="HQ93" i="14"/>
  <c r="HO93" i="14"/>
  <c r="HM93" i="14"/>
  <c r="CL83" i="14"/>
  <c r="T73" i="18" s="1"/>
  <c r="G63" i="10"/>
  <c r="FO63" i="10"/>
  <c r="D27" i="11"/>
  <c r="FP63" i="10"/>
  <c r="FP61" i="10" s="1"/>
  <c r="V63" i="10"/>
  <c r="FN63" i="10"/>
  <c r="FN61" i="10" s="1"/>
  <c r="P61" i="10"/>
  <c r="GI61" i="10" s="1"/>
  <c r="DI22" i="10"/>
  <c r="AF12" i="18" s="1"/>
  <c r="BR16" i="14"/>
  <c r="AE12" i="18"/>
  <c r="AA12" i="18" s="1"/>
  <c r="DJ22" i="10"/>
  <c r="AG12" i="18" s="1"/>
  <c r="AC12" i="18" s="1"/>
  <c r="DG22" i="10"/>
  <c r="AD12" i="18" s="1"/>
  <c r="GP22" i="10"/>
  <c r="BK41" i="10"/>
  <c r="BK37" i="10" s="1"/>
  <c r="BM41" i="10"/>
  <c r="BN37" i="10"/>
  <c r="CE37" i="10" s="1"/>
  <c r="CE41" i="10"/>
  <c r="EM24" i="10"/>
  <c r="AO14" i="18" s="1"/>
  <c r="EL24" i="10"/>
  <c r="AN14" i="18" s="1"/>
  <c r="EI24" i="10"/>
  <c r="AM14" i="18"/>
  <c r="EJ24" i="10"/>
  <c r="AL14" i="18" s="1"/>
  <c r="DX69" i="10"/>
  <c r="L69" i="10"/>
  <c r="AB36" i="14" s="1"/>
  <c r="N22" i="14"/>
  <c r="Q22" i="14" s="1"/>
  <c r="G35" i="10"/>
  <c r="FO35" i="10"/>
  <c r="FP35" i="10"/>
  <c r="FP33" i="10" s="1"/>
  <c r="FN35" i="10"/>
  <c r="FN33" i="10" s="1"/>
  <c r="P33" i="10"/>
  <c r="GG33" i="10" s="1"/>
  <c r="FM35" i="10"/>
  <c r="FM33" i="10" s="1"/>
  <c r="EI28" i="10"/>
  <c r="EM28" i="10"/>
  <c r="AO18" i="18" s="1"/>
  <c r="EL28" i="10"/>
  <c r="AN18" i="18" s="1"/>
  <c r="EJ28" i="10"/>
  <c r="AL18" i="18" s="1"/>
  <c r="ED17" i="11"/>
  <c r="AM18" i="18"/>
  <c r="IP88" i="14"/>
  <c r="JT88" i="14"/>
  <c r="JR88" i="14" s="1"/>
  <c r="JQ88" i="14" s="1"/>
  <c r="JM88" i="14"/>
  <c r="JK88" i="14" s="1"/>
  <c r="JN62" i="14"/>
  <c r="JK62" i="14" s="1"/>
  <c r="JQ62" i="14"/>
  <c r="IQ62" i="14"/>
  <c r="IO62" i="14" s="1"/>
  <c r="JN92" i="14"/>
  <c r="JK92" i="14" s="1"/>
  <c r="JW92" i="14"/>
  <c r="JV92" i="14"/>
  <c r="JR92" i="14" s="1"/>
  <c r="JQ92" i="14" s="1"/>
  <c r="IQ92" i="14"/>
  <c r="IO92" i="14" s="1"/>
  <c r="DC40" i="10"/>
  <c r="R30" i="18" s="1"/>
  <c r="DF40" i="10"/>
  <c r="U30" i="18" s="1"/>
  <c r="S30" i="18"/>
  <c r="DE40" i="10"/>
  <c r="T30" i="18" s="1"/>
  <c r="P30" i="18" s="1"/>
  <c r="BQ28" i="14"/>
  <c r="GM40" i="10"/>
  <c r="AQ24" i="18"/>
  <c r="FT34" i="10"/>
  <c r="AR24" i="18" s="1"/>
  <c r="FR34" i="10"/>
  <c r="FU34" i="10"/>
  <c r="AS24" i="18" s="1"/>
  <c r="GY34" i="10"/>
  <c r="GP34" i="10"/>
  <c r="GQ34" i="10" s="1"/>
  <c r="FS33" i="10"/>
  <c r="EI23" i="10"/>
  <c r="AM13" i="18"/>
  <c r="ED14" i="11"/>
  <c r="EJ23" i="10"/>
  <c r="AL13" i="18" s="1"/>
  <c r="EL23" i="10"/>
  <c r="AN13" i="18" s="1"/>
  <c r="GU17" i="14"/>
  <c r="EM23" i="10"/>
  <c r="AO13" i="18" s="1"/>
  <c r="V35" i="10"/>
  <c r="DA55" i="10"/>
  <c r="H45" i="18" s="1"/>
  <c r="CY55" i="10"/>
  <c r="F45" i="18" s="1"/>
  <c r="G45" i="18"/>
  <c r="GJ55" i="10"/>
  <c r="GK55" i="10" s="1"/>
  <c r="DB55" i="10"/>
  <c r="I45" i="18" s="1"/>
  <c r="FT93" i="14"/>
  <c r="FT94" i="14"/>
  <c r="FT41" i="10"/>
  <c r="AR31" i="18" s="1"/>
  <c r="AQ31" i="18"/>
  <c r="FU41" i="10"/>
  <c r="AS31" i="18" s="1"/>
  <c r="FR41" i="10"/>
  <c r="AP31" i="18" s="1"/>
  <c r="BO17" i="10"/>
  <c r="EM41" i="10"/>
  <c r="AO31" i="18" s="1"/>
  <c r="EL41" i="10"/>
  <c r="AN31" i="18" s="1"/>
  <c r="EJ41" i="10"/>
  <c r="AL31" i="18" s="1"/>
  <c r="AM31" i="18"/>
  <c r="GU29" i="14"/>
  <c r="EI41" i="10"/>
  <c r="G47" i="10"/>
  <c r="FM47" i="10"/>
  <c r="FO47" i="10"/>
  <c r="FP47" i="10"/>
  <c r="V47" i="10"/>
  <c r="FN47" i="10"/>
  <c r="JD54" i="14"/>
  <c r="IV54" i="14"/>
  <c r="AP65" i="18" s="1"/>
  <c r="AQ65" i="18"/>
  <c r="JC54" i="14"/>
  <c r="IX54" i="14"/>
  <c r="AR65" i="18" s="1"/>
  <c r="IY54" i="14"/>
  <c r="AS65" i="18" s="1"/>
  <c r="JB54" i="14"/>
  <c r="EJ66" i="10"/>
  <c r="AL52" i="18" s="1"/>
  <c r="EI66" i="10"/>
  <c r="AM52" i="18"/>
  <c r="EM31" i="10"/>
  <c r="AO21" i="18" s="1"/>
  <c r="EI31" i="10"/>
  <c r="EL31" i="10"/>
  <c r="AN21" i="18" s="1"/>
  <c r="AM21" i="18"/>
  <c r="EJ31" i="10"/>
  <c r="AL21" i="18" s="1"/>
  <c r="FO23" i="10"/>
  <c r="N17" i="14"/>
  <c r="Q17" i="14" s="1"/>
  <c r="FN23" i="10"/>
  <c r="D14" i="11"/>
  <c r="FM23" i="10"/>
  <c r="G23" i="10"/>
  <c r="FP23" i="10"/>
  <c r="GR29" i="10"/>
  <c r="GQ29" i="10"/>
  <c r="EJ29" i="10"/>
  <c r="AL19" i="18" s="1"/>
  <c r="ED18" i="11"/>
  <c r="EM29" i="10"/>
  <c r="AO19" i="18" s="1"/>
  <c r="AM19" i="18"/>
  <c r="EI29" i="10"/>
  <c r="EL29" i="10"/>
  <c r="AN19" i="18" s="1"/>
  <c r="IW126" i="14"/>
  <c r="IW127" i="14"/>
  <c r="BU29" i="14"/>
  <c r="AI31" i="18"/>
  <c r="DV41" i="10"/>
  <c r="AK31" i="18" s="1"/>
  <c r="GY41" i="10"/>
  <c r="DU41" i="10"/>
  <c r="AJ31" i="18" s="1"/>
  <c r="DS41" i="10"/>
  <c r="AH31" i="18" s="1"/>
  <c r="IV55" i="14"/>
  <c r="AP85" i="18" s="1"/>
  <c r="IY55" i="14"/>
  <c r="AS85" i="18" s="1"/>
  <c r="JB55" i="14"/>
  <c r="EK37" i="11" s="1"/>
  <c r="JD55" i="14"/>
  <c r="EM37" i="11" s="1"/>
  <c r="JC55" i="14"/>
  <c r="EL37" i="11" s="1"/>
  <c r="AQ85" i="18"/>
  <c r="FU24" i="10"/>
  <c r="AS14" i="18" s="1"/>
  <c r="AQ14" i="18"/>
  <c r="FT24" i="10"/>
  <c r="AR14" i="18" s="1"/>
  <c r="FR24" i="10"/>
  <c r="AP14" i="18" s="1"/>
  <c r="GM24" i="10"/>
  <c r="GP24" i="10"/>
  <c r="S11" i="18"/>
  <c r="O11" i="18" s="1"/>
  <c r="DF21" i="10"/>
  <c r="U11" i="18" s="1"/>
  <c r="Q11" i="18" s="1"/>
  <c r="DE21" i="10"/>
  <c r="T11" i="18" s="1"/>
  <c r="P11" i="18" s="1"/>
  <c r="GM21" i="10"/>
  <c r="BQ15" i="14"/>
  <c r="DC21" i="10"/>
  <c r="R11" i="18" s="1"/>
  <c r="N11" i="18" s="1"/>
  <c r="EK35" i="10"/>
  <c r="DC66" i="10"/>
  <c r="R52" i="18" s="1"/>
  <c r="N52" i="18" s="1"/>
  <c r="S52" i="18"/>
  <c r="O52" i="18" s="1"/>
  <c r="AM54" i="18"/>
  <c r="EJ68" i="10"/>
  <c r="AL54" i="18" s="1"/>
  <c r="EI68" i="10"/>
  <c r="GA45" i="10"/>
  <c r="L41" i="10"/>
  <c r="AB29" i="14" s="1"/>
  <c r="DX41" i="10"/>
  <c r="HN70" i="14"/>
  <c r="HN68" i="14"/>
  <c r="HN69" i="14"/>
  <c r="GH54" i="14"/>
  <c r="GH55" i="14"/>
  <c r="GH113" i="14"/>
  <c r="GH112" i="14"/>
  <c r="FS84" i="14"/>
  <c r="FU84" i="14"/>
  <c r="GF19" i="10"/>
  <c r="GD19" i="10"/>
  <c r="EL34" i="10"/>
  <c r="AN24" i="18" s="1"/>
  <c r="GU21" i="14"/>
  <c r="EM34" i="10"/>
  <c r="AO24" i="18" s="1"/>
  <c r="AM24" i="18"/>
  <c r="EI34" i="10"/>
  <c r="EJ34" i="10"/>
  <c r="EK63" i="10"/>
  <c r="FL41" i="10"/>
  <c r="FU83" i="14"/>
  <c r="FS83" i="14"/>
  <c r="FW83" i="14"/>
  <c r="FW139" i="14" s="1"/>
  <c r="FT139" i="14" s="1"/>
  <c r="GB19" i="10"/>
  <c r="IB64" i="14"/>
  <c r="IB63" i="14"/>
  <c r="IB117" i="14"/>
  <c r="DW22" i="10"/>
  <c r="DZ13" i="11"/>
  <c r="DY22" i="10"/>
  <c r="FB16" i="14"/>
  <c r="DL22" i="10"/>
  <c r="FO56" i="10"/>
  <c r="G56" i="10"/>
  <c r="FM56" i="10"/>
  <c r="FM52" i="10" s="1"/>
  <c r="FP56" i="10"/>
  <c r="FP52" i="10" s="1"/>
  <c r="FN56" i="10"/>
  <c r="FN52" i="10" s="1"/>
  <c r="V56" i="10"/>
  <c r="FV85" i="14"/>
  <c r="FS85" i="14"/>
  <c r="EJ21" i="10"/>
  <c r="AL11" i="18" s="1"/>
  <c r="GU15" i="14"/>
  <c r="EL21" i="10"/>
  <c r="AN11" i="18" s="1"/>
  <c r="EM21" i="10"/>
  <c r="AO11" i="18" s="1"/>
  <c r="AM11" i="18"/>
  <c r="EI21" i="10"/>
  <c r="BE113" i="14"/>
  <c r="EL22" i="10"/>
  <c r="AN12" i="18" s="1"/>
  <c r="EI22" i="10"/>
  <c r="BE108" i="14"/>
  <c r="EM22" i="10"/>
  <c r="AO12" i="18" s="1"/>
  <c r="AM12" i="18"/>
  <c r="EJ22" i="10"/>
  <c r="AL12" i="18" s="1"/>
  <c r="GU16" i="14"/>
  <c r="ED13" i="11"/>
  <c r="GH19" i="10"/>
  <c r="FW45" i="10"/>
  <c r="Z12" i="18"/>
  <c r="CM13" i="11"/>
  <c r="AB16" i="14"/>
  <c r="EP52" i="10"/>
  <c r="I52" i="10"/>
  <c r="EA52" i="10" s="1"/>
  <c r="DP52" i="10" s="1"/>
  <c r="G29" i="10"/>
  <c r="FP29" i="10"/>
  <c r="D18" i="11"/>
  <c r="FM29" i="10"/>
  <c r="FO29" i="10"/>
  <c r="FN29" i="10"/>
  <c r="FL50" i="10"/>
  <c r="JR116" i="14"/>
  <c r="JQ116" i="14" s="1"/>
  <c r="AB12" i="18"/>
  <c r="FM63" i="10"/>
  <c r="HN113" i="14"/>
  <c r="HN54" i="14"/>
  <c r="HN55" i="14"/>
  <c r="HN112" i="14"/>
  <c r="FL28" i="10"/>
  <c r="FT43" i="10"/>
  <c r="AR33" i="18" s="1"/>
  <c r="FR43" i="10"/>
  <c r="AP33" i="18" s="1"/>
  <c r="AQ33" i="18"/>
  <c r="FU43" i="10"/>
  <c r="AS33" i="18" s="1"/>
  <c r="GP43" i="10"/>
  <c r="GY43" i="10"/>
  <c r="EW33" i="10"/>
  <c r="IW84" i="14"/>
  <c r="IW85" i="14"/>
  <c r="KT85" i="14" s="1"/>
  <c r="KW85" i="14" s="1"/>
  <c r="JL82" i="14"/>
  <c r="IZ83" i="14" s="1"/>
  <c r="IW83" i="14"/>
  <c r="JP82" i="14"/>
  <c r="GG108" i="14"/>
  <c r="GJ108" i="14"/>
  <c r="GP50" i="10"/>
  <c r="DJ50" i="10"/>
  <c r="AG40" i="18" s="1"/>
  <c r="AC40" i="18" s="1"/>
  <c r="DG50" i="10"/>
  <c r="AD40" i="18" s="1"/>
  <c r="Z40" i="18" s="1"/>
  <c r="AE40" i="18"/>
  <c r="AA40" i="18" s="1"/>
  <c r="DI50" i="10"/>
  <c r="AF40" i="18" s="1"/>
  <c r="AB40" i="18" s="1"/>
  <c r="CX117" i="14"/>
  <c r="DC117" i="14"/>
  <c r="BP134" i="18" s="1"/>
  <c r="G21" i="18"/>
  <c r="DA31" i="10"/>
  <c r="H21" i="18" s="1"/>
  <c r="GJ31" i="10"/>
  <c r="DB31" i="10"/>
  <c r="I21" i="18" s="1"/>
  <c r="BA21" i="18" s="1"/>
  <c r="CY31" i="10"/>
  <c r="F21" i="18" s="1"/>
  <c r="AX21" i="18" s="1"/>
  <c r="FU35" i="10"/>
  <c r="AS25" i="18" s="1"/>
  <c r="FT35" i="10"/>
  <c r="AR25" i="18" s="1"/>
  <c r="AQ25" i="18"/>
  <c r="FR35" i="10"/>
  <c r="AP25" i="18" s="1"/>
  <c r="GY35" i="10"/>
  <c r="GZ35" i="10" s="1"/>
  <c r="L28" i="10"/>
  <c r="CM17" i="11" s="1"/>
  <c r="DX28" i="10"/>
  <c r="GZ28" i="10"/>
  <c r="HA28" i="10"/>
  <c r="CG61" i="10"/>
  <c r="DD61" i="10"/>
  <c r="CE65" i="10"/>
  <c r="D19" i="11"/>
  <c r="FP30" i="10"/>
  <c r="FN30" i="10"/>
  <c r="FM30" i="10"/>
  <c r="FM27" i="10" s="1"/>
  <c r="G30" i="10"/>
  <c r="FO30" i="10"/>
  <c r="P27" i="10"/>
  <c r="GA27" i="10" s="1"/>
  <c r="HA49" i="10"/>
  <c r="GZ49" i="10"/>
  <c r="AX73" i="10"/>
  <c r="CA73" i="10" s="1"/>
  <c r="CA75" i="10"/>
  <c r="GP55" i="10"/>
  <c r="DI55" i="10"/>
  <c r="AF45" i="18" s="1"/>
  <c r="AB45" i="18" s="1"/>
  <c r="AE45" i="18"/>
  <c r="AA45" i="18" s="1"/>
  <c r="DJ55" i="10"/>
  <c r="AG45" i="18" s="1"/>
  <c r="AC45" i="18" s="1"/>
  <c r="DG55" i="10"/>
  <c r="AD45" i="18" s="1"/>
  <c r="Z45" i="18" s="1"/>
  <c r="DC31" i="10"/>
  <c r="R21" i="18" s="1"/>
  <c r="N21" i="18" s="1"/>
  <c r="DE31" i="10"/>
  <c r="T21" i="18" s="1"/>
  <c r="DF31" i="10"/>
  <c r="U21" i="18" s="1"/>
  <c r="Q21" i="18" s="1"/>
  <c r="S21" i="18"/>
  <c r="O21" i="18" s="1"/>
  <c r="GM31" i="10"/>
  <c r="GX38" i="10"/>
  <c r="GW38" i="10"/>
  <c r="BK20" i="10"/>
  <c r="CE20" i="10"/>
  <c r="BM20" i="10"/>
  <c r="BN19" i="10"/>
  <c r="CE19" i="10" s="1"/>
  <c r="AX53" i="10"/>
  <c r="AX52" i="10" s="1"/>
  <c r="BA52" i="10"/>
  <c r="CD53" i="10"/>
  <c r="CZ53" i="10"/>
  <c r="DG59" i="10"/>
  <c r="AD49" i="18" s="1"/>
  <c r="Z49" i="18" s="1"/>
  <c r="DI59" i="10"/>
  <c r="AF49" i="18" s="1"/>
  <c r="AB49" i="18" s="1"/>
  <c r="GP59" i="10"/>
  <c r="AE49" i="18"/>
  <c r="AA49" i="18" s="1"/>
  <c r="DJ59" i="10"/>
  <c r="AG49" i="18" s="1"/>
  <c r="AC49" i="18" s="1"/>
  <c r="GX24" i="10"/>
  <c r="GW24" i="10"/>
  <c r="DG63" i="10"/>
  <c r="DJ63" i="10"/>
  <c r="BA65" i="10"/>
  <c r="AX66" i="10"/>
  <c r="AX65" i="10" s="1"/>
  <c r="CD66" i="10"/>
  <c r="CZ66" i="10"/>
  <c r="G45" i="10"/>
  <c r="DX45" i="10" s="1"/>
  <c r="DL45" i="10" s="1"/>
  <c r="GG45" i="10"/>
  <c r="GV46" i="10"/>
  <c r="GX50" i="10"/>
  <c r="GW50" i="10"/>
  <c r="GW21" i="10"/>
  <c r="GX21" i="10"/>
  <c r="FR69" i="10"/>
  <c r="AP55" i="18" s="1"/>
  <c r="AQ55" i="18"/>
  <c r="EA83" i="14"/>
  <c r="EA84" i="14"/>
  <c r="EA85" i="14"/>
  <c r="AY19" i="10"/>
  <c r="AY17" i="10" s="1"/>
  <c r="DW38" i="10"/>
  <c r="DY38" i="10"/>
  <c r="FB26" i="14"/>
  <c r="DZ22" i="11"/>
  <c r="DL38" i="10"/>
  <c r="FU25" i="10"/>
  <c r="AS15" i="18" s="1"/>
  <c r="FR25" i="10"/>
  <c r="AP15" i="18" s="1"/>
  <c r="AQ15" i="18"/>
  <c r="GM25" i="10"/>
  <c r="FT25" i="10"/>
  <c r="AR15" i="18" s="1"/>
  <c r="GJ25" i="10"/>
  <c r="GP25" i="10"/>
  <c r="JN43" i="14"/>
  <c r="JK43" i="14" s="1"/>
  <c r="IQ43" i="14"/>
  <c r="IO43" i="14" s="1"/>
  <c r="JQ43" i="14"/>
  <c r="GV28" i="10"/>
  <c r="FU126" i="14"/>
  <c r="FV126" i="14"/>
  <c r="FS126" i="14"/>
  <c r="GV42" i="10"/>
  <c r="DR42" i="10"/>
  <c r="Y32" i="18" s="1"/>
  <c r="Q32" i="18" s="1"/>
  <c r="BT30" i="14"/>
  <c r="DQ42" i="10"/>
  <c r="X32" i="18" s="1"/>
  <c r="P32" i="18" s="1"/>
  <c r="W32" i="18"/>
  <c r="O32" i="18" s="1"/>
  <c r="DO42" i="10"/>
  <c r="V32" i="18" s="1"/>
  <c r="N32" i="18" s="1"/>
  <c r="GZ47" i="10"/>
  <c r="HA47" i="10"/>
  <c r="GZ42" i="10"/>
  <c r="HA42" i="10"/>
  <c r="DX48" i="10"/>
  <c r="L48" i="10"/>
  <c r="CZ48" i="10"/>
  <c r="GM28" i="10"/>
  <c r="DF28" i="10"/>
  <c r="U18" i="18" s="1"/>
  <c r="Q18" i="18" s="1"/>
  <c r="S18" i="18"/>
  <c r="O18" i="18" s="1"/>
  <c r="DE28" i="10"/>
  <c r="T18" i="18" s="1"/>
  <c r="P18" i="18" s="1"/>
  <c r="DC28" i="10"/>
  <c r="R18" i="18" s="1"/>
  <c r="N18" i="18" s="1"/>
  <c r="BD17" i="10"/>
  <c r="EO55" i="14"/>
  <c r="EO54" i="14"/>
  <c r="EO113" i="14"/>
  <c r="EO112" i="14"/>
  <c r="GT53" i="10"/>
  <c r="BR26" i="14"/>
  <c r="AE28" i="18"/>
  <c r="AA28" i="18" s="1"/>
  <c r="DI38" i="10"/>
  <c r="AF28" i="18" s="1"/>
  <c r="AB28" i="18" s="1"/>
  <c r="DG38" i="10"/>
  <c r="AD28" i="18" s="1"/>
  <c r="Z28" i="18" s="1"/>
  <c r="DJ38" i="10"/>
  <c r="AG28" i="18" s="1"/>
  <c r="AC28" i="18" s="1"/>
  <c r="GP38" i="10"/>
  <c r="EA50" i="14"/>
  <c r="EA49" i="14"/>
  <c r="BV19" i="10"/>
  <c r="DH20" i="10"/>
  <c r="CJ20" i="10"/>
  <c r="GJ69" i="10"/>
  <c r="G55" i="18"/>
  <c r="CY69" i="10"/>
  <c r="F55" i="18" s="1"/>
  <c r="BP36" i="14"/>
  <c r="CM22" i="11"/>
  <c r="AB26" i="14"/>
  <c r="BM35" i="10"/>
  <c r="BK35" i="10"/>
  <c r="CE35" i="10"/>
  <c r="FS63" i="10"/>
  <c r="GM63" i="10" s="1"/>
  <c r="GO63" i="10" s="1"/>
  <c r="EL27" i="11"/>
  <c r="FV63" i="10"/>
  <c r="EJ12" i="11"/>
  <c r="FV127" i="14"/>
  <c r="FS127" i="14"/>
  <c r="GX49" i="10"/>
  <c r="GW49" i="10"/>
  <c r="DA40" i="10"/>
  <c r="H30" i="18" s="1"/>
  <c r="G30" i="18"/>
  <c r="CY40" i="10"/>
  <c r="F30" i="18" s="1"/>
  <c r="BP28" i="14"/>
  <c r="GJ40" i="10"/>
  <c r="DB40" i="10"/>
  <c r="I30" i="18" s="1"/>
  <c r="CF65" i="10"/>
  <c r="BB17" i="10"/>
  <c r="L54" i="10"/>
  <c r="DX54" i="10"/>
  <c r="HA22" i="10"/>
  <c r="GZ22" i="10"/>
  <c r="IQ152" i="14"/>
  <c r="IO152" i="14" s="1"/>
  <c r="JN152" i="14"/>
  <c r="JK152" i="14" s="1"/>
  <c r="JQ152" i="14"/>
  <c r="GL38" i="10"/>
  <c r="GK38" i="10"/>
  <c r="CK19" i="10"/>
  <c r="BW17" i="10"/>
  <c r="BV17" i="10" s="1"/>
  <c r="CE45" i="10"/>
  <c r="DF63" i="10"/>
  <c r="DC63" i="10"/>
  <c r="GW53" i="10"/>
  <c r="GV52" i="10"/>
  <c r="GI75" i="10"/>
  <c r="FP75" i="10" s="1"/>
  <c r="FM62" i="10"/>
  <c r="FW62" i="10"/>
  <c r="GG75" i="10"/>
  <c r="GC61" i="10"/>
  <c r="HR107" i="14"/>
  <c r="HS107" i="14"/>
  <c r="HM107" i="14"/>
  <c r="HQ107" i="14"/>
  <c r="JV106" i="14"/>
  <c r="JR106" i="14" s="1"/>
  <c r="JQ106" i="14" s="1"/>
  <c r="JW106" i="14"/>
  <c r="JN106" i="14"/>
  <c r="JK106" i="14" s="1"/>
  <c r="IQ106" i="14"/>
  <c r="EK30" i="10"/>
  <c r="S17" i="18"/>
  <c r="O17" i="18" s="1"/>
  <c r="DE27" i="10"/>
  <c r="T17" i="18" s="1"/>
  <c r="P17" i="18" s="1"/>
  <c r="EL50" i="10"/>
  <c r="AN40" i="18" s="1"/>
  <c r="EM50" i="10"/>
  <c r="AO40" i="18" s="1"/>
  <c r="EI50" i="10"/>
  <c r="AM40" i="18"/>
  <c r="EJ50" i="10"/>
  <c r="AL40" i="18" s="1"/>
  <c r="BK22" i="10"/>
  <c r="BM22" i="10"/>
  <c r="BJ22" i="10" s="1"/>
  <c r="BM62" i="10"/>
  <c r="BK62" i="10"/>
  <c r="BK61" i="10" s="1"/>
  <c r="CE62" i="10"/>
  <c r="BN61" i="10"/>
  <c r="DW27" i="10"/>
  <c r="DK27" i="10" s="1"/>
  <c r="J17" i="18" s="1"/>
  <c r="AL28" i="18"/>
  <c r="DE59" i="10"/>
  <c r="T49" i="18" s="1"/>
  <c r="DF59" i="10"/>
  <c r="U49" i="18" s="1"/>
  <c r="GM59" i="10"/>
  <c r="S49" i="18"/>
  <c r="O49" i="18" s="1"/>
  <c r="DC59" i="10"/>
  <c r="R49" i="18" s="1"/>
  <c r="N49" i="18" s="1"/>
  <c r="BJ50" i="10"/>
  <c r="BM45" i="10"/>
  <c r="AX50" i="10"/>
  <c r="CZ50" i="10"/>
  <c r="CD50" i="10"/>
  <c r="CJ37" i="10"/>
  <c r="DH37" i="10"/>
  <c r="DJ37" i="10" s="1"/>
  <c r="EL25" i="10"/>
  <c r="AN15" i="18" s="1"/>
  <c r="AM15" i="18"/>
  <c r="EI25" i="10"/>
  <c r="EM25" i="10"/>
  <c r="AO15" i="18" s="1"/>
  <c r="EJ25" i="10"/>
  <c r="AL15" i="18" s="1"/>
  <c r="GX39" i="10"/>
  <c r="GW39" i="10"/>
  <c r="IG107" i="14"/>
  <c r="IF107" i="14"/>
  <c r="IE107" i="14"/>
  <c r="IA107" i="14"/>
  <c r="AY28" i="18"/>
  <c r="HM45" i="14"/>
  <c r="HP45" i="14"/>
  <c r="CG22" i="10"/>
  <c r="DD22" i="10"/>
  <c r="DB54" i="10"/>
  <c r="I44" i="18" s="1"/>
  <c r="DA54" i="10"/>
  <c r="H44" i="18" s="1"/>
  <c r="G44" i="18"/>
  <c r="CY54" i="10"/>
  <c r="F44" i="18" s="1"/>
  <c r="GJ54" i="10"/>
  <c r="GK54" i="10" s="1"/>
  <c r="BV61" i="10"/>
  <c r="CJ62" i="10"/>
  <c r="DH62" i="10"/>
  <c r="DY31" i="10"/>
  <c r="DW31" i="10"/>
  <c r="DL31" i="10"/>
  <c r="HA29" i="10"/>
  <c r="GZ29" i="10"/>
  <c r="FL48" i="10"/>
  <c r="BG17" i="10"/>
  <c r="DY40" i="10"/>
  <c r="FB28" i="14"/>
  <c r="DW40" i="10"/>
  <c r="DL40" i="10"/>
  <c r="BQ14" i="14"/>
  <c r="DF20" i="10"/>
  <c r="U10" i="18" s="1"/>
  <c r="Q10" i="18" s="1"/>
  <c r="DC20" i="10"/>
  <c r="R10" i="18" s="1"/>
  <c r="N10" i="18" s="1"/>
  <c r="S10" i="18"/>
  <c r="O10" i="18" s="1"/>
  <c r="GM20" i="10"/>
  <c r="DE20" i="10"/>
  <c r="T10" i="18" s="1"/>
  <c r="P10" i="18" s="1"/>
  <c r="ER122" i="14"/>
  <c r="EN122" i="14"/>
  <c r="MH122" i="14"/>
  <c r="ET122" i="14"/>
  <c r="BS135" i="18" s="1"/>
  <c r="ES122" i="14"/>
  <c r="BR135" i="18" s="1"/>
  <c r="GW22" i="10"/>
  <c r="GX22" i="10"/>
  <c r="DG66" i="10"/>
  <c r="AD52" i="18" s="1"/>
  <c r="Z52" i="18" s="1"/>
  <c r="AE52" i="18"/>
  <c r="AA52" i="18" s="1"/>
  <c r="GP66" i="10"/>
  <c r="GP69" i="10"/>
  <c r="DG69" i="10"/>
  <c r="AD55" i="18" s="1"/>
  <c r="Z55" i="18" s="1"/>
  <c r="BR36" i="14"/>
  <c r="AE55" i="18"/>
  <c r="AA55" i="18" s="1"/>
  <c r="GZ39" i="10"/>
  <c r="HA39" i="10"/>
  <c r="DD35" i="10"/>
  <c r="CG35" i="10"/>
  <c r="EJ69" i="10"/>
  <c r="AL55" i="18" s="1"/>
  <c r="AM55" i="18"/>
  <c r="EI69" i="10"/>
  <c r="GU36" i="14"/>
  <c r="EK65" i="10"/>
  <c r="FU20" i="10"/>
  <c r="AS10" i="18" s="1"/>
  <c r="AQ10" i="18"/>
  <c r="BJ108" i="14"/>
  <c r="FT20" i="10"/>
  <c r="AR10" i="18" s="1"/>
  <c r="BJ113" i="14"/>
  <c r="FR20" i="10"/>
  <c r="AP10" i="18" s="1"/>
  <c r="AP30" i="18"/>
  <c r="CD43" i="10"/>
  <c r="AX43" i="10"/>
  <c r="GQ48" i="10"/>
  <c r="GR48" i="10"/>
  <c r="EO127" i="14"/>
  <c r="EO126" i="14"/>
  <c r="K145" i="14"/>
  <c r="H145" i="14" s="1"/>
  <c r="G145" i="14" s="1"/>
  <c r="AE89" i="14"/>
  <c r="AE145" i="14" s="1"/>
  <c r="AE90" i="14"/>
  <c r="ID108" i="14"/>
  <c r="IA108" i="14"/>
  <c r="BL73" i="10"/>
  <c r="CC73" i="10" s="1"/>
  <c r="CC75" i="10"/>
  <c r="EO85" i="14"/>
  <c r="EO84" i="14"/>
  <c r="EO83" i="14"/>
  <c r="GZ83" i="14"/>
  <c r="GZ84" i="14"/>
  <c r="GZ85" i="14"/>
  <c r="HP108" i="14"/>
  <c r="HM108" i="14"/>
  <c r="S38" i="18"/>
  <c r="O38" i="18" s="1"/>
  <c r="DE48" i="10"/>
  <c r="T38" i="18" s="1"/>
  <c r="P38" i="18" s="1"/>
  <c r="GM48" i="10"/>
  <c r="DF48" i="10"/>
  <c r="U38" i="18" s="1"/>
  <c r="Q38" i="18" s="1"/>
  <c r="DC48" i="10"/>
  <c r="R38" i="18" s="1"/>
  <c r="N38" i="18" s="1"/>
  <c r="DJ28" i="10"/>
  <c r="AG18" i="18" s="1"/>
  <c r="AC18" i="18" s="1"/>
  <c r="DG28" i="10"/>
  <c r="AD18" i="18" s="1"/>
  <c r="Z18" i="18" s="1"/>
  <c r="AE18" i="18"/>
  <c r="AA18" i="18" s="1"/>
  <c r="GP28" i="10"/>
  <c r="DI28" i="10"/>
  <c r="AF18" i="18" s="1"/>
  <c r="AB18" i="18" s="1"/>
  <c r="GW47" i="10"/>
  <c r="GX47" i="10"/>
  <c r="EA107" i="14"/>
  <c r="EA45" i="14"/>
  <c r="EA108" i="14"/>
  <c r="GZ48" i="10"/>
  <c r="HA48" i="10"/>
  <c r="DF41" i="10"/>
  <c r="U31" i="18" s="1"/>
  <c r="DC41" i="10"/>
  <c r="R31" i="18" s="1"/>
  <c r="N31" i="18" s="1"/>
  <c r="BQ29" i="14"/>
  <c r="DE41" i="10"/>
  <c r="T31" i="18" s="1"/>
  <c r="P31" i="18" s="1"/>
  <c r="GM41" i="10"/>
  <c r="S31" i="18"/>
  <c r="O31" i="18" s="1"/>
  <c r="FQ18" i="10"/>
  <c r="E17" i="10"/>
  <c r="GZ23" i="10"/>
  <c r="HA23" i="10"/>
  <c r="GO43" i="10"/>
  <c r="GN43" i="10"/>
  <c r="GW48" i="10"/>
  <c r="GX48" i="10"/>
  <c r="CY67" i="10"/>
  <c r="F53" i="18" s="1"/>
  <c r="G53" i="18"/>
  <c r="GJ67" i="10"/>
  <c r="BQ19" i="10"/>
  <c r="DC69" i="10"/>
  <c r="R55" i="18" s="1"/>
  <c r="N55" i="18" s="1"/>
  <c r="BQ36" i="14"/>
  <c r="GM69" i="10"/>
  <c r="S55" i="18"/>
  <c r="O55" i="18" s="1"/>
  <c r="BK29" i="10"/>
  <c r="CE29" i="10"/>
  <c r="BM29" i="10"/>
  <c r="ID45" i="14"/>
  <c r="IA45" i="14"/>
  <c r="AP45" i="18"/>
  <c r="CJ65" i="10"/>
  <c r="DH65" i="10"/>
  <c r="HA25" i="10"/>
  <c r="GZ25" i="10"/>
  <c r="DQ35" i="10"/>
  <c r="X25" i="18" s="1"/>
  <c r="BT22" i="14"/>
  <c r="DO35" i="10"/>
  <c r="V25" i="18" s="1"/>
  <c r="DR35" i="10"/>
  <c r="Y25" i="18" s="1"/>
  <c r="W25" i="18"/>
  <c r="GV35" i="10"/>
  <c r="GW35" i="10" s="1"/>
  <c r="AX49" i="10"/>
  <c r="CD49" i="10"/>
  <c r="HN154" i="14"/>
  <c r="HN155" i="14"/>
  <c r="HN153" i="14"/>
  <c r="HM153" i="14" s="1"/>
  <c r="CD63" i="10"/>
  <c r="CZ63" i="10"/>
  <c r="AX63" i="10"/>
  <c r="AX61" i="10" s="1"/>
  <c r="EA94" i="14"/>
  <c r="EA93" i="14"/>
  <c r="EM54" i="10"/>
  <c r="AO44" i="18" s="1"/>
  <c r="AM44" i="18"/>
  <c r="EL54" i="10"/>
  <c r="AN44" i="18" s="1"/>
  <c r="EI54" i="10"/>
  <c r="EJ54" i="10"/>
  <c r="EL48" i="10"/>
  <c r="AN38" i="18" s="1"/>
  <c r="EM48" i="10"/>
  <c r="AO38" i="18" s="1"/>
  <c r="AM38" i="18"/>
  <c r="EI48" i="10"/>
  <c r="EJ48" i="10"/>
  <c r="AL38" i="18" s="1"/>
  <c r="EO155" i="14"/>
  <c r="EO154" i="14"/>
  <c r="EO153" i="14"/>
  <c r="EA64" i="14"/>
  <c r="EA117" i="14"/>
  <c r="EA63" i="14"/>
  <c r="AQ20" i="18"/>
  <c r="FT30" i="10"/>
  <c r="AR20" i="18" s="1"/>
  <c r="FU30" i="10"/>
  <c r="AS20" i="18" s="1"/>
  <c r="FR30" i="10"/>
  <c r="AP20" i="18" s="1"/>
  <c r="GM30" i="10"/>
  <c r="DA59" i="10"/>
  <c r="H49" i="18" s="1"/>
  <c r="CF19" i="10"/>
  <c r="DJ46" i="10"/>
  <c r="AG36" i="18" s="1"/>
  <c r="AC36" i="18" s="1"/>
  <c r="DG46" i="10"/>
  <c r="AD36" i="18" s="1"/>
  <c r="Z36" i="18" s="1"/>
  <c r="AE36" i="18"/>
  <c r="AA36" i="18" s="1"/>
  <c r="GP46" i="10"/>
  <c r="DI46" i="10"/>
  <c r="AF36" i="18" s="1"/>
  <c r="AB36" i="18" s="1"/>
  <c r="GV69" i="10"/>
  <c r="AY29" i="18"/>
  <c r="DH27" i="10"/>
  <c r="CJ27" i="10"/>
  <c r="HO83" i="14"/>
  <c r="HM83" i="14"/>
  <c r="HQ83" i="14"/>
  <c r="HQ139" i="14" s="1"/>
  <c r="HN139" i="14" s="1"/>
  <c r="CE61" i="10"/>
  <c r="FT46" i="10"/>
  <c r="AR36" i="18" s="1"/>
  <c r="FU46" i="10"/>
  <c r="AS36" i="18" s="1"/>
  <c r="AQ36" i="18"/>
  <c r="FR46" i="10"/>
  <c r="FS45" i="10"/>
  <c r="FR59" i="10"/>
  <c r="AP49" i="18" s="1"/>
  <c r="FT59" i="10"/>
  <c r="AR49" i="18" s="1"/>
  <c r="AQ49" i="18"/>
  <c r="FS58" i="10"/>
  <c r="FU59" i="10"/>
  <c r="AS49" i="18" s="1"/>
  <c r="GV59" i="10"/>
  <c r="DD29" i="10"/>
  <c r="CG29" i="10"/>
  <c r="BM33" i="10"/>
  <c r="BJ34" i="10"/>
  <c r="GZ31" i="10"/>
  <c r="BA29" i="18"/>
  <c r="EO90" i="14"/>
  <c r="EO89" i="14"/>
  <c r="CE22" i="10"/>
  <c r="GK93" i="14"/>
  <c r="GG93" i="14"/>
  <c r="GI93" i="14"/>
  <c r="BJ28" i="10"/>
  <c r="CZ28" i="10"/>
  <c r="CD28" i="10"/>
  <c r="DY39" i="10"/>
  <c r="DW39" i="10"/>
  <c r="FB27" i="14"/>
  <c r="DL39" i="10"/>
  <c r="BK23" i="10"/>
  <c r="BM23" i="10"/>
  <c r="CE23" i="10"/>
  <c r="GY46" i="10"/>
  <c r="GG97" i="14"/>
  <c r="GK97" i="14"/>
  <c r="GI97" i="14"/>
  <c r="EA54" i="14"/>
  <c r="EA112" i="14"/>
  <c r="EA113" i="14"/>
  <c r="EA55" i="14"/>
  <c r="EK45" i="10"/>
  <c r="GZ53" i="10"/>
  <c r="AX24" i="10"/>
  <c r="CD24" i="10"/>
  <c r="CZ24" i="10"/>
  <c r="DH45" i="10"/>
  <c r="CJ45" i="10"/>
  <c r="AQ52" i="18"/>
  <c r="FS65" i="10"/>
  <c r="FR66" i="10"/>
  <c r="AP52" i="18" s="1"/>
  <c r="GM66" i="10"/>
  <c r="GV66" i="10"/>
  <c r="FT69" i="14"/>
  <c r="FT68" i="14"/>
  <c r="FT70" i="14"/>
  <c r="EA153" i="14"/>
  <c r="EA154" i="14"/>
  <c r="EA155" i="14"/>
  <c r="AX29" i="18"/>
  <c r="HP85" i="14"/>
  <c r="HM85" i="14"/>
  <c r="CZ68" i="10"/>
  <c r="BJ68" i="10"/>
  <c r="BJ65" i="10" s="1"/>
  <c r="BM65" i="10"/>
  <c r="CD68" i="10"/>
  <c r="HM84" i="14"/>
  <c r="HO84" i="14"/>
  <c r="KT84" i="14"/>
  <c r="AX22" i="10"/>
  <c r="GJ94" i="14"/>
  <c r="GG94" i="14"/>
  <c r="GZ24" i="10"/>
  <c r="HA24" i="10"/>
  <c r="K139" i="14"/>
  <c r="H139" i="14" s="1"/>
  <c r="G139" i="14" s="1"/>
  <c r="AE85" i="14"/>
  <c r="CM46" i="11" s="1"/>
  <c r="AE83" i="14"/>
  <c r="AE139" i="14" s="1"/>
  <c r="AE84" i="14"/>
  <c r="EO50" i="14"/>
  <c r="EO49" i="14"/>
  <c r="S24" i="18"/>
  <c r="O24" i="18" s="1"/>
  <c r="DE34" i="10"/>
  <c r="T24" i="18" s="1"/>
  <c r="P24" i="18" s="1"/>
  <c r="GM34" i="10"/>
  <c r="DF34" i="10"/>
  <c r="U24" i="18" s="1"/>
  <c r="Q24" i="18" s="1"/>
  <c r="DC34" i="10"/>
  <c r="R24" i="18" s="1"/>
  <c r="N24" i="18" s="1"/>
  <c r="BQ21" i="14"/>
  <c r="GZ20" i="10"/>
  <c r="HA20" i="10"/>
  <c r="GG98" i="14"/>
  <c r="GJ98" i="14"/>
  <c r="EA126" i="14"/>
  <c r="EA127" i="14"/>
  <c r="BK33" i="10"/>
  <c r="GX25" i="10"/>
  <c r="GW25" i="10"/>
  <c r="AE42" i="18"/>
  <c r="AA42" i="18" s="1"/>
  <c r="I37" i="10"/>
  <c r="S17" i="10"/>
  <c r="I17" i="10" s="1"/>
  <c r="EA17" i="10" s="1"/>
  <c r="DP17" i="10" s="1"/>
  <c r="BW83" i="14"/>
  <c r="BW84" i="14"/>
  <c r="BW85" i="14"/>
  <c r="BM30" i="10"/>
  <c r="BK30" i="10"/>
  <c r="CE30" i="10"/>
  <c r="GX41" i="10"/>
  <c r="GW41" i="10"/>
  <c r="GH90" i="14"/>
  <c r="GH89" i="14"/>
  <c r="BK73" i="10"/>
  <c r="CB73" i="10" s="1"/>
  <c r="CB75" i="10"/>
  <c r="S36" i="18"/>
  <c r="O36" i="18" s="1"/>
  <c r="DF46" i="10"/>
  <c r="U36" i="18" s="1"/>
  <c r="Q36" i="18" s="1"/>
  <c r="GM46" i="10"/>
  <c r="DC46" i="10"/>
  <c r="R36" i="18" s="1"/>
  <c r="N36" i="18" s="1"/>
  <c r="DE46" i="10"/>
  <c r="T36" i="18" s="1"/>
  <c r="P36" i="18" s="1"/>
  <c r="AC17" i="10"/>
  <c r="FY52" i="10"/>
  <c r="DC38" i="10"/>
  <c r="R28" i="18" s="1"/>
  <c r="N28" i="18" s="1"/>
  <c r="S28" i="18"/>
  <c r="O28" i="18" s="1"/>
  <c r="DF38" i="10"/>
  <c r="U28" i="18" s="1"/>
  <c r="Q28" i="18" s="1"/>
  <c r="GM38" i="10"/>
  <c r="DE38" i="10"/>
  <c r="T28" i="18" s="1"/>
  <c r="P28" i="18" s="1"/>
  <c r="BQ26" i="14"/>
  <c r="CG33" i="10"/>
  <c r="DD33" i="10"/>
  <c r="DD23" i="10"/>
  <c r="CG23" i="10"/>
  <c r="GW34" i="10"/>
  <c r="DJ35" i="10"/>
  <c r="AG25" i="18" s="1"/>
  <c r="BR22" i="14"/>
  <c r="GP35" i="10"/>
  <c r="AE25" i="18"/>
  <c r="AA25" i="18" s="1"/>
  <c r="DI35" i="10"/>
  <c r="AF25" i="18" s="1"/>
  <c r="DG35" i="10"/>
  <c r="AD25" i="18" s="1"/>
  <c r="Z25" i="18" s="1"/>
  <c r="AX34" i="10"/>
  <c r="AX33" i="10" s="1"/>
  <c r="CZ34" i="10"/>
  <c r="BA33" i="10"/>
  <c r="CD34" i="10"/>
  <c r="CG52" i="10"/>
  <c r="GY19" i="10"/>
  <c r="BJ52" i="10"/>
  <c r="FO43" i="10"/>
  <c r="FN43" i="10"/>
  <c r="G43" i="10"/>
  <c r="FP43" i="10"/>
  <c r="FP37" i="10" s="1"/>
  <c r="FM43" i="10"/>
  <c r="P37" i="10"/>
  <c r="FR37" i="10" s="1"/>
  <c r="AP27" i="18" s="1"/>
  <c r="V43" i="10"/>
  <c r="DW19" i="10"/>
  <c r="DK19" i="10" s="1"/>
  <c r="J9" i="18" s="1"/>
  <c r="AZ29" i="18"/>
  <c r="GW40" i="10"/>
  <c r="GX40" i="10"/>
  <c r="W33" i="18"/>
  <c r="O33" i="18" s="1"/>
  <c r="DO43" i="10"/>
  <c r="V33" i="18" s="1"/>
  <c r="N33" i="18" s="1"/>
  <c r="DQ43" i="10"/>
  <c r="X33" i="18" s="1"/>
  <c r="P33" i="18" s="1"/>
  <c r="GV43" i="10"/>
  <c r="DR43" i="10"/>
  <c r="Y33" i="18" s="1"/>
  <c r="Q33" i="18" s="1"/>
  <c r="DU27" i="10"/>
  <c r="AJ17" i="18" s="1"/>
  <c r="AI17" i="18"/>
  <c r="DZ122" i="14"/>
  <c r="EE122" i="14"/>
  <c r="BL135" i="18" s="1"/>
  <c r="EF122" i="14"/>
  <c r="BM135" i="18" s="1"/>
  <c r="ED122" i="14"/>
  <c r="LX122" i="14"/>
  <c r="DC55" i="10"/>
  <c r="R45" i="18" s="1"/>
  <c r="N45" i="18" s="1"/>
  <c r="DE55" i="10"/>
  <c r="T45" i="18" s="1"/>
  <c r="P45" i="18" s="1"/>
  <c r="DF55" i="10"/>
  <c r="U45" i="18" s="1"/>
  <c r="Q45" i="18" s="1"/>
  <c r="S45" i="18"/>
  <c r="O45" i="18" s="1"/>
  <c r="GM55" i="10"/>
  <c r="BA45" i="10"/>
  <c r="FR28" i="10"/>
  <c r="AQ18" i="18"/>
  <c r="FT28" i="10"/>
  <c r="AR18" i="18" s="1"/>
  <c r="FU28" i="10"/>
  <c r="AS18" i="18" s="1"/>
  <c r="ED12" i="11"/>
  <c r="GU14" i="14"/>
  <c r="BD113" i="14"/>
  <c r="EJ20" i="10"/>
  <c r="EI20" i="10"/>
  <c r="EM20" i="10"/>
  <c r="AO10" i="18" s="1"/>
  <c r="AM10" i="18"/>
  <c r="EL20" i="10"/>
  <c r="AN10" i="18" s="1"/>
  <c r="BD108" i="14"/>
  <c r="GZ38" i="10"/>
  <c r="HA38" i="10"/>
  <c r="FB21" i="14"/>
  <c r="DY34" i="10"/>
  <c r="DW34" i="10"/>
  <c r="DL34" i="10"/>
  <c r="GW31" i="10"/>
  <c r="GX31" i="10"/>
  <c r="BS15" i="14"/>
  <c r="DM21" i="10"/>
  <c r="L11" i="18" s="1"/>
  <c r="DK21" i="10"/>
  <c r="J11" i="18" s="1"/>
  <c r="GS21" i="10"/>
  <c r="K11" i="18"/>
  <c r="DN21" i="10"/>
  <c r="M11" i="18" s="1"/>
  <c r="GL39" i="10"/>
  <c r="GK39" i="10"/>
  <c r="GZ40" i="10"/>
  <c r="HA40" i="10"/>
  <c r="BQ33" i="14"/>
  <c r="CK122" i="14" s="1"/>
  <c r="DC62" i="10"/>
  <c r="DF62" i="10"/>
  <c r="GW30" i="10"/>
  <c r="GX30" i="10"/>
  <c r="DH30" i="10"/>
  <c r="CJ30" i="10"/>
  <c r="EO98" i="14"/>
  <c r="EO97" i="14"/>
  <c r="EW27" i="10"/>
  <c r="CG45" i="10"/>
  <c r="DD45" i="10"/>
  <c r="Y17" i="10"/>
  <c r="CG75" i="10"/>
  <c r="DD37" i="10"/>
  <c r="DF37" i="10" s="1"/>
  <c r="CG37" i="10"/>
  <c r="GZ21" i="10"/>
  <c r="HA21" i="10"/>
  <c r="GY59" i="10"/>
  <c r="FT97" i="14"/>
  <c r="FT98" i="14"/>
  <c r="CJ33" i="10"/>
  <c r="DH33" i="10"/>
  <c r="BA28" i="18"/>
  <c r="GZ50" i="10"/>
  <c r="HA50" i="10"/>
  <c r="GW23" i="10"/>
  <c r="GX23" i="10"/>
  <c r="FP20" i="10"/>
  <c r="FO20" i="10"/>
  <c r="FM20" i="10"/>
  <c r="G20" i="10"/>
  <c r="P19" i="10"/>
  <c r="GE19" i="10" s="1"/>
  <c r="FN20" i="10"/>
  <c r="D12" i="11"/>
  <c r="N14" i="14"/>
  <c r="Q14" i="14" s="1"/>
  <c r="DW33" i="10"/>
  <c r="DK33" i="10" s="1"/>
  <c r="FF49" i="14"/>
  <c r="FF50" i="14"/>
  <c r="EK43" i="10"/>
  <c r="V30" i="10"/>
  <c r="AA17" i="10"/>
  <c r="DD75" i="10"/>
  <c r="FL54" i="10"/>
  <c r="EO108" i="14"/>
  <c r="EO45" i="14"/>
  <c r="EO46" i="14"/>
  <c r="EO107" i="14"/>
  <c r="CD21" i="10"/>
  <c r="BA19" i="10"/>
  <c r="AX21" i="10"/>
  <c r="CZ21" i="10"/>
  <c r="K19" i="10"/>
  <c r="ED19" i="10" s="1"/>
  <c r="DT19" i="10" s="1"/>
  <c r="U17" i="10"/>
  <c r="DL68" i="10"/>
  <c r="DW68" i="10"/>
  <c r="GY30" i="10"/>
  <c r="BR17" i="10"/>
  <c r="BQ17" i="10" s="1"/>
  <c r="IF48" i="49"/>
  <c r="ID48" i="49"/>
  <c r="HS48" i="49"/>
  <c r="K38" i="48" s="1"/>
  <c r="EG39" i="49"/>
  <c r="IH61" i="49"/>
  <c r="HW61" i="49" s="1"/>
  <c r="IU17" i="49"/>
  <c r="JU56" i="49"/>
  <c r="JT56" i="49"/>
  <c r="G56" i="49"/>
  <c r="AB56" i="49"/>
  <c r="JV56" i="49"/>
  <c r="JV52" i="49" s="1"/>
  <c r="JW56" i="49"/>
  <c r="IR56" i="49"/>
  <c r="BE45" i="49"/>
  <c r="BG37" i="49"/>
  <c r="DD63" i="49"/>
  <c r="DA63" i="49" s="1"/>
  <c r="FF63" i="49"/>
  <c r="EO122" i="50"/>
  <c r="ES122" i="50" s="1"/>
  <c r="BR135" i="48" s="1"/>
  <c r="EL47" i="49"/>
  <c r="EJ47" i="49" s="1"/>
  <c r="EH47" i="49" s="1"/>
  <c r="EI47" i="49" s="1"/>
  <c r="IQ96" i="50"/>
  <c r="JN96" i="50"/>
  <c r="KK65" i="49"/>
  <c r="EJ23" i="51"/>
  <c r="EL62" i="49"/>
  <c r="EJ62" i="49" s="1"/>
  <c r="EH62" i="49" s="1"/>
  <c r="EI62" i="49" s="1"/>
  <c r="HR112" i="50"/>
  <c r="I52" i="49"/>
  <c r="IW52" i="49"/>
  <c r="HM112" i="50"/>
  <c r="N16" i="50"/>
  <c r="Q16" i="50" s="1"/>
  <c r="M48" i="49"/>
  <c r="R48" i="49"/>
  <c r="EL63" i="49"/>
  <c r="EJ63" i="49" s="1"/>
  <c r="JU23" i="49"/>
  <c r="IP55" i="49"/>
  <c r="IQ55" i="49"/>
  <c r="AL45" i="48" s="1"/>
  <c r="IT55" i="49"/>
  <c r="AO45" i="48" s="1"/>
  <c r="IS55" i="49"/>
  <c r="AN45" i="48" s="1"/>
  <c r="AM45" i="48"/>
  <c r="DN19" i="49"/>
  <c r="EB19" i="49" s="1"/>
  <c r="AQ18" i="48"/>
  <c r="DN63" i="49"/>
  <c r="EB63" i="49" s="1"/>
  <c r="EL35" i="49"/>
  <c r="EJ35" i="49" s="1"/>
  <c r="EH35" i="49" s="1"/>
  <c r="DC48" i="49"/>
  <c r="CZ48" i="49" s="1"/>
  <c r="DC42" i="49"/>
  <c r="CZ42" i="49" s="1"/>
  <c r="DN45" i="49"/>
  <c r="EB45" i="49" s="1"/>
  <c r="JR111" i="50"/>
  <c r="JQ111" i="50" s="1"/>
  <c r="C23" i="51"/>
  <c r="T81" i="51" s="1"/>
  <c r="BL81" i="51" s="1"/>
  <c r="FS113" i="50"/>
  <c r="JM152" i="50"/>
  <c r="IP152" i="50"/>
  <c r="EG67" i="49"/>
  <c r="KM45" i="49"/>
  <c r="P12" i="50"/>
  <c r="HQ112" i="50"/>
  <c r="IQ59" i="49"/>
  <c r="AL49" i="48" s="1"/>
  <c r="DV21" i="49"/>
  <c r="GW33" i="50"/>
  <c r="IB122" i="50" s="1"/>
  <c r="JC62" i="49"/>
  <c r="JK82" i="50"/>
  <c r="IW83" i="50" s="1"/>
  <c r="DG33" i="49"/>
  <c r="DY33" i="49" s="1"/>
  <c r="DW25" i="49"/>
  <c r="EL38" i="49"/>
  <c r="EJ38" i="49" s="1"/>
  <c r="JM67" i="50"/>
  <c r="JK67" i="50" s="1"/>
  <c r="IP67" i="50"/>
  <c r="IO67" i="50" s="1"/>
  <c r="BE27" i="49"/>
  <c r="DX47" i="49"/>
  <c r="DX42" i="49"/>
  <c r="Q17" i="50"/>
  <c r="EL23" i="49"/>
  <c r="EJ23" i="49" s="1"/>
  <c r="EH23" i="49" s="1"/>
  <c r="HK23" i="49" s="1"/>
  <c r="JT23" i="49"/>
  <c r="KB28" i="49"/>
  <c r="AS18" i="48" s="1"/>
  <c r="KA28" i="49"/>
  <c r="AR18" i="48" s="1"/>
  <c r="IP88" i="50"/>
  <c r="IO88" i="50" s="1"/>
  <c r="JT88" i="50"/>
  <c r="JR88" i="50" s="1"/>
  <c r="JQ88" i="50" s="1"/>
  <c r="JM88" i="50"/>
  <c r="JK88" i="50" s="1"/>
  <c r="JS38" i="49"/>
  <c r="FD39" i="49"/>
  <c r="HO39" i="49" s="1"/>
  <c r="JM53" i="50"/>
  <c r="JK53" i="50" s="1"/>
  <c r="IP53" i="50"/>
  <c r="IO53" i="50" s="1"/>
  <c r="DD37" i="49"/>
  <c r="DW37" i="49" s="1"/>
  <c r="BE33" i="49"/>
  <c r="EJ19" i="51"/>
  <c r="AB66" i="49"/>
  <c r="DN52" i="49"/>
  <c r="EB52" i="49" s="1"/>
  <c r="IB127" i="50"/>
  <c r="IB126" i="50"/>
  <c r="AM44" i="48"/>
  <c r="IT54" i="49"/>
  <c r="AO44" i="48" s="1"/>
  <c r="IS54" i="49"/>
  <c r="AN44" i="48" s="1"/>
  <c r="IQ54" i="49"/>
  <c r="AL44" i="48" s="1"/>
  <c r="AB54" i="49"/>
  <c r="KA30" i="49"/>
  <c r="AR20" i="48" s="1"/>
  <c r="AQ20" i="48"/>
  <c r="KB30" i="49"/>
  <c r="AS20" i="48" s="1"/>
  <c r="JY30" i="49"/>
  <c r="AP20" i="48" s="1"/>
  <c r="DN65" i="49"/>
  <c r="EL68" i="49"/>
  <c r="EJ68" i="49" s="1"/>
  <c r="EH68" i="49" s="1"/>
  <c r="EI68" i="49" s="1"/>
  <c r="EL30" i="49"/>
  <c r="EJ30" i="49" s="1"/>
  <c r="EH30" i="49" s="1"/>
  <c r="EI30" i="49" s="1"/>
  <c r="N36" i="50"/>
  <c r="Q36" i="50" s="1"/>
  <c r="JU69" i="49"/>
  <c r="JT69" i="49"/>
  <c r="G69" i="49"/>
  <c r="IR69" i="49"/>
  <c r="JW69" i="49"/>
  <c r="JV69" i="49"/>
  <c r="V52" i="49"/>
  <c r="KJ52" i="49" s="1"/>
  <c r="IB154" i="50"/>
  <c r="IB153" i="50"/>
  <c r="IA153" i="50" s="1"/>
  <c r="IC63" i="50"/>
  <c r="IA63" i="50"/>
  <c r="EB39" i="49"/>
  <c r="BK17" i="49"/>
  <c r="BE37" i="49"/>
  <c r="BF19" i="49"/>
  <c r="BF65" i="49"/>
  <c r="EL66" i="49"/>
  <c r="EJ66" i="49" s="1"/>
  <c r="EF66" i="49" s="1"/>
  <c r="BF37" i="49"/>
  <c r="BU17" i="49"/>
  <c r="AQ52" i="48"/>
  <c r="JY66" i="49"/>
  <c r="AP52" i="48" s="1"/>
  <c r="IQ62" i="49"/>
  <c r="EL43" i="49"/>
  <c r="EJ43" i="49" s="1"/>
  <c r="EH43" i="49" s="1"/>
  <c r="HK43" i="49" s="1"/>
  <c r="HL43" i="49" s="1"/>
  <c r="T33" i="48" s="1"/>
  <c r="EB55" i="49"/>
  <c r="IP62" i="49"/>
  <c r="GQ17" i="49"/>
  <c r="GU33" i="50"/>
  <c r="GZ122" i="50" s="1"/>
  <c r="HE122" i="50" s="1"/>
  <c r="BU135" i="48" s="1"/>
  <c r="JS46" i="49"/>
  <c r="DG65" i="49"/>
  <c r="DY65" i="49" s="1"/>
  <c r="IA64" i="50"/>
  <c r="ID64" i="50"/>
  <c r="HN46" i="50"/>
  <c r="HM46" i="50" s="1"/>
  <c r="HN107" i="50"/>
  <c r="HN45" i="50"/>
  <c r="EL29" i="49"/>
  <c r="EJ29" i="49" s="1"/>
  <c r="EH29" i="49" s="1"/>
  <c r="EL28" i="49"/>
  <c r="EJ28" i="49" s="1"/>
  <c r="EH28" i="49" s="1"/>
  <c r="EL56" i="49"/>
  <c r="EJ56" i="49" s="1"/>
  <c r="EH56" i="49" s="1"/>
  <c r="EL20" i="49"/>
  <c r="EJ20" i="49" s="1"/>
  <c r="EL55" i="49"/>
  <c r="EJ55" i="49" s="1"/>
  <c r="EL21" i="49"/>
  <c r="EJ21" i="49" s="1"/>
  <c r="EF21" i="49" s="1"/>
  <c r="EL22" i="49"/>
  <c r="EJ22" i="49" s="1"/>
  <c r="EL75" i="49"/>
  <c r="EJ75" i="49" s="1"/>
  <c r="EF75" i="49" s="1"/>
  <c r="LC23" i="49"/>
  <c r="LD23" i="49" s="1"/>
  <c r="EL50" i="49"/>
  <c r="EJ50" i="49" s="1"/>
  <c r="LH63" i="49"/>
  <c r="AH29" i="48"/>
  <c r="EO84" i="50"/>
  <c r="W13" i="48"/>
  <c r="EG28" i="49"/>
  <c r="HX41" i="49"/>
  <c r="X31" i="48" s="1"/>
  <c r="HV46" i="49"/>
  <c r="V36" i="48" s="1"/>
  <c r="LC46" i="49"/>
  <c r="LD46" i="49" s="1"/>
  <c r="W36" i="48"/>
  <c r="HY41" i="49"/>
  <c r="Y31" i="48" s="1"/>
  <c r="HY46" i="49"/>
  <c r="Y36" i="48" s="1"/>
  <c r="HV41" i="49"/>
  <c r="V31" i="48" s="1"/>
  <c r="EG47" i="49"/>
  <c r="EL49" i="49"/>
  <c r="EJ49" i="49" s="1"/>
  <c r="LC41" i="49"/>
  <c r="BT29" i="50"/>
  <c r="EA93" i="50" s="1"/>
  <c r="AJ24" i="48"/>
  <c r="FD63" i="49"/>
  <c r="HO63" i="49" s="1"/>
  <c r="HN63" i="49" s="1"/>
  <c r="AK24" i="48"/>
  <c r="EO64" i="50"/>
  <c r="AH24" i="48"/>
  <c r="AI24" i="48"/>
  <c r="EG63" i="49"/>
  <c r="AJ29" i="48"/>
  <c r="IP54" i="49"/>
  <c r="IT62" i="49"/>
  <c r="AJ45" i="48"/>
  <c r="EL48" i="49"/>
  <c r="EJ48" i="49" s="1"/>
  <c r="EH48" i="49" s="1"/>
  <c r="FH30" i="49"/>
  <c r="FF30" i="49" s="1"/>
  <c r="FD30" i="49" s="1"/>
  <c r="AK13" i="48"/>
  <c r="AH13" i="48"/>
  <c r="AI13" i="48"/>
  <c r="LG23" i="49"/>
  <c r="FD35" i="49"/>
  <c r="FE35" i="49" s="1"/>
  <c r="EG48" i="49"/>
  <c r="EO126" i="50"/>
  <c r="AI45" i="48"/>
  <c r="LG55" i="49"/>
  <c r="AH45" i="48"/>
  <c r="FD66" i="49"/>
  <c r="FE66" i="49" s="1"/>
  <c r="LG28" i="49"/>
  <c r="BT15" i="50"/>
  <c r="EA50" i="50" s="1"/>
  <c r="AH18" i="48"/>
  <c r="HV21" i="49"/>
  <c r="V11" i="48" s="1"/>
  <c r="AI18" i="48"/>
  <c r="LC21" i="49"/>
  <c r="LE21" i="49" s="1"/>
  <c r="AJ18" i="48"/>
  <c r="HX21" i="49"/>
  <c r="X11" i="48" s="1"/>
  <c r="LC63" i="49"/>
  <c r="LE63" i="49" s="1"/>
  <c r="HY63" i="49"/>
  <c r="FD56" i="49"/>
  <c r="FE56" i="49" s="1"/>
  <c r="EL24" i="49"/>
  <c r="EJ24" i="49" s="1"/>
  <c r="EH24" i="49" s="1"/>
  <c r="FH43" i="49"/>
  <c r="FF43" i="49" s="1"/>
  <c r="FH46" i="49"/>
  <c r="FF46" i="49" s="1"/>
  <c r="FD46" i="49" s="1"/>
  <c r="EL69" i="49"/>
  <c r="EJ69" i="49" s="1"/>
  <c r="EF69" i="49" s="1"/>
  <c r="EG20" i="49"/>
  <c r="FH59" i="49"/>
  <c r="FF59" i="49" s="1"/>
  <c r="FD59" i="49" s="1"/>
  <c r="FE59" i="49" s="1"/>
  <c r="FH40" i="49"/>
  <c r="FF40" i="49" s="1"/>
  <c r="FD40" i="49" s="1"/>
  <c r="LG31" i="49"/>
  <c r="LH31" i="49"/>
  <c r="EL40" i="49"/>
  <c r="EJ40" i="49" s="1"/>
  <c r="EH40" i="49" s="1"/>
  <c r="EG30" i="49"/>
  <c r="EG50" i="49"/>
  <c r="FH20" i="49"/>
  <c r="FF20" i="49" s="1"/>
  <c r="FD20" i="49" s="1"/>
  <c r="FH50" i="49"/>
  <c r="FF50" i="49" s="1"/>
  <c r="FD50" i="49" s="1"/>
  <c r="FH29" i="49"/>
  <c r="FF29" i="49" s="1"/>
  <c r="FD21" i="49"/>
  <c r="FE21" i="49" s="1"/>
  <c r="FH54" i="49"/>
  <c r="FF54" i="49" s="1"/>
  <c r="FD54" i="49" s="1"/>
  <c r="FH31" i="49"/>
  <c r="FF31" i="49" s="1"/>
  <c r="EH22" i="49"/>
  <c r="EI22" i="49" s="1"/>
  <c r="EH54" i="49"/>
  <c r="EI54" i="49" s="1"/>
  <c r="FH48" i="49"/>
  <c r="FF48" i="49" s="1"/>
  <c r="FH67" i="49"/>
  <c r="FF67" i="49" s="1"/>
  <c r="FD67" i="49" s="1"/>
  <c r="FH47" i="49"/>
  <c r="FF47" i="49" s="1"/>
  <c r="FD47" i="49" s="1"/>
  <c r="FH62" i="49"/>
  <c r="FF62" i="49" s="1"/>
  <c r="FD62" i="49" s="1"/>
  <c r="HO62" i="49" s="1"/>
  <c r="EG69" i="49"/>
  <c r="FE39" i="49"/>
  <c r="EG21" i="49"/>
  <c r="EH38" i="49"/>
  <c r="HK38" i="49" s="1"/>
  <c r="EH20" i="49"/>
  <c r="EI20" i="49" s="1"/>
  <c r="EH34" i="49"/>
  <c r="HK34" i="49" s="1"/>
  <c r="EF39" i="49"/>
  <c r="EE39" i="49" s="1"/>
  <c r="EH39" i="49"/>
  <c r="EI39" i="49" s="1"/>
  <c r="EL59" i="49"/>
  <c r="EJ59" i="49" s="1"/>
  <c r="FH41" i="49"/>
  <c r="FF41" i="49" s="1"/>
  <c r="EF41" i="49" s="1"/>
  <c r="FH49" i="49"/>
  <c r="FF49" i="49" s="1"/>
  <c r="FH25" i="49"/>
  <c r="FF25" i="49" s="1"/>
  <c r="EH41" i="49"/>
  <c r="HK41" i="49" s="1"/>
  <c r="EL67" i="49"/>
  <c r="EJ67" i="49" s="1"/>
  <c r="EH67" i="49" s="1"/>
  <c r="FH68" i="49"/>
  <c r="FF68" i="49" s="1"/>
  <c r="FH24" i="49"/>
  <c r="FF24" i="49" s="1"/>
  <c r="EF55" i="49"/>
  <c r="FH34" i="49"/>
  <c r="FF34" i="49" s="1"/>
  <c r="FD55" i="49"/>
  <c r="FE55" i="49" s="1"/>
  <c r="FH53" i="49"/>
  <c r="FF53" i="49" s="1"/>
  <c r="FH22" i="49"/>
  <c r="FF22" i="49" s="1"/>
  <c r="FH38" i="49"/>
  <c r="FF38" i="49" s="1"/>
  <c r="FH28" i="49"/>
  <c r="FF28" i="49" s="1"/>
  <c r="FD28" i="49" s="1"/>
  <c r="FE28" i="49" s="1"/>
  <c r="O17" i="49"/>
  <c r="EG59" i="49"/>
  <c r="EG68" i="49"/>
  <c r="HO69" i="49"/>
  <c r="BR36" i="50" s="1"/>
  <c r="W54" i="48"/>
  <c r="LC68" i="49"/>
  <c r="EI53" i="49"/>
  <c r="FS154" i="50"/>
  <c r="FU154" i="50"/>
  <c r="DX20" i="49"/>
  <c r="DB20" i="49"/>
  <c r="DC30" i="49"/>
  <c r="DX30" i="49"/>
  <c r="DB30" i="49"/>
  <c r="KA49" i="49"/>
  <c r="AR39" i="48" s="1"/>
  <c r="JY49" i="49"/>
  <c r="AP39" i="48" s="1"/>
  <c r="KB49" i="49"/>
  <c r="AS39" i="48" s="1"/>
  <c r="AQ39" i="48"/>
  <c r="DX38" i="49"/>
  <c r="DB38" i="49"/>
  <c r="DC38" i="49"/>
  <c r="JU54" i="49"/>
  <c r="JU52" i="49" s="1"/>
  <c r="JW54" i="49"/>
  <c r="JW52" i="49" s="1"/>
  <c r="JT54" i="49"/>
  <c r="JT52" i="49" s="1"/>
  <c r="G54" i="49"/>
  <c r="JV54" i="49"/>
  <c r="IW45" i="49"/>
  <c r="DB59" i="49"/>
  <c r="DB58" i="49" s="1"/>
  <c r="DE58" i="49"/>
  <c r="DX59" i="49"/>
  <c r="DB53" i="49"/>
  <c r="DC53" i="49"/>
  <c r="CZ53" i="49" s="1"/>
  <c r="DX53" i="49"/>
  <c r="DX22" i="49"/>
  <c r="DB22" i="49"/>
  <c r="HN70" i="50"/>
  <c r="HN69" i="50"/>
  <c r="HN68" i="50"/>
  <c r="DX23" i="49"/>
  <c r="M46" i="49"/>
  <c r="R46" i="49"/>
  <c r="CM23" i="51" s="1"/>
  <c r="IE46" i="49"/>
  <c r="FS84" i="50"/>
  <c r="FU84" i="50"/>
  <c r="JU31" i="49"/>
  <c r="JT31" i="49"/>
  <c r="G31" i="49"/>
  <c r="JV31" i="49"/>
  <c r="JW31" i="49"/>
  <c r="JU22" i="49"/>
  <c r="G22" i="49"/>
  <c r="AB22" i="49"/>
  <c r="D13" i="51"/>
  <c r="JT22" i="49"/>
  <c r="JV22" i="49"/>
  <c r="JW68" i="49"/>
  <c r="JT68" i="49"/>
  <c r="JU68" i="49"/>
  <c r="JV68" i="49"/>
  <c r="G68" i="49"/>
  <c r="KB21" i="49"/>
  <c r="AS11" i="48" s="1"/>
  <c r="KA21" i="49"/>
  <c r="AR11" i="48" s="1"/>
  <c r="JY21" i="49"/>
  <c r="AP11" i="48" s="1"/>
  <c r="AQ11" i="48"/>
  <c r="IE38" i="49"/>
  <c r="R38" i="49"/>
  <c r="M38" i="49"/>
  <c r="AQ36" i="48"/>
  <c r="JY46" i="49"/>
  <c r="AP36" i="48" s="1"/>
  <c r="KB46" i="49"/>
  <c r="AS36" i="48" s="1"/>
  <c r="KA46" i="49"/>
  <c r="AR36" i="48" s="1"/>
  <c r="AK17" i="49"/>
  <c r="JZ58" i="49"/>
  <c r="JY59" i="49"/>
  <c r="AP49" i="48" s="1"/>
  <c r="KB59" i="49"/>
  <c r="AS49" i="48" s="1"/>
  <c r="KA59" i="49"/>
  <c r="AR49" i="48" s="1"/>
  <c r="K41" i="44" s="1"/>
  <c r="AQ49" i="48"/>
  <c r="JM48" i="50"/>
  <c r="JK48" i="50" s="1"/>
  <c r="IP48" i="50"/>
  <c r="IO48" i="50" s="1"/>
  <c r="JQ48" i="50"/>
  <c r="IE62" i="49"/>
  <c r="M62" i="49"/>
  <c r="R62" i="49"/>
  <c r="DE19" i="49"/>
  <c r="DX19" i="49" s="1"/>
  <c r="AD17" i="49"/>
  <c r="JS42" i="49"/>
  <c r="DC75" i="49"/>
  <c r="CZ75" i="49" s="1"/>
  <c r="DY75" i="49"/>
  <c r="DY73" i="49" s="1"/>
  <c r="DC24" i="49"/>
  <c r="CZ24" i="49" s="1"/>
  <c r="DB24" i="49"/>
  <c r="DX24" i="49"/>
  <c r="C22" i="51"/>
  <c r="IR39" i="49"/>
  <c r="EG23" i="49"/>
  <c r="EB65" i="49"/>
  <c r="IB84" i="50"/>
  <c r="IB83" i="50"/>
  <c r="DB69" i="49"/>
  <c r="DC69" i="49"/>
  <c r="T75" i="51"/>
  <c r="BL75" i="51" s="1"/>
  <c r="GJ69" i="50"/>
  <c r="GG69" i="50"/>
  <c r="KA48" i="49"/>
  <c r="AR38" i="48" s="1"/>
  <c r="JY48" i="49"/>
  <c r="AP38" i="48" s="1"/>
  <c r="KB48" i="49"/>
  <c r="AS38" i="48" s="1"/>
  <c r="AQ38" i="48"/>
  <c r="LC38" i="49"/>
  <c r="LD38" i="49" s="1"/>
  <c r="LH46" i="49"/>
  <c r="JT43" i="49"/>
  <c r="JV43" i="49"/>
  <c r="G43" i="49"/>
  <c r="IR43" i="49"/>
  <c r="JW43" i="49"/>
  <c r="JU43" i="49"/>
  <c r="HM94" i="50"/>
  <c r="HP94" i="50"/>
  <c r="GJ70" i="50"/>
  <c r="GG70" i="50"/>
  <c r="GI154" i="50"/>
  <c r="GG154" i="50"/>
  <c r="IR22" i="49"/>
  <c r="T91" i="51"/>
  <c r="BL91" i="51" s="1"/>
  <c r="HO93" i="50"/>
  <c r="HQ93" i="50"/>
  <c r="HM93" i="50"/>
  <c r="GG68" i="50"/>
  <c r="GK68" i="50"/>
  <c r="GI68" i="50"/>
  <c r="GM122" i="50"/>
  <c r="GG122" i="50"/>
  <c r="GL122" i="50" s="1"/>
  <c r="GK122" i="50"/>
  <c r="DB35" i="49"/>
  <c r="DB33" i="49" s="1"/>
  <c r="DX35" i="49"/>
  <c r="DY66" i="49"/>
  <c r="T87" i="51"/>
  <c r="BL87" i="51" s="1"/>
  <c r="P25" i="37"/>
  <c r="L25" i="37" s="1"/>
  <c r="P26" i="37"/>
  <c r="L26" i="37" s="1"/>
  <c r="IP38" i="49"/>
  <c r="GU26" i="50"/>
  <c r="ED22" i="51"/>
  <c r="AM28" i="48"/>
  <c r="IT38" i="49"/>
  <c r="AO28" i="48" s="1"/>
  <c r="IQ38" i="49"/>
  <c r="AL28" i="48" s="1"/>
  <c r="O33" i="37" s="1"/>
  <c r="IS38" i="49"/>
  <c r="AN28" i="48" s="1"/>
  <c r="J21" i="44" s="1"/>
  <c r="T89" i="51"/>
  <c r="BL89" i="51" s="1"/>
  <c r="T79" i="51"/>
  <c r="BL79" i="51" s="1"/>
  <c r="IQ46" i="49"/>
  <c r="AL36" i="48" s="1"/>
  <c r="IS46" i="49"/>
  <c r="AN36" i="48" s="1"/>
  <c r="IT46" i="49"/>
  <c r="AO36" i="48" s="1"/>
  <c r="ED23" i="51"/>
  <c r="AM36" i="48"/>
  <c r="IP46" i="49"/>
  <c r="JD27" i="49"/>
  <c r="IR68" i="49"/>
  <c r="IR31" i="49"/>
  <c r="EG42" i="49"/>
  <c r="BY62" i="51"/>
  <c r="F41" i="51" s="1"/>
  <c r="E41" i="51" s="1"/>
  <c r="BN62" i="51"/>
  <c r="F26" i="51" s="1"/>
  <c r="BM75" i="51"/>
  <c r="AW66" i="51"/>
  <c r="AV66" i="51"/>
  <c r="BS77" i="51"/>
  <c r="BU62" i="51"/>
  <c r="F36" i="51" s="1"/>
  <c r="E36" i="51" s="1"/>
  <c r="CW77" i="51"/>
  <c r="CR77" i="51" s="1"/>
  <c r="BP77" i="51"/>
  <c r="CP77" i="51" s="1"/>
  <c r="CV77" i="51" s="1"/>
  <c r="BF75" i="51"/>
  <c r="BF62" i="51" s="1"/>
  <c r="N62" i="51" s="1"/>
  <c r="BG62" i="51"/>
  <c r="F17" i="51" s="1"/>
  <c r="AW83" i="51"/>
  <c r="AV83" i="51"/>
  <c r="F14" i="51"/>
  <c r="E14" i="51" s="1"/>
  <c r="M62" i="51"/>
  <c r="BD62" i="51"/>
  <c r="BM79" i="51"/>
  <c r="BP75" i="51"/>
  <c r="BQ62" i="51"/>
  <c r="CW75" i="51"/>
  <c r="BM77" i="51"/>
  <c r="BP79" i="51"/>
  <c r="CP79" i="51" s="1"/>
  <c r="CV79" i="51" s="1"/>
  <c r="CV66" i="51" s="1"/>
  <c r="CW79" i="51"/>
  <c r="BX62" i="51"/>
  <c r="F40" i="51" s="1"/>
  <c r="BW75" i="51"/>
  <c r="BO62" i="51"/>
  <c r="F27" i="51" s="1"/>
  <c r="BB75" i="51"/>
  <c r="BC62" i="51"/>
  <c r="AW65" i="51"/>
  <c r="AV65" i="51"/>
  <c r="CL62" i="51"/>
  <c r="AU62" i="51" s="1"/>
  <c r="BB79" i="51"/>
  <c r="BB77" i="51"/>
  <c r="BB87" i="51"/>
  <c r="AA43" i="39"/>
  <c r="DA90" i="14"/>
  <c r="AG90" i="18" s="1"/>
  <c r="AE90" i="18"/>
  <c r="CX90" i="14"/>
  <c r="AD90" i="18" s="1"/>
  <c r="CX85" i="14"/>
  <c r="AD89" i="18" s="1"/>
  <c r="DA85" i="14"/>
  <c r="AG89" i="18" s="1"/>
  <c r="AE89" i="18"/>
  <c r="LD85" i="14"/>
  <c r="LG85" i="14" s="1"/>
  <c r="AE75" i="18"/>
  <c r="CZ89" i="14"/>
  <c r="AF75" i="18" s="1"/>
  <c r="CX89" i="14"/>
  <c r="AD75" i="18" s="1"/>
  <c r="DB89" i="14"/>
  <c r="DB145" i="14" s="1"/>
  <c r="CY145" i="14" s="1"/>
  <c r="CX83" i="14"/>
  <c r="AD73" i="18" s="1"/>
  <c r="CZ83" i="14"/>
  <c r="AF73" i="18" s="1"/>
  <c r="DB83" i="14"/>
  <c r="DB139" i="14" s="1"/>
  <c r="CY139" i="14" s="1"/>
  <c r="AE73" i="18"/>
  <c r="CZ84" i="14"/>
  <c r="AF74" i="18" s="1"/>
  <c r="CX84" i="14"/>
  <c r="AD74" i="18" s="1"/>
  <c r="LD84" i="14"/>
  <c r="AE74" i="18"/>
  <c r="CJ139" i="14"/>
  <c r="CO139" i="14"/>
  <c r="CP139" i="14"/>
  <c r="BK141" i="18" s="1"/>
  <c r="CX97" i="14"/>
  <c r="AD77" i="18" s="1"/>
  <c r="AE77" i="18"/>
  <c r="DB97" i="14"/>
  <c r="CZ97" i="14"/>
  <c r="AF77" i="18" s="1"/>
  <c r="AE92" i="18"/>
  <c r="DA98" i="14"/>
  <c r="AG92" i="18" s="1"/>
  <c r="CX98" i="14"/>
  <c r="AD92" i="18" s="1"/>
  <c r="EG54" i="49"/>
  <c r="EG22" i="49"/>
  <c r="EH50" i="49"/>
  <c r="HK50" i="49" s="1"/>
  <c r="EG29" i="49"/>
  <c r="IO111" i="50"/>
  <c r="JK111" i="50"/>
  <c r="IW113" i="50" s="1"/>
  <c r="IA113" i="50"/>
  <c r="ID113" i="50"/>
  <c r="Q14" i="50"/>
  <c r="AI54" i="48"/>
  <c r="AH54" i="48"/>
  <c r="AG17" i="49"/>
  <c r="EG46" i="49"/>
  <c r="HY43" i="49"/>
  <c r="Y33" i="48" s="1"/>
  <c r="HX43" i="49"/>
  <c r="X33" i="48" s="1"/>
  <c r="HV43" i="49"/>
  <c r="V33" i="48" s="1"/>
  <c r="LC43" i="49"/>
  <c r="W33" i="48"/>
  <c r="BT30" i="50"/>
  <c r="W32" i="48"/>
  <c r="HV42" i="49"/>
  <c r="V32" i="48" s="1"/>
  <c r="HX42" i="49"/>
  <c r="X32" i="48" s="1"/>
  <c r="HY42" i="49"/>
  <c r="Y32" i="48" s="1"/>
  <c r="AK40" i="48"/>
  <c r="AJ40" i="48"/>
  <c r="AI40" i="48"/>
  <c r="AH40" i="48"/>
  <c r="KA23" i="49"/>
  <c r="AR13" i="48" s="1"/>
  <c r="JY23" i="49"/>
  <c r="AP13" i="48" s="1"/>
  <c r="AQ13" i="48"/>
  <c r="KB23" i="49"/>
  <c r="AS13" i="48" s="1"/>
  <c r="HM127" i="50"/>
  <c r="HP127" i="50"/>
  <c r="AI17" i="49"/>
  <c r="GH113" i="50"/>
  <c r="GH112" i="50"/>
  <c r="GH54" i="50"/>
  <c r="GH55" i="50"/>
  <c r="AK33" i="48"/>
  <c r="AJ33" i="48"/>
  <c r="AI33" i="48"/>
  <c r="AH33" i="48"/>
  <c r="HS67" i="49"/>
  <c r="JM125" i="50"/>
  <c r="JK125" i="50" s="1"/>
  <c r="IP125" i="50"/>
  <c r="IO125" i="50" s="1"/>
  <c r="JE61" i="49"/>
  <c r="D17" i="49"/>
  <c r="CF17" i="49" s="1"/>
  <c r="DO61" i="49"/>
  <c r="EC61" i="49" s="1"/>
  <c r="GR61" i="49"/>
  <c r="FS63" i="50"/>
  <c r="FU63" i="50"/>
  <c r="FW63" i="50"/>
  <c r="DA62" i="49"/>
  <c r="DA61" i="49" s="1"/>
  <c r="DD61" i="49"/>
  <c r="DG37" i="49"/>
  <c r="DY37" i="49" s="1"/>
  <c r="KI52" i="49"/>
  <c r="DC31" i="49"/>
  <c r="DA31" i="49"/>
  <c r="DW31" i="49"/>
  <c r="DB31" i="49"/>
  <c r="DX31" i="49"/>
  <c r="AH55" i="48"/>
  <c r="AI55" i="48"/>
  <c r="AI44" i="48"/>
  <c r="AJ44" i="48"/>
  <c r="AK44" i="48"/>
  <c r="LG54" i="49"/>
  <c r="AH44" i="48"/>
  <c r="BD68" i="49"/>
  <c r="KI45" i="49"/>
  <c r="HN84" i="50"/>
  <c r="HN83" i="50"/>
  <c r="HX22" i="49"/>
  <c r="X12" i="48" s="1"/>
  <c r="LC22" i="49"/>
  <c r="BT16" i="50"/>
  <c r="HY22" i="49"/>
  <c r="Y12" i="48" s="1"/>
  <c r="W12" i="48"/>
  <c r="HV22" i="49"/>
  <c r="V12" i="48" s="1"/>
  <c r="AK21" i="48"/>
  <c r="AH21" i="48"/>
  <c r="AI21" i="48"/>
  <c r="AJ21" i="48"/>
  <c r="DX68" i="49"/>
  <c r="JT21" i="49"/>
  <c r="N15" i="50"/>
  <c r="Q15" i="50" s="1"/>
  <c r="JV21" i="49"/>
  <c r="G21" i="49"/>
  <c r="JX21" i="49"/>
  <c r="JX19" i="49" s="1"/>
  <c r="JX17" i="49" s="1"/>
  <c r="JW21" i="49"/>
  <c r="JU21" i="49"/>
  <c r="KK45" i="49"/>
  <c r="JY67" i="49"/>
  <c r="AP53" i="48" s="1"/>
  <c r="AQ53" i="48"/>
  <c r="W29" i="48"/>
  <c r="HY39" i="49"/>
  <c r="Y29" i="48" s="1"/>
  <c r="HX39" i="49"/>
  <c r="X29" i="48" s="1"/>
  <c r="BT27" i="50"/>
  <c r="HV39" i="49"/>
  <c r="V29" i="48" s="1"/>
  <c r="IT40" i="49"/>
  <c r="AO30" i="48" s="1"/>
  <c r="IQ40" i="49"/>
  <c r="AL30" i="48" s="1"/>
  <c r="GU28" i="50"/>
  <c r="IP40" i="49"/>
  <c r="AM30" i="48"/>
  <c r="IS40" i="49"/>
  <c r="AN30" i="48" s="1"/>
  <c r="DC68" i="49"/>
  <c r="CZ68" i="49" s="1"/>
  <c r="IQ152" i="50"/>
  <c r="JQ152" i="50"/>
  <c r="JN152" i="50"/>
  <c r="AK43" i="48"/>
  <c r="LG53" i="49"/>
  <c r="AJ43" i="48"/>
  <c r="AI43" i="48"/>
  <c r="AH43" i="48"/>
  <c r="HX28" i="49"/>
  <c r="X18" i="48" s="1"/>
  <c r="W18" i="48"/>
  <c r="LC28" i="49"/>
  <c r="HY28" i="49"/>
  <c r="Y18" i="48" s="1"/>
  <c r="HV28" i="49"/>
  <c r="V18" i="48" s="1"/>
  <c r="HN50" i="50"/>
  <c r="HN49" i="50"/>
  <c r="KI37" i="49"/>
  <c r="KM37" i="49"/>
  <c r="KK37" i="49"/>
  <c r="KO37" i="49"/>
  <c r="IS42" i="49"/>
  <c r="AN32" i="48" s="1"/>
  <c r="AM32" i="48"/>
  <c r="GU30" i="50"/>
  <c r="IQ42" i="49"/>
  <c r="AL32" i="48" s="1"/>
  <c r="IT42" i="49"/>
  <c r="AO32" i="48" s="1"/>
  <c r="IP42" i="49"/>
  <c r="DI61" i="49"/>
  <c r="EA61" i="49" s="1"/>
  <c r="IW27" i="49"/>
  <c r="EG41" i="49"/>
  <c r="V33" i="49"/>
  <c r="KH33" i="49" s="1"/>
  <c r="DA20" i="49"/>
  <c r="DW20" i="49"/>
  <c r="DC20" i="49"/>
  <c r="KO45" i="49"/>
  <c r="AB58" i="49"/>
  <c r="G58" i="49"/>
  <c r="AJ28" i="48"/>
  <c r="AK28" i="48"/>
  <c r="AH28" i="48"/>
  <c r="AI28" i="48"/>
  <c r="W25" i="48"/>
  <c r="BT22" i="50"/>
  <c r="HY35" i="49"/>
  <c r="Y25" i="48" s="1"/>
  <c r="HV35" i="49"/>
  <c r="V25" i="48" s="1"/>
  <c r="HX35" i="49"/>
  <c r="X25" i="48" s="1"/>
  <c r="LC35" i="49"/>
  <c r="LD35" i="49" s="1"/>
  <c r="HN89" i="50"/>
  <c r="HN90" i="50"/>
  <c r="DX46" i="49"/>
  <c r="DB46" i="49"/>
  <c r="W14" i="48"/>
  <c r="HX24" i="49"/>
  <c r="X14" i="48" s="1"/>
  <c r="HY24" i="49"/>
  <c r="Y14" i="48" s="1"/>
  <c r="HV24" i="49"/>
  <c r="V14" i="48" s="1"/>
  <c r="JS59" i="49"/>
  <c r="JS58" i="49" s="1"/>
  <c r="JV58" i="49"/>
  <c r="HV48" i="49"/>
  <c r="V38" i="48" s="1"/>
  <c r="W38" i="48"/>
  <c r="HY48" i="49"/>
  <c r="Y38" i="48" s="1"/>
  <c r="HX48" i="49"/>
  <c r="X38" i="48" s="1"/>
  <c r="LC48" i="49"/>
  <c r="AK46" i="48"/>
  <c r="AJ46" i="48"/>
  <c r="AH46" i="48"/>
  <c r="AI46" i="48"/>
  <c r="BD56" i="49"/>
  <c r="ID41" i="49"/>
  <c r="IF41" i="49"/>
  <c r="FB29" i="50"/>
  <c r="HS41" i="49"/>
  <c r="JV116" i="50"/>
  <c r="JR116" i="50" s="1"/>
  <c r="JQ116" i="50" s="1"/>
  <c r="JW116" i="50"/>
  <c r="IQ116" i="50"/>
  <c r="IQ102" i="50" s="1"/>
  <c r="JN116" i="50"/>
  <c r="IS23" i="49"/>
  <c r="AN13" i="48" s="1"/>
  <c r="GU17" i="50"/>
  <c r="IQ23" i="49"/>
  <c r="AL13" i="48" s="1"/>
  <c r="IT23" i="49"/>
  <c r="AO13" i="48" s="1"/>
  <c r="ED14" i="51"/>
  <c r="IP23" i="49"/>
  <c r="AM13" i="48"/>
  <c r="AJ31" i="48"/>
  <c r="AI31" i="48"/>
  <c r="AK31" i="48"/>
  <c r="AH31" i="48"/>
  <c r="W46" i="48"/>
  <c r="HV56" i="49"/>
  <c r="V46" i="48" s="1"/>
  <c r="HY56" i="49"/>
  <c r="Y46" i="48" s="1"/>
  <c r="HX56" i="49"/>
  <c r="X46" i="48" s="1"/>
  <c r="F63" i="49"/>
  <c r="L63" i="49" s="1"/>
  <c r="L61" i="49" s="1"/>
  <c r="L17" i="49" s="1"/>
  <c r="V63" i="49"/>
  <c r="AB63" i="49" s="1"/>
  <c r="U61" i="49"/>
  <c r="FT50" i="50"/>
  <c r="FT49" i="50"/>
  <c r="GH107" i="50"/>
  <c r="GH108" i="50"/>
  <c r="GH45" i="50"/>
  <c r="GH46" i="50"/>
  <c r="AK12" i="48"/>
  <c r="AI12" i="48"/>
  <c r="AJ12" i="48"/>
  <c r="AH12" i="48"/>
  <c r="HV62" i="49"/>
  <c r="HY62" i="49"/>
  <c r="BT33" i="50"/>
  <c r="EA122" i="50" s="1"/>
  <c r="F19" i="49"/>
  <c r="KM19" i="49"/>
  <c r="KK19" i="49"/>
  <c r="IQ62" i="50"/>
  <c r="IO62" i="50" s="1"/>
  <c r="JQ62" i="50"/>
  <c r="JN62" i="50"/>
  <c r="JK62" i="50" s="1"/>
  <c r="FS64" i="50"/>
  <c r="FV64" i="50"/>
  <c r="IQ74" i="50"/>
  <c r="JY47" i="49"/>
  <c r="AP37" i="48" s="1"/>
  <c r="AQ37" i="48"/>
  <c r="KA47" i="49"/>
  <c r="AR37" i="48" s="1"/>
  <c r="KB47" i="49"/>
  <c r="AS37" i="48" s="1"/>
  <c r="GZ94" i="50"/>
  <c r="GZ93" i="50"/>
  <c r="HV67" i="49"/>
  <c r="V53" i="48" s="1"/>
  <c r="LC67" i="49"/>
  <c r="W53" i="48"/>
  <c r="HY20" i="49"/>
  <c r="Y10" i="48" s="1"/>
  <c r="HX20" i="49"/>
  <c r="X10" i="48" s="1"/>
  <c r="HV20" i="49"/>
  <c r="V10" i="48" s="1"/>
  <c r="BT14" i="50"/>
  <c r="W10" i="48"/>
  <c r="KO19" i="49"/>
  <c r="GP61" i="49"/>
  <c r="GP17" i="49" s="1"/>
  <c r="FY122" i="50"/>
  <c r="FW122" i="50"/>
  <c r="FS122" i="50"/>
  <c r="FX122" i="50" s="1"/>
  <c r="BF45" i="49"/>
  <c r="DB56" i="49"/>
  <c r="DX56" i="49"/>
  <c r="DC56" i="49"/>
  <c r="CZ56" i="49" s="1"/>
  <c r="AE93" i="50"/>
  <c r="AE94" i="50"/>
  <c r="CM48" i="51" s="1"/>
  <c r="M59" i="49"/>
  <c r="M58" i="49" s="1"/>
  <c r="R59" i="49"/>
  <c r="IE59" i="49"/>
  <c r="AK37" i="48"/>
  <c r="AJ37" i="48"/>
  <c r="AI37" i="48"/>
  <c r="AH37" i="48"/>
  <c r="W21" i="48"/>
  <c r="HV31" i="49"/>
  <c r="V21" i="48" s="1"/>
  <c r="HX31" i="49"/>
  <c r="X21" i="48" s="1"/>
  <c r="HY31" i="49"/>
  <c r="Y21" i="48" s="1"/>
  <c r="AK32" i="48"/>
  <c r="AI32" i="48"/>
  <c r="AH32" i="48"/>
  <c r="AJ32" i="48"/>
  <c r="KI19" i="49"/>
  <c r="F37" i="49"/>
  <c r="ID37" i="49" s="1"/>
  <c r="HR37" i="49" s="1"/>
  <c r="AF17" i="49"/>
  <c r="AE17" i="49"/>
  <c r="IP67" i="49"/>
  <c r="AM53" i="48"/>
  <c r="IQ67" i="49"/>
  <c r="AL53" i="48" s="1"/>
  <c r="W45" i="48"/>
  <c r="LC55" i="49"/>
  <c r="LD55" i="49" s="1"/>
  <c r="HX55" i="49"/>
  <c r="X45" i="48" s="1"/>
  <c r="HV55" i="49"/>
  <c r="V45" i="48" s="1"/>
  <c r="HY55" i="49"/>
  <c r="Y45" i="48" s="1"/>
  <c r="HV69" i="49"/>
  <c r="V55" i="48" s="1"/>
  <c r="BT36" i="50"/>
  <c r="W55" i="48"/>
  <c r="LC69" i="49"/>
  <c r="AH38" i="48"/>
  <c r="AJ38" i="48"/>
  <c r="AI38" i="48"/>
  <c r="AK38" i="48"/>
  <c r="BE52" i="49"/>
  <c r="AA61" i="49"/>
  <c r="K61" i="49" s="1"/>
  <c r="JD19" i="49"/>
  <c r="K19" i="49"/>
  <c r="IK19" i="49" s="1"/>
  <c r="IA19" i="49" s="1"/>
  <c r="R23" i="49"/>
  <c r="M23" i="49"/>
  <c r="AH53" i="48"/>
  <c r="AI53" i="48"/>
  <c r="AH20" i="48"/>
  <c r="AK20" i="48"/>
  <c r="AI20" i="48"/>
  <c r="AJ20" i="48"/>
  <c r="AI14" i="48"/>
  <c r="AJ14" i="48"/>
  <c r="AK14" i="48"/>
  <c r="AH14" i="48"/>
  <c r="AK35" i="48"/>
  <c r="AI35" i="48"/>
  <c r="AJ35" i="48"/>
  <c r="AB21" i="49"/>
  <c r="DA55" i="49"/>
  <c r="DA52" i="49" s="1"/>
  <c r="DW55" i="49"/>
  <c r="DD52" i="49"/>
  <c r="DW52" i="49" s="1"/>
  <c r="AC17" i="49"/>
  <c r="GH49" i="50"/>
  <c r="GH50" i="50"/>
  <c r="IR21" i="49"/>
  <c r="R42" i="49"/>
  <c r="AB30" i="50" s="1"/>
  <c r="M42" i="49"/>
  <c r="IE42" i="49"/>
  <c r="DX29" i="49"/>
  <c r="DB29" i="49"/>
  <c r="HX54" i="49"/>
  <c r="X44" i="48" s="1"/>
  <c r="LC54" i="49"/>
  <c r="LD54" i="49" s="1"/>
  <c r="HV54" i="49"/>
  <c r="V44" i="48" s="1"/>
  <c r="HY54" i="49"/>
  <c r="Y44" i="48" s="1"/>
  <c r="W44" i="48"/>
  <c r="HY50" i="49"/>
  <c r="Y40" i="48" s="1"/>
  <c r="HV50" i="49"/>
  <c r="V40" i="48" s="1"/>
  <c r="HX50" i="49"/>
  <c r="X40" i="48" s="1"/>
  <c r="W40" i="48"/>
  <c r="BD53" i="49"/>
  <c r="DV53" i="49"/>
  <c r="BG52" i="49"/>
  <c r="HM126" i="50"/>
  <c r="HQ126" i="50"/>
  <c r="EV75" i="49"/>
  <c r="EV73" i="49" s="1"/>
  <c r="HK76" i="49"/>
  <c r="IQ66" i="49"/>
  <c r="AL52" i="48" s="1"/>
  <c r="AM52" i="48"/>
  <c r="IP66" i="49"/>
  <c r="M53" i="49"/>
  <c r="IE53" i="49"/>
  <c r="R53" i="49"/>
  <c r="IF20" i="49"/>
  <c r="ID20" i="49"/>
  <c r="FB14" i="50"/>
  <c r="DZ12" i="51"/>
  <c r="HS20" i="49"/>
  <c r="BE63" i="49"/>
  <c r="DW63" i="49"/>
  <c r="BG63" i="49"/>
  <c r="HM63" i="50"/>
  <c r="HO63" i="50"/>
  <c r="EH49" i="49"/>
  <c r="EG49" i="49"/>
  <c r="LG34" i="49"/>
  <c r="LF33" i="49"/>
  <c r="HP98" i="50"/>
  <c r="HM98" i="50"/>
  <c r="DQ17" i="51"/>
  <c r="K18" i="48"/>
  <c r="HR28" i="49"/>
  <c r="J18" i="48" s="1"/>
  <c r="HT28" i="49"/>
  <c r="L18" i="48" s="1"/>
  <c r="KZ28" i="49"/>
  <c r="HU28" i="49"/>
  <c r="M18" i="48" s="1"/>
  <c r="EA19" i="49"/>
  <c r="LE38" i="49"/>
  <c r="EJ12" i="51"/>
  <c r="DB43" i="49"/>
  <c r="DC43" i="49"/>
  <c r="CZ43" i="49" s="1"/>
  <c r="EO89" i="50"/>
  <c r="EO90" i="50"/>
  <c r="DX43" i="49"/>
  <c r="DG27" i="49"/>
  <c r="DB39" i="49"/>
  <c r="DX39" i="49"/>
  <c r="DC39" i="49"/>
  <c r="DE37" i="49"/>
  <c r="DX37" i="49" s="1"/>
  <c r="KK52" i="49"/>
  <c r="LD49" i="49"/>
  <c r="LE49" i="49"/>
  <c r="IP96" i="50"/>
  <c r="IO96" i="50" s="1"/>
  <c r="JM96" i="50"/>
  <c r="JQ96" i="50"/>
  <c r="IP78" i="50"/>
  <c r="JM78" i="50"/>
  <c r="JK78" i="50" s="1"/>
  <c r="JT78" i="50"/>
  <c r="JR78" i="50" s="1"/>
  <c r="JQ78" i="50" s="1"/>
  <c r="JQ75" i="50" s="1"/>
  <c r="JS53" i="49"/>
  <c r="EF63" i="49"/>
  <c r="EH63" i="49"/>
  <c r="DW65" i="49"/>
  <c r="CM12" i="51"/>
  <c r="AB14" i="50"/>
  <c r="AB25" i="49"/>
  <c r="JV25" i="49"/>
  <c r="JW25" i="49"/>
  <c r="G25" i="49"/>
  <c r="JT25" i="49"/>
  <c r="JU25" i="49"/>
  <c r="JU19" i="49" s="1"/>
  <c r="V19" i="49"/>
  <c r="KN19" i="49" s="1"/>
  <c r="IW94" i="50"/>
  <c r="JL92" i="50"/>
  <c r="IZ93" i="50" s="1"/>
  <c r="JP92" i="50"/>
  <c r="IW93" i="50"/>
  <c r="IP35" i="49"/>
  <c r="IQ35" i="49"/>
  <c r="AL25" i="48" s="1"/>
  <c r="IT35" i="49"/>
  <c r="AO25" i="48" s="1"/>
  <c r="GU22" i="50"/>
  <c r="AM25" i="48"/>
  <c r="IS35" i="49"/>
  <c r="AN25" i="48" s="1"/>
  <c r="EA79" i="50"/>
  <c r="EA80" i="50"/>
  <c r="ID19" i="49"/>
  <c r="HR19" i="49" s="1"/>
  <c r="J9" i="48" s="1"/>
  <c r="GM117" i="50"/>
  <c r="GG117" i="50"/>
  <c r="GL117" i="50" s="1"/>
  <c r="GK117" i="50"/>
  <c r="LH21" i="49"/>
  <c r="LG21" i="49"/>
  <c r="G47" i="49"/>
  <c r="JV47" i="49"/>
  <c r="JW47" i="49"/>
  <c r="JW45" i="49" s="1"/>
  <c r="JT47" i="49"/>
  <c r="JT45" i="49" s="1"/>
  <c r="V45" i="49"/>
  <c r="KJ45" i="49" s="1"/>
  <c r="AB47" i="49"/>
  <c r="JU47" i="49"/>
  <c r="JU45" i="49" s="1"/>
  <c r="DC66" i="49"/>
  <c r="DX66" i="49"/>
  <c r="DE65" i="49"/>
  <c r="DX65" i="49" s="1"/>
  <c r="DB66" i="49"/>
  <c r="DY62" i="49"/>
  <c r="BD35" i="49"/>
  <c r="BD33" i="49" s="1"/>
  <c r="BD67" i="49"/>
  <c r="DV67" i="49"/>
  <c r="BG65" i="49"/>
  <c r="IG75" i="49"/>
  <c r="HW75" i="49"/>
  <c r="IE75" i="49"/>
  <c r="DZ30" i="51" s="1"/>
  <c r="JS34" i="49"/>
  <c r="I33" i="49"/>
  <c r="IH33" i="49" s="1"/>
  <c r="HW33" i="49" s="1"/>
  <c r="IW33" i="49"/>
  <c r="DX49" i="49"/>
  <c r="DB49" i="49"/>
  <c r="DB45" i="49" s="1"/>
  <c r="DC49" i="49"/>
  <c r="DE45" i="49"/>
  <c r="DX45" i="49" s="1"/>
  <c r="LD39" i="49"/>
  <c r="LE39" i="49"/>
  <c r="ID23" i="49"/>
  <c r="FB17" i="50"/>
  <c r="DZ14" i="51"/>
  <c r="IF23" i="49"/>
  <c r="HS23" i="49"/>
  <c r="LH40" i="49"/>
  <c r="LG40" i="49"/>
  <c r="AQ40" i="48"/>
  <c r="KB50" i="49"/>
  <c r="AS40" i="48" s="1"/>
  <c r="JY50" i="49"/>
  <c r="AP40" i="48" s="1"/>
  <c r="KA50" i="49"/>
  <c r="AR40" i="48" s="1"/>
  <c r="LC50" i="49"/>
  <c r="GJ64" i="50"/>
  <c r="GG64" i="50"/>
  <c r="EG40" i="49"/>
  <c r="Y17" i="49"/>
  <c r="I17" i="49" s="1"/>
  <c r="S17" i="49" s="1"/>
  <c r="I19" i="49"/>
  <c r="IH19" i="49" s="1"/>
  <c r="HW19" i="49" s="1"/>
  <c r="N22" i="50"/>
  <c r="Q22" i="50" s="1"/>
  <c r="JV35" i="49"/>
  <c r="G35" i="49"/>
  <c r="JT35" i="49"/>
  <c r="JT33" i="49" s="1"/>
  <c r="JU35" i="49"/>
  <c r="JU33" i="49" s="1"/>
  <c r="JW35" i="49"/>
  <c r="JW33" i="49" s="1"/>
  <c r="AB35" i="49"/>
  <c r="DX25" i="49"/>
  <c r="DC25" i="49"/>
  <c r="DB25" i="49"/>
  <c r="DB19" i="49" s="1"/>
  <c r="LE31" i="49"/>
  <c r="LD31" i="49"/>
  <c r="EB28" i="49"/>
  <c r="DN27" i="49"/>
  <c r="EB27" i="49" s="1"/>
  <c r="DY35" i="49"/>
  <c r="ID69" i="50"/>
  <c r="IA69" i="50"/>
  <c r="EG66" i="49"/>
  <c r="KB24" i="49"/>
  <c r="AS14" i="48" s="1"/>
  <c r="KA24" i="49"/>
  <c r="AR14" i="48" s="1"/>
  <c r="JY24" i="49"/>
  <c r="AP14" i="48" s="1"/>
  <c r="AQ14" i="48"/>
  <c r="LC24" i="49"/>
  <c r="DW29" i="49"/>
  <c r="DA29" i="49"/>
  <c r="DC29" i="49"/>
  <c r="FT126" i="50"/>
  <c r="FT127" i="50"/>
  <c r="K52" i="49"/>
  <c r="IK52" i="49" s="1"/>
  <c r="IA52" i="49" s="1"/>
  <c r="GK63" i="50"/>
  <c r="GI63" i="50"/>
  <c r="GG63" i="50"/>
  <c r="DA47" i="49"/>
  <c r="DC47" i="49"/>
  <c r="CZ47" i="49" s="1"/>
  <c r="DH17" i="49"/>
  <c r="EO46" i="50"/>
  <c r="EO45" i="50"/>
  <c r="EO107" i="50"/>
  <c r="EO108" i="50"/>
  <c r="FV90" i="50"/>
  <c r="FS90" i="50"/>
  <c r="EA64" i="50"/>
  <c r="HY25" i="49"/>
  <c r="Y15" i="48" s="1"/>
  <c r="W15" i="48"/>
  <c r="LC25" i="49"/>
  <c r="HX25" i="49"/>
  <c r="X15" i="48" s="1"/>
  <c r="HV25" i="49"/>
  <c r="V15" i="48" s="1"/>
  <c r="EG24" i="49"/>
  <c r="AJ17" i="49"/>
  <c r="EC19" i="49"/>
  <c r="IA70" i="50"/>
  <c r="ID70" i="50"/>
  <c r="AM24" i="48"/>
  <c r="IQ34" i="49"/>
  <c r="GU21" i="50"/>
  <c r="IT34" i="49"/>
  <c r="AO24" i="48" s="1"/>
  <c r="IS34" i="49"/>
  <c r="AN24" i="48" s="1"/>
  <c r="IP34" i="49"/>
  <c r="JT66" i="49"/>
  <c r="JV66" i="49"/>
  <c r="JW66" i="49"/>
  <c r="JU66" i="49"/>
  <c r="V65" i="49"/>
  <c r="G66" i="49"/>
  <c r="IT47" i="49"/>
  <c r="AO37" i="48" s="1"/>
  <c r="AM37" i="48"/>
  <c r="IP47" i="49"/>
  <c r="IQ47" i="49"/>
  <c r="IS47" i="49"/>
  <c r="AN37" i="48" s="1"/>
  <c r="DB28" i="49"/>
  <c r="DE27" i="49"/>
  <c r="DX27" i="49" s="1"/>
  <c r="LG20" i="49"/>
  <c r="LH20" i="49"/>
  <c r="EO50" i="50"/>
  <c r="EO49" i="50"/>
  <c r="IS53" i="49"/>
  <c r="AN43" i="48" s="1"/>
  <c r="IQ53" i="49"/>
  <c r="IT53" i="49"/>
  <c r="AO43" i="48" s="1"/>
  <c r="AM43" i="48"/>
  <c r="IP53" i="49"/>
  <c r="EO70" i="50"/>
  <c r="EO68" i="50"/>
  <c r="EO69" i="50"/>
  <c r="DA35" i="49"/>
  <c r="DA33" i="49" s="1"/>
  <c r="DC35" i="49"/>
  <c r="CZ35" i="49" s="1"/>
  <c r="DD33" i="49"/>
  <c r="DW33" i="49" s="1"/>
  <c r="FU89" i="50"/>
  <c r="FW89" i="50"/>
  <c r="FW145" i="50" s="1"/>
  <c r="FT145" i="50" s="1"/>
  <c r="FS89" i="50"/>
  <c r="LD34" i="49"/>
  <c r="KZ30" i="49"/>
  <c r="HR30" i="49"/>
  <c r="J20" i="48" s="1"/>
  <c r="HU30" i="49"/>
  <c r="M20" i="48" s="1"/>
  <c r="DQ19" i="51"/>
  <c r="HT30" i="49"/>
  <c r="L20" i="48" s="1"/>
  <c r="K20" i="48"/>
  <c r="EG35" i="49"/>
  <c r="DX28" i="49"/>
  <c r="JS49" i="49"/>
  <c r="FD23" i="49"/>
  <c r="LG46" i="49"/>
  <c r="AL10" i="48"/>
  <c r="LE40" i="49"/>
  <c r="LD40" i="49"/>
  <c r="IC68" i="50"/>
  <c r="IA68" i="50"/>
  <c r="LG25" i="49"/>
  <c r="LH25" i="49"/>
  <c r="BD28" i="49"/>
  <c r="BD27" i="49" s="1"/>
  <c r="BG27" i="49"/>
  <c r="R49" i="49"/>
  <c r="IE49" i="49"/>
  <c r="M49" i="49"/>
  <c r="EA90" i="50"/>
  <c r="EA89" i="50"/>
  <c r="DC55" i="49"/>
  <c r="DX55" i="49"/>
  <c r="DE52" i="49"/>
  <c r="DX52" i="49" s="1"/>
  <c r="DB55" i="49"/>
  <c r="HP64" i="50"/>
  <c r="HM64" i="50"/>
  <c r="BD24" i="49"/>
  <c r="BD19" i="49" s="1"/>
  <c r="BG19" i="49"/>
  <c r="DA23" i="49"/>
  <c r="DC23" i="49"/>
  <c r="DW23" i="49"/>
  <c r="LD53" i="49"/>
  <c r="GZ45" i="50"/>
  <c r="GZ46" i="50"/>
  <c r="GZ108" i="50"/>
  <c r="GZ107" i="50"/>
  <c r="M34" i="49"/>
  <c r="IE34" i="49"/>
  <c r="R34" i="49"/>
  <c r="AB21" i="50" s="1"/>
  <c r="DY55" i="49"/>
  <c r="DG52" i="49"/>
  <c r="DY52" i="49" s="1"/>
  <c r="DC58" i="49"/>
  <c r="CZ59" i="49"/>
  <c r="CZ58" i="49" s="1"/>
  <c r="DV59" i="49"/>
  <c r="AH41" i="44"/>
  <c r="AN41" i="44"/>
  <c r="AE41" i="44"/>
  <c r="AB41" i="44"/>
  <c r="AK41" i="44"/>
  <c r="AI52" i="48"/>
  <c r="AH52" i="48"/>
  <c r="DY39" i="49"/>
  <c r="BD47" i="49"/>
  <c r="BG45" i="49"/>
  <c r="BR27" i="50"/>
  <c r="KW39" i="49"/>
  <c r="AE29" i="48"/>
  <c r="AA29" i="48" s="1"/>
  <c r="HP39" i="49"/>
  <c r="AF29" i="48" s="1"/>
  <c r="HN39" i="49"/>
  <c r="AD29" i="48" s="1"/>
  <c r="HQ39" i="49"/>
  <c r="AG29" i="48" s="1"/>
  <c r="AC29" i="48" s="1"/>
  <c r="BE62" i="49"/>
  <c r="BG62" i="49"/>
  <c r="DW62" i="49"/>
  <c r="BH61" i="49"/>
  <c r="DY27" i="49"/>
  <c r="DX33" i="49"/>
  <c r="DW46" i="49"/>
  <c r="DA46" i="49"/>
  <c r="DD45" i="49"/>
  <c r="DW45" i="49" s="1"/>
  <c r="DC46" i="49"/>
  <c r="LC59" i="49"/>
  <c r="W49" i="48"/>
  <c r="HV59" i="49"/>
  <c r="V49" i="48" s="1"/>
  <c r="HX59" i="49"/>
  <c r="X49" i="48" s="1"/>
  <c r="HY59" i="49"/>
  <c r="Y49" i="48" s="1"/>
  <c r="DG19" i="49"/>
  <c r="DY19" i="49" s="1"/>
  <c r="EI50" i="49"/>
  <c r="DE63" i="49"/>
  <c r="DX63" i="49" s="1"/>
  <c r="DG63" i="49"/>
  <c r="DG61" i="49" s="1"/>
  <c r="DY61" i="49" s="1"/>
  <c r="HQ97" i="50"/>
  <c r="HO97" i="50"/>
  <c r="HM97" i="50"/>
  <c r="HV66" i="49"/>
  <c r="V52" i="48" s="1"/>
  <c r="LC66" i="49"/>
  <c r="W52" i="48"/>
  <c r="LD41" i="49"/>
  <c r="LE41" i="49"/>
  <c r="LG39" i="49"/>
  <c r="LH39" i="49"/>
  <c r="HM154" i="50"/>
  <c r="HO154" i="50"/>
  <c r="ID33" i="49"/>
  <c r="HR33" i="49" s="1"/>
  <c r="BD48" i="49"/>
  <c r="DV48" i="49"/>
  <c r="DY46" i="49"/>
  <c r="DG45" i="49"/>
  <c r="DY45" i="49" s="1"/>
  <c r="EG31" i="49"/>
  <c r="EA127" i="50"/>
  <c r="EA126" i="50"/>
  <c r="HX29" i="49"/>
  <c r="X19" i="48" s="1"/>
  <c r="HV29" i="49"/>
  <c r="V19" i="48" s="1"/>
  <c r="HY29" i="49"/>
  <c r="Y19" i="48" s="1"/>
  <c r="LC29" i="49"/>
  <c r="W19" i="48"/>
  <c r="IT39" i="49"/>
  <c r="AO29" i="48" s="1"/>
  <c r="IS39" i="49"/>
  <c r="AN29" i="48" s="1"/>
  <c r="IQ39" i="49"/>
  <c r="AM29" i="48"/>
  <c r="GU27" i="50"/>
  <c r="IP39" i="49"/>
  <c r="EG56" i="49"/>
  <c r="IT25" i="49"/>
  <c r="AO15" i="48" s="1"/>
  <c r="IQ25" i="49"/>
  <c r="AL15" i="48" s="1"/>
  <c r="IP25" i="49"/>
  <c r="AM15" i="48"/>
  <c r="IS25" i="49"/>
  <c r="AN15" i="48" s="1"/>
  <c r="BD41" i="49"/>
  <c r="HQ117" i="50"/>
  <c r="HS117" i="50"/>
  <c r="HR117" i="50"/>
  <c r="HM117" i="50"/>
  <c r="LG29" i="49"/>
  <c r="LH29" i="49"/>
  <c r="IW84" i="50"/>
  <c r="DV50" i="49"/>
  <c r="BD50" i="49"/>
  <c r="ID24" i="49"/>
  <c r="IF24" i="49"/>
  <c r="HS24" i="49"/>
  <c r="EO83" i="50"/>
  <c r="AQ10" i="48"/>
  <c r="BJ108" i="50"/>
  <c r="KA20" i="49"/>
  <c r="AR10" i="48" s="1"/>
  <c r="KB20" i="49"/>
  <c r="AS10" i="48" s="1"/>
  <c r="BJ113" i="50"/>
  <c r="JY20" i="49"/>
  <c r="LC20" i="49"/>
  <c r="EG55" i="49"/>
  <c r="EE55" i="49" s="1"/>
  <c r="HG55" i="49" s="1"/>
  <c r="EH55" i="49"/>
  <c r="BD43" i="49"/>
  <c r="DC28" i="49"/>
  <c r="DV28" i="49" s="1"/>
  <c r="DD27" i="49"/>
  <c r="DW27" i="49" s="1"/>
  <c r="DA28" i="49"/>
  <c r="LH59" i="49"/>
  <c r="LG59" i="49"/>
  <c r="DV42" i="49"/>
  <c r="KZ48" i="49"/>
  <c r="LD30" i="49"/>
  <c r="LE30" i="49"/>
  <c r="KM52" i="49"/>
  <c r="FW93" i="50"/>
  <c r="FS93" i="50"/>
  <c r="FU93" i="50"/>
  <c r="JY42" i="49"/>
  <c r="AP32" i="48" s="1"/>
  <c r="KB42" i="49"/>
  <c r="AS32" i="48" s="1"/>
  <c r="KA42" i="49"/>
  <c r="AR32" i="48" s="1"/>
  <c r="AQ32" i="48"/>
  <c r="LC42" i="49"/>
  <c r="DD19" i="49"/>
  <c r="ID45" i="50"/>
  <c r="IA45" i="50"/>
  <c r="JD37" i="49"/>
  <c r="BF63" i="49"/>
  <c r="BF61" i="49" s="1"/>
  <c r="BI61" i="49"/>
  <c r="BI17" i="49" s="1"/>
  <c r="DP61" i="49"/>
  <c r="ED61" i="49" s="1"/>
  <c r="JY56" i="49"/>
  <c r="KA56" i="49"/>
  <c r="AR46" i="48" s="1"/>
  <c r="KB56" i="49"/>
  <c r="AS46" i="48" s="1"/>
  <c r="AQ46" i="48"/>
  <c r="LC56" i="49"/>
  <c r="LD56" i="49" s="1"/>
  <c r="GJ94" i="50"/>
  <c r="GG93" i="50"/>
  <c r="GI93" i="50"/>
  <c r="GK93" i="50"/>
  <c r="JM106" i="50"/>
  <c r="JK106" i="50" s="1"/>
  <c r="IP106" i="50"/>
  <c r="JT106" i="50"/>
  <c r="JR106" i="50" s="1"/>
  <c r="JQ106" i="50" s="1"/>
  <c r="IQ29" i="49"/>
  <c r="ED18" i="51"/>
  <c r="IS29" i="49"/>
  <c r="AN19" i="48" s="1"/>
  <c r="IT29" i="49"/>
  <c r="AO19" i="48" s="1"/>
  <c r="IP29" i="49"/>
  <c r="AM19" i="48"/>
  <c r="HX27" i="49"/>
  <c r="X17" i="48" s="1"/>
  <c r="JM43" i="50"/>
  <c r="JK43" i="50" s="1"/>
  <c r="IP43" i="50"/>
  <c r="IO43" i="50" s="1"/>
  <c r="JQ43" i="50"/>
  <c r="DX40" i="49"/>
  <c r="DB40" i="49"/>
  <c r="DC40" i="49"/>
  <c r="D18" i="51"/>
  <c r="JW29" i="49"/>
  <c r="JU29" i="49"/>
  <c r="JU27" i="49" s="1"/>
  <c r="JT29" i="49"/>
  <c r="V27" i="49"/>
  <c r="KH27" i="49" s="1"/>
  <c r="AB29" i="49"/>
  <c r="G29" i="49"/>
  <c r="JV29" i="49"/>
  <c r="LG49" i="49"/>
  <c r="LH49" i="49"/>
  <c r="KB38" i="49"/>
  <c r="AS28" i="48" s="1"/>
  <c r="KA38" i="49"/>
  <c r="AR28" i="48" s="1"/>
  <c r="AQ28" i="48"/>
  <c r="JY38" i="49"/>
  <c r="ID45" i="49"/>
  <c r="HR45" i="49" s="1"/>
  <c r="J35" i="48" s="1"/>
  <c r="HX47" i="49"/>
  <c r="X37" i="48" s="1"/>
  <c r="LC47" i="49"/>
  <c r="HV47" i="49"/>
  <c r="V37" i="48" s="1"/>
  <c r="HY47" i="49"/>
  <c r="Y37" i="48" s="1"/>
  <c r="W37" i="48"/>
  <c r="GG84" i="50"/>
  <c r="GI84" i="50"/>
  <c r="KO52" i="49"/>
  <c r="FV94" i="50"/>
  <c r="FS94" i="50"/>
  <c r="EG25" i="49"/>
  <c r="CZ22" i="49"/>
  <c r="DV22" i="49"/>
  <c r="G39" i="49"/>
  <c r="N27" i="50"/>
  <c r="Q27" i="50" s="1"/>
  <c r="JT39" i="49"/>
  <c r="JT37" i="49" s="1"/>
  <c r="JW39" i="49"/>
  <c r="JW37" i="49" s="1"/>
  <c r="JU39" i="49"/>
  <c r="JU37" i="49" s="1"/>
  <c r="JV39" i="49"/>
  <c r="V37" i="49"/>
  <c r="KP37" i="49" s="1"/>
  <c r="ED63" i="49"/>
  <c r="HK79" i="49"/>
  <c r="EB62" i="49"/>
  <c r="DC62" i="49"/>
  <c r="DB62" i="49"/>
  <c r="DX62" i="49"/>
  <c r="Z29" i="48" l="1"/>
  <c r="HR48" i="49"/>
  <c r="J38" i="48" s="1"/>
  <c r="DV41" i="49"/>
  <c r="O39" i="37"/>
  <c r="JK96" i="50"/>
  <c r="IW97" i="50" s="1"/>
  <c r="HJ53" i="49"/>
  <c r="R43" i="48" s="1"/>
  <c r="N43" i="48" s="1"/>
  <c r="EH21" i="49"/>
  <c r="EI21" i="49" s="1"/>
  <c r="FM37" i="10"/>
  <c r="FW27" i="10"/>
  <c r="GW20" i="10"/>
  <c r="BM27" i="10"/>
  <c r="EI46" i="10"/>
  <c r="V52" i="10"/>
  <c r="GJ59" i="10"/>
  <c r="GL59" i="10" s="1"/>
  <c r="FW52" i="10"/>
  <c r="Q49" i="18"/>
  <c r="DB117" i="14"/>
  <c r="BP17" i="10"/>
  <c r="N30" i="18"/>
  <c r="DA64" i="14"/>
  <c r="AG95" i="18" s="1"/>
  <c r="AO91" i="51"/>
  <c r="CG91" i="51" s="1"/>
  <c r="AN75" i="51"/>
  <c r="CF75" i="51" s="1"/>
  <c r="CA75" i="51" s="1"/>
  <c r="GG52" i="10"/>
  <c r="DB59" i="10"/>
  <c r="I49" i="18" s="1"/>
  <c r="DN61" i="49"/>
  <c r="EB61" i="49" s="1"/>
  <c r="HT48" i="49"/>
  <c r="L38" i="48" s="1"/>
  <c r="DB27" i="49"/>
  <c r="EF35" i="49"/>
  <c r="HM53" i="49"/>
  <c r="U43" i="48" s="1"/>
  <c r="Q43" i="48" s="1"/>
  <c r="EF31" i="49"/>
  <c r="EE31" i="49" s="1"/>
  <c r="FS27" i="10"/>
  <c r="GI52" i="10"/>
  <c r="GX20" i="10"/>
  <c r="ED23" i="11"/>
  <c r="G52" i="10"/>
  <c r="DX52" i="10" s="1"/>
  <c r="DL52" i="10" s="1"/>
  <c r="G49" i="18"/>
  <c r="FR52" i="10"/>
  <c r="AP42" i="18" s="1"/>
  <c r="HD122" i="14"/>
  <c r="BT135" i="18" s="1"/>
  <c r="P49" i="18"/>
  <c r="EK27" i="10"/>
  <c r="EJ27" i="11"/>
  <c r="GE52" i="10"/>
  <c r="GC52" i="10"/>
  <c r="CX64" i="14"/>
  <c r="AD95" i="18" s="1"/>
  <c r="AO87" i="51"/>
  <c r="CG87" i="51" s="1"/>
  <c r="AN89" i="51"/>
  <c r="CF89" i="51" s="1"/>
  <c r="DX59" i="10"/>
  <c r="L59" i="10"/>
  <c r="M50" i="49"/>
  <c r="R50" i="49"/>
  <c r="IE50" i="49"/>
  <c r="JS40" i="49"/>
  <c r="GN50" i="10"/>
  <c r="GO50" i="10"/>
  <c r="JK152" i="50"/>
  <c r="KT53" i="49"/>
  <c r="KU53" i="49" s="1"/>
  <c r="JS23" i="49"/>
  <c r="IW97" i="14"/>
  <c r="LD97" i="14" s="1"/>
  <c r="LF97" i="14" s="1"/>
  <c r="AC25" i="18"/>
  <c r="EL46" i="10"/>
  <c r="AN36" i="18" s="1"/>
  <c r="IW112" i="14"/>
  <c r="JC112" i="14" s="1"/>
  <c r="GY122" i="14"/>
  <c r="P21" i="18"/>
  <c r="FN27" i="10"/>
  <c r="EK52" i="10"/>
  <c r="AO77" i="51"/>
  <c r="CG77" i="51" s="1"/>
  <c r="AN81" i="51"/>
  <c r="CF81" i="51" s="1"/>
  <c r="CE62" i="11"/>
  <c r="F48" i="11" s="1"/>
  <c r="E48" i="11" s="1"/>
  <c r="CY63" i="14"/>
  <c r="FV49" i="14"/>
  <c r="FS49" i="14"/>
  <c r="FU49" i="14"/>
  <c r="CY50" i="14"/>
  <c r="CY49" i="14"/>
  <c r="HU48" i="49"/>
  <c r="M38" i="48" s="1"/>
  <c r="HL53" i="49"/>
  <c r="T43" i="48" s="1"/>
  <c r="P43" i="48" s="1"/>
  <c r="AO75" i="51"/>
  <c r="CG75" i="51" s="1"/>
  <c r="CG62" i="51" s="1"/>
  <c r="F50" i="51" s="1"/>
  <c r="E50" i="51" s="1"/>
  <c r="JT27" i="49"/>
  <c r="CZ34" i="49"/>
  <c r="JK116" i="50"/>
  <c r="KN52" i="49"/>
  <c r="FN37" i="10"/>
  <c r="FN17" i="10" s="1"/>
  <c r="FN18" i="10" s="1"/>
  <c r="AM36" i="18"/>
  <c r="JP111" i="14"/>
  <c r="IP102" i="14"/>
  <c r="GX122" i="14"/>
  <c r="GX121" i="14" s="1"/>
  <c r="AZ15" i="18"/>
  <c r="FP27" i="10"/>
  <c r="AB24" i="18"/>
  <c r="AO79" i="51"/>
  <c r="CG79" i="51" s="1"/>
  <c r="CA79" i="51" s="1"/>
  <c r="AN77" i="51"/>
  <c r="CF77" i="51" s="1"/>
  <c r="FL42" i="10"/>
  <c r="AM49" i="18"/>
  <c r="AY49" i="18" s="1"/>
  <c r="EI59" i="10"/>
  <c r="EI58" i="10" s="1"/>
  <c r="EK58" i="10"/>
  <c r="EJ59" i="10"/>
  <c r="AL49" i="18" s="1"/>
  <c r="EL59" i="10"/>
  <c r="AN49" i="18" s="1"/>
  <c r="EM59" i="10"/>
  <c r="AO49" i="18" s="1"/>
  <c r="FS50" i="14"/>
  <c r="FV50" i="14"/>
  <c r="DP17" i="49"/>
  <c r="ED17" i="49" s="1"/>
  <c r="EA63" i="50"/>
  <c r="ED63" i="50" s="1"/>
  <c r="GY27" i="10"/>
  <c r="EJ46" i="10"/>
  <c r="IW113" i="14"/>
  <c r="EI52" i="10"/>
  <c r="HE122" i="14"/>
  <c r="BU135" i="18" s="1"/>
  <c r="AN79" i="51"/>
  <c r="CF79" i="51" s="1"/>
  <c r="IS48" i="49"/>
  <c r="AN38" i="48" s="1"/>
  <c r="IQ48" i="49"/>
  <c r="AL38" i="48" s="1"/>
  <c r="IP48" i="49"/>
  <c r="IT48" i="49"/>
  <c r="AO38" i="48" s="1"/>
  <c r="AM38" i="48"/>
  <c r="S89" i="18"/>
  <c r="CM85" i="14"/>
  <c r="U89" i="18" s="1"/>
  <c r="CJ85" i="14"/>
  <c r="R89" i="18" s="1"/>
  <c r="M40" i="49"/>
  <c r="IE40" i="49"/>
  <c r="R40" i="49"/>
  <c r="AB28" i="50" s="1"/>
  <c r="L62" i="10"/>
  <c r="DX62" i="10"/>
  <c r="IO152" i="50"/>
  <c r="DA19" i="49"/>
  <c r="GY52" i="10"/>
  <c r="Q31" i="18"/>
  <c r="FS52" i="10"/>
  <c r="AQ42" i="18" s="1"/>
  <c r="GE27" i="10"/>
  <c r="AY21" i="18"/>
  <c r="JA122" i="50"/>
  <c r="BW135" i="48" s="1"/>
  <c r="JC122" i="50"/>
  <c r="JD122" i="50"/>
  <c r="JB122" i="50"/>
  <c r="DL25" i="10"/>
  <c r="DY25" i="10"/>
  <c r="DW25" i="10"/>
  <c r="BJ17" i="49"/>
  <c r="BP62" i="51"/>
  <c r="X62" i="51" s="1"/>
  <c r="FM45" i="10"/>
  <c r="IW85" i="50"/>
  <c r="FN45" i="10"/>
  <c r="IR52" i="49"/>
  <c r="GY37" i="10"/>
  <c r="AA38" i="18"/>
  <c r="AU62" i="11"/>
  <c r="CC62" i="51"/>
  <c r="F46" i="51" s="1"/>
  <c r="E46" i="51" s="1"/>
  <c r="EI29" i="49"/>
  <c r="HK29" i="49"/>
  <c r="JP82" i="50"/>
  <c r="EH42" i="49"/>
  <c r="EI42" i="49" s="1"/>
  <c r="HN44" i="50"/>
  <c r="IH52" i="49"/>
  <c r="HW52" i="49" s="1"/>
  <c r="IB52" i="49"/>
  <c r="Q30" i="18"/>
  <c r="FL65" i="10"/>
  <c r="HO42" i="49"/>
  <c r="KD52" i="49"/>
  <c r="EF34" i="49"/>
  <c r="EE34" i="49" s="1"/>
  <c r="HG34" i="49" s="1"/>
  <c r="HH34" i="49" s="1"/>
  <c r="H24" i="48" s="1"/>
  <c r="AX19" i="10"/>
  <c r="GZ89" i="14"/>
  <c r="GX89" i="14" s="1"/>
  <c r="GR21" i="10"/>
  <c r="GQ21" i="10"/>
  <c r="GQ49" i="10"/>
  <c r="GR49" i="10"/>
  <c r="EO85" i="50"/>
  <c r="EN85" i="50" s="1"/>
  <c r="AH89" i="48" s="1"/>
  <c r="FN19" i="10"/>
  <c r="GE37" i="10"/>
  <c r="Z38" i="18"/>
  <c r="JS24" i="49"/>
  <c r="EF23" i="49"/>
  <c r="CE62" i="51"/>
  <c r="F48" i="51" s="1"/>
  <c r="E48" i="51" s="1"/>
  <c r="IZ123" i="50"/>
  <c r="BV135" i="48"/>
  <c r="FX62" i="10"/>
  <c r="EK26" i="11"/>
  <c r="IB85" i="50"/>
  <c r="IA85" i="50" s="1"/>
  <c r="JL78" i="14"/>
  <c r="IZ79" i="14" s="1"/>
  <c r="JP78" i="14"/>
  <c r="AX28" i="18"/>
  <c r="AB29" i="48"/>
  <c r="GH44" i="50"/>
  <c r="GI44" i="50" s="1"/>
  <c r="FM19" i="10"/>
  <c r="L42" i="10"/>
  <c r="AB30" i="14" s="1"/>
  <c r="DX42" i="10"/>
  <c r="CZ42" i="10"/>
  <c r="LE46" i="49"/>
  <c r="EI34" i="49"/>
  <c r="KF52" i="49"/>
  <c r="EE42" i="49"/>
  <c r="HG42" i="49" s="1"/>
  <c r="BP30" i="50" s="1"/>
  <c r="FW37" i="10"/>
  <c r="CF17" i="10"/>
  <c r="EI65" i="10"/>
  <c r="DV43" i="49"/>
  <c r="AB52" i="49"/>
  <c r="KL52" i="49"/>
  <c r="KP52" i="49"/>
  <c r="EF25" i="49"/>
  <c r="EE25" i="49" s="1"/>
  <c r="DL50" i="10"/>
  <c r="EM42" i="10"/>
  <c r="AO32" i="18" s="1"/>
  <c r="EI42" i="10"/>
  <c r="EL42" i="10"/>
  <c r="AN32" i="18" s="1"/>
  <c r="GU30" i="14"/>
  <c r="AM32" i="18"/>
  <c r="EJ42" i="10"/>
  <c r="AL32" i="18" s="1"/>
  <c r="JZ62" i="49"/>
  <c r="KW62" i="49" s="1"/>
  <c r="KY62" i="49" s="1"/>
  <c r="KC62" i="49"/>
  <c r="EL26" i="51"/>
  <c r="EJ26" i="51" s="1"/>
  <c r="EO44" i="50"/>
  <c r="EQ44" i="50" s="1"/>
  <c r="AK63" i="48" s="1"/>
  <c r="GR47" i="10"/>
  <c r="GQ47" i="10"/>
  <c r="JL82" i="50"/>
  <c r="IZ83" i="50" s="1"/>
  <c r="HY45" i="49"/>
  <c r="Y35" i="48" s="1"/>
  <c r="JZ52" i="49"/>
  <c r="DW50" i="10"/>
  <c r="KF75" i="49"/>
  <c r="JV75" i="49"/>
  <c r="JS75" i="49" s="1"/>
  <c r="G52" i="49"/>
  <c r="IE52" i="49" s="1"/>
  <c r="HS52" i="49" s="1"/>
  <c r="K42" i="48" s="1"/>
  <c r="HX45" i="49"/>
  <c r="X35" i="48" s="1"/>
  <c r="HN85" i="50"/>
  <c r="P33" i="48"/>
  <c r="GG61" i="10"/>
  <c r="CA75" i="11"/>
  <c r="IS24" i="49"/>
  <c r="AN14" i="48" s="1"/>
  <c r="IT24" i="49"/>
  <c r="AO14" i="48" s="1"/>
  <c r="IQ24" i="49"/>
  <c r="AL14" i="48" s="1"/>
  <c r="AM14" i="48"/>
  <c r="IP24" i="49"/>
  <c r="Z38" i="39"/>
  <c r="AQ75" i="11"/>
  <c r="CI75" i="11" s="1"/>
  <c r="EI19" i="10"/>
  <c r="FL23" i="10"/>
  <c r="IW50" i="14"/>
  <c r="IW49" i="14"/>
  <c r="MH49" i="14" s="1"/>
  <c r="MJ49" i="14" s="1"/>
  <c r="GO49" i="10"/>
  <c r="GN49" i="10"/>
  <c r="AQ89" i="11"/>
  <c r="CI89" i="11" s="1"/>
  <c r="CH89" i="11" s="1"/>
  <c r="AQ81" i="11"/>
  <c r="CI81" i="11" s="1"/>
  <c r="AQ87" i="11"/>
  <c r="CI87" i="11" s="1"/>
  <c r="AQ91" i="11"/>
  <c r="CI91" i="11" s="1"/>
  <c r="CA79" i="11"/>
  <c r="CA81" i="11"/>
  <c r="AQ79" i="11"/>
  <c r="CI79" i="11" s="1"/>
  <c r="BF81" i="11"/>
  <c r="BP81" i="11"/>
  <c r="CP81" i="11" s="1"/>
  <c r="CV81" i="11" s="1"/>
  <c r="CV66" i="11" s="1"/>
  <c r="CW81" i="11"/>
  <c r="AV66" i="11"/>
  <c r="AW66" i="11"/>
  <c r="BO62" i="11"/>
  <c r="F27" i="11" s="1"/>
  <c r="CC62" i="11"/>
  <c r="F46" i="11" s="1"/>
  <c r="E46" i="11" s="1"/>
  <c r="BB81" i="11"/>
  <c r="AW65" i="11"/>
  <c r="AV65" i="11"/>
  <c r="BW81" i="11"/>
  <c r="BW62" i="11" s="1"/>
  <c r="BH62" i="11"/>
  <c r="F18" i="11" s="1"/>
  <c r="E18" i="11" s="1"/>
  <c r="BF77" i="11"/>
  <c r="BF62" i="11" s="1"/>
  <c r="N62" i="11" s="1"/>
  <c r="BG62" i="11"/>
  <c r="F17" i="11" s="1"/>
  <c r="BP77" i="11"/>
  <c r="BP62" i="11" s="1"/>
  <c r="X62" i="11" s="1"/>
  <c r="BQ62" i="11"/>
  <c r="CW77" i="11"/>
  <c r="BM77" i="11"/>
  <c r="BN62" i="11"/>
  <c r="F26" i="11" s="1"/>
  <c r="BM81" i="11"/>
  <c r="BE62" i="11"/>
  <c r="L62" i="11"/>
  <c r="F13" i="11"/>
  <c r="E13" i="11" s="1"/>
  <c r="BB77" i="11"/>
  <c r="BB62" i="11" s="1"/>
  <c r="J62" i="11" s="1"/>
  <c r="BC62" i="11"/>
  <c r="CA87" i="51"/>
  <c r="BZ62" i="51"/>
  <c r="F42" i="51" s="1"/>
  <c r="E42" i="51" s="1"/>
  <c r="BS87" i="51"/>
  <c r="T77" i="51"/>
  <c r="BL77" i="51" s="1"/>
  <c r="BL62" i="51" s="1"/>
  <c r="BS81" i="51"/>
  <c r="CD62" i="51"/>
  <c r="F47" i="51" s="1"/>
  <c r="E47" i="51" s="1"/>
  <c r="BW79" i="14"/>
  <c r="AA12" i="39"/>
  <c r="Z12" i="39"/>
  <c r="EA79" i="14"/>
  <c r="ED79" i="14" s="1"/>
  <c r="ED134" i="14" s="1"/>
  <c r="EA134" i="14" s="1"/>
  <c r="BU62" i="11"/>
  <c r="F36" i="11" s="1"/>
  <c r="E36" i="11" s="1"/>
  <c r="EO79" i="14"/>
  <c r="CA91" i="11"/>
  <c r="AI85" i="50"/>
  <c r="AG85" i="50"/>
  <c r="FT85" i="50"/>
  <c r="GH85" i="50"/>
  <c r="BS75" i="51"/>
  <c r="AN86" i="50"/>
  <c r="AI83" i="50"/>
  <c r="AI139" i="50" s="1"/>
  <c r="AG83" i="50"/>
  <c r="AG139" i="50" s="1"/>
  <c r="FT83" i="50"/>
  <c r="GH83" i="50"/>
  <c r="EO80" i="14"/>
  <c r="IQ74" i="14"/>
  <c r="CA87" i="11"/>
  <c r="CA89" i="11"/>
  <c r="EA44" i="14"/>
  <c r="EA80" i="14"/>
  <c r="CA77" i="11"/>
  <c r="BW80" i="14"/>
  <c r="BV62" i="51"/>
  <c r="F37" i="51" s="1"/>
  <c r="E37" i="51" s="1"/>
  <c r="BS91" i="51"/>
  <c r="CG62" i="11"/>
  <c r="F50" i="11" s="1"/>
  <c r="E50" i="11" s="1"/>
  <c r="CF62" i="11"/>
  <c r="F49" i="11" s="1"/>
  <c r="E49" i="11" s="1"/>
  <c r="AS75" i="11"/>
  <c r="CK75" i="11" s="1"/>
  <c r="AS79" i="11"/>
  <c r="CK79" i="11" s="1"/>
  <c r="AS87" i="11"/>
  <c r="CK87" i="11" s="1"/>
  <c r="AS77" i="11"/>
  <c r="CK77" i="11" s="1"/>
  <c r="AS89" i="11"/>
  <c r="CK89" i="11" s="1"/>
  <c r="AS81" i="11"/>
  <c r="CK81" i="11" s="1"/>
  <c r="BS89" i="51"/>
  <c r="BT62" i="51"/>
  <c r="F35" i="51" s="1"/>
  <c r="CA77" i="51"/>
  <c r="EN122" i="50"/>
  <c r="HC122" i="50"/>
  <c r="ER122" i="50"/>
  <c r="HD122" i="50"/>
  <c r="BT135" i="48" s="1"/>
  <c r="ET122" i="50"/>
  <c r="BS135" i="48" s="1"/>
  <c r="HO54" i="50"/>
  <c r="HM54" i="50"/>
  <c r="JP116" i="14"/>
  <c r="JL116" i="14"/>
  <c r="IZ117" i="14" s="1"/>
  <c r="IW117" i="14"/>
  <c r="HM64" i="14"/>
  <c r="HP64" i="14"/>
  <c r="FV90" i="14"/>
  <c r="FS90" i="14"/>
  <c r="FV55" i="14"/>
  <c r="FS55" i="14"/>
  <c r="HP90" i="14"/>
  <c r="HM90" i="14"/>
  <c r="IC83" i="14"/>
  <c r="IE83" i="14"/>
  <c r="IE139" i="14" s="1"/>
  <c r="IB139" i="14" s="1"/>
  <c r="IA83" i="14"/>
  <c r="IC68" i="14"/>
  <c r="IA68" i="14"/>
  <c r="IA55" i="14"/>
  <c r="ID55" i="14"/>
  <c r="GJ64" i="14"/>
  <c r="GG64" i="14"/>
  <c r="GI68" i="14"/>
  <c r="GG68" i="14"/>
  <c r="GK68" i="14"/>
  <c r="FU89" i="14"/>
  <c r="FW89" i="14"/>
  <c r="FW145" i="14" s="1"/>
  <c r="FT145" i="14" s="1"/>
  <c r="FS89" i="14"/>
  <c r="BG113" i="14"/>
  <c r="HB90" i="14"/>
  <c r="AO90" i="18" s="1"/>
  <c r="GY90" i="14"/>
  <c r="AL90" i="18" s="1"/>
  <c r="BG108" i="14"/>
  <c r="GX90" i="14"/>
  <c r="ED47" i="11"/>
  <c r="AM90" i="18"/>
  <c r="GI83" i="14"/>
  <c r="GG83" i="14"/>
  <c r="GK83" i="14"/>
  <c r="GK139" i="14" s="1"/>
  <c r="GH139" i="14" s="1"/>
  <c r="FU54" i="14"/>
  <c r="FS54" i="14"/>
  <c r="FV54" i="14"/>
  <c r="FV113" i="14"/>
  <c r="FS113" i="14"/>
  <c r="IA54" i="14"/>
  <c r="IC54" i="14"/>
  <c r="HO89" i="14"/>
  <c r="HM89" i="14"/>
  <c r="HQ89" i="14"/>
  <c r="HQ145" i="14" s="1"/>
  <c r="HN145" i="14" s="1"/>
  <c r="IA90" i="14"/>
  <c r="ID90" i="14"/>
  <c r="GJ70" i="14"/>
  <c r="GG70" i="14"/>
  <c r="ID113" i="14"/>
  <c r="IA113" i="14"/>
  <c r="HO63" i="14"/>
  <c r="HM63" i="14"/>
  <c r="FW63" i="14"/>
  <c r="FS63" i="14"/>
  <c r="FU63" i="14"/>
  <c r="BT62" i="11"/>
  <c r="F35" i="11" s="1"/>
  <c r="BS75" i="11"/>
  <c r="FT80" i="14"/>
  <c r="IB80" i="14"/>
  <c r="HN80" i="14"/>
  <c r="AG80" i="14"/>
  <c r="AI80" i="14"/>
  <c r="GH80" i="14"/>
  <c r="IW80" i="14"/>
  <c r="ID70" i="14"/>
  <c r="IA70" i="14"/>
  <c r="LD83" i="14"/>
  <c r="LF83" i="14" s="1"/>
  <c r="IC89" i="14"/>
  <c r="IE89" i="14"/>
  <c r="IE145" i="14" s="1"/>
  <c r="IB145" i="14" s="1"/>
  <c r="IA89" i="14"/>
  <c r="AR77" i="11"/>
  <c r="CJ77" i="11" s="1"/>
  <c r="CH77" i="11" s="1"/>
  <c r="AR87" i="11"/>
  <c r="CJ87" i="11" s="1"/>
  <c r="CH87" i="11" s="1"/>
  <c r="AR81" i="11"/>
  <c r="CJ81" i="11" s="1"/>
  <c r="AR91" i="11"/>
  <c r="CJ91" i="11" s="1"/>
  <c r="AR89" i="11"/>
  <c r="CJ89" i="11" s="1"/>
  <c r="AR79" i="11"/>
  <c r="CJ79" i="11" s="1"/>
  <c r="AR75" i="11"/>
  <c r="CJ75" i="11" s="1"/>
  <c r="GI63" i="14"/>
  <c r="GK63" i="14"/>
  <c r="GG63" i="14"/>
  <c r="BS91" i="11"/>
  <c r="IB79" i="14"/>
  <c r="FT79" i="14"/>
  <c r="HN79" i="14"/>
  <c r="AG79" i="14"/>
  <c r="AG134" i="14" s="1"/>
  <c r="AI79" i="14"/>
  <c r="AI134" i="14" s="1"/>
  <c r="GH79" i="14"/>
  <c r="IW79" i="14"/>
  <c r="KJ79" i="14" s="1"/>
  <c r="KL79" i="14" s="1"/>
  <c r="BS87" i="11"/>
  <c r="IA127" i="14"/>
  <c r="ID127" i="14"/>
  <c r="GG126" i="14"/>
  <c r="GJ126" i="14"/>
  <c r="GI126" i="14"/>
  <c r="F39" i="11"/>
  <c r="G39" i="11" s="1"/>
  <c r="E40" i="11"/>
  <c r="E39" i="11" s="1"/>
  <c r="IA155" i="14"/>
  <c r="ID155" i="14"/>
  <c r="BS77" i="11"/>
  <c r="BV62" i="11"/>
  <c r="F37" i="11" s="1"/>
  <c r="E37" i="11" s="1"/>
  <c r="FT46" i="14"/>
  <c r="AG46" i="14"/>
  <c r="AI46" i="14"/>
  <c r="HN46" i="14"/>
  <c r="HM46" i="14" s="1"/>
  <c r="IB46" i="14"/>
  <c r="IA46" i="14" s="1"/>
  <c r="GH46" i="14"/>
  <c r="GG127" i="14"/>
  <c r="GJ127" i="14"/>
  <c r="BS89" i="11"/>
  <c r="AG44" i="14"/>
  <c r="FT44" i="14"/>
  <c r="AI44" i="14"/>
  <c r="GH44" i="14"/>
  <c r="HN44" i="14"/>
  <c r="IB44" i="14"/>
  <c r="AB25" i="18"/>
  <c r="CX127" i="14"/>
  <c r="AD124" i="18" s="1"/>
  <c r="AE124" i="18"/>
  <c r="DA127" i="14"/>
  <c r="AG124" i="18" s="1"/>
  <c r="CX126" i="14"/>
  <c r="AD123" i="18" s="1"/>
  <c r="CZ126" i="14"/>
  <c r="AE123" i="18"/>
  <c r="IA85" i="14"/>
  <c r="ID85" i="14"/>
  <c r="FS155" i="14"/>
  <c r="FV155" i="14"/>
  <c r="BS79" i="11"/>
  <c r="HP127" i="14"/>
  <c r="HM127" i="14"/>
  <c r="HQ126" i="14"/>
  <c r="HM126" i="14"/>
  <c r="GG85" i="14"/>
  <c r="GJ85" i="14"/>
  <c r="BS81" i="11"/>
  <c r="IA126" i="14"/>
  <c r="IE126" i="14"/>
  <c r="FV64" i="14"/>
  <c r="FS64" i="14"/>
  <c r="FW112" i="14"/>
  <c r="FY112" i="14"/>
  <c r="FS112" i="14"/>
  <c r="FX112" i="14" s="1"/>
  <c r="FS45" i="14"/>
  <c r="FV45" i="14"/>
  <c r="E45" i="11"/>
  <c r="IE112" i="14"/>
  <c r="IF112" i="14"/>
  <c r="IG112" i="14"/>
  <c r="IA112" i="14"/>
  <c r="AI79" i="50"/>
  <c r="AI134" i="50" s="1"/>
  <c r="AG79" i="50"/>
  <c r="AG134" i="50" s="1"/>
  <c r="FT79" i="50"/>
  <c r="IB79" i="50"/>
  <c r="IB75" i="50" s="1"/>
  <c r="IC75" i="50" s="1"/>
  <c r="HN79" i="50"/>
  <c r="GH79" i="50"/>
  <c r="FS45" i="50"/>
  <c r="FV45" i="50"/>
  <c r="FU54" i="50"/>
  <c r="FS54" i="50"/>
  <c r="FV54" i="50"/>
  <c r="C53" i="51"/>
  <c r="C54" i="51"/>
  <c r="BW62" i="51"/>
  <c r="GY122" i="50"/>
  <c r="IA90" i="50"/>
  <c r="ID90" i="50"/>
  <c r="IC54" i="50"/>
  <c r="IA54" i="50"/>
  <c r="CA91" i="51"/>
  <c r="CB62" i="51"/>
  <c r="F45" i="51" s="1"/>
  <c r="E45" i="51" s="1"/>
  <c r="GJ90" i="50"/>
  <c r="GG90" i="50"/>
  <c r="C55" i="51"/>
  <c r="AM108" i="50"/>
  <c r="J108" i="50"/>
  <c r="I108" i="50" s="1"/>
  <c r="V104" i="50"/>
  <c r="AM107" i="50"/>
  <c r="IB108" i="50"/>
  <c r="AI108" i="50"/>
  <c r="FT108" i="50"/>
  <c r="HN108" i="50"/>
  <c r="AG108" i="50"/>
  <c r="AN156" i="50"/>
  <c r="AG153" i="50"/>
  <c r="AI153" i="50"/>
  <c r="HN153" i="50"/>
  <c r="HM153" i="50" s="1"/>
  <c r="GH153" i="50"/>
  <c r="GG153" i="50" s="1"/>
  <c r="FT153" i="50"/>
  <c r="FS153" i="50" s="1"/>
  <c r="FV55" i="50"/>
  <c r="FS55" i="50"/>
  <c r="AG107" i="50"/>
  <c r="FT107" i="50"/>
  <c r="IB107" i="50"/>
  <c r="AI107" i="50"/>
  <c r="AG155" i="50"/>
  <c r="AI155" i="50"/>
  <c r="HN155" i="50"/>
  <c r="GH155" i="50"/>
  <c r="FT155" i="50"/>
  <c r="ID55" i="50"/>
  <c r="IA55" i="50"/>
  <c r="EA94" i="50"/>
  <c r="W91" i="48" s="1"/>
  <c r="GK97" i="50"/>
  <c r="GG97" i="50"/>
  <c r="GI97" i="50"/>
  <c r="IC97" i="50"/>
  <c r="IE97" i="50"/>
  <c r="IA97" i="50"/>
  <c r="FV70" i="50"/>
  <c r="FS70" i="50"/>
  <c r="IA93" i="50"/>
  <c r="IE93" i="50"/>
  <c r="IC93" i="50"/>
  <c r="IA94" i="50"/>
  <c r="ID94" i="50"/>
  <c r="AG46" i="50"/>
  <c r="AI46" i="50"/>
  <c r="FT46" i="50"/>
  <c r="IB46" i="50"/>
  <c r="IA46" i="50" s="1"/>
  <c r="HM55" i="50"/>
  <c r="HP55" i="50"/>
  <c r="AG44" i="50"/>
  <c r="FT44" i="50"/>
  <c r="AI44" i="50"/>
  <c r="IB44" i="50"/>
  <c r="IA98" i="50"/>
  <c r="ID98" i="50"/>
  <c r="GJ126" i="50"/>
  <c r="GI126" i="50"/>
  <c r="GG126" i="50"/>
  <c r="FS98" i="50"/>
  <c r="FV98" i="50"/>
  <c r="IC89" i="50"/>
  <c r="IE89" i="50"/>
  <c r="IE145" i="50" s="1"/>
  <c r="IB145" i="50" s="1"/>
  <c r="IA89" i="50"/>
  <c r="GG127" i="50"/>
  <c r="GJ127" i="50"/>
  <c r="CA81" i="51"/>
  <c r="GI89" i="50"/>
  <c r="GG89" i="50"/>
  <c r="GK89" i="50"/>
  <c r="GK145" i="50" s="1"/>
  <c r="GH145" i="50" s="1"/>
  <c r="GG98" i="50"/>
  <c r="GJ98" i="50"/>
  <c r="AI80" i="50"/>
  <c r="AG80" i="50"/>
  <c r="FT80" i="50"/>
  <c r="IB80" i="50"/>
  <c r="HN80" i="50"/>
  <c r="GH80" i="50"/>
  <c r="CA89" i="51"/>
  <c r="AZ21" i="18"/>
  <c r="DD52" i="10"/>
  <c r="L49" i="10"/>
  <c r="DX49" i="10"/>
  <c r="K53" i="18"/>
  <c r="DK67" i="10"/>
  <c r="J53" i="18" s="1"/>
  <c r="GS67" i="10"/>
  <c r="DL24" i="10"/>
  <c r="DW24" i="10"/>
  <c r="DY24" i="10"/>
  <c r="O30" i="18"/>
  <c r="FL49" i="10"/>
  <c r="GG49" i="14"/>
  <c r="GJ49" i="14"/>
  <c r="GI49" i="14"/>
  <c r="HM49" i="14"/>
  <c r="HO49" i="14"/>
  <c r="GJ50" i="14"/>
  <c r="GG50" i="14"/>
  <c r="HP50" i="14"/>
  <c r="HM50" i="14"/>
  <c r="IA94" i="14"/>
  <c r="ID94" i="14"/>
  <c r="IC93" i="14"/>
  <c r="IA93" i="14"/>
  <c r="IE93" i="14"/>
  <c r="GW29" i="10"/>
  <c r="GX29" i="10"/>
  <c r="AX15" i="18"/>
  <c r="AC38" i="18"/>
  <c r="BA15" i="18"/>
  <c r="EO70" i="14"/>
  <c r="EO69" i="14"/>
  <c r="EO68" i="14"/>
  <c r="BK27" i="10"/>
  <c r="AB38" i="18"/>
  <c r="FL29" i="10"/>
  <c r="EK33" i="10"/>
  <c r="GV33" i="10"/>
  <c r="EO117" i="14"/>
  <c r="MH117" i="14" s="1"/>
  <c r="EO63" i="14"/>
  <c r="EO64" i="14"/>
  <c r="DY55" i="10"/>
  <c r="DW55" i="10"/>
  <c r="DL55" i="10"/>
  <c r="DC47" i="10"/>
  <c r="R37" i="18" s="1"/>
  <c r="N37" i="18" s="1"/>
  <c r="DF47" i="10"/>
  <c r="U37" i="18" s="1"/>
  <c r="Q37" i="18" s="1"/>
  <c r="GM47" i="10"/>
  <c r="GM45" i="10" s="1"/>
  <c r="S37" i="18"/>
  <c r="O37" i="18" s="1"/>
  <c r="DE47" i="10"/>
  <c r="T37" i="18" s="1"/>
  <c r="P37" i="18" s="1"/>
  <c r="CZ22" i="10"/>
  <c r="GE33" i="10"/>
  <c r="BJ47" i="10"/>
  <c r="BJ45" i="10" s="1"/>
  <c r="CD47" i="10"/>
  <c r="CD22" i="10"/>
  <c r="DK66" i="10"/>
  <c r="J52" i="18" s="1"/>
  <c r="K52" i="18"/>
  <c r="GA33" i="10"/>
  <c r="AX45" i="10"/>
  <c r="FY33" i="10"/>
  <c r="EA90" i="14"/>
  <c r="EA89" i="14"/>
  <c r="HM113" i="14"/>
  <c r="HP113" i="14"/>
  <c r="GZ117" i="14"/>
  <c r="GZ64" i="14"/>
  <c r="GZ63" i="14"/>
  <c r="HM69" i="14"/>
  <c r="HP69" i="14"/>
  <c r="EO93" i="14"/>
  <c r="EO94" i="14"/>
  <c r="FU93" i="14"/>
  <c r="FS93" i="14"/>
  <c r="FW93" i="14"/>
  <c r="IW64" i="14"/>
  <c r="LX64" i="14" s="1"/>
  <c r="MA64" i="14" s="1"/>
  <c r="IW63" i="14"/>
  <c r="LX63" i="14" s="1"/>
  <c r="LZ63" i="14" s="1"/>
  <c r="CY55" i="14"/>
  <c r="CY54" i="14"/>
  <c r="CY112" i="14"/>
  <c r="CY113" i="14"/>
  <c r="LD113" i="14" s="1"/>
  <c r="LG113" i="14" s="1"/>
  <c r="DY28" i="10"/>
  <c r="DL28" i="10"/>
  <c r="DZ17" i="11"/>
  <c r="DW28" i="10"/>
  <c r="GZ113" i="14"/>
  <c r="GZ55" i="14"/>
  <c r="GZ54" i="14"/>
  <c r="GZ112" i="14"/>
  <c r="HO68" i="14"/>
  <c r="HM68" i="14"/>
  <c r="CK50" i="14"/>
  <c r="CK49" i="14"/>
  <c r="IV127" i="14"/>
  <c r="AP124" i="18" s="1"/>
  <c r="BN108" i="14"/>
  <c r="AQ124" i="18"/>
  <c r="BN113" i="14"/>
  <c r="IY127" i="14"/>
  <c r="AS124" i="18" s="1"/>
  <c r="JD127" i="14"/>
  <c r="EM55" i="11" s="1"/>
  <c r="JC127" i="14"/>
  <c r="EL55" i="11" s="1"/>
  <c r="JB127" i="14"/>
  <c r="EK55" i="11" s="1"/>
  <c r="LD127" i="14"/>
  <c r="LG127" i="14" s="1"/>
  <c r="L23" i="10"/>
  <c r="DX23" i="10"/>
  <c r="BA45" i="18"/>
  <c r="GI33" i="10"/>
  <c r="CM98" i="14"/>
  <c r="U92" i="18" s="1"/>
  <c r="S92" i="18"/>
  <c r="CJ98" i="14"/>
  <c r="R92" i="18" s="1"/>
  <c r="HP70" i="14"/>
  <c r="HM70" i="14"/>
  <c r="GN21" i="10"/>
  <c r="GO21" i="10"/>
  <c r="LD126" i="14"/>
  <c r="LF126" i="14" s="1"/>
  <c r="IV126" i="14"/>
  <c r="AP123" i="18" s="1"/>
  <c r="AQ123" i="18"/>
  <c r="JB126" i="14"/>
  <c r="JD126" i="14"/>
  <c r="JC126" i="14"/>
  <c r="IX126" i="14"/>
  <c r="AR123" i="18" s="1"/>
  <c r="GZ34" i="10"/>
  <c r="GY33" i="10"/>
  <c r="GN40" i="10"/>
  <c r="GO40" i="10"/>
  <c r="CJ97" i="14"/>
  <c r="R77" i="18" s="1"/>
  <c r="CL97" i="14"/>
  <c r="T77" i="18" s="1"/>
  <c r="CN97" i="14"/>
  <c r="S77" i="18"/>
  <c r="FB29" i="14"/>
  <c r="DY41" i="10"/>
  <c r="DW41" i="10"/>
  <c r="DL41" i="10"/>
  <c r="AY45" i="18"/>
  <c r="CK90" i="14"/>
  <c r="CK89" i="14"/>
  <c r="IW89" i="14"/>
  <c r="MH89" i="14" s="1"/>
  <c r="MJ89" i="14" s="1"/>
  <c r="JL88" i="14"/>
  <c r="IZ89" i="14" s="1"/>
  <c r="IW90" i="14"/>
  <c r="JP88" i="14"/>
  <c r="AC31" i="18"/>
  <c r="FP19" i="10"/>
  <c r="CH17" i="10"/>
  <c r="FY139" i="14"/>
  <c r="FS139" i="14"/>
  <c r="FX139" i="14" s="1"/>
  <c r="AE94" i="14"/>
  <c r="CM48" i="11" s="1"/>
  <c r="AE93" i="14"/>
  <c r="AP24" i="18"/>
  <c r="FR33" i="10"/>
  <c r="AP23" i="18" s="1"/>
  <c r="GA61" i="10"/>
  <c r="G61" i="10"/>
  <c r="DX61" i="10" s="1"/>
  <c r="DL61" i="10" s="1"/>
  <c r="FY61" i="10"/>
  <c r="GE61" i="10"/>
  <c r="IA49" i="14"/>
  <c r="IC49" i="14"/>
  <c r="FP45" i="10"/>
  <c r="CY94" i="14"/>
  <c r="CY93" i="14"/>
  <c r="GP63" i="10"/>
  <c r="GR63" i="10" s="1"/>
  <c r="GC27" i="10"/>
  <c r="AE54" i="14"/>
  <c r="AE113" i="14"/>
  <c r="CM54" i="11" s="1"/>
  <c r="AE112" i="14"/>
  <c r="AE55" i="14"/>
  <c r="CM37" i="11" s="1"/>
  <c r="AU113" i="14"/>
  <c r="AU108" i="14"/>
  <c r="K112" i="14"/>
  <c r="L56" i="10"/>
  <c r="DX56" i="10"/>
  <c r="CZ56" i="10"/>
  <c r="IO88" i="14"/>
  <c r="IO74" i="14" s="1"/>
  <c r="IP74" i="14"/>
  <c r="ID50" i="14"/>
  <c r="IA50" i="14"/>
  <c r="FL46" i="10"/>
  <c r="FO45" i="10"/>
  <c r="AB31" i="18"/>
  <c r="GI27" i="10"/>
  <c r="HA43" i="10"/>
  <c r="GZ43" i="10"/>
  <c r="FL56" i="10"/>
  <c r="FL52" i="10" s="1"/>
  <c r="FO52" i="10"/>
  <c r="GQ24" i="10"/>
  <c r="GR24" i="10"/>
  <c r="L46" i="10"/>
  <c r="CM23" i="11" s="1"/>
  <c r="DX46" i="10"/>
  <c r="CZ46" i="10"/>
  <c r="GR41" i="10"/>
  <c r="GQ41" i="10"/>
  <c r="GR43" i="10"/>
  <c r="GQ43" i="10"/>
  <c r="DK22" i="10"/>
  <c r="J12" i="18" s="1"/>
  <c r="DM22" i="10"/>
  <c r="L12" i="18" s="1"/>
  <c r="DQ13" i="11"/>
  <c r="BS16" i="14"/>
  <c r="DN22" i="10"/>
  <c r="M12" i="18" s="1"/>
  <c r="K12" i="18"/>
  <c r="GS22" i="10"/>
  <c r="G33" i="10"/>
  <c r="DX33" i="10" s="1"/>
  <c r="DL33" i="10" s="1"/>
  <c r="N20" i="14"/>
  <c r="Q20" i="14" s="1"/>
  <c r="FW33" i="10"/>
  <c r="Z31" i="18"/>
  <c r="FR19" i="10"/>
  <c r="AP9" i="18" s="1"/>
  <c r="GG37" i="10"/>
  <c r="GQ50" i="10"/>
  <c r="GR50" i="10"/>
  <c r="FF112" i="14"/>
  <c r="FF113" i="14"/>
  <c r="FF55" i="14"/>
  <c r="FF54" i="14"/>
  <c r="GN24" i="10"/>
  <c r="GO24" i="10"/>
  <c r="EJ37" i="11"/>
  <c r="GC33" i="10"/>
  <c r="G27" i="11"/>
  <c r="D25" i="11"/>
  <c r="AA31" i="18"/>
  <c r="GA19" i="10"/>
  <c r="FY37" i="10"/>
  <c r="FL47" i="10"/>
  <c r="FO61" i="10"/>
  <c r="FL63" i="10"/>
  <c r="C22" i="11"/>
  <c r="C23" i="11"/>
  <c r="GA37" i="10"/>
  <c r="GG27" i="10"/>
  <c r="EM63" i="10"/>
  <c r="EJ63" i="10"/>
  <c r="ED27" i="11"/>
  <c r="EI63" i="10"/>
  <c r="EI61" i="10" s="1"/>
  <c r="GZ127" i="14"/>
  <c r="GZ126" i="14"/>
  <c r="BJ41" i="10"/>
  <c r="BJ37" i="10" s="1"/>
  <c r="BM37" i="10"/>
  <c r="CZ41" i="10"/>
  <c r="CD41" i="10"/>
  <c r="L63" i="10"/>
  <c r="CM27" i="11" s="1"/>
  <c r="DX63" i="10"/>
  <c r="FW19" i="10"/>
  <c r="EK19" i="10"/>
  <c r="AL24" i="18"/>
  <c r="GK112" i="14"/>
  <c r="GG112" i="14"/>
  <c r="GL112" i="14" s="1"/>
  <c r="GM112" i="14"/>
  <c r="DX47" i="10"/>
  <c r="L47" i="10"/>
  <c r="CZ47" i="10"/>
  <c r="JP92" i="14"/>
  <c r="IW93" i="14"/>
  <c r="LX93" i="14" s="1"/>
  <c r="LZ93" i="14" s="1"/>
  <c r="IW94" i="14"/>
  <c r="LX94" i="14" s="1"/>
  <c r="MA94" i="14" s="1"/>
  <c r="JL92" i="14"/>
  <c r="IZ93" i="14" s="1"/>
  <c r="FO33" i="10"/>
  <c r="FL35" i="10"/>
  <c r="FL33" i="10" s="1"/>
  <c r="IW69" i="14"/>
  <c r="IW70" i="14"/>
  <c r="IW68" i="14"/>
  <c r="FY19" i="10"/>
  <c r="IX83" i="14"/>
  <c r="AR73" i="18" s="1"/>
  <c r="AQ73" i="18"/>
  <c r="JB83" i="14"/>
  <c r="JS138" i="14" s="1"/>
  <c r="JC83" i="14"/>
  <c r="JU138" i="14" s="1"/>
  <c r="JD83" i="14"/>
  <c r="JX138" i="14" s="1"/>
  <c r="IV83" i="14"/>
  <c r="AP73" i="18" s="1"/>
  <c r="KT83" i="14"/>
  <c r="KV83" i="14" s="1"/>
  <c r="IF117" i="14"/>
  <c r="IA117" i="14"/>
  <c r="IG117" i="14"/>
  <c r="IE117" i="14"/>
  <c r="GJ113" i="14"/>
  <c r="GG113" i="14"/>
  <c r="L35" i="10"/>
  <c r="AB22" i="14" s="1"/>
  <c r="DX35" i="10"/>
  <c r="GR22" i="10"/>
  <c r="GQ22" i="10"/>
  <c r="FY27" i="10"/>
  <c r="GK31" i="10"/>
  <c r="GL31" i="10"/>
  <c r="HM112" i="14"/>
  <c r="HR112" i="14"/>
  <c r="HS112" i="14"/>
  <c r="HQ112" i="14"/>
  <c r="L29" i="10"/>
  <c r="CM18" i="11" s="1"/>
  <c r="DX29" i="10"/>
  <c r="GZ50" i="14"/>
  <c r="GZ49" i="14"/>
  <c r="IA63" i="14"/>
  <c r="IC63" i="14"/>
  <c r="GJ55" i="14"/>
  <c r="GG55" i="14"/>
  <c r="GZ41" i="10"/>
  <c r="HA41" i="10"/>
  <c r="GZ93" i="14"/>
  <c r="GZ94" i="14"/>
  <c r="GI37" i="10"/>
  <c r="IV85" i="14"/>
  <c r="AP89" i="18" s="1"/>
  <c r="JB85" i="14"/>
  <c r="EK46" i="11" s="1"/>
  <c r="AQ89" i="18"/>
  <c r="JC85" i="14"/>
  <c r="EL46" i="11" s="1"/>
  <c r="IY85" i="14"/>
  <c r="AS89" i="18" s="1"/>
  <c r="JD85" i="14"/>
  <c r="EM46" i="11" s="1"/>
  <c r="HP55" i="14"/>
  <c r="HM55" i="14"/>
  <c r="W42" i="18"/>
  <c r="DQ52" i="10"/>
  <c r="X42" i="18" s="1"/>
  <c r="ID64" i="14"/>
  <c r="IA64" i="14"/>
  <c r="GJ54" i="14"/>
  <c r="GG54" i="14"/>
  <c r="GI54" i="14"/>
  <c r="EM35" i="10"/>
  <c r="AO25" i="18" s="1"/>
  <c r="AM25" i="18"/>
  <c r="EL35" i="10"/>
  <c r="AN25" i="18" s="1"/>
  <c r="EJ35" i="10"/>
  <c r="AL25" i="18" s="1"/>
  <c r="GU22" i="14"/>
  <c r="EI35" i="10"/>
  <c r="EI33" i="10" s="1"/>
  <c r="AE154" i="14"/>
  <c r="AE153" i="14"/>
  <c r="AE155" i="14"/>
  <c r="CM50" i="11" s="1"/>
  <c r="GC37" i="10"/>
  <c r="IX84" i="14"/>
  <c r="AR74" i="18" s="1"/>
  <c r="IV84" i="14"/>
  <c r="AP74" i="18" s="1"/>
  <c r="JD84" i="14"/>
  <c r="JC84" i="14"/>
  <c r="JB84" i="14"/>
  <c r="AQ74" i="18"/>
  <c r="HM54" i="14"/>
  <c r="HO54" i="14"/>
  <c r="EK61" i="10"/>
  <c r="FV94" i="14"/>
  <c r="FS94" i="14"/>
  <c r="FB36" i="14"/>
  <c r="DW69" i="10"/>
  <c r="DL69" i="10"/>
  <c r="CY27" i="10"/>
  <c r="F17" i="18" s="1"/>
  <c r="B17" i="18" s="1"/>
  <c r="CD27" i="10"/>
  <c r="DG30" i="10"/>
  <c r="AD20" i="18" s="1"/>
  <c r="Z20" i="18" s="1"/>
  <c r="DI30" i="10"/>
  <c r="AF20" i="18" s="1"/>
  <c r="AB20" i="18" s="1"/>
  <c r="AE20" i="18"/>
  <c r="AA20" i="18" s="1"/>
  <c r="DJ30" i="10"/>
  <c r="AG20" i="18" s="1"/>
  <c r="AC20" i="18" s="1"/>
  <c r="GP30" i="10"/>
  <c r="GP27" i="10" s="1"/>
  <c r="DM49" i="14"/>
  <c r="DM50" i="14"/>
  <c r="GN34" i="10"/>
  <c r="AL36" i="18"/>
  <c r="EJ45" i="10"/>
  <c r="AL35" i="18" s="1"/>
  <c r="HA46" i="10"/>
  <c r="HA45" i="10" s="1"/>
  <c r="GY45" i="10"/>
  <c r="GZ46" i="10"/>
  <c r="JA112" i="14"/>
  <c r="JB112" i="14"/>
  <c r="AI127" i="18"/>
  <c r="EN153" i="14"/>
  <c r="AH127" i="18" s="1"/>
  <c r="DP27" i="11"/>
  <c r="CY63" i="10"/>
  <c r="GJ63" i="10"/>
  <c r="GL63" i="10" s="1"/>
  <c r="DB63" i="10"/>
  <c r="BA44" i="18"/>
  <c r="DZ49" i="14"/>
  <c r="V64" i="18" s="1"/>
  <c r="W64" i="18"/>
  <c r="EC49" i="14"/>
  <c r="Y64" i="18" s="1"/>
  <c r="EB49" i="14"/>
  <c r="X64" i="18" s="1"/>
  <c r="DD17" i="10"/>
  <c r="CG17" i="10"/>
  <c r="EN45" i="14"/>
  <c r="AH83" i="18" s="1"/>
  <c r="AI83" i="18"/>
  <c r="EQ45" i="14"/>
  <c r="AK83" i="18" s="1"/>
  <c r="G24" i="18"/>
  <c r="CY34" i="10"/>
  <c r="F24" i="18" s="1"/>
  <c r="GJ34" i="10"/>
  <c r="DB34" i="10"/>
  <c r="I24" i="18" s="1"/>
  <c r="DA34" i="10"/>
  <c r="H24" i="18" s="1"/>
  <c r="BP21" i="14"/>
  <c r="AZ14" i="10"/>
  <c r="CC17" i="10"/>
  <c r="CC14" i="10" s="1"/>
  <c r="BJ23" i="10"/>
  <c r="CD23" i="10"/>
  <c r="CZ23" i="10"/>
  <c r="IY113" i="14"/>
  <c r="IV113" i="14"/>
  <c r="JC113" i="14"/>
  <c r="EL54" i="11" s="1"/>
  <c r="JD113" i="14"/>
  <c r="EM54" i="11" s="1"/>
  <c r="JB113" i="14"/>
  <c r="EK54" i="11" s="1"/>
  <c r="HR139" i="14"/>
  <c r="HS139" i="14"/>
  <c r="HM139" i="14"/>
  <c r="AZ49" i="18"/>
  <c r="EN155" i="14"/>
  <c r="AH129" i="18" s="1"/>
  <c r="AI129" i="18"/>
  <c r="EQ155" i="14"/>
  <c r="AK129" i="18" s="1"/>
  <c r="CK154" i="14"/>
  <c r="CK155" i="14"/>
  <c r="CK153" i="14"/>
  <c r="CY154" i="14"/>
  <c r="CY153" i="14"/>
  <c r="CY155" i="14"/>
  <c r="GO20" i="10"/>
  <c r="GN20" i="10"/>
  <c r="FO75" i="10"/>
  <c r="FL75" i="10" s="1"/>
  <c r="FY75" i="10"/>
  <c r="BT17" i="10"/>
  <c r="GQ25" i="10"/>
  <c r="GR25" i="10"/>
  <c r="EP46" i="14"/>
  <c r="AJ78" i="18" s="1"/>
  <c r="AI78" i="18"/>
  <c r="EN46" i="14"/>
  <c r="AH78" i="18" s="1"/>
  <c r="AY14" i="10"/>
  <c r="K54" i="18"/>
  <c r="DK68" i="10"/>
  <c r="J54" i="18" s="1"/>
  <c r="GS68" i="10"/>
  <c r="EQ44" i="14"/>
  <c r="AK63" i="18" s="1"/>
  <c r="EN44" i="14"/>
  <c r="AH63" i="18" s="1"/>
  <c r="AI63" i="18"/>
  <c r="EP44" i="14"/>
  <c r="AJ63" i="18" s="1"/>
  <c r="EJ19" i="10"/>
  <c r="AL9" i="18" s="1"/>
  <c r="AL10" i="18"/>
  <c r="AI64" i="18"/>
  <c r="EN49" i="14"/>
  <c r="AH64" i="18" s="1"/>
  <c r="EP49" i="14"/>
  <c r="AJ64" i="18" s="1"/>
  <c r="EQ49" i="14"/>
  <c r="AK64" i="18" s="1"/>
  <c r="DZ155" i="14"/>
  <c r="V129" i="18" s="1"/>
  <c r="W129" i="18"/>
  <c r="EC155" i="14"/>
  <c r="Y129" i="18" s="1"/>
  <c r="BA49" i="18"/>
  <c r="DM50" i="10"/>
  <c r="L40" i="18" s="1"/>
  <c r="K40" i="18"/>
  <c r="DK50" i="10"/>
  <c r="J40" i="18" s="1"/>
  <c r="GS50" i="10"/>
  <c r="DN50" i="10"/>
  <c r="M40" i="18" s="1"/>
  <c r="EA68" i="14"/>
  <c r="EA69" i="14"/>
  <c r="EA70" i="14"/>
  <c r="GX85" i="14"/>
  <c r="ED46" i="11"/>
  <c r="HB85" i="14"/>
  <c r="AO89" i="18" s="1"/>
  <c r="AM89" i="18"/>
  <c r="GY85" i="14"/>
  <c r="AL89" i="18" s="1"/>
  <c r="MH126" i="14"/>
  <c r="MJ126" i="14" s="1"/>
  <c r="EP126" i="14"/>
  <c r="AI123" i="18"/>
  <c r="AA123" i="18" s="1"/>
  <c r="EN126" i="14"/>
  <c r="AH123" i="18" s="1"/>
  <c r="BF108" i="14"/>
  <c r="GX80" i="14"/>
  <c r="GY80" i="14"/>
  <c r="AL88" i="18" s="1"/>
  <c r="ED45" i="11"/>
  <c r="AM88" i="18"/>
  <c r="BF113" i="14"/>
  <c r="HB80" i="14"/>
  <c r="AO88" i="18" s="1"/>
  <c r="CY50" i="10"/>
  <c r="F40" i="18" s="1"/>
  <c r="DB50" i="10"/>
  <c r="I40" i="18" s="1"/>
  <c r="G40" i="18"/>
  <c r="DA50" i="10"/>
  <c r="H40" i="18" s="1"/>
  <c r="GJ50" i="10"/>
  <c r="EL26" i="11"/>
  <c r="FV62" i="10"/>
  <c r="FS62" i="10"/>
  <c r="GP62" i="10" s="1"/>
  <c r="GR62" i="10" s="1"/>
  <c r="FW61" i="10"/>
  <c r="BA17" i="10"/>
  <c r="GR38" i="10"/>
  <c r="GQ38" i="10"/>
  <c r="GP37" i="10"/>
  <c r="EA97" i="14"/>
  <c r="EA98" i="14"/>
  <c r="GL25" i="10"/>
  <c r="GK25" i="10"/>
  <c r="JD117" i="14"/>
  <c r="IV117" i="14"/>
  <c r="JB117" i="14"/>
  <c r="JA117" i="14"/>
  <c r="BW134" i="18" s="1"/>
  <c r="JC117" i="14"/>
  <c r="LD117" i="14"/>
  <c r="L30" i="10"/>
  <c r="CM19" i="11" s="1"/>
  <c r="DX30" i="10"/>
  <c r="EC50" i="14"/>
  <c r="Y84" i="18" s="1"/>
  <c r="W84" i="18"/>
  <c r="DZ50" i="14"/>
  <c r="V84" i="18" s="1"/>
  <c r="LX50" i="14"/>
  <c r="MA50" i="14" s="1"/>
  <c r="L43" i="10"/>
  <c r="DX43" i="10"/>
  <c r="CK80" i="14"/>
  <c r="CK79" i="14"/>
  <c r="EN50" i="14"/>
  <c r="AH84" i="18" s="1"/>
  <c r="EQ50" i="14"/>
  <c r="AK84" i="18" s="1"/>
  <c r="AI84" i="18"/>
  <c r="MH50" i="14"/>
  <c r="MK50" i="14" s="1"/>
  <c r="W128" i="18"/>
  <c r="EB154" i="14"/>
  <c r="X128" i="18" s="1"/>
  <c r="DZ154" i="14"/>
  <c r="V128" i="18" s="1"/>
  <c r="DM39" i="10"/>
  <c r="L29" i="18" s="1"/>
  <c r="D29" i="18" s="1"/>
  <c r="AV29" i="18" s="1"/>
  <c r="GS39" i="10"/>
  <c r="K29" i="18"/>
  <c r="C29" i="18" s="1"/>
  <c r="AU29" i="18" s="1"/>
  <c r="BS27" i="14"/>
  <c r="DN39" i="10"/>
  <c r="M29" i="18" s="1"/>
  <c r="E29" i="18" s="1"/>
  <c r="AW29" i="18" s="1"/>
  <c r="DK39" i="10"/>
  <c r="J29" i="18" s="1"/>
  <c r="B29" i="18" s="1"/>
  <c r="AT29" i="18" s="1"/>
  <c r="GK59" i="10"/>
  <c r="DD19" i="10"/>
  <c r="CG19" i="10"/>
  <c r="DZ44" i="14"/>
  <c r="V63" i="18" s="1"/>
  <c r="W63" i="18"/>
  <c r="EC44" i="14"/>
  <c r="Y63" i="18" s="1"/>
  <c r="EB44" i="14"/>
  <c r="X63" i="18" s="1"/>
  <c r="HA84" i="14"/>
  <c r="AN74" i="18" s="1"/>
  <c r="GX84" i="14"/>
  <c r="AM74" i="18"/>
  <c r="GY84" i="14"/>
  <c r="AL74" i="18" s="1"/>
  <c r="AI124" i="18"/>
  <c r="EQ127" i="14"/>
  <c r="AK124" i="18" s="1"/>
  <c r="MH127" i="14"/>
  <c r="MK127" i="14" s="1"/>
  <c r="EN127" i="14"/>
  <c r="AH124" i="18" s="1"/>
  <c r="AM72" i="18"/>
  <c r="GX79" i="14"/>
  <c r="GY79" i="14"/>
  <c r="HC79" i="14"/>
  <c r="HC134" i="14" s="1"/>
  <c r="GZ134" i="14" s="1"/>
  <c r="HA79" i="14"/>
  <c r="AN72" i="18" s="1"/>
  <c r="FM61" i="10"/>
  <c r="FM17" i="10" s="1"/>
  <c r="FL62" i="10"/>
  <c r="FL61" i="10" s="1"/>
  <c r="W72" i="18"/>
  <c r="BV134" i="18"/>
  <c r="IZ118" i="14"/>
  <c r="NS117" i="14"/>
  <c r="BN17" i="10"/>
  <c r="BM17" i="10" s="1"/>
  <c r="AI88" i="18"/>
  <c r="EQ80" i="14"/>
  <c r="AK88" i="18" s="1"/>
  <c r="EN80" i="14"/>
  <c r="AH88" i="18" s="1"/>
  <c r="EQ108" i="14"/>
  <c r="EN108" i="14"/>
  <c r="GG19" i="10"/>
  <c r="GZ46" i="14"/>
  <c r="GZ45" i="14"/>
  <c r="GZ44" i="14"/>
  <c r="GZ107" i="14"/>
  <c r="GZ108" i="14"/>
  <c r="W127" i="18"/>
  <c r="DZ153" i="14"/>
  <c r="V127" i="18" s="1"/>
  <c r="AE35" i="18"/>
  <c r="AA35" i="18" s="1"/>
  <c r="DI45" i="10"/>
  <c r="AF35" i="18" s="1"/>
  <c r="AB35" i="18" s="1"/>
  <c r="DJ45" i="10"/>
  <c r="AG35" i="18" s="1"/>
  <c r="AC35" i="18" s="1"/>
  <c r="FF85" i="14"/>
  <c r="FF83" i="14"/>
  <c r="FF84" i="14"/>
  <c r="EC108" i="14"/>
  <c r="DZ108" i="14"/>
  <c r="AM73" i="18"/>
  <c r="GX83" i="14"/>
  <c r="HC83" i="14"/>
  <c r="HC139" i="14" s="1"/>
  <c r="GZ139" i="14" s="1"/>
  <c r="GY83" i="14"/>
  <c r="AL73" i="18" s="1"/>
  <c r="HA83" i="14"/>
  <c r="AN73" i="18" s="1"/>
  <c r="DZ80" i="14"/>
  <c r="V88" i="18" s="1"/>
  <c r="W88" i="18"/>
  <c r="LX80" i="14"/>
  <c r="MA80" i="14" s="1"/>
  <c r="EC80" i="14"/>
  <c r="Y88" i="18" s="1"/>
  <c r="BA30" i="18"/>
  <c r="GX42" i="10"/>
  <c r="GW42" i="10"/>
  <c r="BM19" i="10"/>
  <c r="CD19" i="10" s="1"/>
  <c r="BJ20" i="10"/>
  <c r="BJ19" i="10" s="1"/>
  <c r="CD20" i="10"/>
  <c r="CZ20" i="10"/>
  <c r="GQ55" i="10"/>
  <c r="GP52" i="10"/>
  <c r="JC98" i="14"/>
  <c r="EL49" i="11" s="1"/>
  <c r="IV98" i="14"/>
  <c r="AP92" i="18" s="1"/>
  <c r="JB98" i="14"/>
  <c r="EK49" i="11" s="1"/>
  <c r="AQ92" i="18"/>
  <c r="JD98" i="14"/>
  <c r="EM49" i="11" s="1"/>
  <c r="IY98" i="14"/>
  <c r="AS92" i="18" s="1"/>
  <c r="KT98" i="14"/>
  <c r="KW98" i="14" s="1"/>
  <c r="EN154" i="14"/>
  <c r="AH128" i="18" s="1"/>
  <c r="AI128" i="18"/>
  <c r="EP154" i="14"/>
  <c r="AJ128" i="18" s="1"/>
  <c r="AI72" i="18"/>
  <c r="EP79" i="14"/>
  <c r="AJ72" i="18" s="1"/>
  <c r="EN79" i="14"/>
  <c r="AH72" i="18" s="1"/>
  <c r="ER79" i="14"/>
  <c r="ER134" i="14" s="1"/>
  <c r="EO134" i="14" s="1"/>
  <c r="EM43" i="10"/>
  <c r="AO33" i="18" s="1"/>
  <c r="EJ43" i="10"/>
  <c r="EL43" i="10"/>
  <c r="AN33" i="18" s="1"/>
  <c r="AM33" i="18"/>
  <c r="EI43" i="10"/>
  <c r="EI37" i="10" s="1"/>
  <c r="EK37" i="10"/>
  <c r="FS19" i="10"/>
  <c r="CJ122" i="14"/>
  <c r="CN122" i="14"/>
  <c r="CP122" i="14"/>
  <c r="BK135" i="18" s="1"/>
  <c r="BI135" i="18" s="1"/>
  <c r="CO122" i="14"/>
  <c r="KT122" i="14"/>
  <c r="GW43" i="10"/>
  <c r="GX43" i="10"/>
  <c r="FL43" i="10"/>
  <c r="FL37" i="10" s="1"/>
  <c r="FO37" i="10"/>
  <c r="GN38" i="10"/>
  <c r="GO38" i="10"/>
  <c r="GM37" i="10"/>
  <c r="FV70" i="14"/>
  <c r="FS70" i="14"/>
  <c r="G14" i="18"/>
  <c r="DB24" i="10"/>
  <c r="I14" i="18" s="1"/>
  <c r="CY24" i="10"/>
  <c r="F14" i="18" s="1"/>
  <c r="GJ24" i="10"/>
  <c r="DA24" i="10"/>
  <c r="H14" i="18" s="1"/>
  <c r="DI27" i="10"/>
  <c r="AF17" i="18" s="1"/>
  <c r="AB17" i="18" s="1"/>
  <c r="AE17" i="18"/>
  <c r="AA17" i="18" s="1"/>
  <c r="AX49" i="18"/>
  <c r="AY53" i="18"/>
  <c r="C53" i="18"/>
  <c r="AU53" i="18" s="1"/>
  <c r="EB46" i="14"/>
  <c r="X78" i="18" s="1"/>
  <c r="W78" i="18"/>
  <c r="DZ46" i="14"/>
  <c r="V78" i="18" s="1"/>
  <c r="EN83" i="14"/>
  <c r="AH73" i="18" s="1"/>
  <c r="Z73" i="18" s="1"/>
  <c r="MH83" i="14"/>
  <c r="MJ83" i="14" s="1"/>
  <c r="EP83" i="14"/>
  <c r="AJ73" i="18" s="1"/>
  <c r="AB73" i="18" s="1"/>
  <c r="ER83" i="14"/>
  <c r="ER139" i="14" s="1"/>
  <c r="EO139" i="14" s="1"/>
  <c r="AI73" i="18"/>
  <c r="CK44" i="14"/>
  <c r="CK45" i="14"/>
  <c r="CK46" i="14"/>
  <c r="CK108" i="14"/>
  <c r="CK107" i="14"/>
  <c r="K21" i="18"/>
  <c r="C21" i="18" s="1"/>
  <c r="AU21" i="18" s="1"/>
  <c r="DM31" i="10"/>
  <c r="L21" i="18" s="1"/>
  <c r="D21" i="18" s="1"/>
  <c r="AV21" i="18" s="1"/>
  <c r="DK31" i="10"/>
  <c r="J21" i="18" s="1"/>
  <c r="B21" i="18" s="1"/>
  <c r="AT21" i="18" s="1"/>
  <c r="GS31" i="10"/>
  <c r="DN31" i="10"/>
  <c r="M21" i="18" s="1"/>
  <c r="E21" i="18" s="1"/>
  <c r="AW21" i="18" s="1"/>
  <c r="GL40" i="10"/>
  <c r="GK40" i="10"/>
  <c r="BJ35" i="10"/>
  <c r="BJ33" i="10" s="1"/>
  <c r="CD35" i="10"/>
  <c r="CZ35" i="10"/>
  <c r="GO25" i="10"/>
  <c r="GN25" i="10"/>
  <c r="CZ52" i="10"/>
  <c r="CD52" i="10"/>
  <c r="CY52" i="10"/>
  <c r="K17" i="10"/>
  <c r="DH17" i="10" s="1"/>
  <c r="DZ36" i="11"/>
  <c r="FE50" i="14"/>
  <c r="FH50" i="14"/>
  <c r="DN34" i="10"/>
  <c r="M24" i="18" s="1"/>
  <c r="K24" i="18"/>
  <c r="GS34" i="10"/>
  <c r="DK34" i="10"/>
  <c r="J24" i="18" s="1"/>
  <c r="BS21" i="14"/>
  <c r="DM34" i="10"/>
  <c r="L24" i="18" s="1"/>
  <c r="GN55" i="10"/>
  <c r="GM52" i="10"/>
  <c r="KJ85" i="14"/>
  <c r="KM85" i="14" s="1"/>
  <c r="BV85" i="14"/>
  <c r="F89" i="18" s="1"/>
  <c r="G89" i="18"/>
  <c r="BY85" i="14"/>
  <c r="I89" i="18" s="1"/>
  <c r="DP46" i="11"/>
  <c r="EC127" i="14"/>
  <c r="Y124" i="18" s="1"/>
  <c r="LX127" i="14"/>
  <c r="MA127" i="14" s="1"/>
  <c r="DZ127" i="14"/>
  <c r="V124" i="18" s="1"/>
  <c r="W124" i="18"/>
  <c r="FW68" i="14"/>
  <c r="FS68" i="14"/>
  <c r="FU68" i="14"/>
  <c r="DM45" i="10"/>
  <c r="L35" i="18" s="1"/>
  <c r="DN45" i="10"/>
  <c r="M35" i="18" s="1"/>
  <c r="K35" i="18"/>
  <c r="GO30" i="10"/>
  <c r="GN30" i="10"/>
  <c r="HP155" i="14"/>
  <c r="HM155" i="14"/>
  <c r="AX53" i="18"/>
  <c r="B53" i="18"/>
  <c r="AT53" i="18" s="1"/>
  <c r="W83" i="18"/>
  <c r="DZ45" i="14"/>
  <c r="V83" i="18" s="1"/>
  <c r="EC45" i="14"/>
  <c r="Y83" i="18" s="1"/>
  <c r="EN84" i="14"/>
  <c r="AH74" i="18" s="1"/>
  <c r="Z74" i="18" s="1"/>
  <c r="MH84" i="14"/>
  <c r="EP84" i="14"/>
  <c r="AJ74" i="18" s="1"/>
  <c r="AB74" i="18" s="1"/>
  <c r="AI74" i="18"/>
  <c r="BW90" i="14"/>
  <c r="BW89" i="14"/>
  <c r="K134" i="14"/>
  <c r="H134" i="14" s="1"/>
  <c r="G134" i="14" s="1"/>
  <c r="AE80" i="14"/>
  <c r="AE79" i="14"/>
  <c r="GO28" i="10"/>
  <c r="GN28" i="10"/>
  <c r="BK19" i="10"/>
  <c r="BK17" i="10" s="1"/>
  <c r="BK14" i="10" s="1"/>
  <c r="FH49" i="14"/>
  <c r="FG49" i="14"/>
  <c r="FE49" i="14"/>
  <c r="DE45" i="10"/>
  <c r="T35" i="18" s="1"/>
  <c r="P35" i="18" s="1"/>
  <c r="S35" i="18"/>
  <c r="O35" i="18" s="1"/>
  <c r="DF45" i="10"/>
  <c r="U35" i="18" s="1"/>
  <c r="Q35" i="18" s="1"/>
  <c r="FT27" i="10"/>
  <c r="AR17" i="18" s="1"/>
  <c r="AQ17" i="18"/>
  <c r="GK89" i="14"/>
  <c r="GK145" i="14" s="1"/>
  <c r="GH145" i="14" s="1"/>
  <c r="GG89" i="14"/>
  <c r="GI89" i="14"/>
  <c r="KJ84" i="14"/>
  <c r="BX84" i="14"/>
  <c r="H74" i="18" s="1"/>
  <c r="BV84" i="14"/>
  <c r="F74" i="18" s="1"/>
  <c r="G74" i="18"/>
  <c r="DZ126" i="14"/>
  <c r="V123" i="18" s="1"/>
  <c r="LX126" i="14"/>
  <c r="LZ126" i="14" s="1"/>
  <c r="EB126" i="14"/>
  <c r="X123" i="18" s="1"/>
  <c r="W123" i="18"/>
  <c r="FV69" i="14"/>
  <c r="FS69" i="14"/>
  <c r="W85" i="18"/>
  <c r="EC55" i="14"/>
  <c r="Y85" i="18" s="1"/>
  <c r="DZ55" i="14"/>
  <c r="V85" i="18" s="1"/>
  <c r="LX55" i="14"/>
  <c r="MA55" i="14" s="1"/>
  <c r="AL44" i="18"/>
  <c r="AX44" i="18" s="1"/>
  <c r="EJ52" i="10"/>
  <c r="AL42" i="18" s="1"/>
  <c r="HO154" i="14"/>
  <c r="HM154" i="14"/>
  <c r="EF107" i="14"/>
  <c r="EE107" i="14"/>
  <c r="DZ107" i="14"/>
  <c r="ED107" i="14"/>
  <c r="GR28" i="10"/>
  <c r="GQ28" i="10"/>
  <c r="EN85" i="14"/>
  <c r="AH89" i="18" s="1"/>
  <c r="Z89" i="18" s="1"/>
  <c r="AI89" i="18"/>
  <c r="AA89" i="18" s="1"/>
  <c r="EQ85" i="14"/>
  <c r="AK89" i="18" s="1"/>
  <c r="AC89" i="18" s="1"/>
  <c r="MH85" i="14"/>
  <c r="MK85" i="14" s="1"/>
  <c r="BM61" i="10"/>
  <c r="BJ62" i="10"/>
  <c r="BJ61" i="10" s="1"/>
  <c r="CD62" i="10"/>
  <c r="CZ62" i="10"/>
  <c r="EL30" i="10"/>
  <c r="AN20" i="18" s="1"/>
  <c r="EJ30" i="10"/>
  <c r="AM20" i="18"/>
  <c r="EI30" i="10"/>
  <c r="EI27" i="10" s="1"/>
  <c r="EM30" i="10"/>
  <c r="AO20" i="18" s="1"/>
  <c r="ED19" i="11"/>
  <c r="AX30" i="18"/>
  <c r="CY80" i="14"/>
  <c r="CY79" i="14"/>
  <c r="GV45" i="10"/>
  <c r="GX46" i="10"/>
  <c r="GX45" i="10" s="1"/>
  <c r="GW46" i="10"/>
  <c r="LD98" i="14"/>
  <c r="LG98" i="14" s="1"/>
  <c r="BP15" i="14"/>
  <c r="DB21" i="10"/>
  <c r="I11" i="18" s="1"/>
  <c r="DA21" i="10"/>
  <c r="H11" i="18" s="1"/>
  <c r="GJ21" i="10"/>
  <c r="G11" i="18"/>
  <c r="CY21" i="10"/>
  <c r="F11" i="18" s="1"/>
  <c r="FV98" i="14"/>
  <c r="FS98" i="14"/>
  <c r="GQ35" i="10"/>
  <c r="GP33" i="10"/>
  <c r="GG90" i="14"/>
  <c r="GJ90" i="14"/>
  <c r="BV83" i="14"/>
  <c r="F73" i="18" s="1"/>
  <c r="BZ83" i="14"/>
  <c r="BZ139" i="14" s="1"/>
  <c r="BW139" i="14" s="1"/>
  <c r="G73" i="18"/>
  <c r="BX83" i="14"/>
  <c r="H73" i="18" s="1"/>
  <c r="KJ83" i="14"/>
  <c r="KL83" i="14" s="1"/>
  <c r="DB49" i="10"/>
  <c r="I39" i="18" s="1"/>
  <c r="GJ49" i="10"/>
  <c r="CY49" i="10"/>
  <c r="F39" i="18" s="1"/>
  <c r="G39" i="18"/>
  <c r="DA49" i="10"/>
  <c r="H39" i="18" s="1"/>
  <c r="GZ153" i="14"/>
  <c r="GZ154" i="14"/>
  <c r="GZ155" i="14"/>
  <c r="DN40" i="10"/>
  <c r="M30" i="18" s="1"/>
  <c r="E30" i="18" s="1"/>
  <c r="AW30" i="18" s="1"/>
  <c r="K30" i="18"/>
  <c r="C30" i="18" s="1"/>
  <c r="AU30" i="18" s="1"/>
  <c r="BS28" i="14"/>
  <c r="DM40" i="10"/>
  <c r="L30" i="18" s="1"/>
  <c r="D30" i="18" s="1"/>
  <c r="AV30" i="18" s="1"/>
  <c r="DK40" i="10"/>
  <c r="J30" i="18" s="1"/>
  <c r="B30" i="18" s="1"/>
  <c r="AT30" i="18" s="1"/>
  <c r="GS40" i="10"/>
  <c r="DJ62" i="10"/>
  <c r="DG62" i="10"/>
  <c r="BR33" i="14"/>
  <c r="CY122" i="14" s="1"/>
  <c r="IQ102" i="14"/>
  <c r="IO106" i="14"/>
  <c r="IO102" i="14" s="1"/>
  <c r="IW155" i="14"/>
  <c r="LX155" i="14" s="1"/>
  <c r="MA155" i="14" s="1"/>
  <c r="IW154" i="14"/>
  <c r="IW153" i="14"/>
  <c r="LX153" i="14" s="1"/>
  <c r="AY30" i="18"/>
  <c r="BW155" i="14"/>
  <c r="BW154" i="14"/>
  <c r="BW153" i="14"/>
  <c r="GJ48" i="10"/>
  <c r="DB48" i="10"/>
  <c r="I38" i="18" s="1"/>
  <c r="DA48" i="10"/>
  <c r="H38" i="18" s="1"/>
  <c r="CY48" i="10"/>
  <c r="F38" i="18" s="1"/>
  <c r="G38" i="18"/>
  <c r="GX59" i="10"/>
  <c r="GW59" i="10"/>
  <c r="CD65" i="10"/>
  <c r="CZ65" i="10"/>
  <c r="FU97" i="14"/>
  <c r="FS97" i="14"/>
  <c r="FW97" i="14"/>
  <c r="FF64" i="14"/>
  <c r="FF117" i="14"/>
  <c r="FF63" i="14"/>
  <c r="CY69" i="14"/>
  <c r="CY70" i="14"/>
  <c r="CY68" i="14"/>
  <c r="M17" i="10"/>
  <c r="EC113" i="14"/>
  <c r="DZ113" i="14"/>
  <c r="LX113" i="14"/>
  <c r="MA113" i="14" s="1"/>
  <c r="CY28" i="10"/>
  <c r="F18" i="18" s="1"/>
  <c r="GJ28" i="10"/>
  <c r="DP17" i="11"/>
  <c r="DB28" i="10"/>
  <c r="I18" i="18" s="1"/>
  <c r="G18" i="18"/>
  <c r="DA28" i="10"/>
  <c r="H18" i="18" s="1"/>
  <c r="AQ35" i="18"/>
  <c r="FU45" i="10"/>
  <c r="AS35" i="18" s="1"/>
  <c r="FT45" i="10"/>
  <c r="AR35" i="18" s="1"/>
  <c r="AX45" i="18"/>
  <c r="GO41" i="10"/>
  <c r="GN41" i="10"/>
  <c r="JL106" i="14"/>
  <c r="IZ107" i="14" s="1"/>
  <c r="IZ108" i="14" s="1"/>
  <c r="IW108" i="14"/>
  <c r="MH108" i="14" s="1"/>
  <c r="MK108" i="14" s="1"/>
  <c r="JP106" i="14"/>
  <c r="IW107" i="14"/>
  <c r="MH107" i="14" s="1"/>
  <c r="AZ30" i="18"/>
  <c r="AX55" i="18"/>
  <c r="GW28" i="10"/>
  <c r="GX28" i="10"/>
  <c r="GV27" i="10"/>
  <c r="BS26" i="14"/>
  <c r="DK38" i="10"/>
  <c r="J28" i="18" s="1"/>
  <c r="B28" i="18" s="1"/>
  <c r="AT28" i="18" s="1"/>
  <c r="GS38" i="10"/>
  <c r="K28" i="18"/>
  <c r="C28" i="18" s="1"/>
  <c r="AU28" i="18" s="1"/>
  <c r="DQ22" i="11"/>
  <c r="DN38" i="10"/>
  <c r="M28" i="18" s="1"/>
  <c r="E28" i="18" s="1"/>
  <c r="AW28" i="18" s="1"/>
  <c r="DM38" i="10"/>
  <c r="L28" i="18" s="1"/>
  <c r="D28" i="18" s="1"/>
  <c r="AV28" i="18" s="1"/>
  <c r="GQ59" i="10"/>
  <c r="GR59" i="10"/>
  <c r="GV37" i="10"/>
  <c r="G19" i="10"/>
  <c r="DX19" i="10" s="1"/>
  <c r="DL19" i="10" s="1"/>
  <c r="D11" i="11"/>
  <c r="N12" i="14"/>
  <c r="Q12" i="14" s="1"/>
  <c r="P17" i="10"/>
  <c r="V17" i="10" s="1"/>
  <c r="HA59" i="10"/>
  <c r="GZ59" i="10"/>
  <c r="MH97" i="14"/>
  <c r="MJ97" i="14" s="1"/>
  <c r="ER97" i="14"/>
  <c r="EP97" i="14"/>
  <c r="AJ77" i="18" s="1"/>
  <c r="AB77" i="18" s="1"/>
  <c r="EN97" i="14"/>
  <c r="AH77" i="18" s="1"/>
  <c r="Z77" i="18" s="1"/>
  <c r="AI77" i="18"/>
  <c r="AA77" i="18" s="1"/>
  <c r="EA37" i="10"/>
  <c r="DP37" i="10" s="1"/>
  <c r="DR37" i="10" s="1"/>
  <c r="ED112" i="14"/>
  <c r="EF112" i="14"/>
  <c r="LX112" i="14"/>
  <c r="EE112" i="14"/>
  <c r="DZ112" i="14"/>
  <c r="CZ43" i="10"/>
  <c r="FF89" i="14"/>
  <c r="FF90" i="14"/>
  <c r="CJ61" i="10"/>
  <c r="DH61" i="10"/>
  <c r="AY55" i="18"/>
  <c r="EN112" i="14"/>
  <c r="ER112" i="14"/>
  <c r="MH112" i="14"/>
  <c r="ET112" i="14"/>
  <c r="ES112" i="14"/>
  <c r="DY48" i="10"/>
  <c r="DW48" i="10"/>
  <c r="DL48" i="10"/>
  <c r="DZ85" i="14"/>
  <c r="V89" i="18" s="1"/>
  <c r="N89" i="18" s="1"/>
  <c r="EC85" i="14"/>
  <c r="Y89" i="18" s="1"/>
  <c r="Q89" i="18" s="1"/>
  <c r="LX85" i="14"/>
  <c r="MA85" i="14" s="1"/>
  <c r="W89" i="18"/>
  <c r="O89" i="18" s="1"/>
  <c r="AA73" i="18"/>
  <c r="GZ30" i="10"/>
  <c r="HA30" i="10"/>
  <c r="AA74" i="18"/>
  <c r="DC75" i="10"/>
  <c r="CZ75" i="10"/>
  <c r="DP30" i="11" s="1"/>
  <c r="L20" i="10"/>
  <c r="DX20" i="10"/>
  <c r="AI92" i="18"/>
  <c r="AA92" i="18" s="1"/>
  <c r="EQ98" i="14"/>
  <c r="AK92" i="18" s="1"/>
  <c r="AC92" i="18" s="1"/>
  <c r="EN98" i="14"/>
  <c r="AH92" i="18" s="1"/>
  <c r="Z92" i="18" s="1"/>
  <c r="MH98" i="14"/>
  <c r="MK98" i="14" s="1"/>
  <c r="LY122" i="14"/>
  <c r="NI122" i="14" s="1"/>
  <c r="NJ122" i="14" s="1"/>
  <c r="MB122" i="14"/>
  <c r="CY68" i="10"/>
  <c r="F54" i="18" s="1"/>
  <c r="GJ68" i="10"/>
  <c r="G54" i="18"/>
  <c r="EI45" i="10"/>
  <c r="W65" i="18"/>
  <c r="LX54" i="14"/>
  <c r="LZ54" i="14" s="1"/>
  <c r="EB54" i="14"/>
  <c r="X65" i="18" s="1"/>
  <c r="EC54" i="14"/>
  <c r="Y65" i="18" s="1"/>
  <c r="DZ54" i="14"/>
  <c r="V65" i="18" s="1"/>
  <c r="AP36" i="18"/>
  <c r="FR45" i="10"/>
  <c r="AP35" i="18" s="1"/>
  <c r="CK93" i="14"/>
  <c r="CK94" i="14"/>
  <c r="FF80" i="14"/>
  <c r="FF79" i="14"/>
  <c r="EB84" i="14"/>
  <c r="X74" i="18" s="1"/>
  <c r="P74" i="18" s="1"/>
  <c r="W74" i="18"/>
  <c r="O74" i="18" s="1"/>
  <c r="DZ84" i="14"/>
  <c r="V74" i="18" s="1"/>
  <c r="N74" i="18" s="1"/>
  <c r="LX84" i="14"/>
  <c r="GO31" i="10"/>
  <c r="GN31" i="10"/>
  <c r="CK63" i="14"/>
  <c r="CK64" i="14"/>
  <c r="CK117" i="14"/>
  <c r="DP13" i="11"/>
  <c r="CY22" i="10"/>
  <c r="F12" i="18" s="1"/>
  <c r="BP16" i="14"/>
  <c r="GJ22" i="10"/>
  <c r="DB22" i="10"/>
  <c r="I12" i="18" s="1"/>
  <c r="DA22" i="10"/>
  <c r="H12" i="18" s="1"/>
  <c r="G12" i="18"/>
  <c r="DC29" i="10"/>
  <c r="R19" i="18" s="1"/>
  <c r="N19" i="18" s="1"/>
  <c r="GM29" i="10"/>
  <c r="GM27" i="10" s="1"/>
  <c r="DF29" i="10"/>
  <c r="U19" i="18" s="1"/>
  <c r="Q19" i="18" s="1"/>
  <c r="DE29" i="10"/>
  <c r="T19" i="18" s="1"/>
  <c r="P19" i="18" s="1"/>
  <c r="S19" i="18"/>
  <c r="O19" i="18" s="1"/>
  <c r="GR46" i="10"/>
  <c r="GR45" i="10" s="1"/>
  <c r="GP45" i="10"/>
  <c r="GQ46" i="10"/>
  <c r="ED63" i="14"/>
  <c r="DZ63" i="14"/>
  <c r="V68" i="18" s="1"/>
  <c r="EB63" i="14"/>
  <c r="X68" i="18" s="1"/>
  <c r="W68" i="18"/>
  <c r="DZ93" i="14"/>
  <c r="V76" i="18" s="1"/>
  <c r="ED93" i="14"/>
  <c r="W76" i="18"/>
  <c r="EB93" i="14"/>
  <c r="X76" i="18" s="1"/>
  <c r="BJ29" i="10"/>
  <c r="CZ29" i="10"/>
  <c r="CD29" i="10"/>
  <c r="CJ17" i="10"/>
  <c r="GN59" i="10"/>
  <c r="GO59" i="10"/>
  <c r="BL14" i="10"/>
  <c r="MH113" i="14"/>
  <c r="MK113" i="14" s="1"/>
  <c r="EN113" i="14"/>
  <c r="EQ113" i="14"/>
  <c r="IW44" i="14"/>
  <c r="IW46" i="14"/>
  <c r="IW45" i="14"/>
  <c r="MH45" i="14" s="1"/>
  <c r="MK45" i="14" s="1"/>
  <c r="ED83" i="14"/>
  <c r="ED139" i="14" s="1"/>
  <c r="EA139" i="14" s="1"/>
  <c r="W73" i="18"/>
  <c r="O73" i="18" s="1"/>
  <c r="LX83" i="14"/>
  <c r="LZ83" i="14" s="1"/>
  <c r="DZ83" i="14"/>
  <c r="V73" i="18" s="1"/>
  <c r="N73" i="18" s="1"/>
  <c r="EB83" i="14"/>
  <c r="X73" i="18" s="1"/>
  <c r="P73" i="18" s="1"/>
  <c r="ET107" i="14"/>
  <c r="ES107" i="14"/>
  <c r="EN107" i="14"/>
  <c r="ER107" i="14"/>
  <c r="CY33" i="10"/>
  <c r="CD33" i="10"/>
  <c r="CZ33" i="10"/>
  <c r="BJ30" i="10"/>
  <c r="CD30" i="10"/>
  <c r="CZ30" i="10"/>
  <c r="S12" i="18"/>
  <c r="O12" i="18" s="1"/>
  <c r="DC22" i="10"/>
  <c r="R12" i="18" s="1"/>
  <c r="N12" i="18" s="1"/>
  <c r="GM22" i="10"/>
  <c r="DF22" i="10"/>
  <c r="U12" i="18" s="1"/>
  <c r="Q12" i="18" s="1"/>
  <c r="BQ16" i="14"/>
  <c r="DE22" i="10"/>
  <c r="T12" i="18" s="1"/>
  <c r="P12" i="18" s="1"/>
  <c r="DW54" i="10"/>
  <c r="DY54" i="10"/>
  <c r="DL54" i="10"/>
  <c r="FL30" i="10"/>
  <c r="FL27" i="10" s="1"/>
  <c r="FO27" i="10"/>
  <c r="GU21" i="10"/>
  <c r="GT21" i="10"/>
  <c r="AP18" i="18"/>
  <c r="FR27" i="10"/>
  <c r="AP17" i="18" s="1"/>
  <c r="G88" i="18"/>
  <c r="BV80" i="14"/>
  <c r="F88" i="18" s="1"/>
  <c r="DP45" i="11"/>
  <c r="BY80" i="14"/>
  <c r="I88" i="18" s="1"/>
  <c r="GC19" i="10"/>
  <c r="CZ45" i="10"/>
  <c r="CD45" i="10"/>
  <c r="CY45" i="10"/>
  <c r="F35" i="18" s="1"/>
  <c r="N25" i="14"/>
  <c r="Q25" i="14" s="1"/>
  <c r="G37" i="10"/>
  <c r="D21" i="11"/>
  <c r="FS37" i="10"/>
  <c r="FU37" i="10" s="1"/>
  <c r="GO46" i="10"/>
  <c r="GN46" i="10"/>
  <c r="DM52" i="10"/>
  <c r="L42" i="18" s="1"/>
  <c r="K42" i="18"/>
  <c r="AI75" i="18"/>
  <c r="AA75" i="18" s="1"/>
  <c r="EN89" i="14"/>
  <c r="AH75" i="18" s="1"/>
  <c r="Z75" i="18" s="1"/>
  <c r="ER89" i="14"/>
  <c r="ER145" i="14" s="1"/>
  <c r="EO145" i="14" s="1"/>
  <c r="EP89" i="14"/>
  <c r="AJ75" i="18" s="1"/>
  <c r="AB75" i="18" s="1"/>
  <c r="EF117" i="14"/>
  <c r="BM134" i="18" s="1"/>
  <c r="DZ117" i="14"/>
  <c r="LX117" i="14"/>
  <c r="EE117" i="14"/>
  <c r="BL134" i="18" s="1"/>
  <c r="ED117" i="14"/>
  <c r="EC94" i="14"/>
  <c r="Y91" i="18" s="1"/>
  <c r="W91" i="18"/>
  <c r="DZ94" i="14"/>
  <c r="V91" i="18" s="1"/>
  <c r="GO48" i="10"/>
  <c r="GN48" i="10"/>
  <c r="DC35" i="10"/>
  <c r="R25" i="18" s="1"/>
  <c r="N25" i="18" s="1"/>
  <c r="DF35" i="10"/>
  <c r="U25" i="18" s="1"/>
  <c r="Q25" i="18" s="1"/>
  <c r="DE35" i="10"/>
  <c r="T25" i="18" s="1"/>
  <c r="P25" i="18" s="1"/>
  <c r="BQ22" i="14"/>
  <c r="GM35" i="10"/>
  <c r="GN35" i="10" s="1"/>
  <c r="S25" i="18"/>
  <c r="O25" i="18" s="1"/>
  <c r="MI122" i="14"/>
  <c r="NM122" i="14" s="1"/>
  <c r="NN122" i="14" s="1"/>
  <c r="ML122" i="14"/>
  <c r="CK17" i="10"/>
  <c r="AY44" i="18"/>
  <c r="AY15" i="18"/>
  <c r="FR63" i="10"/>
  <c r="FU63" i="10"/>
  <c r="GV63" i="10"/>
  <c r="GX63" i="10" s="1"/>
  <c r="GY63" i="10"/>
  <c r="HA63" i="10" s="1"/>
  <c r="DG20" i="10"/>
  <c r="AD10" i="18" s="1"/>
  <c r="Z10" i="18" s="1"/>
  <c r="DI20" i="10"/>
  <c r="AF10" i="18" s="1"/>
  <c r="AB10" i="18" s="1"/>
  <c r="AE10" i="18"/>
  <c r="AA10" i="18" s="1"/>
  <c r="GP20" i="10"/>
  <c r="DJ20" i="10"/>
  <c r="AG10" i="18" s="1"/>
  <c r="AC10" i="18" s="1"/>
  <c r="BR14" i="14"/>
  <c r="EN54" i="14"/>
  <c r="AH65" i="18" s="1"/>
  <c r="AI65" i="18"/>
  <c r="EQ54" i="14"/>
  <c r="AK65" i="18" s="1"/>
  <c r="EP54" i="14"/>
  <c r="AJ65" i="18" s="1"/>
  <c r="MH54" i="14"/>
  <c r="MJ54" i="14" s="1"/>
  <c r="CY66" i="10"/>
  <c r="F52" i="18" s="1"/>
  <c r="G52" i="18"/>
  <c r="GJ66" i="10"/>
  <c r="JD97" i="14"/>
  <c r="JC97" i="14"/>
  <c r="KT97" i="14"/>
  <c r="KV97" i="14" s="1"/>
  <c r="BX79" i="14"/>
  <c r="H72" i="18" s="1"/>
  <c r="BV79" i="14"/>
  <c r="G72" i="18"/>
  <c r="BZ79" i="14"/>
  <c r="BZ134" i="14" s="1"/>
  <c r="BW134" i="14" s="1"/>
  <c r="GI19" i="10"/>
  <c r="FL20" i="10"/>
  <c r="FL19" i="10" s="1"/>
  <c r="FO19" i="10"/>
  <c r="DF23" i="10"/>
  <c r="U13" i="18" s="1"/>
  <c r="Q13" i="18" s="1"/>
  <c r="S13" i="18"/>
  <c r="O13" i="18" s="1"/>
  <c r="GM23" i="10"/>
  <c r="DE23" i="10"/>
  <c r="T13" i="18" s="1"/>
  <c r="P13" i="18" s="1"/>
  <c r="DC23" i="10"/>
  <c r="R13" i="18" s="1"/>
  <c r="N13" i="18" s="1"/>
  <c r="BQ17" i="14"/>
  <c r="MH90" i="14"/>
  <c r="MK90" i="14" s="1"/>
  <c r="EQ90" i="14"/>
  <c r="AK90" i="18" s="1"/>
  <c r="AC90" i="18" s="1"/>
  <c r="AI90" i="18"/>
  <c r="AA90" i="18" s="1"/>
  <c r="EN90" i="14"/>
  <c r="AH90" i="18" s="1"/>
  <c r="Z90" i="18" s="1"/>
  <c r="DZ64" i="14"/>
  <c r="V95" i="18" s="1"/>
  <c r="EC64" i="14"/>
  <c r="Y95" i="18" s="1"/>
  <c r="W95" i="18"/>
  <c r="AW113" i="14"/>
  <c r="CM47" i="11"/>
  <c r="AW108" i="14"/>
  <c r="BY17" i="10"/>
  <c r="AZ44" i="18"/>
  <c r="CJ19" i="10"/>
  <c r="DH19" i="10"/>
  <c r="EN55" i="14"/>
  <c r="AH85" i="18" s="1"/>
  <c r="EQ55" i="14"/>
  <c r="AK85" i="18" s="1"/>
  <c r="MH55" i="14"/>
  <c r="MK55" i="14" s="1"/>
  <c r="AI85" i="18"/>
  <c r="GJ53" i="10"/>
  <c r="DB53" i="10"/>
  <c r="I43" i="18" s="1"/>
  <c r="DA53" i="10"/>
  <c r="H43" i="18" s="1"/>
  <c r="G43" i="18"/>
  <c r="CY53" i="10"/>
  <c r="F43" i="18" s="1"/>
  <c r="D16" i="11"/>
  <c r="G27" i="10"/>
  <c r="DX27" i="10" s="1"/>
  <c r="DL27" i="10" s="1"/>
  <c r="EF43" i="49"/>
  <c r="EE43" i="49" s="1"/>
  <c r="HM43" i="49"/>
  <c r="U33" i="48" s="1"/>
  <c r="Q33" i="48" s="1"/>
  <c r="IQ56" i="49"/>
  <c r="AL46" i="48" s="1"/>
  <c r="AM46" i="48"/>
  <c r="IT56" i="49"/>
  <c r="AO46" i="48" s="1"/>
  <c r="IP56" i="49"/>
  <c r="IP52" i="49" s="1"/>
  <c r="IS56" i="49"/>
  <c r="AN46" i="48" s="1"/>
  <c r="KT43" i="49"/>
  <c r="EF56" i="49"/>
  <c r="EE56" i="49" s="1"/>
  <c r="HJ43" i="49"/>
  <c r="R33" i="48" s="1"/>
  <c r="JS56" i="49"/>
  <c r="S33" i="48"/>
  <c r="DO17" i="49"/>
  <c r="DQ17" i="49" s="1"/>
  <c r="IE56" i="49"/>
  <c r="R56" i="49"/>
  <c r="M56" i="49"/>
  <c r="EI43" i="49"/>
  <c r="JU65" i="49"/>
  <c r="EF30" i="49"/>
  <c r="EE30" i="49" s="1"/>
  <c r="HG30" i="49" s="1"/>
  <c r="G20" i="48" s="1"/>
  <c r="AY20" i="48" s="1"/>
  <c r="EE63" i="49"/>
  <c r="BD52" i="49"/>
  <c r="HX52" i="49"/>
  <c r="X42" i="48" s="1"/>
  <c r="W42" i="48"/>
  <c r="EH66" i="49"/>
  <c r="HK66" i="49" s="1"/>
  <c r="HJ66" i="49" s="1"/>
  <c r="R52" i="48" s="1"/>
  <c r="N52" i="48" s="1"/>
  <c r="GX122" i="50"/>
  <c r="GX121" i="50" s="1"/>
  <c r="EF22" i="49"/>
  <c r="EJ73" i="49"/>
  <c r="AA17" i="49"/>
  <c r="IR65" i="49"/>
  <c r="IF122" i="50"/>
  <c r="IA122" i="50"/>
  <c r="IE122" i="50"/>
  <c r="IG122" i="50"/>
  <c r="BE61" i="49"/>
  <c r="BE17" i="49" s="1"/>
  <c r="BE14" i="49" s="1"/>
  <c r="JW65" i="49"/>
  <c r="DB52" i="49"/>
  <c r="JY45" i="49"/>
  <c r="AP35" i="48" s="1"/>
  <c r="IW70" i="50"/>
  <c r="MH70" i="50" s="1"/>
  <c r="MK70" i="50" s="1"/>
  <c r="IW68" i="50"/>
  <c r="MH68" i="50" s="1"/>
  <c r="MJ68" i="50" s="1"/>
  <c r="IW69" i="50"/>
  <c r="MH69" i="50" s="1"/>
  <c r="MK69" i="50" s="1"/>
  <c r="DV24" i="49"/>
  <c r="MH122" i="50"/>
  <c r="IW89" i="50"/>
  <c r="JB89" i="50" s="1"/>
  <c r="JS144" i="50" s="1"/>
  <c r="JP88" i="50"/>
  <c r="IW90" i="50"/>
  <c r="IV90" i="50" s="1"/>
  <c r="AP90" i="48" s="1"/>
  <c r="JL88" i="50"/>
  <c r="IZ89" i="50" s="1"/>
  <c r="BD37" i="49"/>
  <c r="BF17" i="49"/>
  <c r="BF14" i="49" s="1"/>
  <c r="IP33" i="49"/>
  <c r="IW112" i="50"/>
  <c r="JC112" i="50" s="1"/>
  <c r="IW54" i="50"/>
  <c r="IW55" i="50"/>
  <c r="KN37" i="49"/>
  <c r="KJ37" i="49"/>
  <c r="KD37" i="49"/>
  <c r="KH45" i="49"/>
  <c r="IA126" i="50"/>
  <c r="IE126" i="50"/>
  <c r="IA127" i="50"/>
  <c r="ID127" i="50"/>
  <c r="JS68" i="49"/>
  <c r="JX18" i="49"/>
  <c r="HK54" i="49"/>
  <c r="HL54" i="49" s="1"/>
  <c r="T44" i="48" s="1"/>
  <c r="P44" i="48" s="1"/>
  <c r="DA27" i="49"/>
  <c r="LE23" i="49"/>
  <c r="JT65" i="49"/>
  <c r="DE61" i="49"/>
  <c r="DB65" i="49"/>
  <c r="JP111" i="50"/>
  <c r="EF29" i="49"/>
  <c r="IA154" i="50"/>
  <c r="IC154" i="50"/>
  <c r="HM44" i="50"/>
  <c r="HO44" i="50"/>
  <c r="IA155" i="50"/>
  <c r="ID155" i="50"/>
  <c r="IH17" i="49"/>
  <c r="HW17" i="49" s="1"/>
  <c r="DV47" i="49"/>
  <c r="HM45" i="50"/>
  <c r="HP45" i="50"/>
  <c r="DI17" i="49"/>
  <c r="DG17" i="49" s="1"/>
  <c r="DY17" i="49" s="1"/>
  <c r="JS22" i="49"/>
  <c r="HS107" i="50"/>
  <c r="HQ107" i="50"/>
  <c r="HM107" i="50"/>
  <c r="HR107" i="50"/>
  <c r="KH52" i="49"/>
  <c r="IP45" i="49"/>
  <c r="EF49" i="49"/>
  <c r="EE49" i="49" s="1"/>
  <c r="HG49" i="49" s="1"/>
  <c r="HH49" i="49" s="1"/>
  <c r="H39" i="48" s="1"/>
  <c r="JS69" i="49"/>
  <c r="KF45" i="49"/>
  <c r="EF48" i="49"/>
  <c r="EE48" i="49" s="1"/>
  <c r="HG48" i="49" s="1"/>
  <c r="HI48" i="49" s="1"/>
  <c r="I38" i="48" s="1"/>
  <c r="IQ69" i="49"/>
  <c r="AL55" i="48" s="1"/>
  <c r="GU36" i="50"/>
  <c r="IP69" i="49"/>
  <c r="AM55" i="48"/>
  <c r="JW27" i="49"/>
  <c r="IE69" i="49"/>
  <c r="M69" i="49"/>
  <c r="R69" i="49"/>
  <c r="AB36" i="50" s="1"/>
  <c r="LF27" i="49"/>
  <c r="EA49" i="50"/>
  <c r="EB49" i="50" s="1"/>
  <c r="X64" i="48" s="1"/>
  <c r="EE22" i="49"/>
  <c r="EI41" i="49"/>
  <c r="HO35" i="49"/>
  <c r="FE63" i="49"/>
  <c r="LH23" i="49"/>
  <c r="KW63" i="49"/>
  <c r="KY63" i="49" s="1"/>
  <c r="FE62" i="49"/>
  <c r="HQ63" i="49"/>
  <c r="EO63" i="50"/>
  <c r="AI68" i="48" s="1"/>
  <c r="EO117" i="50"/>
  <c r="HO56" i="49"/>
  <c r="AE46" i="48" s="1"/>
  <c r="AA46" i="48" s="1"/>
  <c r="EO127" i="50"/>
  <c r="AI124" i="48" s="1"/>
  <c r="HK21" i="49"/>
  <c r="HJ21" i="49" s="1"/>
  <c r="R11" i="48" s="1"/>
  <c r="N11" i="48" s="1"/>
  <c r="LD21" i="49"/>
  <c r="HK47" i="49"/>
  <c r="LF45" i="49"/>
  <c r="EF24" i="49"/>
  <c r="EE24" i="49" s="1"/>
  <c r="HG24" i="49" s="1"/>
  <c r="HK48" i="49"/>
  <c r="HM48" i="49" s="1"/>
  <c r="U38" i="48" s="1"/>
  <c r="Q38" i="48" s="1"/>
  <c r="EI48" i="49"/>
  <c r="EF20" i="49"/>
  <c r="EE20" i="49" s="1"/>
  <c r="HG20" i="49" s="1"/>
  <c r="HI20" i="49" s="1"/>
  <c r="I10" i="48" s="1"/>
  <c r="HO66" i="49"/>
  <c r="HN66" i="49" s="1"/>
  <c r="AD52" i="48" s="1"/>
  <c r="Z52" i="48" s="1"/>
  <c r="HO40" i="49"/>
  <c r="FE40" i="49"/>
  <c r="LH28" i="49"/>
  <c r="HK39" i="49"/>
  <c r="HJ39" i="49" s="1"/>
  <c r="R29" i="48" s="1"/>
  <c r="N29" i="48" s="1"/>
  <c r="N33" i="48"/>
  <c r="O33" i="48"/>
  <c r="HK22" i="49"/>
  <c r="HM22" i="49" s="1"/>
  <c r="U12" i="48" s="1"/>
  <c r="Q12" i="48" s="1"/>
  <c r="HO59" i="49"/>
  <c r="KW59" i="49" s="1"/>
  <c r="HO55" i="49"/>
  <c r="FD58" i="49"/>
  <c r="EE23" i="49"/>
  <c r="HG23" i="49" s="1"/>
  <c r="DP14" i="51" s="1"/>
  <c r="HK30" i="49"/>
  <c r="S20" i="48" s="1"/>
  <c r="O20" i="48" s="1"/>
  <c r="HK20" i="49"/>
  <c r="AE55" i="48"/>
  <c r="AA55" i="48" s="1"/>
  <c r="EI38" i="49"/>
  <c r="EF46" i="49"/>
  <c r="EE46" i="49" s="1"/>
  <c r="HG46" i="49" s="1"/>
  <c r="KW69" i="49"/>
  <c r="FD29" i="49"/>
  <c r="FE29" i="49" s="1"/>
  <c r="EE29" i="49"/>
  <c r="HN69" i="49"/>
  <c r="AD55" i="48" s="1"/>
  <c r="Z55" i="48" s="1"/>
  <c r="EH69" i="49"/>
  <c r="FD43" i="49"/>
  <c r="EE41" i="49"/>
  <c r="HG41" i="49" s="1"/>
  <c r="EI23" i="49"/>
  <c r="HO28" i="49"/>
  <c r="AE18" i="48" s="1"/>
  <c r="AA18" i="48" s="1"/>
  <c r="EF28" i="49"/>
  <c r="EE28" i="49" s="1"/>
  <c r="HG28" i="49" s="1"/>
  <c r="HO46" i="49"/>
  <c r="HN46" i="49" s="1"/>
  <c r="AD36" i="48" s="1"/>
  <c r="Z36" i="48" s="1"/>
  <c r="FE46" i="49"/>
  <c r="EE21" i="49"/>
  <c r="EE69" i="49"/>
  <c r="EF40" i="49"/>
  <c r="EE40" i="49" s="1"/>
  <c r="FE20" i="49"/>
  <c r="HO20" i="49"/>
  <c r="KW20" i="49" s="1"/>
  <c r="EE66" i="49"/>
  <c r="EF50" i="49"/>
  <c r="EE50" i="49" s="1"/>
  <c r="HG50" i="49" s="1"/>
  <c r="G40" i="48" s="1"/>
  <c r="FE54" i="49"/>
  <c r="HO54" i="49"/>
  <c r="HN54" i="49" s="1"/>
  <c r="AD44" i="48" s="1"/>
  <c r="Z44" i="48" s="1"/>
  <c r="HK40" i="49"/>
  <c r="S30" i="48" s="1"/>
  <c r="O30" i="48" s="1"/>
  <c r="EI40" i="49"/>
  <c r="HK67" i="49"/>
  <c r="S53" i="48" s="1"/>
  <c r="O53" i="48" s="1"/>
  <c r="EI67" i="49"/>
  <c r="EF62" i="49"/>
  <c r="EE62" i="49" s="1"/>
  <c r="HG62" i="49" s="1"/>
  <c r="BP33" i="50" s="1"/>
  <c r="BW122" i="50" s="1"/>
  <c r="FE30" i="49"/>
  <c r="HO30" i="49"/>
  <c r="EF54" i="49"/>
  <c r="EE54" i="49" s="1"/>
  <c r="HO21" i="49"/>
  <c r="AE11" i="48" s="1"/>
  <c r="AA11" i="48" s="1"/>
  <c r="FD48" i="49"/>
  <c r="HN62" i="49"/>
  <c r="BR33" i="50"/>
  <c r="CY122" i="50" s="1"/>
  <c r="LD122" i="50" s="1"/>
  <c r="HQ62" i="49"/>
  <c r="FE47" i="49"/>
  <c r="HO47" i="49"/>
  <c r="FD61" i="49"/>
  <c r="HO61" i="49" s="1"/>
  <c r="EF47" i="49"/>
  <c r="EE47" i="49" s="1"/>
  <c r="FD31" i="49"/>
  <c r="FD49" i="49"/>
  <c r="HK68" i="49"/>
  <c r="HJ68" i="49" s="1"/>
  <c r="R54" i="48" s="1"/>
  <c r="N54" i="48" s="1"/>
  <c r="EH59" i="49"/>
  <c r="EF59" i="49"/>
  <c r="EE59" i="49" s="1"/>
  <c r="FD24" i="49"/>
  <c r="EF67" i="49"/>
  <c r="EE67" i="49" s="1"/>
  <c r="HG67" i="49" s="1"/>
  <c r="HF67" i="49" s="1"/>
  <c r="F53" i="48" s="1"/>
  <c r="FD25" i="49"/>
  <c r="FD34" i="49"/>
  <c r="FD41" i="49"/>
  <c r="FE50" i="49"/>
  <c r="HO50" i="49"/>
  <c r="FD68" i="49"/>
  <c r="EF68" i="49"/>
  <c r="EE68" i="49" s="1"/>
  <c r="FD38" i="49"/>
  <c r="EF38" i="49"/>
  <c r="EE38" i="49" s="1"/>
  <c r="HG38" i="49" s="1"/>
  <c r="BP26" i="50" s="1"/>
  <c r="FD22" i="49"/>
  <c r="FD53" i="49"/>
  <c r="EF53" i="49"/>
  <c r="EE53" i="49" s="1"/>
  <c r="HG53" i="49" s="1"/>
  <c r="LC33" i="49"/>
  <c r="JY33" i="49"/>
  <c r="AP23" i="48" s="1"/>
  <c r="IE54" i="49"/>
  <c r="R54" i="49"/>
  <c r="M54" i="49"/>
  <c r="DS75" i="49"/>
  <c r="CZ73" i="49"/>
  <c r="DS73" i="49" s="1"/>
  <c r="DZ23" i="51"/>
  <c r="ID46" i="49"/>
  <c r="IF46" i="49"/>
  <c r="HS46" i="49"/>
  <c r="IR33" i="49"/>
  <c r="BE108" i="50"/>
  <c r="GU16" i="50"/>
  <c r="IQ22" i="49"/>
  <c r="AL12" i="48" s="1"/>
  <c r="ED13" i="51"/>
  <c r="IS22" i="49"/>
  <c r="AN12" i="48" s="1"/>
  <c r="IP22" i="49"/>
  <c r="BE113" i="50"/>
  <c r="IT22" i="49"/>
  <c r="AO12" i="48" s="1"/>
  <c r="AM12" i="48"/>
  <c r="M22" i="49"/>
  <c r="IE22" i="49"/>
  <c r="R22" i="49"/>
  <c r="CZ38" i="49"/>
  <c r="DV38" i="49"/>
  <c r="IA83" i="50"/>
  <c r="IC83" i="50"/>
  <c r="IE83" i="50"/>
  <c r="IE139" i="50" s="1"/>
  <c r="IB139" i="50" s="1"/>
  <c r="JL111" i="50"/>
  <c r="IZ112" i="50" s="1"/>
  <c r="IZ113" i="50" s="1"/>
  <c r="IC84" i="50"/>
  <c r="IA84" i="50"/>
  <c r="LC45" i="49"/>
  <c r="KN33" i="49"/>
  <c r="KL33" i="49"/>
  <c r="JE17" i="49"/>
  <c r="AB33" i="50"/>
  <c r="CM26" i="51"/>
  <c r="JS31" i="49"/>
  <c r="N20" i="50"/>
  <c r="Q20" i="50" s="1"/>
  <c r="JZ65" i="49"/>
  <c r="M68" i="49"/>
  <c r="R68" i="49"/>
  <c r="IE68" i="49"/>
  <c r="R31" i="49"/>
  <c r="IE31" i="49"/>
  <c r="M31" i="49"/>
  <c r="KF33" i="49"/>
  <c r="G33" i="49"/>
  <c r="IE33" i="49" s="1"/>
  <c r="HS33" i="49" s="1"/>
  <c r="AN21" i="44"/>
  <c r="AB21" i="44"/>
  <c r="AE21" i="44"/>
  <c r="AH21" i="44"/>
  <c r="AK21" i="44"/>
  <c r="ID62" i="49"/>
  <c r="DZ26" i="51"/>
  <c r="FB33" i="50"/>
  <c r="FF122" i="50" s="1"/>
  <c r="HS62" i="49"/>
  <c r="AB26" i="50"/>
  <c r="CM22" i="51"/>
  <c r="CZ69" i="49"/>
  <c r="DV69" i="49"/>
  <c r="KJ33" i="49"/>
  <c r="KN65" i="49"/>
  <c r="ID38" i="49"/>
  <c r="DZ22" i="51"/>
  <c r="HS38" i="49"/>
  <c r="IF38" i="49"/>
  <c r="FB26" i="50"/>
  <c r="KH65" i="49"/>
  <c r="LF19" i="49"/>
  <c r="IQ31" i="49"/>
  <c r="AL21" i="48" s="1"/>
  <c r="IP31" i="49"/>
  <c r="IP27" i="49" s="1"/>
  <c r="IT31" i="49"/>
  <c r="AO21" i="48" s="1"/>
  <c r="IS31" i="49"/>
  <c r="AN21" i="48" s="1"/>
  <c r="AM21" i="48"/>
  <c r="KJ65" i="49"/>
  <c r="IQ68" i="49"/>
  <c r="AL54" i="48" s="1"/>
  <c r="IP68" i="49"/>
  <c r="AM54" i="48"/>
  <c r="IW50" i="50"/>
  <c r="LX50" i="50" s="1"/>
  <c r="MA50" i="50" s="1"/>
  <c r="IW49" i="50"/>
  <c r="MH49" i="50" s="1"/>
  <c r="MJ49" i="50" s="1"/>
  <c r="P20" i="37"/>
  <c r="L20" i="37" s="1"/>
  <c r="P21" i="37"/>
  <c r="L21" i="37" s="1"/>
  <c r="HO68" i="50"/>
  <c r="HM68" i="50"/>
  <c r="JT19" i="49"/>
  <c r="IS43" i="49"/>
  <c r="AN33" i="48" s="1"/>
  <c r="IP43" i="49"/>
  <c r="IP37" i="49" s="1"/>
  <c r="AM33" i="48"/>
  <c r="IQ43" i="49"/>
  <c r="AL33" i="48" s="1"/>
  <c r="IT43" i="49"/>
  <c r="AO33" i="48" s="1"/>
  <c r="HP69" i="50"/>
  <c r="HM69" i="50"/>
  <c r="CZ30" i="49"/>
  <c r="DV30" i="49"/>
  <c r="GZ79" i="50"/>
  <c r="GZ80" i="50"/>
  <c r="M43" i="49"/>
  <c r="R43" i="49"/>
  <c r="IE43" i="49"/>
  <c r="S91" i="51"/>
  <c r="BK91" i="51" s="1"/>
  <c r="BJ91" i="51" s="1"/>
  <c r="AZ91" i="51" s="1"/>
  <c r="S75" i="51"/>
  <c r="BK75" i="51" s="1"/>
  <c r="S77" i="51"/>
  <c r="BK77" i="51" s="1"/>
  <c r="S79" i="51"/>
  <c r="BK79" i="51" s="1"/>
  <c r="S87" i="51"/>
  <c r="BK87" i="51" s="1"/>
  <c r="S81" i="51"/>
  <c r="BK81" i="51" s="1"/>
  <c r="S89" i="51"/>
  <c r="BK89" i="51" s="1"/>
  <c r="AQ41" i="44"/>
  <c r="AT41" i="44"/>
  <c r="BC41" i="44"/>
  <c r="AW41" i="44"/>
  <c r="AZ41" i="44"/>
  <c r="HP70" i="50"/>
  <c r="HM70" i="50"/>
  <c r="JS43" i="49"/>
  <c r="JS54" i="49"/>
  <c r="L62" i="51"/>
  <c r="F13" i="51"/>
  <c r="E13" i="51" s="1"/>
  <c r="E40" i="51"/>
  <c r="CW66" i="51"/>
  <c r="CR66" i="51" s="1"/>
  <c r="CR79" i="51"/>
  <c r="CR75" i="51"/>
  <c r="CW65" i="51"/>
  <c r="CR65" i="51" s="1"/>
  <c r="CW62" i="51"/>
  <c r="E35" i="51"/>
  <c r="F30" i="51"/>
  <c r="F29" i="51" s="1"/>
  <c r="G29" i="51" s="1"/>
  <c r="CP62" i="51"/>
  <c r="CV62" i="51" s="1"/>
  <c r="F16" i="51"/>
  <c r="E17" i="51"/>
  <c r="E16" i="51" s="1"/>
  <c r="CP75" i="51"/>
  <c r="CV75" i="51" s="1"/>
  <c r="BM62" i="51"/>
  <c r="U62" i="51" s="1"/>
  <c r="F25" i="51"/>
  <c r="G26" i="51"/>
  <c r="F12" i="51"/>
  <c r="K62" i="51"/>
  <c r="BB62" i="51"/>
  <c r="J62" i="51" s="1"/>
  <c r="DC145" i="14"/>
  <c r="DD145" i="14"/>
  <c r="BQ142" i="18" s="1"/>
  <c r="CX145" i="14"/>
  <c r="DC139" i="14"/>
  <c r="CX139" i="14"/>
  <c r="DD139" i="14"/>
  <c r="BQ141" i="18" s="1"/>
  <c r="BJ141" i="18"/>
  <c r="IO116" i="50"/>
  <c r="IV113" i="50"/>
  <c r="JD113" i="50"/>
  <c r="EM54" i="51" s="1"/>
  <c r="JC113" i="50"/>
  <c r="EL54" i="51" s="1"/>
  <c r="JB113" i="50"/>
  <c r="EK54" i="51" s="1"/>
  <c r="IY113" i="50"/>
  <c r="JL116" i="50"/>
  <c r="IZ117" i="50" s="1"/>
  <c r="IZ118" i="50" s="1"/>
  <c r="JP116" i="50"/>
  <c r="IW117" i="50"/>
  <c r="JD117" i="50" s="1"/>
  <c r="IW127" i="50"/>
  <c r="BN113" i="50" s="1"/>
  <c r="IW126" i="50"/>
  <c r="AQ123" i="48" s="1"/>
  <c r="GJ50" i="50"/>
  <c r="GG50" i="50"/>
  <c r="GM107" i="50"/>
  <c r="GK107" i="50"/>
  <c r="GG107" i="50"/>
  <c r="GL107" i="50" s="1"/>
  <c r="EO79" i="50"/>
  <c r="EO80" i="50"/>
  <c r="HP50" i="50"/>
  <c r="HM50" i="50"/>
  <c r="GG49" i="50"/>
  <c r="GJ49" i="50"/>
  <c r="GI49" i="50"/>
  <c r="HJ34" i="49"/>
  <c r="R24" i="48" s="1"/>
  <c r="N24" i="48" s="1"/>
  <c r="BQ21" i="50"/>
  <c r="HL34" i="49"/>
  <c r="T24" i="48" s="1"/>
  <c r="P24" i="48" s="1"/>
  <c r="HM34" i="49"/>
  <c r="U24" i="48" s="1"/>
  <c r="Q24" i="48" s="1"/>
  <c r="S24" i="48"/>
  <c r="O24" i="48" s="1"/>
  <c r="KT34" i="49"/>
  <c r="KU34" i="49" s="1"/>
  <c r="EO94" i="50"/>
  <c r="MH94" i="50" s="1"/>
  <c r="MK94" i="50" s="1"/>
  <c r="EO93" i="50"/>
  <c r="MH93" i="50" s="1"/>
  <c r="MJ93" i="50" s="1"/>
  <c r="R21" i="49"/>
  <c r="AB15" i="50" s="1"/>
  <c r="IE21" i="49"/>
  <c r="M21" i="49"/>
  <c r="HG21" i="49" s="1"/>
  <c r="CZ31" i="49"/>
  <c r="DV31" i="49"/>
  <c r="Q17" i="49"/>
  <c r="CP17" i="49"/>
  <c r="EA154" i="50"/>
  <c r="EA155" i="50"/>
  <c r="EA153" i="50"/>
  <c r="HS59" i="49"/>
  <c r="ID59" i="49"/>
  <c r="IF59" i="49"/>
  <c r="EA108" i="50"/>
  <c r="EA107" i="50"/>
  <c r="EA44" i="50"/>
  <c r="EA46" i="50"/>
  <c r="EA45" i="50"/>
  <c r="EF122" i="50"/>
  <c r="BM135" i="48" s="1"/>
  <c r="EE122" i="50"/>
  <c r="BL135" i="48" s="1"/>
  <c r="LX122" i="50"/>
  <c r="ED122" i="50"/>
  <c r="DZ122" i="50"/>
  <c r="FU49" i="50"/>
  <c r="FV49" i="50"/>
  <c r="FS49" i="50"/>
  <c r="JS21" i="49"/>
  <c r="EA113" i="50"/>
  <c r="EA54" i="50"/>
  <c r="EA55" i="50"/>
  <c r="EA112" i="50"/>
  <c r="GU15" i="50"/>
  <c r="IP21" i="49"/>
  <c r="IQ21" i="49"/>
  <c r="IT21" i="49"/>
  <c r="AO11" i="48" s="1"/>
  <c r="AM11" i="48"/>
  <c r="IS21" i="49"/>
  <c r="AN11" i="48" s="1"/>
  <c r="FV50" i="50"/>
  <c r="FS50" i="50"/>
  <c r="HR41" i="49"/>
  <c r="J31" i="48" s="1"/>
  <c r="KZ41" i="49"/>
  <c r="HT41" i="49"/>
  <c r="L31" i="48" s="1"/>
  <c r="K31" i="48"/>
  <c r="HU41" i="49"/>
  <c r="M31" i="48" s="1"/>
  <c r="BS29" i="50"/>
  <c r="LE28" i="49"/>
  <c r="LD28" i="49"/>
  <c r="LD22" i="49"/>
  <c r="LE22" i="49"/>
  <c r="FF93" i="50"/>
  <c r="FF94" i="50"/>
  <c r="LH30" i="49"/>
  <c r="LG30" i="49"/>
  <c r="JT63" i="49"/>
  <c r="JT61" i="49" s="1"/>
  <c r="D27" i="51"/>
  <c r="JU63" i="49"/>
  <c r="JV63" i="49"/>
  <c r="JV61" i="49" s="1"/>
  <c r="JW63" i="49"/>
  <c r="JW61" i="49" s="1"/>
  <c r="V61" i="49"/>
  <c r="KL61" i="49" s="1"/>
  <c r="G63" i="49"/>
  <c r="IR63" i="49"/>
  <c r="K53" i="48"/>
  <c r="HR67" i="49"/>
  <c r="J53" i="48" s="1"/>
  <c r="KZ67" i="49"/>
  <c r="EA98" i="50"/>
  <c r="EA97" i="50"/>
  <c r="AB17" i="50"/>
  <c r="CM14" i="51"/>
  <c r="GJ108" i="50"/>
  <c r="GG108" i="50"/>
  <c r="IR37" i="49"/>
  <c r="KN27" i="49"/>
  <c r="KH37" i="49"/>
  <c r="KJ27" i="49"/>
  <c r="DA45" i="49"/>
  <c r="DA17" i="49" s="1"/>
  <c r="DA14" i="49" s="1"/>
  <c r="KF65" i="49"/>
  <c r="JW19" i="49"/>
  <c r="E17" i="49"/>
  <c r="HM90" i="50"/>
  <c r="HP90" i="50"/>
  <c r="BD65" i="49"/>
  <c r="HO89" i="50"/>
  <c r="HM89" i="50"/>
  <c r="HQ89" i="50"/>
  <c r="HQ145" i="50" s="1"/>
  <c r="HN145" i="50" s="1"/>
  <c r="GZ90" i="50"/>
  <c r="GZ89" i="50"/>
  <c r="LE43" i="49"/>
  <c r="LD43" i="49"/>
  <c r="IK61" i="49"/>
  <c r="IA61" i="49" s="1"/>
  <c r="GR17" i="49"/>
  <c r="DY63" i="49"/>
  <c r="KL65" i="49"/>
  <c r="EO98" i="50"/>
  <c r="EO97" i="50"/>
  <c r="DV56" i="49"/>
  <c r="GZ98" i="50"/>
  <c r="GZ97" i="50"/>
  <c r="HM85" i="50"/>
  <c r="HP85" i="50"/>
  <c r="LG43" i="49"/>
  <c r="LH43" i="49"/>
  <c r="JZ37" i="49"/>
  <c r="KB37" i="49" s="1"/>
  <c r="GY93" i="50"/>
  <c r="AL76" i="48" s="1"/>
  <c r="HC93" i="50"/>
  <c r="HA93" i="50"/>
  <c r="AN76" i="48" s="1"/>
  <c r="AM76" i="48"/>
  <c r="GX93" i="50"/>
  <c r="LG22" i="49"/>
  <c r="LH22" i="49"/>
  <c r="CZ20" i="49"/>
  <c r="DV20" i="49"/>
  <c r="HQ83" i="50"/>
  <c r="HQ139" i="50" s="1"/>
  <c r="HN139" i="50" s="1"/>
  <c r="HM83" i="50"/>
  <c r="HO83" i="50"/>
  <c r="HB94" i="50"/>
  <c r="AO91" i="48" s="1"/>
  <c r="ED48" i="51"/>
  <c r="AM91" i="48"/>
  <c r="GY94" i="50"/>
  <c r="AL91" i="48" s="1"/>
  <c r="GX94" i="50"/>
  <c r="EO112" i="50"/>
  <c r="EO54" i="50"/>
  <c r="EO113" i="50"/>
  <c r="EO55" i="50"/>
  <c r="HM84" i="50"/>
  <c r="HO84" i="50"/>
  <c r="LH48" i="49"/>
  <c r="LG48" i="49"/>
  <c r="GJ55" i="50"/>
  <c r="GG55" i="50"/>
  <c r="HM49" i="50"/>
  <c r="HO49" i="50"/>
  <c r="IF42" i="49"/>
  <c r="FB30" i="50"/>
  <c r="ID42" i="49"/>
  <c r="HS42" i="49"/>
  <c r="IW64" i="50"/>
  <c r="IW63" i="50"/>
  <c r="GG46" i="50"/>
  <c r="GI46" i="50"/>
  <c r="EA69" i="50"/>
  <c r="EA70" i="50"/>
  <c r="EA68" i="50"/>
  <c r="IW154" i="50"/>
  <c r="IW155" i="50"/>
  <c r="IW153" i="50"/>
  <c r="EO154" i="50"/>
  <c r="EO153" i="50"/>
  <c r="EO155" i="50"/>
  <c r="GI54" i="50"/>
  <c r="GJ54" i="50"/>
  <c r="GG54" i="50"/>
  <c r="LH47" i="49"/>
  <c r="LG47" i="49"/>
  <c r="GG45" i="50"/>
  <c r="GJ45" i="50"/>
  <c r="GZ127" i="50"/>
  <c r="GZ126" i="50"/>
  <c r="LE48" i="49"/>
  <c r="LD48" i="49"/>
  <c r="EA84" i="50"/>
  <c r="LX84" i="50" s="1"/>
  <c r="EA83" i="50"/>
  <c r="LX83" i="50" s="1"/>
  <c r="LZ83" i="50" s="1"/>
  <c r="EA85" i="50"/>
  <c r="LX85" i="50" s="1"/>
  <c r="MA85" i="50" s="1"/>
  <c r="GG112" i="50"/>
  <c r="GL112" i="50" s="1"/>
  <c r="GK112" i="50"/>
  <c r="GM112" i="50"/>
  <c r="AE97" i="50"/>
  <c r="AE98" i="50"/>
  <c r="CM49" i="51" s="1"/>
  <c r="P42" i="37"/>
  <c r="L42" i="37" s="1"/>
  <c r="P43" i="37"/>
  <c r="L43" i="37" s="1"/>
  <c r="GG44" i="50"/>
  <c r="LH41" i="49"/>
  <c r="LG41" i="49"/>
  <c r="JZ33" i="49"/>
  <c r="KD33" i="49"/>
  <c r="KP33" i="49"/>
  <c r="DV68" i="49"/>
  <c r="GG113" i="50"/>
  <c r="GJ113" i="50"/>
  <c r="EG75" i="49"/>
  <c r="EE75" i="49" s="1"/>
  <c r="EH75" i="49"/>
  <c r="EI75" i="49" s="1"/>
  <c r="ID49" i="49"/>
  <c r="IF49" i="49"/>
  <c r="HS49" i="49"/>
  <c r="DD17" i="49"/>
  <c r="DW19" i="49"/>
  <c r="KY39" i="49"/>
  <c r="KX39" i="49"/>
  <c r="HF55" i="49"/>
  <c r="F45" i="48" s="1"/>
  <c r="KQ55" i="49"/>
  <c r="KR55" i="49" s="1"/>
  <c r="HI55" i="49"/>
  <c r="I45" i="48" s="1"/>
  <c r="G45" i="48"/>
  <c r="HH55" i="49"/>
  <c r="H45" i="48" s="1"/>
  <c r="O15" i="37"/>
  <c r="O10" i="37"/>
  <c r="O16" i="37"/>
  <c r="O11" i="37"/>
  <c r="AI97" i="48"/>
  <c r="EQ70" i="50"/>
  <c r="AK97" i="48" s="1"/>
  <c r="EN70" i="50"/>
  <c r="AH97" i="48" s="1"/>
  <c r="KD27" i="49"/>
  <c r="LE42" i="49"/>
  <c r="LD42" i="49"/>
  <c r="CZ46" i="49"/>
  <c r="DV46" i="49"/>
  <c r="DC45" i="49"/>
  <c r="DV45" i="49" s="1"/>
  <c r="DW61" i="49"/>
  <c r="BH17" i="49"/>
  <c r="CY83" i="50"/>
  <c r="CY85" i="50"/>
  <c r="CY84" i="50"/>
  <c r="HD107" i="50"/>
  <c r="GY107" i="50"/>
  <c r="GX107" i="50"/>
  <c r="HC107" i="50"/>
  <c r="HE107" i="50"/>
  <c r="LA30" i="49"/>
  <c r="LB30" i="49"/>
  <c r="CZ29" i="49"/>
  <c r="DV29" i="49"/>
  <c r="K13" i="48"/>
  <c r="HT23" i="49"/>
  <c r="L13" i="48" s="1"/>
  <c r="KZ23" i="49"/>
  <c r="HU23" i="49"/>
  <c r="M13" i="48" s="1"/>
  <c r="DQ14" i="51"/>
  <c r="HR23" i="49"/>
  <c r="J13" i="48" s="1"/>
  <c r="BS17" i="50"/>
  <c r="KL19" i="49"/>
  <c r="IW80" i="50"/>
  <c r="LX80" i="50" s="1"/>
  <c r="MA80" i="50" s="1"/>
  <c r="JL78" i="50"/>
  <c r="IZ79" i="50" s="1"/>
  <c r="JP78" i="50"/>
  <c r="IW79" i="50"/>
  <c r="FF108" i="50"/>
  <c r="FF45" i="50"/>
  <c r="FF44" i="50"/>
  <c r="FF107" i="50"/>
  <c r="FF46" i="50"/>
  <c r="EP68" i="50"/>
  <c r="AJ69" i="48" s="1"/>
  <c r="AI69" i="48"/>
  <c r="EN68" i="50"/>
  <c r="AH69" i="48" s="1"/>
  <c r="ER68" i="50"/>
  <c r="HB44" i="50"/>
  <c r="AO63" i="48" s="1"/>
  <c r="HA44" i="50"/>
  <c r="AN63" i="48" s="1"/>
  <c r="AM63" i="48"/>
  <c r="GY44" i="50"/>
  <c r="AL63" i="48" s="1"/>
  <c r="M47" i="49"/>
  <c r="R47" i="49"/>
  <c r="IE47" i="49"/>
  <c r="DZ17" i="49"/>
  <c r="CY153" i="50"/>
  <c r="CY155" i="50"/>
  <c r="CY154" i="50"/>
  <c r="M39" i="49"/>
  <c r="IE39" i="49"/>
  <c r="R39" i="49"/>
  <c r="AB27" i="50" s="1"/>
  <c r="HK25" i="49"/>
  <c r="EI25" i="49"/>
  <c r="KF27" i="49"/>
  <c r="IW45" i="50"/>
  <c r="MH45" i="50" s="1"/>
  <c r="MK45" i="50" s="1"/>
  <c r="IW44" i="50"/>
  <c r="IW46" i="50"/>
  <c r="IP102" i="50"/>
  <c r="IO106" i="50"/>
  <c r="LG42" i="49"/>
  <c r="LH42" i="49"/>
  <c r="AI73" i="48"/>
  <c r="EP83" i="50"/>
  <c r="AJ73" i="48" s="1"/>
  <c r="EN83" i="50"/>
  <c r="AH73" i="48" s="1"/>
  <c r="ER83" i="50"/>
  <c r="ER139" i="50" s="1"/>
  <c r="EO139" i="50" s="1"/>
  <c r="MH83" i="50"/>
  <c r="MJ83" i="50" s="1"/>
  <c r="GX108" i="50"/>
  <c r="HB108" i="50"/>
  <c r="GY108" i="50"/>
  <c r="ED53" i="51"/>
  <c r="KW56" i="49"/>
  <c r="KX56" i="49" s="1"/>
  <c r="HN56" i="49"/>
  <c r="AD46" i="48" s="1"/>
  <c r="Z46" i="48" s="1"/>
  <c r="KD65" i="49"/>
  <c r="IR45" i="49"/>
  <c r="IP74" i="50"/>
  <c r="IO78" i="50"/>
  <c r="IO74" i="50" s="1"/>
  <c r="AE32" i="48"/>
  <c r="AA32" i="48" s="1"/>
  <c r="BR30" i="50"/>
  <c r="KW42" i="49"/>
  <c r="HP42" i="49"/>
  <c r="AF32" i="48" s="1"/>
  <c r="AB32" i="48" s="1"/>
  <c r="HN42" i="49"/>
  <c r="AD32" i="48" s="1"/>
  <c r="Z32" i="48" s="1"/>
  <c r="HQ42" i="49"/>
  <c r="AG32" i="48" s="1"/>
  <c r="AC32" i="48" s="1"/>
  <c r="HJ47" i="49"/>
  <c r="R37" i="48" s="1"/>
  <c r="N37" i="48" s="1"/>
  <c r="HM47" i="49"/>
  <c r="U37" i="48" s="1"/>
  <c r="Q37" i="48" s="1"/>
  <c r="KT47" i="49"/>
  <c r="S37" i="48"/>
  <c r="O37" i="48" s="1"/>
  <c r="HL47" i="49"/>
  <c r="T37" i="48" s="1"/>
  <c r="P37" i="48" s="1"/>
  <c r="JS29" i="49"/>
  <c r="JV27" i="49"/>
  <c r="JP106" i="50"/>
  <c r="IW108" i="50"/>
  <c r="IW107" i="50"/>
  <c r="JL106" i="50"/>
  <c r="IZ107" i="50" s="1"/>
  <c r="IZ108" i="50" s="1"/>
  <c r="MH84" i="50"/>
  <c r="EP84" i="50"/>
  <c r="AJ74" i="48" s="1"/>
  <c r="AI74" i="48"/>
  <c r="EN84" i="50"/>
  <c r="AH74" i="48" s="1"/>
  <c r="HK31" i="49"/>
  <c r="EI31" i="49"/>
  <c r="BG61" i="49"/>
  <c r="BD62" i="49"/>
  <c r="HA46" i="50"/>
  <c r="AN78" i="48" s="1"/>
  <c r="GY46" i="50"/>
  <c r="AL78" i="48" s="1"/>
  <c r="AM78" i="48"/>
  <c r="EQ49" i="50"/>
  <c r="AK64" i="48" s="1"/>
  <c r="EP49" i="50"/>
  <c r="AJ64" i="48" s="1"/>
  <c r="EN49" i="50"/>
  <c r="AH64" i="48" s="1"/>
  <c r="AI64" i="48"/>
  <c r="KP65" i="49"/>
  <c r="EE117" i="50"/>
  <c r="BL134" i="48" s="1"/>
  <c r="EF117" i="50"/>
  <c r="BM134" i="48" s="1"/>
  <c r="ED117" i="50"/>
  <c r="DZ117" i="50"/>
  <c r="KT66" i="49"/>
  <c r="DZ80" i="50"/>
  <c r="V88" i="48" s="1"/>
  <c r="EC80" i="50"/>
  <c r="Y88" i="48" s="1"/>
  <c r="W88" i="48"/>
  <c r="JB93" i="50"/>
  <c r="JD93" i="50"/>
  <c r="IV93" i="50"/>
  <c r="AP76" i="48" s="1"/>
  <c r="IX93" i="50"/>
  <c r="AR76" i="48" s="1"/>
  <c r="JC93" i="50"/>
  <c r="AQ76" i="48"/>
  <c r="KJ19" i="49"/>
  <c r="AM83" i="48"/>
  <c r="ED35" i="51"/>
  <c r="GY45" i="50"/>
  <c r="AL83" i="48" s="1"/>
  <c r="HB45" i="50"/>
  <c r="AO83" i="48" s="1"/>
  <c r="FE67" i="49"/>
  <c r="HO67" i="49"/>
  <c r="EQ50" i="50"/>
  <c r="AK84" i="48" s="1"/>
  <c r="AI84" i="48"/>
  <c r="EN50" i="50"/>
  <c r="AH84" i="48" s="1"/>
  <c r="W95" i="48"/>
  <c r="EC64" i="50"/>
  <c r="Y95" i="48" s="1"/>
  <c r="DZ64" i="50"/>
  <c r="V95" i="48" s="1"/>
  <c r="FF126" i="50"/>
  <c r="FF127" i="50"/>
  <c r="EB79" i="50"/>
  <c r="X72" i="48" s="1"/>
  <c r="W72" i="48"/>
  <c r="ED79" i="50"/>
  <c r="ED134" i="50" s="1"/>
  <c r="EA134" i="50" s="1"/>
  <c r="DZ79" i="50"/>
  <c r="V72" i="48" s="1"/>
  <c r="R25" i="49"/>
  <c r="IE25" i="49"/>
  <c r="M25" i="49"/>
  <c r="EA17" i="49"/>
  <c r="HL29" i="49"/>
  <c r="T19" i="48" s="1"/>
  <c r="P19" i="48" s="1"/>
  <c r="HM29" i="49"/>
  <c r="U19" i="48" s="1"/>
  <c r="Q19" i="48" s="1"/>
  <c r="HJ29" i="49"/>
  <c r="R19" i="48" s="1"/>
  <c r="N19" i="48" s="1"/>
  <c r="S19" i="48"/>
  <c r="O19" i="48" s="1"/>
  <c r="KT29" i="49"/>
  <c r="DV66" i="49"/>
  <c r="CZ66" i="49"/>
  <c r="DC65" i="49"/>
  <c r="DV65" i="49" s="1"/>
  <c r="HK24" i="49"/>
  <c r="EI24" i="49"/>
  <c r="K17" i="49"/>
  <c r="HL50" i="49"/>
  <c r="T40" i="48" s="1"/>
  <c r="P40" i="48" s="1"/>
  <c r="S40" i="48"/>
  <c r="O40" i="48" s="1"/>
  <c r="KT50" i="49"/>
  <c r="HJ50" i="49"/>
  <c r="R40" i="48" s="1"/>
  <c r="N40" i="48" s="1"/>
  <c r="HM50" i="49"/>
  <c r="U40" i="48" s="1"/>
  <c r="Q40" i="48" s="1"/>
  <c r="EP126" i="50"/>
  <c r="EN126" i="50"/>
  <c r="AH123" i="48" s="1"/>
  <c r="AI123" i="48"/>
  <c r="IR27" i="49"/>
  <c r="HO23" i="49"/>
  <c r="FE23" i="49"/>
  <c r="FS145" i="50"/>
  <c r="FX145" i="50" s="1"/>
  <c r="FY145" i="50"/>
  <c r="ID53" i="49"/>
  <c r="HS53" i="49"/>
  <c r="IF53" i="49"/>
  <c r="AP46" i="48"/>
  <c r="JY52" i="49"/>
  <c r="AP42" i="48" s="1"/>
  <c r="K10" i="48"/>
  <c r="HR20" i="49"/>
  <c r="J10" i="48" s="1"/>
  <c r="KZ20" i="49"/>
  <c r="HU20" i="49"/>
  <c r="M10" i="48" s="1"/>
  <c r="DQ12" i="51"/>
  <c r="BS14" i="50"/>
  <c r="HT20" i="49"/>
  <c r="L10" i="48" s="1"/>
  <c r="KP27" i="49"/>
  <c r="HT24" i="49"/>
  <c r="L14" i="48" s="1"/>
  <c r="KZ24" i="49"/>
  <c r="HR24" i="49"/>
  <c r="J14" i="48" s="1"/>
  <c r="HU24" i="49"/>
  <c r="M14" i="48" s="1"/>
  <c r="K14" i="48"/>
  <c r="EQ64" i="50"/>
  <c r="AK95" i="48" s="1"/>
  <c r="AI95" i="48"/>
  <c r="EN64" i="50"/>
  <c r="AH95" i="48" s="1"/>
  <c r="BD45" i="49"/>
  <c r="KL37" i="49"/>
  <c r="R29" i="49"/>
  <c r="CM18" i="51" s="1"/>
  <c r="IE29" i="49"/>
  <c r="M29" i="49"/>
  <c r="EI56" i="49"/>
  <c r="HK56" i="49"/>
  <c r="HJ38" i="49"/>
  <c r="R28" i="48" s="1"/>
  <c r="N28" i="48" s="1"/>
  <c r="HL38" i="49"/>
  <c r="T28" i="48" s="1"/>
  <c r="P28" i="48" s="1"/>
  <c r="KT38" i="49"/>
  <c r="S28" i="48"/>
  <c r="O28" i="48" s="1"/>
  <c r="HM38" i="49"/>
  <c r="U28" i="48" s="1"/>
  <c r="Q28" i="48" s="1"/>
  <c r="BQ26" i="50"/>
  <c r="LC52" i="49"/>
  <c r="CZ55" i="49"/>
  <c r="CZ52" i="49" s="1"/>
  <c r="DV55" i="49"/>
  <c r="DC52" i="49"/>
  <c r="DV52" i="49" s="1"/>
  <c r="R66" i="49"/>
  <c r="M66" i="49"/>
  <c r="IE66" i="49"/>
  <c r="DV49" i="49"/>
  <c r="CZ49" i="49"/>
  <c r="KD45" i="49"/>
  <c r="AQ91" i="48"/>
  <c r="IY94" i="50"/>
  <c r="AS91" i="48" s="1"/>
  <c r="JD94" i="50"/>
  <c r="EM48" i="51" s="1"/>
  <c r="JB94" i="50"/>
  <c r="EK48" i="51" s="1"/>
  <c r="JC94" i="50"/>
  <c r="EL48" i="51" s="1"/>
  <c r="IV94" i="50"/>
  <c r="AP91" i="48" s="1"/>
  <c r="JS25" i="49"/>
  <c r="JV19" i="49"/>
  <c r="HK63" i="49"/>
  <c r="EI63" i="49"/>
  <c r="LA28" i="49"/>
  <c r="LB28" i="49"/>
  <c r="AL19" i="48"/>
  <c r="IQ27" i="49"/>
  <c r="AL17" i="48" s="1"/>
  <c r="HV75" i="49"/>
  <c r="HS75" i="49"/>
  <c r="DQ30" i="51" s="1"/>
  <c r="DV35" i="49"/>
  <c r="KL45" i="49"/>
  <c r="EN90" i="50"/>
  <c r="AH90" i="48" s="1"/>
  <c r="EQ90" i="50"/>
  <c r="AK90" i="48" s="1"/>
  <c r="AI90" i="48"/>
  <c r="AE107" i="50"/>
  <c r="AE44" i="50"/>
  <c r="AT113" i="50"/>
  <c r="AT108" i="50"/>
  <c r="AE46" i="50"/>
  <c r="AE108" i="50"/>
  <c r="CM53" i="51" s="1"/>
  <c r="AE45" i="50"/>
  <c r="CM35" i="51" s="1"/>
  <c r="K107" i="50"/>
  <c r="HT52" i="49"/>
  <c r="L42" i="48" s="1"/>
  <c r="HL48" i="49"/>
  <c r="T38" i="48" s="1"/>
  <c r="P38" i="48" s="1"/>
  <c r="S13" i="48"/>
  <c r="O13" i="48" s="1"/>
  <c r="HM23" i="49"/>
  <c r="U13" i="48" s="1"/>
  <c r="Q13" i="48" s="1"/>
  <c r="HL23" i="49"/>
  <c r="T13" i="48" s="1"/>
  <c r="P13" i="48" s="1"/>
  <c r="HJ23" i="49"/>
  <c r="R13" i="48" s="1"/>
  <c r="N13" i="48" s="1"/>
  <c r="KT23" i="49"/>
  <c r="BQ17" i="50"/>
  <c r="W75" i="48"/>
  <c r="EB89" i="50"/>
  <c r="X75" i="48" s="1"/>
  <c r="ED89" i="50"/>
  <c r="ED145" i="50" s="1"/>
  <c r="EA145" i="50" s="1"/>
  <c r="DZ89" i="50"/>
  <c r="V75" i="48" s="1"/>
  <c r="DZ50" i="50"/>
  <c r="V84" i="48" s="1"/>
  <c r="W84" i="48"/>
  <c r="EC50" i="50"/>
  <c r="Y84" i="48" s="1"/>
  <c r="EQ108" i="50"/>
  <c r="EN108" i="50"/>
  <c r="M35" i="49"/>
  <c r="M33" i="49" s="1"/>
  <c r="R35" i="49"/>
  <c r="AB22" i="50" s="1"/>
  <c r="IE35" i="49"/>
  <c r="EP89" i="50"/>
  <c r="AJ75" i="48" s="1"/>
  <c r="EN89" i="50"/>
  <c r="AH75" i="48" s="1"/>
  <c r="ER89" i="50"/>
  <c r="ER145" i="50" s="1"/>
  <c r="EO145" i="50" s="1"/>
  <c r="AI75" i="48"/>
  <c r="DC27" i="49"/>
  <c r="DV27" i="49" s="1"/>
  <c r="CZ28" i="49"/>
  <c r="EI55" i="49"/>
  <c r="HK55" i="49"/>
  <c r="EH52" i="49"/>
  <c r="HK52" i="49" s="1"/>
  <c r="LE20" i="49"/>
  <c r="LC19" i="49"/>
  <c r="LD20" i="49"/>
  <c r="GZ83" i="50"/>
  <c r="GZ85" i="50"/>
  <c r="GZ84" i="50"/>
  <c r="EC90" i="50"/>
  <c r="Y90" i="48" s="1"/>
  <c r="W90" i="48"/>
  <c r="DZ90" i="50"/>
  <c r="V90" i="48" s="1"/>
  <c r="LE25" i="49"/>
  <c r="LD25" i="49"/>
  <c r="ES107" i="50"/>
  <c r="EN107" i="50"/>
  <c r="ET107" i="50"/>
  <c r="ER107" i="50"/>
  <c r="JS35" i="49"/>
  <c r="JS33" i="49" s="1"/>
  <c r="LD50" i="49"/>
  <c r="LE50" i="49"/>
  <c r="GZ68" i="50"/>
  <c r="GZ70" i="50"/>
  <c r="GZ69" i="50"/>
  <c r="LC37" i="49"/>
  <c r="KW40" i="49"/>
  <c r="HQ40" i="49"/>
  <c r="AG30" i="48" s="1"/>
  <c r="AC30" i="48" s="1"/>
  <c r="HP40" i="49"/>
  <c r="AF30" i="48" s="1"/>
  <c r="AB30" i="48" s="1"/>
  <c r="BR28" i="50"/>
  <c r="AE30" i="48"/>
  <c r="AA30" i="48" s="1"/>
  <c r="HN40" i="49"/>
  <c r="AD30" i="48" s="1"/>
  <c r="Z30" i="48" s="1"/>
  <c r="JZ19" i="49"/>
  <c r="IV83" i="50"/>
  <c r="AP73" i="48" s="1"/>
  <c r="IX83" i="50"/>
  <c r="AR73" i="48" s="1"/>
  <c r="JD83" i="50"/>
  <c r="JX138" i="50" s="1"/>
  <c r="AQ73" i="48"/>
  <c r="JB83" i="50"/>
  <c r="JS138" i="50" s="1"/>
  <c r="JC83" i="50"/>
  <c r="JU138" i="50" s="1"/>
  <c r="LD29" i="49"/>
  <c r="LE29" i="49"/>
  <c r="LC27" i="49"/>
  <c r="CZ23" i="49"/>
  <c r="DV23" i="49"/>
  <c r="DC19" i="49"/>
  <c r="DV19" i="49" s="1"/>
  <c r="DZ94" i="50"/>
  <c r="V91" i="48" s="1"/>
  <c r="AL43" i="48"/>
  <c r="AI83" i="48"/>
  <c r="EN45" i="50"/>
  <c r="AH83" i="48" s="1"/>
  <c r="EQ45" i="50"/>
  <c r="AK83" i="48" s="1"/>
  <c r="LH24" i="49"/>
  <c r="LG24" i="49"/>
  <c r="G45" i="49"/>
  <c r="IE45" i="49" s="1"/>
  <c r="HS45" i="49" s="1"/>
  <c r="JZ45" i="49"/>
  <c r="AE64" i="50"/>
  <c r="CM40" i="51" s="1"/>
  <c r="AE63" i="50"/>
  <c r="K117" i="50"/>
  <c r="AE117" i="50"/>
  <c r="W76" i="48"/>
  <c r="ED93" i="50"/>
  <c r="EB93" i="50"/>
  <c r="X76" i="48" s="1"/>
  <c r="DZ93" i="50"/>
  <c r="V76" i="48" s="1"/>
  <c r="LX93" i="50"/>
  <c r="LZ93" i="50" s="1"/>
  <c r="G65" i="49"/>
  <c r="IE65" i="49" s="1"/>
  <c r="HS65" i="49" s="1"/>
  <c r="GZ117" i="50"/>
  <c r="GZ63" i="50"/>
  <c r="GZ64" i="50"/>
  <c r="LE24" i="49"/>
  <c r="LD24" i="49"/>
  <c r="DV25" i="49"/>
  <c r="CZ25" i="49"/>
  <c r="LH50" i="49"/>
  <c r="LG50" i="49"/>
  <c r="KD19" i="49"/>
  <c r="DJ17" i="49"/>
  <c r="JC85" i="50"/>
  <c r="EL46" i="51" s="1"/>
  <c r="AQ89" i="48"/>
  <c r="IY85" i="50"/>
  <c r="AS89" i="48" s="1"/>
  <c r="IV85" i="50"/>
  <c r="AP89" i="48" s="1"/>
  <c r="JD85" i="50"/>
  <c r="EM46" i="51" s="1"/>
  <c r="JB85" i="50"/>
  <c r="EK46" i="51" s="1"/>
  <c r="FB21" i="50"/>
  <c r="HS34" i="49"/>
  <c r="ID34" i="49"/>
  <c r="IF34" i="49"/>
  <c r="DC33" i="49"/>
  <c r="DV33" i="49" s="1"/>
  <c r="AL37" i="48"/>
  <c r="AL24" i="48"/>
  <c r="IQ33" i="49"/>
  <c r="AL23" i="48" s="1"/>
  <c r="EN46" i="50"/>
  <c r="AH78" i="48" s="1"/>
  <c r="EP46" i="50"/>
  <c r="AJ78" i="48" s="1"/>
  <c r="AI78" i="48"/>
  <c r="AI42" i="48"/>
  <c r="AJ42" i="48"/>
  <c r="EH33" i="49"/>
  <c r="HK33" i="49" s="1"/>
  <c r="EI35" i="49"/>
  <c r="HK35" i="49"/>
  <c r="JV33" i="49"/>
  <c r="KP45" i="49"/>
  <c r="KP19" i="49"/>
  <c r="ML122" i="50"/>
  <c r="MI122" i="50"/>
  <c r="NM122" i="50" s="1"/>
  <c r="NN122" i="50" s="1"/>
  <c r="CZ39" i="49"/>
  <c r="DC37" i="49"/>
  <c r="DV37" i="49" s="1"/>
  <c r="DV39" i="49"/>
  <c r="HK49" i="49"/>
  <c r="EI49" i="49"/>
  <c r="BD63" i="49"/>
  <c r="W124" i="48"/>
  <c r="EC127" i="50"/>
  <c r="Y124" i="48" s="1"/>
  <c r="DZ127" i="50"/>
  <c r="V124" i="48" s="1"/>
  <c r="JS66" i="49"/>
  <c r="JV65" i="49"/>
  <c r="JV45" i="49"/>
  <c r="JS47" i="49"/>
  <c r="JS45" i="49" s="1"/>
  <c r="EH27" i="49"/>
  <c r="HK27" i="49" s="1"/>
  <c r="EI28" i="49"/>
  <c r="HK28" i="49"/>
  <c r="JB84" i="50"/>
  <c r="AQ74" i="48"/>
  <c r="JC84" i="50"/>
  <c r="IX84" i="50"/>
  <c r="AR74" i="48" s="1"/>
  <c r="JD84" i="50"/>
  <c r="IV84" i="50"/>
  <c r="AP74" i="48" s="1"/>
  <c r="AL29" i="48"/>
  <c r="IQ37" i="49"/>
  <c r="AL27" i="48" s="1"/>
  <c r="LG56" i="49"/>
  <c r="LF52" i="49"/>
  <c r="LD59" i="49"/>
  <c r="LE59" i="49"/>
  <c r="LH38" i="49"/>
  <c r="LF37" i="49"/>
  <c r="LG38" i="49"/>
  <c r="CZ40" i="49"/>
  <c r="DV40" i="49"/>
  <c r="BQ29" i="50"/>
  <c r="KT41" i="49"/>
  <c r="S31" i="48"/>
  <c r="O31" i="48" s="1"/>
  <c r="HL41" i="49"/>
  <c r="T31" i="48" s="1"/>
  <c r="P31" i="48" s="1"/>
  <c r="HJ41" i="49"/>
  <c r="R31" i="48" s="1"/>
  <c r="N31" i="48" s="1"/>
  <c r="HM41" i="49"/>
  <c r="U31" i="48" s="1"/>
  <c r="Q31" i="48" s="1"/>
  <c r="EI46" i="49"/>
  <c r="HK46" i="49"/>
  <c r="EH45" i="49"/>
  <c r="HK45" i="49" s="1"/>
  <c r="CZ33" i="49"/>
  <c r="FS127" i="50"/>
  <c r="FV127" i="50"/>
  <c r="EE35" i="49"/>
  <c r="KN45" i="49"/>
  <c r="EH19" i="49"/>
  <c r="HK19" i="49" s="1"/>
  <c r="HP55" i="49"/>
  <c r="AF45" i="48" s="1"/>
  <c r="AB45" i="48" s="1"/>
  <c r="KW55" i="49"/>
  <c r="KX55" i="49" s="1"/>
  <c r="HQ55" i="49"/>
  <c r="AG45" i="48" s="1"/>
  <c r="AC45" i="48" s="1"/>
  <c r="AE45" i="48"/>
  <c r="AA45" i="48" s="1"/>
  <c r="HN55" i="49"/>
  <c r="AD45" i="48" s="1"/>
  <c r="Z45" i="48" s="1"/>
  <c r="G19" i="49"/>
  <c r="IE19" i="49" s="1"/>
  <c r="HS19" i="49" s="1"/>
  <c r="N12" i="50"/>
  <c r="Q12" i="50" s="1"/>
  <c r="D11" i="51"/>
  <c r="KF19" i="49"/>
  <c r="IR19" i="49"/>
  <c r="G27" i="49"/>
  <c r="IE27" i="49" s="1"/>
  <c r="HS27" i="49" s="1"/>
  <c r="D16" i="51"/>
  <c r="G16" i="51" s="1"/>
  <c r="JY27" i="49"/>
  <c r="AP17" i="48" s="1"/>
  <c r="JY19" i="49"/>
  <c r="AP9" i="48" s="1"/>
  <c r="AP10" i="48"/>
  <c r="EH61" i="49"/>
  <c r="HK61" i="49" s="1"/>
  <c r="D21" i="51"/>
  <c r="G37" i="49"/>
  <c r="IE37" i="49" s="1"/>
  <c r="HS37" i="49" s="1"/>
  <c r="HU37" i="49" s="1"/>
  <c r="N25" i="50"/>
  <c r="Q25" i="50" s="1"/>
  <c r="KF37" i="49"/>
  <c r="JZ27" i="49"/>
  <c r="LA48" i="49"/>
  <c r="LB48" i="49"/>
  <c r="DC63" i="49"/>
  <c r="CZ63" i="49" s="1"/>
  <c r="DB63" i="49"/>
  <c r="DB61" i="49" s="1"/>
  <c r="HK62" i="49"/>
  <c r="JS39" i="49"/>
  <c r="JS37" i="49" s="1"/>
  <c r="JV37" i="49"/>
  <c r="LE47" i="49"/>
  <c r="LD47" i="49"/>
  <c r="AP28" i="48"/>
  <c r="JY37" i="49"/>
  <c r="AP27" i="48" s="1"/>
  <c r="KL27" i="49"/>
  <c r="CE17" i="49"/>
  <c r="BR22" i="50"/>
  <c r="AE25" i="48"/>
  <c r="AA25" i="48" s="1"/>
  <c r="HN35" i="49"/>
  <c r="AD25" i="48" s="1"/>
  <c r="Z25" i="48" s="1"/>
  <c r="HP35" i="49"/>
  <c r="AF25" i="48" s="1"/>
  <c r="AB25" i="48" s="1"/>
  <c r="HQ35" i="49"/>
  <c r="AG25" i="48" s="1"/>
  <c r="AC25" i="48" s="1"/>
  <c r="KW35" i="49"/>
  <c r="KX35" i="49" s="1"/>
  <c r="W123" i="48"/>
  <c r="EB126" i="50"/>
  <c r="X123" i="48" s="1"/>
  <c r="DZ126" i="50"/>
  <c r="V123" i="48" s="1"/>
  <c r="EN69" i="50"/>
  <c r="AH96" i="48" s="1"/>
  <c r="AI96" i="48"/>
  <c r="EQ69" i="50"/>
  <c r="AK96" i="48" s="1"/>
  <c r="FS126" i="50"/>
  <c r="FU126" i="50"/>
  <c r="FV126" i="50"/>
  <c r="KU43" i="49"/>
  <c r="KV43" i="49"/>
  <c r="KH19" i="49"/>
  <c r="IW98" i="50"/>
  <c r="DB37" i="49"/>
  <c r="KT20" i="49"/>
  <c r="HL20" i="49"/>
  <c r="T10" i="48" s="1"/>
  <c r="P10" i="48" s="1"/>
  <c r="HJ20" i="49"/>
  <c r="R10" i="48" s="1"/>
  <c r="N10" i="48" s="1"/>
  <c r="S10" i="48"/>
  <c r="O10" i="48" s="1"/>
  <c r="HM20" i="49"/>
  <c r="U10" i="48" s="1"/>
  <c r="Q10" i="48" s="1"/>
  <c r="BQ14" i="50"/>
  <c r="HK78" i="49"/>
  <c r="CZ62" i="49"/>
  <c r="DV62" i="49"/>
  <c r="DN17" i="49"/>
  <c r="DE17" i="49"/>
  <c r="DX61" i="49"/>
  <c r="KQ62" i="49" l="1"/>
  <c r="DZ63" i="50"/>
  <c r="V68" i="48" s="1"/>
  <c r="AI89" i="48"/>
  <c r="AE64" i="18"/>
  <c r="DA49" i="14"/>
  <c r="AG64" i="18" s="1"/>
  <c r="CZ49" i="14"/>
  <c r="AF64" i="18" s="1"/>
  <c r="AB64" i="18" s="1"/>
  <c r="CX49" i="14"/>
  <c r="AD64" i="18" s="1"/>
  <c r="Z64" i="18" s="1"/>
  <c r="HF62" i="49"/>
  <c r="IQ45" i="49"/>
  <c r="AL35" i="48" s="1"/>
  <c r="MH107" i="50"/>
  <c r="AE49" i="48"/>
  <c r="AA49" i="48" s="1"/>
  <c r="GJ44" i="50"/>
  <c r="F34" i="51"/>
  <c r="G34" i="51" s="1"/>
  <c r="HG31" i="49"/>
  <c r="EH65" i="49"/>
  <c r="HK65" i="49" s="1"/>
  <c r="IX97" i="14"/>
  <c r="AR77" i="18" s="1"/>
  <c r="DZ79" i="14"/>
  <c r="V72" i="18" s="1"/>
  <c r="Z84" i="18"/>
  <c r="IV112" i="14"/>
  <c r="AE89" i="50"/>
  <c r="AE145" i="50" s="1"/>
  <c r="K145" i="50"/>
  <c r="H145" i="50" s="1"/>
  <c r="G145" i="50" s="1"/>
  <c r="AE90" i="50"/>
  <c r="DW59" i="10"/>
  <c r="DY59" i="10"/>
  <c r="DL59" i="10"/>
  <c r="ID40" i="49"/>
  <c r="HS40" i="49"/>
  <c r="FB28" i="50"/>
  <c r="IF40" i="49"/>
  <c r="EC94" i="50"/>
  <c r="Y91" i="48" s="1"/>
  <c r="EH37" i="49"/>
  <c r="HK37" i="49" s="1"/>
  <c r="HM37" i="49" s="1"/>
  <c r="AA64" i="18"/>
  <c r="K15" i="18"/>
  <c r="C15" i="18" s="1"/>
  <c r="AU15" i="18" s="1"/>
  <c r="DK25" i="10"/>
  <c r="J15" i="18" s="1"/>
  <c r="B15" i="18" s="1"/>
  <c r="AT15" i="18" s="1"/>
  <c r="DM25" i="10"/>
  <c r="L15" i="18" s="1"/>
  <c r="D15" i="18" s="1"/>
  <c r="AV15" i="18" s="1"/>
  <c r="DN25" i="10"/>
  <c r="M15" i="18" s="1"/>
  <c r="E15" i="18" s="1"/>
  <c r="AW15" i="18" s="1"/>
  <c r="GS25" i="10"/>
  <c r="CX63" i="14"/>
  <c r="AD68" i="18" s="1"/>
  <c r="AE68" i="18"/>
  <c r="CZ63" i="14"/>
  <c r="AF68" i="18" s="1"/>
  <c r="DB63" i="14"/>
  <c r="DP26" i="51"/>
  <c r="LX94" i="50"/>
  <c r="MA94" i="50" s="1"/>
  <c r="HK42" i="49"/>
  <c r="IV97" i="14"/>
  <c r="MH44" i="14"/>
  <c r="MJ44" i="14" s="1"/>
  <c r="EB79" i="14"/>
  <c r="X72" i="18" s="1"/>
  <c r="GJ58" i="10"/>
  <c r="LX49" i="14"/>
  <c r="LZ49" i="14" s="1"/>
  <c r="JD112" i="14"/>
  <c r="CF62" i="51"/>
  <c r="F49" i="51" s="1"/>
  <c r="E49" i="51" s="1"/>
  <c r="LX63" i="50"/>
  <c r="LZ63" i="50" s="1"/>
  <c r="HI62" i="49"/>
  <c r="EC17" i="49"/>
  <c r="EB63" i="50"/>
  <c r="X68" i="48" s="1"/>
  <c r="EQ85" i="50"/>
  <c r="AK89" i="48" s="1"/>
  <c r="ID50" i="49"/>
  <c r="HS50" i="49"/>
  <c r="IF50" i="49"/>
  <c r="KT62" i="49"/>
  <c r="KV62" i="49" s="1"/>
  <c r="S52" i="48"/>
  <c r="O52" i="48" s="1"/>
  <c r="W68" i="48"/>
  <c r="E39" i="51"/>
  <c r="HG40" i="49"/>
  <c r="KQ40" i="49" s="1"/>
  <c r="AQ77" i="18"/>
  <c r="FT52" i="10"/>
  <c r="AR42" i="18" s="1"/>
  <c r="FL45" i="10"/>
  <c r="DZ26" i="11"/>
  <c r="DW62" i="10"/>
  <c r="DL62" i="10"/>
  <c r="FB33" i="14"/>
  <c r="FF122" i="14" s="1"/>
  <c r="CX50" i="14"/>
  <c r="AD84" i="18" s="1"/>
  <c r="AE84" i="18"/>
  <c r="AA84" i="18" s="1"/>
  <c r="DA50" i="14"/>
  <c r="AG84" i="18" s="1"/>
  <c r="E34" i="51"/>
  <c r="F39" i="51"/>
  <c r="G39" i="51" s="1"/>
  <c r="EI66" i="49"/>
  <c r="JB97" i="14"/>
  <c r="AC84" i="18"/>
  <c r="AC64" i="18"/>
  <c r="CM26" i="11"/>
  <c r="AB33" i="14"/>
  <c r="CI62" i="11"/>
  <c r="F53" i="11" s="1"/>
  <c r="AX17" i="10"/>
  <c r="BS62" i="51"/>
  <c r="FY17" i="10"/>
  <c r="CH91" i="11"/>
  <c r="FP17" i="10"/>
  <c r="FP18" i="10" s="1"/>
  <c r="JS27" i="49"/>
  <c r="LF62" i="49"/>
  <c r="LH62" i="49" s="1"/>
  <c r="KB62" i="49"/>
  <c r="JY62" i="49"/>
  <c r="LC62" i="49"/>
  <c r="LE62" i="49" s="1"/>
  <c r="AI63" i="48"/>
  <c r="Z123" i="18"/>
  <c r="GY89" i="14"/>
  <c r="AL75" i="18" s="1"/>
  <c r="EN44" i="50"/>
  <c r="AH63" i="48" s="1"/>
  <c r="EP44" i="50"/>
  <c r="AJ63" i="48" s="1"/>
  <c r="G28" i="48"/>
  <c r="AY28" i="48" s="1"/>
  <c r="JT17" i="49"/>
  <c r="AM75" i="18"/>
  <c r="GZ97" i="14"/>
  <c r="GZ98" i="14"/>
  <c r="HA89" i="14"/>
  <c r="AN75" i="18" s="1"/>
  <c r="JC49" i="14"/>
  <c r="JB49" i="14"/>
  <c r="IX49" i="14"/>
  <c r="AR64" i="18" s="1"/>
  <c r="AQ64" i="18"/>
  <c r="IY49" i="14"/>
  <c r="AS64" i="18" s="1"/>
  <c r="JD49" i="14"/>
  <c r="IV49" i="14"/>
  <c r="AP64" i="18" s="1"/>
  <c r="LD49" i="14"/>
  <c r="LF49" i="14" s="1"/>
  <c r="GJ42" i="10"/>
  <c r="BP30" i="14"/>
  <c r="CY42" i="10"/>
  <c r="F32" i="18" s="1"/>
  <c r="DA42" i="10"/>
  <c r="H32" i="18" s="1"/>
  <c r="DB42" i="10"/>
  <c r="I32" i="18" s="1"/>
  <c r="G32" i="18"/>
  <c r="AY32" i="18" s="1"/>
  <c r="HC89" i="14"/>
  <c r="HC145" i="14" s="1"/>
  <c r="GZ145" i="14" s="1"/>
  <c r="HE145" i="14" s="1"/>
  <c r="BU142" i="18" s="1"/>
  <c r="JC50" i="14"/>
  <c r="EL36" i="11" s="1"/>
  <c r="IY50" i="14"/>
  <c r="AS84" i="18" s="1"/>
  <c r="IV50" i="14"/>
  <c r="AP84" i="18" s="1"/>
  <c r="JB50" i="14"/>
  <c r="EK36" i="11" s="1"/>
  <c r="AQ84" i="18"/>
  <c r="JD50" i="14"/>
  <c r="EM36" i="11" s="1"/>
  <c r="LD50" i="14"/>
  <c r="LG50" i="14" s="1"/>
  <c r="DY42" i="10"/>
  <c r="DW42" i="10"/>
  <c r="DL42" i="10"/>
  <c r="FB30" i="14"/>
  <c r="JZ75" i="49"/>
  <c r="EK30" i="51"/>
  <c r="EJ30" i="51" s="1"/>
  <c r="KE75" i="49"/>
  <c r="AE98" i="14"/>
  <c r="CM49" i="11" s="1"/>
  <c r="AE97" i="14"/>
  <c r="MH85" i="50"/>
  <c r="MK85" i="50" s="1"/>
  <c r="IP19" i="49"/>
  <c r="JS52" i="49"/>
  <c r="KA52" i="49"/>
  <c r="AR42" i="48" s="1"/>
  <c r="K46" i="44" s="1"/>
  <c r="AQ42" i="48"/>
  <c r="V17" i="49"/>
  <c r="W45" i="49" s="1"/>
  <c r="IQ52" i="49"/>
  <c r="AL42" i="48" s="1"/>
  <c r="ID85" i="50"/>
  <c r="HG43" i="49"/>
  <c r="GC17" i="10"/>
  <c r="CA62" i="11"/>
  <c r="F16" i="11"/>
  <c r="G16" i="11" s="1"/>
  <c r="E17" i="11"/>
  <c r="E16" i="11" s="1"/>
  <c r="F12" i="11"/>
  <c r="K62" i="11"/>
  <c r="BR91" i="11"/>
  <c r="F14" i="11"/>
  <c r="E14" i="11" s="1"/>
  <c r="M62" i="11"/>
  <c r="F25" i="11"/>
  <c r="G25" i="11" s="1"/>
  <c r="G26" i="11"/>
  <c r="BM62" i="11"/>
  <c r="U62" i="11" s="1"/>
  <c r="CR81" i="11"/>
  <c r="CW66" i="11"/>
  <c r="CR66" i="11" s="1"/>
  <c r="CP77" i="11"/>
  <c r="CV77" i="11" s="1"/>
  <c r="CR77" i="11"/>
  <c r="CW65" i="11"/>
  <c r="CR65" i="11" s="1"/>
  <c r="CW62" i="11"/>
  <c r="F30" i="11"/>
  <c r="F29" i="11" s="1"/>
  <c r="G29" i="11" s="1"/>
  <c r="CP62" i="11"/>
  <c r="CV62" i="11" s="1"/>
  <c r="F44" i="51"/>
  <c r="G44" i="51" s="1"/>
  <c r="E44" i="51"/>
  <c r="FU83" i="50"/>
  <c r="FS83" i="50"/>
  <c r="FW83" i="50"/>
  <c r="FW139" i="50" s="1"/>
  <c r="FT139" i="50" s="1"/>
  <c r="MH50" i="50"/>
  <c r="MK50" i="50" s="1"/>
  <c r="GG85" i="50"/>
  <c r="GJ85" i="50"/>
  <c r="FS85" i="50"/>
  <c r="FV85" i="50"/>
  <c r="JD127" i="50"/>
  <c r="EM55" i="51" s="1"/>
  <c r="EJ55" i="51" s="1"/>
  <c r="IV127" i="50"/>
  <c r="AP124" i="48" s="1"/>
  <c r="EQ127" i="50"/>
  <c r="AK124" i="48" s="1"/>
  <c r="E44" i="11"/>
  <c r="F44" i="11"/>
  <c r="G44" i="11" s="1"/>
  <c r="LX127" i="50"/>
  <c r="MA127" i="50" s="1"/>
  <c r="JC127" i="50"/>
  <c r="EL55" i="51" s="1"/>
  <c r="BN108" i="50"/>
  <c r="MH127" i="50"/>
  <c r="MK127" i="50" s="1"/>
  <c r="JB127" i="50"/>
  <c r="EK55" i="51" s="1"/>
  <c r="EN127" i="50"/>
  <c r="AH124" i="48" s="1"/>
  <c r="AQ124" i="48"/>
  <c r="CH81" i="11"/>
  <c r="CK62" i="11"/>
  <c r="F55" i="11" s="1"/>
  <c r="E55" i="11" s="1"/>
  <c r="GG83" i="50"/>
  <c r="GI83" i="50"/>
  <c r="GK83" i="50"/>
  <c r="GK139" i="50" s="1"/>
  <c r="GH139" i="50" s="1"/>
  <c r="ER63" i="50"/>
  <c r="EP63" i="50"/>
  <c r="AJ68" i="48" s="1"/>
  <c r="JB112" i="50"/>
  <c r="IV112" i="50"/>
  <c r="EN63" i="50"/>
  <c r="AH68" i="48" s="1"/>
  <c r="JD112" i="50"/>
  <c r="LX79" i="14"/>
  <c r="LZ79" i="14" s="1"/>
  <c r="LX49" i="50"/>
  <c r="LZ49" i="50" s="1"/>
  <c r="JA112" i="50"/>
  <c r="IW75" i="14"/>
  <c r="IX75" i="14" s="1"/>
  <c r="AR71" i="18" s="1"/>
  <c r="DZ49" i="50"/>
  <c r="V64" i="48" s="1"/>
  <c r="MH79" i="14"/>
  <c r="MJ79" i="14" s="1"/>
  <c r="W64" i="48"/>
  <c r="EC49" i="50"/>
  <c r="Y64" i="48" s="1"/>
  <c r="IY127" i="50"/>
  <c r="AS124" i="48" s="1"/>
  <c r="EJ55" i="11"/>
  <c r="CH79" i="11"/>
  <c r="BR79" i="11" s="1"/>
  <c r="CA62" i="51"/>
  <c r="CJ62" i="11"/>
  <c r="F54" i="11" s="1"/>
  <c r="E54" i="11" s="1"/>
  <c r="BR87" i="11"/>
  <c r="CH75" i="11"/>
  <c r="BR77" i="11"/>
  <c r="GX145" i="14"/>
  <c r="GX144" i="14" s="1"/>
  <c r="AQ88" i="18"/>
  <c r="IY80" i="14"/>
  <c r="AS88" i="18" s="1"/>
  <c r="JD80" i="14"/>
  <c r="EM45" i="11" s="1"/>
  <c r="JC80" i="14"/>
  <c r="EL45" i="11" s="1"/>
  <c r="BL108" i="14"/>
  <c r="JB80" i="14"/>
  <c r="EK45" i="11" s="1"/>
  <c r="IV80" i="14"/>
  <c r="AP88" i="18" s="1"/>
  <c r="BL113" i="14"/>
  <c r="IG139" i="14"/>
  <c r="IF139" i="14"/>
  <c r="IA139" i="14"/>
  <c r="MH80" i="14"/>
  <c r="MK80" i="14" s="1"/>
  <c r="E53" i="11"/>
  <c r="GG80" i="14"/>
  <c r="GJ80" i="14"/>
  <c r="GG139" i="14"/>
  <c r="GL139" i="14" s="1"/>
  <c r="GM139" i="14"/>
  <c r="Z124" i="18"/>
  <c r="IA44" i="14"/>
  <c r="IC44" i="14"/>
  <c r="GI46" i="14"/>
  <c r="GG46" i="14"/>
  <c r="HP80" i="14"/>
  <c r="HM80" i="14"/>
  <c r="HO44" i="14"/>
  <c r="HM44" i="14"/>
  <c r="ID80" i="14"/>
  <c r="IA80" i="14"/>
  <c r="AC124" i="18"/>
  <c r="GG44" i="14"/>
  <c r="GJ44" i="14"/>
  <c r="GI44" i="14"/>
  <c r="IX79" i="14"/>
  <c r="AR72" i="18" s="1"/>
  <c r="AZ72" i="18" s="1"/>
  <c r="JC79" i="14"/>
  <c r="JU133" i="14" s="1"/>
  <c r="AQ72" i="18"/>
  <c r="AY72" i="18" s="1"/>
  <c r="JD79" i="14"/>
  <c r="JX133" i="14" s="1"/>
  <c r="IV79" i="14"/>
  <c r="AP72" i="18" s="1"/>
  <c r="JB79" i="14"/>
  <c r="JS133" i="14" s="1"/>
  <c r="FS80" i="14"/>
  <c r="FV80" i="14"/>
  <c r="AA124" i="18"/>
  <c r="GG79" i="14"/>
  <c r="GI79" i="14"/>
  <c r="GK79" i="14"/>
  <c r="GK134" i="14" s="1"/>
  <c r="GH134" i="14" s="1"/>
  <c r="BS62" i="11"/>
  <c r="GX88" i="14"/>
  <c r="IA79" i="14"/>
  <c r="IC79" i="14"/>
  <c r="IE79" i="14"/>
  <c r="IE134" i="14" s="1"/>
  <c r="IB134" i="14" s="1"/>
  <c r="FS145" i="14"/>
  <c r="FX145" i="14" s="1"/>
  <c r="FY145" i="14"/>
  <c r="GX82" i="14"/>
  <c r="BR81" i="11"/>
  <c r="FS44" i="14"/>
  <c r="FV44" i="14"/>
  <c r="FU44" i="14"/>
  <c r="F34" i="11"/>
  <c r="G34" i="11" s="1"/>
  <c r="E35" i="11"/>
  <c r="E34" i="11" s="1"/>
  <c r="FU46" i="14"/>
  <c r="FS46" i="14"/>
  <c r="IF145" i="14"/>
  <c r="IA145" i="14"/>
  <c r="IG145" i="14"/>
  <c r="HM79" i="14"/>
  <c r="HM75" i="14" s="1"/>
  <c r="HQ79" i="14"/>
  <c r="HQ134" i="14" s="1"/>
  <c r="HN134" i="14" s="1"/>
  <c r="HO79" i="14"/>
  <c r="HN75" i="14"/>
  <c r="HO75" i="14" s="1"/>
  <c r="KJ80" i="14"/>
  <c r="KM80" i="14" s="1"/>
  <c r="IB75" i="14"/>
  <c r="IC75" i="14" s="1"/>
  <c r="BR89" i="11"/>
  <c r="FU79" i="14"/>
  <c r="FS79" i="14"/>
  <c r="FW79" i="14"/>
  <c r="FW134" i="14" s="1"/>
  <c r="FT134" i="14" s="1"/>
  <c r="HS145" i="14"/>
  <c r="HR145" i="14"/>
  <c r="HM145" i="14"/>
  <c r="IC44" i="50"/>
  <c r="IA44" i="50"/>
  <c r="IE107" i="50"/>
  <c r="IF107" i="50"/>
  <c r="IG107" i="50"/>
  <c r="IA107" i="50"/>
  <c r="FW107" i="50"/>
  <c r="FS107" i="50"/>
  <c r="FX107" i="50" s="1"/>
  <c r="FY107" i="50"/>
  <c r="AR77" i="51"/>
  <c r="CJ77" i="51" s="1"/>
  <c r="AR87" i="51"/>
  <c r="CJ87" i="51" s="1"/>
  <c r="AR75" i="51"/>
  <c r="CJ75" i="51" s="1"/>
  <c r="AR81" i="51"/>
  <c r="CJ81" i="51" s="1"/>
  <c r="AR79" i="51"/>
  <c r="CJ79" i="51" s="1"/>
  <c r="AR91" i="51"/>
  <c r="CJ91" i="51" s="1"/>
  <c r="AR89" i="51"/>
  <c r="CJ89" i="51" s="1"/>
  <c r="ID108" i="50"/>
  <c r="IA108" i="50"/>
  <c r="MH108" i="50"/>
  <c r="MK108" i="50" s="1"/>
  <c r="FV44" i="50"/>
  <c r="FU44" i="50"/>
  <c r="FS44" i="50"/>
  <c r="AQ79" i="51"/>
  <c r="CI79" i="51" s="1"/>
  <c r="AQ81" i="51"/>
  <c r="CI81" i="51" s="1"/>
  <c r="AQ89" i="51"/>
  <c r="CI89" i="51" s="1"/>
  <c r="GI89" i="51" s="1"/>
  <c r="AQ91" i="51"/>
  <c r="CI91" i="51" s="1"/>
  <c r="AQ87" i="51"/>
  <c r="CI87" i="51" s="1"/>
  <c r="AQ77" i="51"/>
  <c r="CI77" i="51" s="1"/>
  <c r="AQ75" i="51"/>
  <c r="CI75" i="51" s="1"/>
  <c r="IO102" i="50"/>
  <c r="AS91" i="51"/>
  <c r="CK91" i="51" s="1"/>
  <c r="AS77" i="51"/>
  <c r="CK77" i="51" s="1"/>
  <c r="AS79" i="51"/>
  <c r="CK79" i="51" s="1"/>
  <c r="AS89" i="51"/>
  <c r="CK89" i="51" s="1"/>
  <c r="AS87" i="51"/>
  <c r="CK87" i="51" s="1"/>
  <c r="AS75" i="51"/>
  <c r="CK75" i="51" s="1"/>
  <c r="AS81" i="51"/>
  <c r="CK81" i="51" s="1"/>
  <c r="MH89" i="50"/>
  <c r="MJ89" i="50" s="1"/>
  <c r="LX89" i="50"/>
  <c r="LZ89" i="50" s="1"/>
  <c r="IA145" i="50"/>
  <c r="IG145" i="50"/>
  <c r="IF145" i="50"/>
  <c r="GG80" i="50"/>
  <c r="GJ80" i="50"/>
  <c r="FS46" i="50"/>
  <c r="FU46" i="50"/>
  <c r="IV89" i="50"/>
  <c r="AP75" i="48" s="1"/>
  <c r="HM80" i="50"/>
  <c r="HP80" i="50"/>
  <c r="GK79" i="50"/>
  <c r="GK134" i="50" s="1"/>
  <c r="GH134" i="50" s="1"/>
  <c r="GG79" i="50"/>
  <c r="GI79" i="50"/>
  <c r="IA80" i="50"/>
  <c r="ID80" i="50"/>
  <c r="HM79" i="50"/>
  <c r="HN75" i="50"/>
  <c r="HO75" i="50" s="1"/>
  <c r="HQ79" i="50"/>
  <c r="HQ134" i="50" s="1"/>
  <c r="HN134" i="50" s="1"/>
  <c r="HO79" i="50"/>
  <c r="GG145" i="50"/>
  <c r="GL145" i="50" s="1"/>
  <c r="GM145" i="50"/>
  <c r="AQ75" i="48"/>
  <c r="JC89" i="50"/>
  <c r="JU144" i="50" s="1"/>
  <c r="JN144" i="50" s="1"/>
  <c r="FS80" i="50"/>
  <c r="FV80" i="50"/>
  <c r="FS155" i="50"/>
  <c r="FV155" i="50"/>
  <c r="IC79" i="50"/>
  <c r="IA79" i="50"/>
  <c r="IE79" i="50"/>
  <c r="IE134" i="50" s="1"/>
  <c r="IB134" i="50" s="1"/>
  <c r="IX89" i="50"/>
  <c r="AR75" i="48" s="1"/>
  <c r="GG155" i="50"/>
  <c r="GJ155" i="50"/>
  <c r="FS79" i="50"/>
  <c r="FW79" i="50"/>
  <c r="FW134" i="50" s="1"/>
  <c r="FT134" i="50" s="1"/>
  <c r="FU79" i="50"/>
  <c r="JD89" i="50"/>
  <c r="JX144" i="50" s="1"/>
  <c r="JY144" i="50" s="1"/>
  <c r="HP155" i="50"/>
  <c r="HM155" i="50"/>
  <c r="HM108" i="50"/>
  <c r="HP108" i="50"/>
  <c r="FS108" i="50"/>
  <c r="FV108" i="50"/>
  <c r="Q19" i="10"/>
  <c r="GB17" i="10"/>
  <c r="AI69" i="18"/>
  <c r="EN68" i="14"/>
  <c r="AH69" i="18" s="1"/>
  <c r="EP68" i="14"/>
  <c r="AJ69" i="18" s="1"/>
  <c r="ER68" i="14"/>
  <c r="GI17" i="10"/>
  <c r="GJ65" i="10"/>
  <c r="GH17" i="10"/>
  <c r="EJ49" i="11"/>
  <c r="AI96" i="18"/>
  <c r="EQ69" i="14"/>
  <c r="AK96" i="18" s="1"/>
  <c r="EN69" i="14"/>
  <c r="AH96" i="18" s="1"/>
  <c r="EK17" i="10"/>
  <c r="EK16" i="10" s="1"/>
  <c r="GX78" i="14"/>
  <c r="EJ33" i="10"/>
  <c r="AL23" i="18" s="1"/>
  <c r="W75" i="18"/>
  <c r="ED89" i="14"/>
  <c r="ED145" i="14" s="1"/>
  <c r="EA145" i="14" s="1"/>
  <c r="DZ89" i="14"/>
  <c r="V75" i="18" s="1"/>
  <c r="EB89" i="14"/>
  <c r="X75" i="18" s="1"/>
  <c r="GO47" i="10"/>
  <c r="GN47" i="10"/>
  <c r="AI97" i="18"/>
  <c r="EQ70" i="14"/>
  <c r="AK97" i="18" s="1"/>
  <c r="EN70" i="14"/>
  <c r="AH97" i="18" s="1"/>
  <c r="DM24" i="10"/>
  <c r="L14" i="18" s="1"/>
  <c r="D14" i="18" s="1"/>
  <c r="AV14" i="18" s="1"/>
  <c r="DN24" i="10"/>
  <c r="M14" i="18" s="1"/>
  <c r="E14" i="18" s="1"/>
  <c r="AW14" i="18" s="1"/>
  <c r="K14" i="18"/>
  <c r="C14" i="18" s="1"/>
  <c r="AU14" i="18" s="1"/>
  <c r="GS24" i="10"/>
  <c r="DK24" i="10"/>
  <c r="J14" i="18" s="1"/>
  <c r="B14" i="18" s="1"/>
  <c r="AT14" i="18" s="1"/>
  <c r="DZ90" i="14"/>
  <c r="V90" i="18" s="1"/>
  <c r="W90" i="18"/>
  <c r="EC90" i="14"/>
  <c r="Y90" i="18" s="1"/>
  <c r="Q37" i="10"/>
  <c r="GA17" i="10"/>
  <c r="DN55" i="10"/>
  <c r="M45" i="18" s="1"/>
  <c r="E45" i="18" s="1"/>
  <c r="AW45" i="18" s="1"/>
  <c r="DM55" i="10"/>
  <c r="L45" i="18" s="1"/>
  <c r="D45" i="18" s="1"/>
  <c r="AV45" i="18" s="1"/>
  <c r="GS55" i="10"/>
  <c r="GT55" i="10" s="1"/>
  <c r="DK55" i="10"/>
  <c r="J45" i="18" s="1"/>
  <c r="B45" i="18" s="1"/>
  <c r="AT45" i="18" s="1"/>
  <c r="K45" i="18"/>
  <c r="C45" i="18" s="1"/>
  <c r="AU45" i="18" s="1"/>
  <c r="DL49" i="10"/>
  <c r="DW49" i="10"/>
  <c r="DY49" i="10"/>
  <c r="GE17" i="10"/>
  <c r="FW17" i="10"/>
  <c r="EN64" i="14"/>
  <c r="AH95" i="18" s="1"/>
  <c r="Z95" i="18" s="1"/>
  <c r="AI95" i="18"/>
  <c r="AA95" i="18" s="1"/>
  <c r="EQ64" i="14"/>
  <c r="AK95" i="18" s="1"/>
  <c r="AC95" i="18" s="1"/>
  <c r="S42" i="18"/>
  <c r="O42" i="18" s="1"/>
  <c r="DE52" i="10"/>
  <c r="T42" i="18" s="1"/>
  <c r="P42" i="18" s="1"/>
  <c r="Q27" i="10"/>
  <c r="GD17" i="10"/>
  <c r="AI68" i="18"/>
  <c r="EN63" i="14"/>
  <c r="AH68" i="18" s="1"/>
  <c r="Z68" i="18" s="1"/>
  <c r="ER63" i="14"/>
  <c r="EP63" i="14"/>
  <c r="AJ68" i="18" s="1"/>
  <c r="AB68" i="18" s="1"/>
  <c r="GF17" i="10"/>
  <c r="ET117" i="14"/>
  <c r="BS134" i="18" s="1"/>
  <c r="BO134" i="18" s="1"/>
  <c r="EN117" i="14"/>
  <c r="ER117" i="14"/>
  <c r="ES117" i="14"/>
  <c r="BR134" i="18" s="1"/>
  <c r="BN134" i="18" s="1"/>
  <c r="G46" i="18"/>
  <c r="DA56" i="10"/>
  <c r="H46" i="18" s="1"/>
  <c r="DB56" i="10"/>
  <c r="I46" i="18" s="1"/>
  <c r="GJ56" i="10"/>
  <c r="GK56" i="10" s="1"/>
  <c r="CY56" i="10"/>
  <c r="F46" i="18" s="1"/>
  <c r="JB90" i="14"/>
  <c r="EK47" i="11" s="1"/>
  <c r="JC90" i="14"/>
  <c r="EL47" i="11" s="1"/>
  <c r="BM113" i="14"/>
  <c r="IY90" i="14"/>
  <c r="AS90" i="18" s="1"/>
  <c r="IV90" i="14"/>
  <c r="AP90" i="18" s="1"/>
  <c r="AQ90" i="18"/>
  <c r="BM108" i="14"/>
  <c r="JD90" i="14"/>
  <c r="EM47" i="11" s="1"/>
  <c r="LX90" i="14"/>
  <c r="MA90" i="14" s="1"/>
  <c r="LD90" i="14"/>
  <c r="LG90" i="14" s="1"/>
  <c r="AE85" i="18"/>
  <c r="AA85" i="18" s="1"/>
  <c r="LD55" i="14"/>
  <c r="LG55" i="14" s="1"/>
  <c r="CX55" i="14"/>
  <c r="AD85" i="18" s="1"/>
  <c r="Z85" i="18" s="1"/>
  <c r="DA55" i="14"/>
  <c r="AG85" i="18" s="1"/>
  <c r="AC85" i="18" s="1"/>
  <c r="CJ49" i="14"/>
  <c r="R64" i="18" s="1"/>
  <c r="N64" i="18" s="1"/>
  <c r="CL49" i="14"/>
  <c r="T64" i="18" s="1"/>
  <c r="P64" i="18" s="1"/>
  <c r="CM49" i="14"/>
  <c r="U64" i="18" s="1"/>
  <c r="Q64" i="18" s="1"/>
  <c r="S64" i="18"/>
  <c r="O64" i="18" s="1"/>
  <c r="KT49" i="14"/>
  <c r="KV49" i="14" s="1"/>
  <c r="IR138" i="14"/>
  <c r="JO138" i="14"/>
  <c r="JY138" i="14"/>
  <c r="GX127" i="14"/>
  <c r="HB127" i="14"/>
  <c r="AO124" i="18" s="1"/>
  <c r="AM124" i="18"/>
  <c r="BH113" i="14"/>
  <c r="BI113" i="14" s="1"/>
  <c r="GY127" i="14"/>
  <c r="AL124" i="18" s="1"/>
  <c r="ED55" i="11"/>
  <c r="BH108" i="14"/>
  <c r="BI108" i="14" s="1"/>
  <c r="HG107" i="14" s="1"/>
  <c r="HJ107" i="14" s="1"/>
  <c r="DM112" i="14"/>
  <c r="DM54" i="14"/>
  <c r="DM55" i="14"/>
  <c r="DM113" i="14"/>
  <c r="JB89" i="14"/>
  <c r="JS144" i="14" s="1"/>
  <c r="JC89" i="14"/>
  <c r="JU144" i="14" s="1"/>
  <c r="AQ75" i="18"/>
  <c r="IV89" i="14"/>
  <c r="AP75" i="18" s="1"/>
  <c r="JD89" i="14"/>
  <c r="JX144" i="14" s="1"/>
  <c r="IX89" i="14"/>
  <c r="AR75" i="18" s="1"/>
  <c r="LX89" i="14"/>
  <c r="LZ89" i="14" s="1"/>
  <c r="LD89" i="14"/>
  <c r="LF89" i="14" s="1"/>
  <c r="CM50" i="14"/>
  <c r="U84" i="18" s="1"/>
  <c r="Q84" i="18" s="1"/>
  <c r="S84" i="18"/>
  <c r="O84" i="18" s="1"/>
  <c r="KT50" i="14"/>
  <c r="KW50" i="14" s="1"/>
  <c r="CJ50" i="14"/>
  <c r="R84" i="18" s="1"/>
  <c r="N84" i="18" s="1"/>
  <c r="JB64" i="14"/>
  <c r="EK40" i="11" s="1"/>
  <c r="JD64" i="14"/>
  <c r="EM40" i="11" s="1"/>
  <c r="AQ95" i="18"/>
  <c r="IY64" i="14"/>
  <c r="AS95" i="18" s="1"/>
  <c r="JC64" i="14"/>
  <c r="EL40" i="11" s="1"/>
  <c r="IV64" i="14"/>
  <c r="AP95" i="18" s="1"/>
  <c r="MH64" i="14"/>
  <c r="MK64" i="14" s="1"/>
  <c r="LD64" i="14"/>
  <c r="LG64" i="14" s="1"/>
  <c r="BJ27" i="10"/>
  <c r="BJ17" i="10" s="1"/>
  <c r="EJ54" i="11"/>
  <c r="DW35" i="10"/>
  <c r="FB22" i="14"/>
  <c r="DY35" i="10"/>
  <c r="DL35" i="10"/>
  <c r="JN138" i="14"/>
  <c r="JV138" i="14"/>
  <c r="IQ138" i="14"/>
  <c r="DY47" i="10"/>
  <c r="DL47" i="10"/>
  <c r="DW47" i="10"/>
  <c r="CN89" i="14"/>
  <c r="CN145" i="14" s="1"/>
  <c r="CK145" i="14" s="1"/>
  <c r="S75" i="18"/>
  <c r="CJ89" i="14"/>
  <c r="R75" i="18" s="1"/>
  <c r="N75" i="18" s="1"/>
  <c r="CL89" i="14"/>
  <c r="T75" i="18" s="1"/>
  <c r="P75" i="18" s="1"/>
  <c r="KT89" i="14"/>
  <c r="KV89" i="14" s="1"/>
  <c r="HB49" i="14"/>
  <c r="AO64" i="18" s="1"/>
  <c r="HA49" i="14"/>
  <c r="AN64" i="18" s="1"/>
  <c r="AM64" i="18"/>
  <c r="GY49" i="14"/>
  <c r="AL64" i="18" s="1"/>
  <c r="AE69" i="14"/>
  <c r="CM41" i="11" s="1"/>
  <c r="AE68" i="14"/>
  <c r="AE70" i="14"/>
  <c r="CM42" i="11" s="1"/>
  <c r="JT138" i="14"/>
  <c r="JM138" i="14"/>
  <c r="IP138" i="14"/>
  <c r="CM90" i="14"/>
  <c r="U90" i="18" s="1"/>
  <c r="S90" i="18"/>
  <c r="CJ90" i="14"/>
  <c r="R90" i="18" s="1"/>
  <c r="KT90" i="14"/>
  <c r="KW90" i="14" s="1"/>
  <c r="GY50" i="14"/>
  <c r="AL84" i="18" s="1"/>
  <c r="AM84" i="18"/>
  <c r="HB50" i="14"/>
  <c r="AO84" i="18" s="1"/>
  <c r="ED36" i="11"/>
  <c r="DZ14" i="11"/>
  <c r="DW23" i="10"/>
  <c r="DY23" i="10"/>
  <c r="FB17" i="14"/>
  <c r="DL23" i="10"/>
  <c r="HC112" i="14"/>
  <c r="HE112" i="14"/>
  <c r="HD112" i="14"/>
  <c r="GY112" i="14"/>
  <c r="IV63" i="14"/>
  <c r="AP68" i="18" s="1"/>
  <c r="JC63" i="14"/>
  <c r="JB63" i="14"/>
  <c r="JD63" i="14"/>
  <c r="AQ68" i="18"/>
  <c r="IX63" i="14"/>
  <c r="AR68" i="18" s="1"/>
  <c r="IW59" i="14"/>
  <c r="IX59" i="14" s="1"/>
  <c r="MH63" i="14"/>
  <c r="MJ63" i="14" s="1"/>
  <c r="LD63" i="14"/>
  <c r="LF63" i="14" s="1"/>
  <c r="CZ19" i="10"/>
  <c r="DY29" i="10"/>
  <c r="DW29" i="10"/>
  <c r="DZ18" i="11"/>
  <c r="DL29" i="10"/>
  <c r="AB17" i="14"/>
  <c r="CM14" i="11"/>
  <c r="HB54" i="14"/>
  <c r="AO65" i="18" s="1"/>
  <c r="AM65" i="18"/>
  <c r="HA54" i="14"/>
  <c r="AN65" i="18" s="1"/>
  <c r="GY54" i="14"/>
  <c r="AL65" i="18" s="1"/>
  <c r="AI91" i="18"/>
  <c r="EQ94" i="14"/>
  <c r="AK91" i="18" s="1"/>
  <c r="EN94" i="14"/>
  <c r="AH91" i="18" s="1"/>
  <c r="MH94" i="14"/>
  <c r="MK94" i="14" s="1"/>
  <c r="CY19" i="10"/>
  <c r="F9" i="18" s="1"/>
  <c r="B9" i="18" s="1"/>
  <c r="EI17" i="10"/>
  <c r="DM41" i="10"/>
  <c r="L31" i="18" s="1"/>
  <c r="BS29" i="14"/>
  <c r="DK41" i="10"/>
  <c r="J31" i="18" s="1"/>
  <c r="K31" i="18"/>
  <c r="GS41" i="10"/>
  <c r="DN41" i="10"/>
  <c r="M31" i="18" s="1"/>
  <c r="HB55" i="14"/>
  <c r="AO85" i="18" s="1"/>
  <c r="ED37" i="11"/>
  <c r="AM85" i="18"/>
  <c r="GY55" i="14"/>
  <c r="AL85" i="18" s="1"/>
  <c r="EN93" i="14"/>
  <c r="AH76" i="18" s="1"/>
  <c r="ER93" i="14"/>
  <c r="AI76" i="18"/>
  <c r="EP93" i="14"/>
  <c r="AJ76" i="18" s="1"/>
  <c r="MH93" i="14"/>
  <c r="MJ93" i="14" s="1"/>
  <c r="IX68" i="14"/>
  <c r="AR69" i="18" s="1"/>
  <c r="JD68" i="14"/>
  <c r="AQ69" i="18"/>
  <c r="JB68" i="14"/>
  <c r="JC68" i="14"/>
  <c r="IV68" i="14"/>
  <c r="AP69" i="18" s="1"/>
  <c r="MH68" i="14"/>
  <c r="MJ68" i="14" s="1"/>
  <c r="HB113" i="14"/>
  <c r="GY113" i="14"/>
  <c r="GX113" i="14"/>
  <c r="GX112" i="14" s="1"/>
  <c r="ED54" i="11"/>
  <c r="DB47" i="10"/>
  <c r="I37" i="18" s="1"/>
  <c r="GJ47" i="10"/>
  <c r="G37" i="18"/>
  <c r="CY47" i="10"/>
  <c r="F37" i="18" s="1"/>
  <c r="DA47" i="10"/>
  <c r="H37" i="18" s="1"/>
  <c r="GS69" i="10"/>
  <c r="GS65" i="10" s="1"/>
  <c r="K55" i="18"/>
  <c r="C55" i="18" s="1"/>
  <c r="AU55" i="18" s="1"/>
  <c r="DK69" i="10"/>
  <c r="J55" i="18" s="1"/>
  <c r="B55" i="18" s="1"/>
  <c r="AT55" i="18" s="1"/>
  <c r="BS36" i="14"/>
  <c r="HB94" i="14"/>
  <c r="AO91" i="18" s="1"/>
  <c r="GY94" i="14"/>
  <c r="AL91" i="18" s="1"/>
  <c r="ED48" i="11"/>
  <c r="AM91" i="18"/>
  <c r="GX94" i="14"/>
  <c r="JD70" i="14"/>
  <c r="EM42" i="11" s="1"/>
  <c r="JC70" i="14"/>
  <c r="EL42" i="11" s="1"/>
  <c r="IV70" i="14"/>
  <c r="AP97" i="18" s="1"/>
  <c r="IY70" i="14"/>
  <c r="AS97" i="18" s="1"/>
  <c r="AQ97" i="18"/>
  <c r="JB70" i="14"/>
  <c r="EK42" i="11" s="1"/>
  <c r="MH70" i="14"/>
  <c r="MK70" i="14" s="1"/>
  <c r="GZ69" i="14"/>
  <c r="GZ68" i="14"/>
  <c r="GZ59" i="14" s="1"/>
  <c r="HA59" i="14" s="1"/>
  <c r="AN67" i="18" s="1"/>
  <c r="GZ70" i="14"/>
  <c r="GX93" i="14"/>
  <c r="HA93" i="14"/>
  <c r="AN76" i="18" s="1"/>
  <c r="GY93" i="14"/>
  <c r="AL76" i="18" s="1"/>
  <c r="HC93" i="14"/>
  <c r="AM76" i="18"/>
  <c r="JB69" i="14"/>
  <c r="EK41" i="11" s="1"/>
  <c r="AQ96" i="18"/>
  <c r="IV69" i="14"/>
  <c r="AP96" i="18" s="1"/>
  <c r="JD69" i="14"/>
  <c r="EM41" i="11" s="1"/>
  <c r="JC69" i="14"/>
  <c r="EL41" i="11" s="1"/>
  <c r="IY69" i="14"/>
  <c r="AS96" i="18" s="1"/>
  <c r="MH69" i="14"/>
  <c r="MK69" i="14" s="1"/>
  <c r="CY46" i="10"/>
  <c r="F36" i="18" s="1"/>
  <c r="DA46" i="10"/>
  <c r="H36" i="18" s="1"/>
  <c r="DP23" i="11"/>
  <c r="G36" i="18"/>
  <c r="GJ46" i="10"/>
  <c r="GJ45" i="10" s="1"/>
  <c r="DB46" i="10"/>
  <c r="I36" i="18" s="1"/>
  <c r="FF94" i="14"/>
  <c r="FF93" i="14"/>
  <c r="GY63" i="14"/>
  <c r="AL68" i="18" s="1"/>
  <c r="HA63" i="14"/>
  <c r="AN68" i="18" s="1"/>
  <c r="AM68" i="18"/>
  <c r="GY126" i="14"/>
  <c r="AL123" i="18" s="1"/>
  <c r="GX126" i="14"/>
  <c r="AM123" i="18"/>
  <c r="HC126" i="14"/>
  <c r="HA126" i="14"/>
  <c r="AN123" i="18" s="1"/>
  <c r="FF155" i="14"/>
  <c r="FF154" i="14"/>
  <c r="FF153" i="14"/>
  <c r="FE153" i="14" s="1"/>
  <c r="DZ27" i="11"/>
  <c r="DW63" i="10"/>
  <c r="DL63" i="10"/>
  <c r="T87" i="11"/>
  <c r="BL87" i="11" s="1"/>
  <c r="T77" i="11"/>
  <c r="BL77" i="11" s="1"/>
  <c r="T75" i="11"/>
  <c r="BL75" i="11" s="1"/>
  <c r="T89" i="11"/>
  <c r="BL89" i="11" s="1"/>
  <c r="T91" i="11"/>
  <c r="BL91" i="11" s="1"/>
  <c r="T79" i="11"/>
  <c r="BL79" i="11" s="1"/>
  <c r="T81" i="11"/>
  <c r="BL81" i="11" s="1"/>
  <c r="DZ23" i="11"/>
  <c r="DW46" i="10"/>
  <c r="DY46" i="10"/>
  <c r="DL46" i="10"/>
  <c r="DN28" i="10"/>
  <c r="M18" i="18" s="1"/>
  <c r="GS28" i="10"/>
  <c r="DQ17" i="11"/>
  <c r="DM28" i="10"/>
  <c r="L18" i="18" s="1"/>
  <c r="D18" i="18" s="1"/>
  <c r="AV18" i="18" s="1"/>
  <c r="K18" i="18"/>
  <c r="DK28" i="10"/>
  <c r="J18" i="18" s="1"/>
  <c r="B18" i="18" s="1"/>
  <c r="AT18" i="18" s="1"/>
  <c r="AM95" i="18"/>
  <c r="HB64" i="14"/>
  <c r="AO95" i="18" s="1"/>
  <c r="GY64" i="14"/>
  <c r="AL95" i="18" s="1"/>
  <c r="ED40" i="11"/>
  <c r="EJ46" i="11"/>
  <c r="S91" i="11"/>
  <c r="BK91" i="11" s="1"/>
  <c r="S77" i="11"/>
  <c r="BK77" i="11" s="1"/>
  <c r="S79" i="11"/>
  <c r="BK79" i="11" s="1"/>
  <c r="S89" i="11"/>
  <c r="BK89" i="11" s="1"/>
  <c r="S87" i="11"/>
  <c r="BK87" i="11" s="1"/>
  <c r="S81" i="11"/>
  <c r="BK81" i="11" s="1"/>
  <c r="S75" i="11"/>
  <c r="BK75" i="11" s="1"/>
  <c r="FE54" i="14"/>
  <c r="FG54" i="14"/>
  <c r="FH54" i="14"/>
  <c r="HD117" i="14"/>
  <c r="BT134" i="18" s="1"/>
  <c r="HC117" i="14"/>
  <c r="GX117" i="14"/>
  <c r="GX116" i="14" s="1"/>
  <c r="HE117" i="14"/>
  <c r="BU134" i="18" s="1"/>
  <c r="GY117" i="14"/>
  <c r="DZ37" i="11"/>
  <c r="FE55" i="14"/>
  <c r="FH55" i="14"/>
  <c r="DB93" i="14"/>
  <c r="CZ93" i="14"/>
  <c r="AF76" i="18" s="1"/>
  <c r="AE76" i="18"/>
  <c r="CX93" i="14"/>
  <c r="AD76" i="18" s="1"/>
  <c r="LD93" i="14"/>
  <c r="LF93" i="14" s="1"/>
  <c r="DA113" i="14"/>
  <c r="CX113" i="14"/>
  <c r="DW56" i="10"/>
  <c r="DY56" i="10"/>
  <c r="DL56" i="10"/>
  <c r="FO17" i="10"/>
  <c r="FO18" i="10" s="1"/>
  <c r="JD94" i="14"/>
  <c r="EM48" i="11" s="1"/>
  <c r="JC94" i="14"/>
  <c r="EL48" i="11" s="1"/>
  <c r="AQ91" i="18"/>
  <c r="IY94" i="14"/>
  <c r="AS91" i="18" s="1"/>
  <c r="JB94" i="14"/>
  <c r="EK48" i="11" s="1"/>
  <c r="IV94" i="14"/>
  <c r="AP91" i="18" s="1"/>
  <c r="G31" i="18"/>
  <c r="GJ41" i="10"/>
  <c r="BP29" i="14"/>
  <c r="CY41" i="10"/>
  <c r="F31" i="18" s="1"/>
  <c r="DA41" i="10"/>
  <c r="H31" i="18" s="1"/>
  <c r="DB41" i="10"/>
  <c r="I31" i="18" s="1"/>
  <c r="FE113" i="14"/>
  <c r="DZ54" i="11"/>
  <c r="FH113" i="14"/>
  <c r="AE91" i="18"/>
  <c r="LD94" i="14"/>
  <c r="LG94" i="14" s="1"/>
  <c r="DA94" i="14"/>
  <c r="AG91" i="18" s="1"/>
  <c r="AC91" i="18" s="1"/>
  <c r="CX94" i="14"/>
  <c r="AD91" i="18" s="1"/>
  <c r="LD112" i="14"/>
  <c r="DD112" i="14"/>
  <c r="DB112" i="14"/>
  <c r="DC112" i="14"/>
  <c r="NS112" i="14" s="1"/>
  <c r="CX112" i="14"/>
  <c r="JC93" i="14"/>
  <c r="AQ76" i="18"/>
  <c r="JD93" i="14"/>
  <c r="JB93" i="14"/>
  <c r="IV93" i="14"/>
  <c r="AP76" i="18" s="1"/>
  <c r="IX93" i="14"/>
  <c r="AR76" i="18" s="1"/>
  <c r="CD37" i="10"/>
  <c r="CY37" i="10"/>
  <c r="FE112" i="14"/>
  <c r="FJ112" i="14" s="1"/>
  <c r="FK112" i="14"/>
  <c r="FI112" i="14"/>
  <c r="GU22" i="10"/>
  <c r="GT22" i="10"/>
  <c r="CX54" i="14"/>
  <c r="AD65" i="18" s="1"/>
  <c r="Z65" i="18" s="1"/>
  <c r="CZ54" i="14"/>
  <c r="AF65" i="18" s="1"/>
  <c r="AB65" i="18" s="1"/>
  <c r="LD54" i="14"/>
  <c r="LF54" i="14" s="1"/>
  <c r="DA54" i="14"/>
  <c r="AG65" i="18" s="1"/>
  <c r="AC65" i="18" s="1"/>
  <c r="AE65" i="18"/>
  <c r="AA65" i="18" s="1"/>
  <c r="CY30" i="10"/>
  <c r="F20" i="18" s="1"/>
  <c r="DP19" i="11"/>
  <c r="DA30" i="10"/>
  <c r="H20" i="18" s="1"/>
  <c r="G20" i="18"/>
  <c r="GJ30" i="10"/>
  <c r="DB30" i="10"/>
  <c r="I20" i="18" s="1"/>
  <c r="AY12" i="18"/>
  <c r="C12" i="18"/>
  <c r="AU12" i="18" s="1"/>
  <c r="FB14" i="14"/>
  <c r="DY20" i="10"/>
  <c r="DZ12" i="11"/>
  <c r="DW20" i="10"/>
  <c r="DL20" i="10"/>
  <c r="GT38" i="10"/>
  <c r="GU38" i="10"/>
  <c r="AY39" i="18"/>
  <c r="CZ61" i="10"/>
  <c r="CD61" i="10"/>
  <c r="G42" i="18"/>
  <c r="C42" i="18" s="1"/>
  <c r="DA52" i="10"/>
  <c r="H42" i="18" s="1"/>
  <c r="D42" i="18" s="1"/>
  <c r="CL46" i="14"/>
  <c r="T78" i="18" s="1"/>
  <c r="P78" i="18" s="1"/>
  <c r="CJ46" i="14"/>
  <c r="R78" i="18" s="1"/>
  <c r="N78" i="18" s="1"/>
  <c r="S78" i="18"/>
  <c r="O78" i="18" s="1"/>
  <c r="FG83" i="14"/>
  <c r="FE83" i="14"/>
  <c r="FI83" i="14"/>
  <c r="FI139" i="14" s="1"/>
  <c r="FF139" i="14" s="1"/>
  <c r="HB44" i="14"/>
  <c r="AO63" i="18" s="1"/>
  <c r="HA44" i="14"/>
  <c r="AN63" i="18" s="1"/>
  <c r="AM63" i="18"/>
  <c r="GY44" i="14"/>
  <c r="AL63" i="18" s="1"/>
  <c r="GY134" i="14"/>
  <c r="HD134" i="14"/>
  <c r="BT140" i="18" s="1"/>
  <c r="GX134" i="14"/>
  <c r="GX133" i="14" s="1"/>
  <c r="HE134" i="14"/>
  <c r="BU140" i="18" s="1"/>
  <c r="CM80" i="14"/>
  <c r="U88" i="18" s="1"/>
  <c r="Q88" i="18" s="1"/>
  <c r="CJ80" i="14"/>
  <c r="R88" i="18" s="1"/>
  <c r="N88" i="18" s="1"/>
  <c r="KT80" i="14"/>
  <c r="KW80" i="14" s="1"/>
  <c r="S88" i="18"/>
  <c r="O88" i="18" s="1"/>
  <c r="FU62" i="10"/>
  <c r="FR62" i="10"/>
  <c r="FS61" i="10"/>
  <c r="FS17" i="10" s="1"/>
  <c r="GV62" i="10"/>
  <c r="GX62" i="10" s="1"/>
  <c r="GY62" i="10"/>
  <c r="HA62" i="10" s="1"/>
  <c r="GM62" i="10"/>
  <c r="GO62" i="10" s="1"/>
  <c r="EC69" i="14"/>
  <c r="Y96" i="18" s="1"/>
  <c r="LX69" i="14"/>
  <c r="MA69" i="14" s="1"/>
  <c r="W96" i="18"/>
  <c r="DZ69" i="14"/>
  <c r="V96" i="18" s="1"/>
  <c r="AZ24" i="18"/>
  <c r="D24" i="18"/>
  <c r="AV24" i="18" s="1"/>
  <c r="AY88" i="18"/>
  <c r="BA12" i="18"/>
  <c r="E12" i="18"/>
  <c r="AW12" i="18" s="1"/>
  <c r="DM79" i="14"/>
  <c r="DM80" i="14"/>
  <c r="CX70" i="14"/>
  <c r="AD97" i="18" s="1"/>
  <c r="AE97" i="18"/>
  <c r="AA97" i="18" s="1"/>
  <c r="LD70" i="14"/>
  <c r="LG70" i="14" s="1"/>
  <c r="DA70" i="14"/>
  <c r="AG97" i="18" s="1"/>
  <c r="AY38" i="18"/>
  <c r="CX122" i="14"/>
  <c r="DB122" i="14"/>
  <c r="DC122" i="14"/>
  <c r="LD122" i="14"/>
  <c r="DD122" i="14"/>
  <c r="BQ135" i="18" s="1"/>
  <c r="BO135" i="18" s="1"/>
  <c r="GK49" i="10"/>
  <c r="GL49" i="10"/>
  <c r="B11" i="18"/>
  <c r="AT11" i="18" s="1"/>
  <c r="AX11" i="18"/>
  <c r="CJ44" i="14"/>
  <c r="R63" i="18" s="1"/>
  <c r="N63" i="18" s="1"/>
  <c r="CL44" i="14"/>
  <c r="T63" i="18" s="1"/>
  <c r="P63" i="18" s="1"/>
  <c r="S63" i="18"/>
  <c r="O63" i="18" s="1"/>
  <c r="CM44" i="14"/>
  <c r="U63" i="18" s="1"/>
  <c r="Q63" i="18" s="1"/>
  <c r="KT44" i="14"/>
  <c r="KV44" i="14" s="1"/>
  <c r="ED35" i="11"/>
  <c r="AM83" i="18"/>
  <c r="GY45" i="14"/>
  <c r="AL83" i="18" s="1"/>
  <c r="HB45" i="14"/>
  <c r="AO83" i="18" s="1"/>
  <c r="EJ26" i="11"/>
  <c r="S127" i="18"/>
  <c r="O127" i="18" s="1"/>
  <c r="CJ153" i="14"/>
  <c r="R127" i="18" s="1"/>
  <c r="N127" i="18" s="1"/>
  <c r="KT153" i="14"/>
  <c r="GK34" i="10"/>
  <c r="GM33" i="10"/>
  <c r="DM27" i="10"/>
  <c r="L17" i="18" s="1"/>
  <c r="K17" i="18"/>
  <c r="DK54" i="10"/>
  <c r="J44" i="18" s="1"/>
  <c r="B44" i="18" s="1"/>
  <c r="AT44" i="18" s="1"/>
  <c r="DN54" i="10"/>
  <c r="M44" i="18" s="1"/>
  <c r="E44" i="18" s="1"/>
  <c r="AW44" i="18" s="1"/>
  <c r="GS54" i="10"/>
  <c r="DM54" i="10"/>
  <c r="L44" i="18" s="1"/>
  <c r="D44" i="18" s="1"/>
  <c r="AV44" i="18" s="1"/>
  <c r="K44" i="18"/>
  <c r="C44" i="18" s="1"/>
  <c r="AU44" i="18" s="1"/>
  <c r="CZ68" i="14"/>
  <c r="AF69" i="18" s="1"/>
  <c r="AB69" i="18" s="1"/>
  <c r="DB68" i="14"/>
  <c r="AE69" i="18"/>
  <c r="LD68" i="14"/>
  <c r="LF68" i="14" s="1"/>
  <c r="CX68" i="14"/>
  <c r="AD69" i="18" s="1"/>
  <c r="Z69" i="18" s="1"/>
  <c r="AX39" i="18"/>
  <c r="AL72" i="18"/>
  <c r="DW43" i="10"/>
  <c r="DY43" i="10"/>
  <c r="DL43" i="10"/>
  <c r="W69" i="18"/>
  <c r="EB68" i="14"/>
  <c r="X69" i="18" s="1"/>
  <c r="ED68" i="14"/>
  <c r="LX68" i="14"/>
  <c r="LZ68" i="14" s="1"/>
  <c r="DZ68" i="14"/>
  <c r="V69" i="18" s="1"/>
  <c r="B52" i="18"/>
  <c r="AT52" i="18" s="1"/>
  <c r="AX52" i="18"/>
  <c r="AX43" i="18"/>
  <c r="B43" i="18"/>
  <c r="AT43" i="18" s="1"/>
  <c r="CK127" i="14"/>
  <c r="CK126" i="14"/>
  <c r="GO45" i="10"/>
  <c r="GL22" i="10"/>
  <c r="GK22" i="10"/>
  <c r="MI112" i="14"/>
  <c r="NM112" i="14" s="1"/>
  <c r="NN112" i="14" s="1"/>
  <c r="ML112" i="14"/>
  <c r="MB112" i="14"/>
  <c r="LY112" i="14"/>
  <c r="NI112" i="14" s="1"/>
  <c r="NJ112" i="14" s="1"/>
  <c r="LD69" i="14"/>
  <c r="LG69" i="14" s="1"/>
  <c r="CX69" i="14"/>
  <c r="AD96" i="18" s="1"/>
  <c r="Z96" i="18" s="1"/>
  <c r="DA69" i="14"/>
  <c r="AG96" i="18" s="1"/>
  <c r="AE96" i="18"/>
  <c r="AX38" i="18"/>
  <c r="BA39" i="18"/>
  <c r="AY11" i="18"/>
  <c r="C11" i="18"/>
  <c r="AU11" i="18" s="1"/>
  <c r="CX79" i="14"/>
  <c r="AD72" i="18" s="1"/>
  <c r="Z72" i="18" s="1"/>
  <c r="DB79" i="14"/>
  <c r="DB134" i="14" s="1"/>
  <c r="CY134" i="14" s="1"/>
  <c r="CZ79" i="14"/>
  <c r="AF72" i="18" s="1"/>
  <c r="AB72" i="18" s="1"/>
  <c r="LD79" i="14"/>
  <c r="LF79" i="14" s="1"/>
  <c r="AE72" i="18"/>
  <c r="AA72" i="18" s="1"/>
  <c r="GG145" i="14"/>
  <c r="GL145" i="14" s="1"/>
  <c r="GM145" i="14"/>
  <c r="GT34" i="10"/>
  <c r="DA35" i="10"/>
  <c r="H25" i="18" s="1"/>
  <c r="BP22" i="14"/>
  <c r="G25" i="18"/>
  <c r="DB35" i="10"/>
  <c r="I25" i="18" s="1"/>
  <c r="CY35" i="10"/>
  <c r="F25" i="18" s="1"/>
  <c r="GJ35" i="10"/>
  <c r="GK35" i="10" s="1"/>
  <c r="GY139" i="14"/>
  <c r="GX139" i="14"/>
  <c r="GX138" i="14" s="1"/>
  <c r="HE139" i="14"/>
  <c r="BU141" i="18" s="1"/>
  <c r="HD139" i="14"/>
  <c r="BT141" i="18" s="1"/>
  <c r="GY46" i="14"/>
  <c r="AL78" i="18" s="1"/>
  <c r="AM78" i="18"/>
  <c r="HA46" i="14"/>
  <c r="AN78" i="18" s="1"/>
  <c r="LX154" i="14"/>
  <c r="GU50" i="10"/>
  <c r="GT50" i="10"/>
  <c r="S129" i="18"/>
  <c r="O129" i="18" s="1"/>
  <c r="CJ155" i="14"/>
  <c r="R129" i="18" s="1"/>
  <c r="N129" i="18" s="1"/>
  <c r="KT155" i="14"/>
  <c r="KW155" i="14" s="1"/>
  <c r="CM155" i="14"/>
  <c r="U129" i="18" s="1"/>
  <c r="Q129" i="18" s="1"/>
  <c r="AX24" i="18"/>
  <c r="B24" i="18"/>
  <c r="AT24" i="18" s="1"/>
  <c r="KT45" i="14"/>
  <c r="KW45" i="14" s="1"/>
  <c r="S83" i="18"/>
  <c r="O83" i="18" s="1"/>
  <c r="CJ45" i="14"/>
  <c r="R83" i="18" s="1"/>
  <c r="N83" i="18" s="1"/>
  <c r="CM45" i="14"/>
  <c r="U83" i="18" s="1"/>
  <c r="Q83" i="18" s="1"/>
  <c r="AY43" i="18"/>
  <c r="C43" i="18"/>
  <c r="AU43" i="18" s="1"/>
  <c r="BW113" i="14"/>
  <c r="BW112" i="14"/>
  <c r="BW55" i="14"/>
  <c r="BW54" i="14"/>
  <c r="FE63" i="14"/>
  <c r="FG63" i="14"/>
  <c r="FI63" i="14"/>
  <c r="AZ38" i="18"/>
  <c r="GL21" i="10"/>
  <c r="GK21" i="10"/>
  <c r="AE88" i="18"/>
  <c r="AA88" i="18" s="1"/>
  <c r="CX80" i="14"/>
  <c r="AD88" i="18" s="1"/>
  <c r="Z88" i="18" s="1"/>
  <c r="DA80" i="14"/>
  <c r="AG88" i="18" s="1"/>
  <c r="AC88" i="18" s="1"/>
  <c r="LD80" i="14"/>
  <c r="LG80" i="14" s="1"/>
  <c r="LX45" i="14"/>
  <c r="MA45" i="14" s="1"/>
  <c r="EN139" i="14"/>
  <c r="ES139" i="14"/>
  <c r="BR141" i="18" s="1"/>
  <c r="ET139" i="14"/>
  <c r="BS141" i="18" s="1"/>
  <c r="BO141" i="18" s="1"/>
  <c r="S128" i="18"/>
  <c r="O128" i="18" s="1"/>
  <c r="CL154" i="14"/>
  <c r="T128" i="18" s="1"/>
  <c r="P128" i="18" s="1"/>
  <c r="KT154" i="14"/>
  <c r="CJ154" i="14"/>
  <c r="R128" i="18" s="1"/>
  <c r="N128" i="18" s="1"/>
  <c r="C24" i="18"/>
  <c r="AU24" i="18" s="1"/>
  <c r="AY24" i="18"/>
  <c r="DL50" i="14"/>
  <c r="J84" i="18" s="1"/>
  <c r="DO50" i="14"/>
  <c r="M84" i="18" s="1"/>
  <c r="DQ36" i="11"/>
  <c r="LN50" i="14"/>
  <c r="LQ50" i="14" s="1"/>
  <c r="K84" i="18"/>
  <c r="AZ43" i="18"/>
  <c r="D43" i="18"/>
  <c r="AV43" i="18" s="1"/>
  <c r="CK54" i="14"/>
  <c r="CK112" i="14"/>
  <c r="CK113" i="14"/>
  <c r="CK55" i="14"/>
  <c r="B12" i="18"/>
  <c r="AT12" i="18" s="1"/>
  <c r="AX12" i="18"/>
  <c r="FK117" i="14"/>
  <c r="FE117" i="14"/>
  <c r="FJ117" i="14" s="1"/>
  <c r="FI117" i="14"/>
  <c r="BA38" i="18"/>
  <c r="AZ11" i="18"/>
  <c r="D11" i="18"/>
  <c r="AV11" i="18" s="1"/>
  <c r="AZ14" i="18"/>
  <c r="GL50" i="10"/>
  <c r="GK50" i="10"/>
  <c r="MH155" i="14"/>
  <c r="MK155" i="14" s="1"/>
  <c r="DO49" i="14"/>
  <c r="M64" i="18" s="1"/>
  <c r="DN49" i="14"/>
  <c r="L64" i="18" s="1"/>
  <c r="DL49" i="14"/>
  <c r="J64" i="18" s="1"/>
  <c r="K64" i="18"/>
  <c r="LN49" i="14"/>
  <c r="LP49" i="14" s="1"/>
  <c r="E24" i="18"/>
  <c r="AW24" i="18" s="1"/>
  <c r="BA24" i="18"/>
  <c r="BA43" i="18"/>
  <c r="E43" i="18"/>
  <c r="AW43" i="18" s="1"/>
  <c r="GN23" i="10"/>
  <c r="GO23" i="10"/>
  <c r="FG79" i="14"/>
  <c r="FE79" i="14"/>
  <c r="FI79" i="14"/>
  <c r="FI134" i="14" s="1"/>
  <c r="FF134" i="14" s="1"/>
  <c r="AZ18" i="18"/>
  <c r="FE64" i="14"/>
  <c r="DZ40" i="11"/>
  <c r="FH64" i="14"/>
  <c r="GK48" i="10"/>
  <c r="GL48" i="10"/>
  <c r="GU40" i="10"/>
  <c r="GT40" i="10"/>
  <c r="AZ73" i="18"/>
  <c r="E11" i="18"/>
  <c r="AW11" i="18" s="1"/>
  <c r="BA11" i="18"/>
  <c r="GK24" i="10"/>
  <c r="GL24" i="10"/>
  <c r="LX108" i="14"/>
  <c r="MA108" i="14" s="1"/>
  <c r="D40" i="18"/>
  <c r="AV40" i="18" s="1"/>
  <c r="AZ40" i="18"/>
  <c r="FX75" i="10"/>
  <c r="EK30" i="11"/>
  <c r="FS75" i="10"/>
  <c r="MH153" i="14"/>
  <c r="GQ30" i="10"/>
  <c r="GR30" i="10"/>
  <c r="AY52" i="18"/>
  <c r="C52" i="18"/>
  <c r="AU52" i="18" s="1"/>
  <c r="AX88" i="18"/>
  <c r="AB14" i="14"/>
  <c r="CM12" i="11"/>
  <c r="DM64" i="14"/>
  <c r="DM63" i="14"/>
  <c r="DM117" i="14"/>
  <c r="DZ46" i="11"/>
  <c r="FH85" i="14"/>
  <c r="FE85" i="14"/>
  <c r="GK53" i="10"/>
  <c r="GJ52" i="10"/>
  <c r="LY117" i="14"/>
  <c r="NI117" i="14" s="1"/>
  <c r="NJ117" i="14" s="1"/>
  <c r="MB117" i="14"/>
  <c r="DX37" i="10"/>
  <c r="DL37" i="10" s="1"/>
  <c r="DN37" i="10" s="1"/>
  <c r="CZ37" i="10"/>
  <c r="DB37" i="10" s="1"/>
  <c r="GN22" i="10"/>
  <c r="GO22" i="10"/>
  <c r="CN117" i="14"/>
  <c r="CJ117" i="14"/>
  <c r="CP117" i="14"/>
  <c r="BK134" i="18" s="1"/>
  <c r="BI134" i="18" s="1"/>
  <c r="KT117" i="14"/>
  <c r="CO117" i="14"/>
  <c r="DZ45" i="11"/>
  <c r="FH80" i="14"/>
  <c r="FE80" i="14"/>
  <c r="C54" i="18"/>
  <c r="AU54" i="18" s="1"/>
  <c r="AY54" i="18"/>
  <c r="GG17" i="10"/>
  <c r="AY18" i="18"/>
  <c r="C18" i="18"/>
  <c r="AU18" i="18" s="1"/>
  <c r="AY73" i="18"/>
  <c r="BW50" i="14"/>
  <c r="BW49" i="14"/>
  <c r="AE134" i="14"/>
  <c r="AX14" i="18"/>
  <c r="AL33" i="18"/>
  <c r="EJ37" i="10"/>
  <c r="AL27" i="18" s="1"/>
  <c r="G10" i="18"/>
  <c r="CY20" i="10"/>
  <c r="F10" i="18" s="1"/>
  <c r="BP14" i="14"/>
  <c r="DB20" i="10"/>
  <c r="I10" i="18" s="1"/>
  <c r="DP12" i="11"/>
  <c r="DA20" i="10"/>
  <c r="H10" i="18" s="1"/>
  <c r="GJ20" i="10"/>
  <c r="EF134" i="14"/>
  <c r="BM140" i="18" s="1"/>
  <c r="DZ134" i="14"/>
  <c r="EE134" i="14"/>
  <c r="BL140" i="18" s="1"/>
  <c r="C40" i="18"/>
  <c r="AU40" i="18" s="1"/>
  <c r="AY40" i="18"/>
  <c r="CY45" i="14"/>
  <c r="CY46" i="14"/>
  <c r="CY108" i="14"/>
  <c r="CY44" i="14"/>
  <c r="CY107" i="14"/>
  <c r="KT64" i="14"/>
  <c r="KW64" i="14" s="1"/>
  <c r="S95" i="18"/>
  <c r="O95" i="18" s="1"/>
  <c r="CJ64" i="14"/>
  <c r="R95" i="18" s="1"/>
  <c r="N95" i="18" s="1"/>
  <c r="CM64" i="14"/>
  <c r="U95" i="18" s="1"/>
  <c r="Q95" i="18" s="1"/>
  <c r="CM94" i="14"/>
  <c r="U91" i="18" s="1"/>
  <c r="Q91" i="18" s="1"/>
  <c r="S91" i="18"/>
  <c r="O91" i="18" s="1"/>
  <c r="CJ94" i="14"/>
  <c r="R91" i="18" s="1"/>
  <c r="N91" i="18" s="1"/>
  <c r="KT94" i="14"/>
  <c r="KW94" i="14" s="1"/>
  <c r="E18" i="18"/>
  <c r="AW18" i="18" s="1"/>
  <c r="BA18" i="18"/>
  <c r="KJ153" i="14"/>
  <c r="G127" i="18"/>
  <c r="BV153" i="14"/>
  <c r="F127" i="18" s="1"/>
  <c r="CB139" i="14"/>
  <c r="BE141" i="18" s="1"/>
  <c r="CA139" i="14"/>
  <c r="BV139" i="14"/>
  <c r="CM45" i="11"/>
  <c r="AV108" i="14"/>
  <c r="AV113" i="14"/>
  <c r="BA14" i="18"/>
  <c r="DW30" i="10"/>
  <c r="DY30" i="10"/>
  <c r="DZ19" i="11"/>
  <c r="DL30" i="10"/>
  <c r="EC98" i="14"/>
  <c r="Y92" i="18" s="1"/>
  <c r="Q92" i="18" s="1"/>
  <c r="DZ98" i="14"/>
  <c r="V92" i="18" s="1"/>
  <c r="N92" i="18" s="1"/>
  <c r="LX98" i="14"/>
  <c r="MA98" i="14" s="1"/>
  <c r="W92" i="18"/>
  <c r="O92" i="18" s="1"/>
  <c r="E40" i="18"/>
  <c r="AW40" i="18" s="1"/>
  <c r="BA40" i="18"/>
  <c r="BP17" i="14"/>
  <c r="G13" i="18"/>
  <c r="GJ23" i="10"/>
  <c r="DP14" i="11"/>
  <c r="CY23" i="10"/>
  <c r="F13" i="18" s="1"/>
  <c r="DA23" i="10"/>
  <c r="H13" i="18" s="1"/>
  <c r="DB23" i="10"/>
  <c r="I13" i="18" s="1"/>
  <c r="B35" i="18"/>
  <c r="AT35" i="18" s="1"/>
  <c r="AX35" i="18"/>
  <c r="EF139" i="14"/>
  <c r="BM141" i="18" s="1"/>
  <c r="BI141" i="18" s="1"/>
  <c r="EE139" i="14"/>
  <c r="BL141" i="18" s="1"/>
  <c r="BH141" i="18" s="1"/>
  <c r="DZ139" i="14"/>
  <c r="S68" i="18"/>
  <c r="O68" i="18" s="1"/>
  <c r="KT63" i="14"/>
  <c r="KV63" i="14" s="1"/>
  <c r="CL63" i="14"/>
  <c r="T68" i="18" s="1"/>
  <c r="P68" i="18" s="1"/>
  <c r="CJ63" i="14"/>
  <c r="R68" i="18" s="1"/>
  <c r="N68" i="18" s="1"/>
  <c r="CN63" i="14"/>
  <c r="CN93" i="14"/>
  <c r="S76" i="18"/>
  <c r="O76" i="18" s="1"/>
  <c r="CL93" i="14"/>
  <c r="T76" i="18" s="1"/>
  <c r="P76" i="18" s="1"/>
  <c r="KT93" i="14"/>
  <c r="KV93" i="14" s="1"/>
  <c r="CJ93" i="14"/>
  <c r="R76" i="18" s="1"/>
  <c r="N76" i="18" s="1"/>
  <c r="B54" i="18"/>
  <c r="AT54" i="18" s="1"/>
  <c r="AX54" i="18"/>
  <c r="BV154" i="14"/>
  <c r="F128" i="18" s="1"/>
  <c r="KJ154" i="14"/>
  <c r="BX154" i="14"/>
  <c r="H128" i="18" s="1"/>
  <c r="G128" i="18"/>
  <c r="DM90" i="14"/>
  <c r="DM89" i="14"/>
  <c r="AX73" i="18"/>
  <c r="AY14" i="18"/>
  <c r="DZ97" i="14"/>
  <c r="V77" i="18" s="1"/>
  <c r="N77" i="18" s="1"/>
  <c r="EB97" i="14"/>
  <c r="X77" i="18" s="1"/>
  <c r="P77" i="18" s="1"/>
  <c r="W77" i="18"/>
  <c r="O77" i="18" s="1"/>
  <c r="ED97" i="14"/>
  <c r="LX97" i="14"/>
  <c r="LZ97" i="14" s="1"/>
  <c r="AX40" i="18"/>
  <c r="B40" i="18"/>
  <c r="AT40" i="18" s="1"/>
  <c r="FL17" i="10"/>
  <c r="AP77" i="18"/>
  <c r="GQ20" i="10"/>
  <c r="GR20" i="10"/>
  <c r="GP19" i="10"/>
  <c r="AQ83" i="18"/>
  <c r="JD45" i="14"/>
  <c r="EM35" i="11" s="1"/>
  <c r="JC45" i="14"/>
  <c r="EL35" i="11" s="1"/>
  <c r="IV45" i="14"/>
  <c r="AP83" i="18" s="1"/>
  <c r="IY45" i="14"/>
  <c r="AS83" i="18" s="1"/>
  <c r="JB45" i="14"/>
  <c r="EK35" i="11" s="1"/>
  <c r="DZ47" i="11"/>
  <c r="FE90" i="14"/>
  <c r="FH90" i="14"/>
  <c r="Q33" i="10"/>
  <c r="G17" i="10"/>
  <c r="CZ17" i="10" s="1"/>
  <c r="Q58" i="10"/>
  <c r="Q61" i="10"/>
  <c r="Q65" i="10"/>
  <c r="Q52" i="10"/>
  <c r="Q45" i="10"/>
  <c r="GK28" i="10"/>
  <c r="GL28" i="10"/>
  <c r="DP50" i="11"/>
  <c r="G129" i="18"/>
  <c r="BY155" i="14"/>
  <c r="I129" i="18" s="1"/>
  <c r="KJ155" i="14"/>
  <c r="KM155" i="14" s="1"/>
  <c r="BV155" i="14"/>
  <c r="F129" i="18" s="1"/>
  <c r="BX89" i="14"/>
  <c r="H75" i="18" s="1"/>
  <c r="G75" i="18"/>
  <c r="BZ89" i="14"/>
  <c r="BZ145" i="14" s="1"/>
  <c r="BW145" i="14" s="1"/>
  <c r="KJ89" i="14"/>
  <c r="KL89" i="14" s="1"/>
  <c r="BV89" i="14"/>
  <c r="F75" i="18" s="1"/>
  <c r="BA89" i="18"/>
  <c r="ED17" i="10"/>
  <c r="DT17" i="10" s="1"/>
  <c r="N17" i="10"/>
  <c r="GU31" i="10"/>
  <c r="GT31" i="10"/>
  <c r="ET134" i="14"/>
  <c r="BS140" i="18" s="1"/>
  <c r="ES134" i="14"/>
  <c r="BR140" i="18" s="1"/>
  <c r="EN134" i="14"/>
  <c r="GM19" i="10"/>
  <c r="CK68" i="14"/>
  <c r="CK69" i="14"/>
  <c r="CK70" i="14"/>
  <c r="DA45" i="10"/>
  <c r="H35" i="18" s="1"/>
  <c r="DB45" i="10"/>
  <c r="I35" i="18" s="1"/>
  <c r="G35" i="18"/>
  <c r="FM18" i="10"/>
  <c r="ML107" i="14"/>
  <c r="MI107" i="14"/>
  <c r="NM107" i="14" s="1"/>
  <c r="NN107" i="14" s="1"/>
  <c r="JB46" i="14"/>
  <c r="JD46" i="14"/>
  <c r="IV46" i="14"/>
  <c r="AP78" i="18" s="1"/>
  <c r="AQ78" i="18"/>
  <c r="JC46" i="14"/>
  <c r="IX46" i="14"/>
  <c r="AR78" i="18" s="1"/>
  <c r="GJ29" i="10"/>
  <c r="G19" i="18"/>
  <c r="DP18" i="11"/>
  <c r="DA29" i="10"/>
  <c r="H19" i="18" s="1"/>
  <c r="CY29" i="10"/>
  <c r="F19" i="18" s="1"/>
  <c r="DB29" i="10"/>
  <c r="I19" i="18" s="1"/>
  <c r="FE89" i="14"/>
  <c r="FG89" i="14"/>
  <c r="FI89" i="14"/>
  <c r="FI145" i="14" s="1"/>
  <c r="FF145" i="14" s="1"/>
  <c r="JB107" i="14"/>
  <c r="JD107" i="14"/>
  <c r="IV107" i="14"/>
  <c r="JC107" i="14"/>
  <c r="JA107" i="14"/>
  <c r="AX18" i="18"/>
  <c r="AX14" i="10"/>
  <c r="AL20" i="18"/>
  <c r="EJ27" i="10"/>
  <c r="AL17" i="18" s="1"/>
  <c r="G90" i="18"/>
  <c r="BY90" i="14"/>
  <c r="I90" i="18" s="1"/>
  <c r="BV90" i="14"/>
  <c r="F90" i="18" s="1"/>
  <c r="DP47" i="11"/>
  <c r="KJ90" i="14"/>
  <c r="KM90" i="14" s="1"/>
  <c r="AY89" i="18"/>
  <c r="MH154" i="14"/>
  <c r="ES145" i="14"/>
  <c r="BR142" i="18" s="1"/>
  <c r="EN145" i="14"/>
  <c r="ET145" i="14"/>
  <c r="BS142" i="18" s="1"/>
  <c r="BO142" i="18" s="1"/>
  <c r="IV44" i="14"/>
  <c r="AP63" i="18" s="1"/>
  <c r="JC44" i="14"/>
  <c r="JB44" i="14"/>
  <c r="JD44" i="14"/>
  <c r="AQ63" i="18"/>
  <c r="IY44" i="14"/>
  <c r="AS63" i="18" s="1"/>
  <c r="IX44" i="14"/>
  <c r="AR63" i="18" s="1"/>
  <c r="CY43" i="10"/>
  <c r="F33" i="18" s="1"/>
  <c r="G33" i="18"/>
  <c r="DA43" i="10"/>
  <c r="H33" i="18" s="1"/>
  <c r="DB43" i="10"/>
  <c r="I33" i="18" s="1"/>
  <c r="GJ43" i="10"/>
  <c r="GY155" i="14"/>
  <c r="AL129" i="18" s="1"/>
  <c r="ED50" i="11"/>
  <c r="HB155" i="14"/>
  <c r="AO129" i="18" s="1"/>
  <c r="AM129" i="18"/>
  <c r="LX107" i="14"/>
  <c r="AX89" i="18"/>
  <c r="DM84" i="14"/>
  <c r="DM85" i="14"/>
  <c r="DM83" i="14"/>
  <c r="BV134" i="14"/>
  <c r="CA134" i="14"/>
  <c r="CB134" i="14"/>
  <c r="BE140" i="18" s="1"/>
  <c r="GO29" i="10"/>
  <c r="GN29" i="10"/>
  <c r="JC108" i="14"/>
  <c r="EL53" i="11" s="1"/>
  <c r="JD108" i="14"/>
  <c r="EM53" i="11" s="1"/>
  <c r="IV108" i="14"/>
  <c r="JB108" i="14"/>
  <c r="EK53" i="11" s="1"/>
  <c r="IY108" i="14"/>
  <c r="JC153" i="14"/>
  <c r="JB153" i="14"/>
  <c r="JD153" i="14"/>
  <c r="IV153" i="14"/>
  <c r="AP127" i="18" s="1"/>
  <c r="AQ127" i="18"/>
  <c r="GY154" i="14"/>
  <c r="AL128" i="18" s="1"/>
  <c r="AM128" i="18"/>
  <c r="HA154" i="14"/>
  <c r="AN128" i="18" s="1"/>
  <c r="CY62" i="10"/>
  <c r="GJ62" i="10"/>
  <c r="BP33" i="14"/>
  <c r="BW122" i="14" s="1"/>
  <c r="DP26" i="11"/>
  <c r="DB62" i="10"/>
  <c r="AY74" i="18"/>
  <c r="KX122" i="14"/>
  <c r="KU122" i="14"/>
  <c r="MW122" i="14" s="1"/>
  <c r="MX122" i="14" s="1"/>
  <c r="CE17" i="10"/>
  <c r="LD155" i="14"/>
  <c r="LG155" i="14" s="1"/>
  <c r="CX155" i="14"/>
  <c r="AD129" i="18" s="1"/>
  <c r="Z129" i="18" s="1"/>
  <c r="AE129" i="18"/>
  <c r="AA129" i="18" s="1"/>
  <c r="DA155" i="14"/>
  <c r="AG129" i="18" s="1"/>
  <c r="AC129" i="18" s="1"/>
  <c r="BA88" i="18"/>
  <c r="DK48" i="10"/>
  <c r="J38" i="18" s="1"/>
  <c r="B38" i="18" s="1"/>
  <c r="AT38" i="18" s="1"/>
  <c r="DM48" i="10"/>
  <c r="L38" i="18" s="1"/>
  <c r="D38" i="18" s="1"/>
  <c r="AV38" i="18" s="1"/>
  <c r="DN48" i="10"/>
  <c r="M38" i="18" s="1"/>
  <c r="E38" i="18" s="1"/>
  <c r="AW38" i="18" s="1"/>
  <c r="K38" i="18"/>
  <c r="C38" i="18" s="1"/>
  <c r="AU38" i="18" s="1"/>
  <c r="GS48" i="10"/>
  <c r="JB154" i="14"/>
  <c r="IV154" i="14"/>
  <c r="AP128" i="18" s="1"/>
  <c r="JD154" i="14"/>
  <c r="IX154" i="14"/>
  <c r="AR128" i="18" s="1"/>
  <c r="JC154" i="14"/>
  <c r="AQ128" i="18"/>
  <c r="AM127" i="18"/>
  <c r="GY153" i="14"/>
  <c r="AL127" i="18" s="1"/>
  <c r="AX74" i="18"/>
  <c r="CJ107" i="14"/>
  <c r="KT107" i="14"/>
  <c r="CP107" i="14"/>
  <c r="CO107" i="14"/>
  <c r="NR107" i="14" s="1"/>
  <c r="CN107" i="14"/>
  <c r="NR122" i="14"/>
  <c r="BJ135" i="18"/>
  <c r="BH135" i="18" s="1"/>
  <c r="GX108" i="14"/>
  <c r="ED53" i="11"/>
  <c r="GY108" i="14"/>
  <c r="HB108" i="14"/>
  <c r="GT39" i="10"/>
  <c r="GU39" i="10"/>
  <c r="LE117" i="14"/>
  <c r="NA117" i="14" s="1"/>
  <c r="NB117" i="14" s="1"/>
  <c r="LH117" i="14"/>
  <c r="CD17" i="10"/>
  <c r="CB17" i="10"/>
  <c r="CB14" i="10" s="1"/>
  <c r="CX153" i="14"/>
  <c r="AD127" i="18" s="1"/>
  <c r="Z127" i="18" s="1"/>
  <c r="LD153" i="14"/>
  <c r="AE127" i="18"/>
  <c r="AA127" i="18" s="1"/>
  <c r="AZ12" i="18"/>
  <c r="D12" i="18"/>
  <c r="AV12" i="18" s="1"/>
  <c r="F72" i="18"/>
  <c r="JB155" i="14"/>
  <c r="EK50" i="11" s="1"/>
  <c r="JC155" i="14"/>
  <c r="EL50" i="11" s="1"/>
  <c r="AQ129" i="18"/>
  <c r="IV155" i="14"/>
  <c r="AP129" i="18" s="1"/>
  <c r="IY155" i="14"/>
  <c r="AS129" i="18" s="1"/>
  <c r="JD155" i="14"/>
  <c r="EM50" i="11" s="1"/>
  <c r="AZ39" i="18"/>
  <c r="AZ74" i="18"/>
  <c r="CJ108" i="14"/>
  <c r="CM108" i="14"/>
  <c r="KT108" i="14"/>
  <c r="KW108" i="14" s="1"/>
  <c r="FE84" i="14"/>
  <c r="FG84" i="14"/>
  <c r="HC107" i="14"/>
  <c r="HE107" i="14"/>
  <c r="HD107" i="14"/>
  <c r="GY107" i="14"/>
  <c r="GX107" i="14"/>
  <c r="LX44" i="14"/>
  <c r="LZ44" i="14" s="1"/>
  <c r="CN79" i="14"/>
  <c r="CN134" i="14" s="1"/>
  <c r="CK134" i="14" s="1"/>
  <c r="S72" i="18"/>
  <c r="O72" i="18" s="1"/>
  <c r="KT79" i="14"/>
  <c r="KV79" i="14" s="1"/>
  <c r="CL79" i="14"/>
  <c r="T72" i="18" s="1"/>
  <c r="CJ79" i="14"/>
  <c r="R72" i="18" s="1"/>
  <c r="N72" i="18" s="1"/>
  <c r="ML117" i="14"/>
  <c r="MI117" i="14"/>
  <c r="NM117" i="14" s="1"/>
  <c r="NN117" i="14" s="1"/>
  <c r="LX70" i="14"/>
  <c r="MA70" i="14" s="1"/>
  <c r="W97" i="18"/>
  <c r="DZ70" i="14"/>
  <c r="V97" i="18" s="1"/>
  <c r="EC70" i="14"/>
  <c r="Y97" i="18" s="1"/>
  <c r="LD154" i="14"/>
  <c r="AE128" i="18"/>
  <c r="AA128" i="18" s="1"/>
  <c r="CZ154" i="14"/>
  <c r="AF128" i="18" s="1"/>
  <c r="AB128" i="18" s="1"/>
  <c r="CX154" i="14"/>
  <c r="AD128" i="18" s="1"/>
  <c r="Z128" i="18" s="1"/>
  <c r="BW64" i="14"/>
  <c r="BW63" i="14"/>
  <c r="BW117" i="14"/>
  <c r="CZ27" i="10"/>
  <c r="ID56" i="49"/>
  <c r="IF56" i="49"/>
  <c r="HS56" i="49"/>
  <c r="HG22" i="49"/>
  <c r="G12" i="48" s="1"/>
  <c r="S44" i="48"/>
  <c r="O44" i="48" s="1"/>
  <c r="HM54" i="49"/>
  <c r="U44" i="48" s="1"/>
  <c r="Q44" i="48" s="1"/>
  <c r="KT54" i="49"/>
  <c r="KU54" i="49" s="1"/>
  <c r="HJ54" i="49"/>
  <c r="R44" i="48" s="1"/>
  <c r="N44" i="48" s="1"/>
  <c r="HG56" i="49"/>
  <c r="BV134" i="48"/>
  <c r="AE52" i="48"/>
  <c r="AA52" i="48" s="1"/>
  <c r="KW66" i="49"/>
  <c r="DP12" i="51"/>
  <c r="G10" i="48"/>
  <c r="C10" i="48" s="1"/>
  <c r="AU10" i="48" s="1"/>
  <c r="HF20" i="49"/>
  <c r="F10" i="48" s="1"/>
  <c r="N10" i="37" s="1"/>
  <c r="K10" i="37" s="1"/>
  <c r="KQ20" i="49"/>
  <c r="KR20" i="49" s="1"/>
  <c r="HH20" i="49"/>
  <c r="H10" i="48" s="1"/>
  <c r="BP14" i="50"/>
  <c r="BW107" i="50" s="1"/>
  <c r="JC126" i="50"/>
  <c r="HN59" i="49"/>
  <c r="AD49" i="48" s="1"/>
  <c r="Z49" i="48" s="1"/>
  <c r="IV126" i="50"/>
  <c r="AP123" i="48" s="1"/>
  <c r="MH126" i="50"/>
  <c r="MJ126" i="50" s="1"/>
  <c r="AQ90" i="48"/>
  <c r="U51" i="39" s="1"/>
  <c r="J51" i="39" s="1"/>
  <c r="P51" i="39" s="1"/>
  <c r="JB69" i="50"/>
  <c r="EK41" i="51" s="1"/>
  <c r="JD69" i="50"/>
  <c r="EM41" i="51" s="1"/>
  <c r="IY69" i="50"/>
  <c r="AS96" i="48" s="1"/>
  <c r="JC69" i="50"/>
  <c r="EL41" i="51" s="1"/>
  <c r="IV69" i="50"/>
  <c r="AP96" i="48" s="1"/>
  <c r="AQ96" i="48"/>
  <c r="JC90" i="50"/>
  <c r="EL47" i="51" s="1"/>
  <c r="IX68" i="50"/>
  <c r="AR69" i="48" s="1"/>
  <c r="JD68" i="50"/>
  <c r="AQ69" i="48"/>
  <c r="JC68" i="50"/>
  <c r="IV68" i="50"/>
  <c r="AP69" i="48" s="1"/>
  <c r="JB68" i="50"/>
  <c r="LX126" i="50"/>
  <c r="LZ126" i="50" s="1"/>
  <c r="LX90" i="50"/>
  <c r="MA90" i="50" s="1"/>
  <c r="MH64" i="50"/>
  <c r="MK64" i="50" s="1"/>
  <c r="IY90" i="50"/>
  <c r="AS90" i="48" s="1"/>
  <c r="IV70" i="50"/>
  <c r="AP97" i="48" s="1"/>
  <c r="JD70" i="50"/>
  <c r="EM42" i="51" s="1"/>
  <c r="JB70" i="50"/>
  <c r="EK42" i="51" s="1"/>
  <c r="IY70" i="50"/>
  <c r="AS97" i="48" s="1"/>
  <c r="AQ97" i="48"/>
  <c r="JC70" i="50"/>
  <c r="EL42" i="51" s="1"/>
  <c r="JD90" i="50"/>
  <c r="EM47" i="51" s="1"/>
  <c r="BM108" i="50"/>
  <c r="HG69" i="49"/>
  <c r="HF69" i="49" s="1"/>
  <c r="F55" i="48" s="1"/>
  <c r="JB90" i="50"/>
  <c r="EK47" i="51" s="1"/>
  <c r="BM113" i="50"/>
  <c r="IX126" i="50"/>
  <c r="AR123" i="48" s="1"/>
  <c r="MH90" i="50"/>
  <c r="MK90" i="50" s="1"/>
  <c r="JB126" i="50"/>
  <c r="HP59" i="49"/>
  <c r="AF49" i="48" s="1"/>
  <c r="AB49" i="48" s="1"/>
  <c r="JS65" i="49"/>
  <c r="JD126" i="50"/>
  <c r="HQ59" i="49"/>
  <c r="AG49" i="48" s="1"/>
  <c r="AC49" i="48" s="1"/>
  <c r="IP65" i="49"/>
  <c r="C20" i="48"/>
  <c r="AU20" i="48" s="1"/>
  <c r="CZ65" i="49"/>
  <c r="DB17" i="49"/>
  <c r="DU17" i="49" s="1"/>
  <c r="DU14" i="49" s="1"/>
  <c r="JS19" i="49"/>
  <c r="AQ85" i="48"/>
  <c r="JD55" i="50"/>
  <c r="EM37" i="51" s="1"/>
  <c r="IY55" i="50"/>
  <c r="AS85" i="48" s="1"/>
  <c r="IV55" i="50"/>
  <c r="AP85" i="48" s="1"/>
  <c r="JC55" i="50"/>
  <c r="EL37" i="51" s="1"/>
  <c r="JB55" i="50"/>
  <c r="EK37" i="51" s="1"/>
  <c r="IV54" i="50"/>
  <c r="AP65" i="48" s="1"/>
  <c r="AQ65" i="48"/>
  <c r="IX54" i="50"/>
  <c r="AR65" i="48" s="1"/>
  <c r="K34" i="44" s="1"/>
  <c r="JD54" i="50"/>
  <c r="JC54" i="50"/>
  <c r="IY54" i="50"/>
  <c r="AS65" i="48" s="1"/>
  <c r="JB54" i="50"/>
  <c r="CZ27" i="49"/>
  <c r="LX64" i="50"/>
  <c r="MA64" i="50" s="1"/>
  <c r="MH117" i="50"/>
  <c r="MI117" i="50" s="1"/>
  <c r="NM117" i="50" s="1"/>
  <c r="NN117" i="50" s="1"/>
  <c r="GZ153" i="50"/>
  <c r="GZ154" i="50"/>
  <c r="GZ155" i="50"/>
  <c r="LX117" i="50"/>
  <c r="LY117" i="50" s="1"/>
  <c r="NI117" i="50" s="1"/>
  <c r="NJ117" i="50" s="1"/>
  <c r="ER117" i="50"/>
  <c r="JC117" i="50"/>
  <c r="ET117" i="50"/>
  <c r="BS134" i="48" s="1"/>
  <c r="IV117" i="50"/>
  <c r="EN117" i="50"/>
  <c r="AE155" i="50"/>
  <c r="CM50" i="51" s="1"/>
  <c r="AE153" i="50"/>
  <c r="AE154" i="50"/>
  <c r="JB117" i="50"/>
  <c r="DT17" i="49"/>
  <c r="DT14" i="49" s="1"/>
  <c r="ES117" i="50"/>
  <c r="BR134" i="48" s="1"/>
  <c r="JA117" i="50"/>
  <c r="BW134" i="48" s="1"/>
  <c r="FB36" i="50"/>
  <c r="HS69" i="49"/>
  <c r="ID69" i="49"/>
  <c r="HP56" i="49"/>
  <c r="AF46" i="48" s="1"/>
  <c r="AB46" i="48" s="1"/>
  <c r="S11" i="48"/>
  <c r="O11" i="48" s="1"/>
  <c r="HM21" i="49"/>
  <c r="U11" i="48" s="1"/>
  <c r="Q11" i="48" s="1"/>
  <c r="BQ15" i="50"/>
  <c r="CK49" i="50" s="1"/>
  <c r="HL21" i="49"/>
  <c r="T11" i="48" s="1"/>
  <c r="P11" i="48" s="1"/>
  <c r="KT21" i="49"/>
  <c r="HQ56" i="49"/>
  <c r="AG46" i="48" s="1"/>
  <c r="AC46" i="48" s="1"/>
  <c r="KQ24" i="49"/>
  <c r="G14" i="48"/>
  <c r="HI24" i="49"/>
  <c r="I14" i="48" s="1"/>
  <c r="HF24" i="49"/>
  <c r="F14" i="48" s="1"/>
  <c r="AX14" i="48" s="1"/>
  <c r="KW46" i="49"/>
  <c r="KY46" i="49" s="1"/>
  <c r="HH24" i="49"/>
  <c r="H14" i="48" s="1"/>
  <c r="AZ14" i="48" s="1"/>
  <c r="HP46" i="49"/>
  <c r="AF36" i="48" s="1"/>
  <c r="AB36" i="48" s="1"/>
  <c r="HI49" i="49"/>
  <c r="I39" i="48" s="1"/>
  <c r="BA39" i="48" s="1"/>
  <c r="AE36" i="48"/>
  <c r="AA36" i="48" s="1"/>
  <c r="KT67" i="49"/>
  <c r="HQ46" i="49"/>
  <c r="AG36" i="48" s="1"/>
  <c r="AC36" i="48" s="1"/>
  <c r="HJ67" i="49"/>
  <c r="R53" i="48" s="1"/>
  <c r="N53" i="48" s="1"/>
  <c r="HJ30" i="49"/>
  <c r="R20" i="48" s="1"/>
  <c r="N20" i="48" s="1"/>
  <c r="KT30" i="49"/>
  <c r="KV30" i="49" s="1"/>
  <c r="S38" i="48"/>
  <c r="O38" i="48" s="1"/>
  <c r="HL30" i="49"/>
  <c r="T20" i="48" s="1"/>
  <c r="P20" i="48" s="1"/>
  <c r="HJ48" i="49"/>
  <c r="R38" i="48" s="1"/>
  <c r="N38" i="48" s="1"/>
  <c r="KT48" i="49"/>
  <c r="HM30" i="49"/>
  <c r="U20" i="48" s="1"/>
  <c r="Q20" i="48" s="1"/>
  <c r="HP20" i="49"/>
  <c r="AF10" i="48" s="1"/>
  <c r="AB10" i="48" s="1"/>
  <c r="HQ20" i="49"/>
  <c r="AG10" i="48" s="1"/>
  <c r="AC10" i="48" s="1"/>
  <c r="AE10" i="48"/>
  <c r="AA10" i="48" s="1"/>
  <c r="KT39" i="49"/>
  <c r="KV39" i="49" s="1"/>
  <c r="EE19" i="49"/>
  <c r="BR14" i="50"/>
  <c r="CY44" i="50" s="1"/>
  <c r="BQ27" i="50"/>
  <c r="HL39" i="49"/>
  <c r="T29" i="48" s="1"/>
  <c r="P29" i="48" s="1"/>
  <c r="HM39" i="49"/>
  <c r="U29" i="48" s="1"/>
  <c r="Q29" i="48" s="1"/>
  <c r="S29" i="48"/>
  <c r="O29" i="48" s="1"/>
  <c r="HN20" i="49"/>
  <c r="AD10" i="48" s="1"/>
  <c r="Z10" i="48" s="1"/>
  <c r="KT22" i="49"/>
  <c r="KV22" i="49" s="1"/>
  <c r="HJ22" i="49"/>
  <c r="R12" i="48" s="1"/>
  <c r="N12" i="48" s="1"/>
  <c r="S12" i="48"/>
  <c r="O12" i="48" s="1"/>
  <c r="BQ16" i="50"/>
  <c r="HL22" i="49"/>
  <c r="T12" i="48" s="1"/>
  <c r="P12" i="48" s="1"/>
  <c r="LE45" i="49"/>
  <c r="G38" i="48"/>
  <c r="C38" i="48" s="1"/>
  <c r="AU38" i="48" s="1"/>
  <c r="HF48" i="49"/>
  <c r="F38" i="48" s="1"/>
  <c r="KQ48" i="49"/>
  <c r="HH48" i="49"/>
  <c r="H38" i="48" s="1"/>
  <c r="BA38" i="48"/>
  <c r="E38" i="48"/>
  <c r="AW38" i="48" s="1"/>
  <c r="M65" i="49"/>
  <c r="KW28" i="49"/>
  <c r="KX28" i="49" s="1"/>
  <c r="HP28" i="49"/>
  <c r="AF18" i="48" s="1"/>
  <c r="AB18" i="48" s="1"/>
  <c r="HN28" i="49"/>
  <c r="AD18" i="48" s="1"/>
  <c r="Z18" i="48" s="1"/>
  <c r="EE61" i="49"/>
  <c r="HQ28" i="49"/>
  <c r="AG18" i="48" s="1"/>
  <c r="AC18" i="48" s="1"/>
  <c r="HM40" i="49"/>
  <c r="U30" i="48" s="1"/>
  <c r="Q30" i="48" s="1"/>
  <c r="KT40" i="49"/>
  <c r="KV40" i="49" s="1"/>
  <c r="HL40" i="49"/>
  <c r="T30" i="48" s="1"/>
  <c r="P30" i="48" s="1"/>
  <c r="HJ40" i="49"/>
  <c r="R30" i="48" s="1"/>
  <c r="N30" i="48" s="1"/>
  <c r="BQ28" i="50"/>
  <c r="CK89" i="50" s="1"/>
  <c r="S54" i="48"/>
  <c r="O54" i="48" s="1"/>
  <c r="CX122" i="50"/>
  <c r="DB122" i="50"/>
  <c r="FE43" i="49"/>
  <c r="HO43" i="49"/>
  <c r="BP16" i="50"/>
  <c r="BW113" i="50" s="1"/>
  <c r="G24" i="48"/>
  <c r="HK69" i="49"/>
  <c r="EI69" i="49"/>
  <c r="HI22" i="49"/>
  <c r="I12" i="48" s="1"/>
  <c r="BA12" i="48" s="1"/>
  <c r="KQ34" i="49"/>
  <c r="KQ22" i="49"/>
  <c r="KS22" i="49" s="1"/>
  <c r="BP21" i="50"/>
  <c r="BW64" i="50" s="1"/>
  <c r="HH30" i="49"/>
  <c r="H20" i="48" s="1"/>
  <c r="D20" i="48" s="1"/>
  <c r="AV20" i="48" s="1"/>
  <c r="HF22" i="49"/>
  <c r="F12" i="48" s="1"/>
  <c r="HF34" i="49"/>
  <c r="F24" i="48" s="1"/>
  <c r="HI30" i="49"/>
  <c r="I20" i="48" s="1"/>
  <c r="E20" i="48" s="1"/>
  <c r="AW20" i="48" s="1"/>
  <c r="HH22" i="49"/>
  <c r="H12" i="48" s="1"/>
  <c r="AZ12" i="48" s="1"/>
  <c r="HI34" i="49"/>
  <c r="I24" i="48" s="1"/>
  <c r="HF30" i="49"/>
  <c r="F20" i="48" s="1"/>
  <c r="DP13" i="51"/>
  <c r="KQ30" i="49"/>
  <c r="KR30" i="49" s="1"/>
  <c r="DD122" i="50"/>
  <c r="BQ135" i="48" s="1"/>
  <c r="BO135" i="48" s="1"/>
  <c r="DP19" i="51"/>
  <c r="HO29" i="49"/>
  <c r="DC122" i="50"/>
  <c r="BP135" i="48" s="1"/>
  <c r="BN135" i="48" s="1"/>
  <c r="EE27" i="49"/>
  <c r="KT68" i="49"/>
  <c r="G31" i="48"/>
  <c r="KQ41" i="49"/>
  <c r="HI41" i="49"/>
  <c r="I31" i="48" s="1"/>
  <c r="HF41" i="49"/>
  <c r="F31" i="48" s="1"/>
  <c r="HH41" i="49"/>
  <c r="H31" i="48" s="1"/>
  <c r="BP29" i="50"/>
  <c r="HH50" i="49"/>
  <c r="H40" i="48" s="1"/>
  <c r="HF50" i="49"/>
  <c r="F40" i="48" s="1"/>
  <c r="KQ50" i="49"/>
  <c r="KS50" i="49" s="1"/>
  <c r="HI50" i="49"/>
  <c r="I40" i="48" s="1"/>
  <c r="EE37" i="49"/>
  <c r="HQ54" i="49"/>
  <c r="AG44" i="48" s="1"/>
  <c r="AC44" i="48" s="1"/>
  <c r="HP54" i="49"/>
  <c r="AF44" i="48" s="1"/>
  <c r="AB44" i="48" s="1"/>
  <c r="DP22" i="51"/>
  <c r="AE44" i="48"/>
  <c r="AA44" i="48" s="1"/>
  <c r="KW54" i="49"/>
  <c r="KX54" i="49" s="1"/>
  <c r="KQ38" i="49"/>
  <c r="KR38" i="49" s="1"/>
  <c r="HI38" i="49"/>
  <c r="I28" i="48" s="1"/>
  <c r="BA28" i="48" s="1"/>
  <c r="HF38" i="49"/>
  <c r="F28" i="48" s="1"/>
  <c r="HH38" i="49"/>
  <c r="H28" i="48" s="1"/>
  <c r="AZ28" i="48" s="1"/>
  <c r="EE52" i="49"/>
  <c r="EE45" i="49"/>
  <c r="HF45" i="49" s="1"/>
  <c r="F35" i="48" s="1"/>
  <c r="FE48" i="49"/>
  <c r="HO48" i="49"/>
  <c r="FD45" i="49"/>
  <c r="HO45" i="49" s="1"/>
  <c r="KW30" i="49"/>
  <c r="HN30" i="49"/>
  <c r="AD20" i="48" s="1"/>
  <c r="Z20" i="48" s="1"/>
  <c r="HP30" i="49"/>
  <c r="AF20" i="48" s="1"/>
  <c r="AB20" i="48" s="1"/>
  <c r="HQ30" i="49"/>
  <c r="AG20" i="48" s="1"/>
  <c r="AC20" i="48" s="1"/>
  <c r="AE20" i="48"/>
  <c r="AA20" i="48" s="1"/>
  <c r="KQ67" i="49"/>
  <c r="G53" i="48"/>
  <c r="C53" i="48" s="1"/>
  <c r="AU53" i="48" s="1"/>
  <c r="HG54" i="49"/>
  <c r="HF54" i="49" s="1"/>
  <c r="F44" i="48" s="1"/>
  <c r="HP21" i="49"/>
  <c r="AF11" i="48" s="1"/>
  <c r="AB11" i="48" s="1"/>
  <c r="HQ21" i="49"/>
  <c r="AG11" i="48" s="1"/>
  <c r="AC11" i="48" s="1"/>
  <c r="KW21" i="49"/>
  <c r="BR15" i="50"/>
  <c r="HN21" i="49"/>
  <c r="AD11" i="48" s="1"/>
  <c r="Z11" i="48" s="1"/>
  <c r="BW97" i="50"/>
  <c r="BZ97" i="50" s="1"/>
  <c r="BW98" i="50"/>
  <c r="DP49" i="51" s="1"/>
  <c r="G21" i="48"/>
  <c r="HI31" i="49"/>
  <c r="I21" i="48" s="1"/>
  <c r="BA21" i="48" s="1"/>
  <c r="HH31" i="49"/>
  <c r="H21" i="48" s="1"/>
  <c r="AZ21" i="48" s="1"/>
  <c r="KQ31" i="49"/>
  <c r="KR31" i="49" s="1"/>
  <c r="HF31" i="49"/>
  <c r="F21" i="48" s="1"/>
  <c r="HH42" i="49"/>
  <c r="H32" i="48" s="1"/>
  <c r="AZ32" i="48" s="1"/>
  <c r="KQ42" i="49"/>
  <c r="HF42" i="49"/>
  <c r="F32" i="48" s="1"/>
  <c r="M19" i="49"/>
  <c r="HN47" i="49"/>
  <c r="AD37" i="48" s="1"/>
  <c r="Z37" i="48" s="1"/>
  <c r="AE37" i="48"/>
  <c r="AA37" i="48" s="1"/>
  <c r="HQ47" i="49"/>
  <c r="AG37" i="48" s="1"/>
  <c r="AC37" i="48" s="1"/>
  <c r="HP47" i="49"/>
  <c r="AF37" i="48" s="1"/>
  <c r="AB37" i="48" s="1"/>
  <c r="KW47" i="49"/>
  <c r="G32" i="48"/>
  <c r="HI42" i="49"/>
  <c r="I32" i="48" s="1"/>
  <c r="BA32" i="48" s="1"/>
  <c r="FE49" i="49"/>
  <c r="HO49" i="49"/>
  <c r="FD27" i="49"/>
  <c r="HO27" i="49" s="1"/>
  <c r="FE31" i="49"/>
  <c r="HO31" i="49"/>
  <c r="EE65" i="49"/>
  <c r="HG65" i="49" s="1"/>
  <c r="HG68" i="49"/>
  <c r="HF68" i="49" s="1"/>
  <c r="F54" i="48" s="1"/>
  <c r="HN50" i="49"/>
  <c r="AD40" i="48" s="1"/>
  <c r="Z40" i="48" s="1"/>
  <c r="AE40" i="48"/>
  <c r="AA40" i="48" s="1"/>
  <c r="HQ50" i="49"/>
  <c r="AG40" i="48" s="1"/>
  <c r="AC40" i="48" s="1"/>
  <c r="KW50" i="49"/>
  <c r="HP50" i="49"/>
  <c r="AF40" i="48" s="1"/>
  <c r="AB40" i="48" s="1"/>
  <c r="HO41" i="49"/>
  <c r="FE41" i="49"/>
  <c r="HO34" i="49"/>
  <c r="FE34" i="49"/>
  <c r="FD33" i="49"/>
  <c r="HO33" i="49" s="1"/>
  <c r="FE25" i="49"/>
  <c r="HO25" i="49"/>
  <c r="FE24" i="49"/>
  <c r="HO24" i="49"/>
  <c r="EE58" i="49"/>
  <c r="HG59" i="49"/>
  <c r="HK59" i="49"/>
  <c r="EI59" i="49"/>
  <c r="EH58" i="49"/>
  <c r="FE68" i="49"/>
  <c r="HO68" i="49"/>
  <c r="FD65" i="49"/>
  <c r="HO65" i="49" s="1"/>
  <c r="HH23" i="49"/>
  <c r="H13" i="48" s="1"/>
  <c r="D13" i="48" s="1"/>
  <c r="AV13" i="48" s="1"/>
  <c r="G13" i="48"/>
  <c r="KQ23" i="49"/>
  <c r="KR23" i="49" s="1"/>
  <c r="HF23" i="49"/>
  <c r="F13" i="48" s="1"/>
  <c r="B13" i="48" s="1"/>
  <c r="AT13" i="48" s="1"/>
  <c r="BP17" i="50"/>
  <c r="BW127" i="50" s="1"/>
  <c r="HI23" i="49"/>
  <c r="I13" i="48" s="1"/>
  <c r="BA13" i="48" s="1"/>
  <c r="FD52" i="49"/>
  <c r="HO52" i="49" s="1"/>
  <c r="HO53" i="49"/>
  <c r="FE53" i="49"/>
  <c r="HO22" i="49"/>
  <c r="FE22" i="49"/>
  <c r="FD19" i="49"/>
  <c r="FE38" i="49"/>
  <c r="HO38" i="49"/>
  <c r="FD37" i="49"/>
  <c r="HO37" i="49" s="1"/>
  <c r="HQ37" i="49" s="1"/>
  <c r="M52" i="49"/>
  <c r="G39" i="48"/>
  <c r="AY39" i="48" s="1"/>
  <c r="HF49" i="49"/>
  <c r="F39" i="48" s="1"/>
  <c r="KQ49" i="49"/>
  <c r="KS49" i="49" s="1"/>
  <c r="T62" i="51"/>
  <c r="F23" i="51"/>
  <c r="E23" i="51" s="1"/>
  <c r="IF31" i="49"/>
  <c r="ID31" i="49"/>
  <c r="HS31" i="49"/>
  <c r="FF79" i="50"/>
  <c r="FF80" i="50"/>
  <c r="AE79" i="50"/>
  <c r="AE134" i="50" s="1"/>
  <c r="AE80" i="50"/>
  <c r="K134" i="50"/>
  <c r="H134" i="50" s="1"/>
  <c r="G134" i="50" s="1"/>
  <c r="ID68" i="49"/>
  <c r="HS68" i="49"/>
  <c r="G33" i="48"/>
  <c r="HH43" i="49"/>
  <c r="H33" i="48" s="1"/>
  <c r="HI43" i="49"/>
  <c r="I33" i="48" s="1"/>
  <c r="HF43" i="49"/>
  <c r="F33" i="48" s="1"/>
  <c r="KQ43" i="49"/>
  <c r="KZ62" i="49"/>
  <c r="LB62" i="49" s="1"/>
  <c r="HR62" i="49"/>
  <c r="HU62" i="49"/>
  <c r="DQ26" i="51"/>
  <c r="BS33" i="50"/>
  <c r="DM122" i="50" s="1"/>
  <c r="JC49" i="50"/>
  <c r="IY49" i="50"/>
  <c r="AS64" i="48" s="1"/>
  <c r="IX49" i="50"/>
  <c r="AR64" i="48" s="1"/>
  <c r="K35" i="44" s="1"/>
  <c r="IV49" i="50"/>
  <c r="AP64" i="48" s="1"/>
  <c r="JD49" i="50"/>
  <c r="JB49" i="50"/>
  <c r="AQ64" i="48"/>
  <c r="HT38" i="49"/>
  <c r="L28" i="48" s="1"/>
  <c r="HU38" i="49"/>
  <c r="M28" i="48" s="1"/>
  <c r="DQ22" i="51"/>
  <c r="BS26" i="50"/>
  <c r="K28" i="48"/>
  <c r="HR38" i="49"/>
  <c r="J28" i="48" s="1"/>
  <c r="KZ38" i="49"/>
  <c r="FE122" i="50"/>
  <c r="FJ122" i="50" s="1"/>
  <c r="FK122" i="50"/>
  <c r="FI122" i="50"/>
  <c r="IY50" i="50"/>
  <c r="AS84" i="48" s="1"/>
  <c r="IV50" i="50"/>
  <c r="AP84" i="48" s="1"/>
  <c r="AQ84" i="48"/>
  <c r="JC50" i="50"/>
  <c r="EL36" i="51" s="1"/>
  <c r="JB50" i="50"/>
  <c r="EK36" i="51" s="1"/>
  <c r="JD50" i="50"/>
  <c r="EM36" i="51" s="1"/>
  <c r="LH45" i="49"/>
  <c r="CZ19" i="49"/>
  <c r="O25" i="37"/>
  <c r="O26" i="37"/>
  <c r="GX80" i="50"/>
  <c r="GY80" i="50"/>
  <c r="AL88" i="48" s="1"/>
  <c r="BF108" i="50"/>
  <c r="ED45" i="51"/>
  <c r="AM88" i="48"/>
  <c r="BF113" i="50"/>
  <c r="HB80" i="50"/>
  <c r="AO88" i="48" s="1"/>
  <c r="GZ55" i="50"/>
  <c r="GZ113" i="50"/>
  <c r="GZ112" i="50"/>
  <c r="GZ54" i="50"/>
  <c r="HS54" i="49"/>
  <c r="IF54" i="49"/>
  <c r="ID54" i="49"/>
  <c r="GX79" i="50"/>
  <c r="AM72" i="48"/>
  <c r="GY79" i="50"/>
  <c r="AL72" i="48" s="1"/>
  <c r="HA79" i="50"/>
  <c r="AN72" i="48" s="1"/>
  <c r="HC79" i="50"/>
  <c r="HC134" i="50" s="1"/>
  <c r="GZ134" i="50" s="1"/>
  <c r="IG139" i="50"/>
  <c r="IA139" i="50"/>
  <c r="IF139" i="50"/>
  <c r="W19" i="49"/>
  <c r="BJ89" i="51"/>
  <c r="AZ89" i="51" s="1"/>
  <c r="KI17" i="49"/>
  <c r="BJ81" i="51"/>
  <c r="AZ81" i="51" s="1"/>
  <c r="AE122" i="50"/>
  <c r="K122" i="50"/>
  <c r="BJ87" i="51"/>
  <c r="AZ87" i="51" s="1"/>
  <c r="GM87" i="51"/>
  <c r="GI87" i="51"/>
  <c r="FR87" i="51" s="1"/>
  <c r="FP87" i="51" s="1"/>
  <c r="EW87" i="51" s="1"/>
  <c r="FO87" i="51" s="1"/>
  <c r="KZ46" i="49"/>
  <c r="HT46" i="49"/>
  <c r="L36" i="48" s="1"/>
  <c r="DQ23" i="51"/>
  <c r="HU46" i="49"/>
  <c r="M36" i="48" s="1"/>
  <c r="HR46" i="49"/>
  <c r="J36" i="48" s="1"/>
  <c r="K36" i="48"/>
  <c r="ID43" i="49"/>
  <c r="IF43" i="49"/>
  <c r="HS43" i="49"/>
  <c r="JW17" i="49"/>
  <c r="JW18" i="49" s="1"/>
  <c r="BJ79" i="51"/>
  <c r="AZ79" i="51" s="1"/>
  <c r="BJ77" i="51"/>
  <c r="AZ77" i="51" s="1"/>
  <c r="AB16" i="50"/>
  <c r="CM13" i="51"/>
  <c r="BK62" i="51"/>
  <c r="BJ75" i="51"/>
  <c r="ID22" i="49"/>
  <c r="DZ13" i="51"/>
  <c r="HS22" i="49"/>
  <c r="IF22" i="49"/>
  <c r="FB16" i="50"/>
  <c r="JM144" i="50"/>
  <c r="IP144" i="50"/>
  <c r="JT144" i="50"/>
  <c r="CV64" i="51"/>
  <c r="CV65" i="51"/>
  <c r="F11" i="51"/>
  <c r="G11" i="51" s="1"/>
  <c r="E12" i="51"/>
  <c r="E11" i="51" s="1"/>
  <c r="BP141" i="18"/>
  <c r="BP142" i="18"/>
  <c r="HJ62" i="49"/>
  <c r="HM62" i="49"/>
  <c r="BQ33" i="50"/>
  <c r="CK122" i="50" s="1"/>
  <c r="KT122" i="50" s="1"/>
  <c r="EJ54" i="51"/>
  <c r="MH63" i="50"/>
  <c r="MJ63" i="50" s="1"/>
  <c r="HM75" i="50"/>
  <c r="EB68" i="50"/>
  <c r="X69" i="48" s="1"/>
  <c r="W69" i="48"/>
  <c r="LX68" i="50"/>
  <c r="LZ68" i="50" s="1"/>
  <c r="DZ68" i="50"/>
  <c r="V69" i="48" s="1"/>
  <c r="ED68" i="50"/>
  <c r="MH54" i="50"/>
  <c r="MJ54" i="50" s="1"/>
  <c r="AI65" i="48"/>
  <c r="EQ54" i="50"/>
  <c r="AK65" i="48" s="1"/>
  <c r="EP54" i="50"/>
  <c r="AJ65" i="48" s="1"/>
  <c r="EN54" i="50"/>
  <c r="AH65" i="48" s="1"/>
  <c r="GY98" i="50"/>
  <c r="AL92" i="48" s="1"/>
  <c r="AM92" i="48"/>
  <c r="ED49" i="51"/>
  <c r="GX98" i="50"/>
  <c r="HB98" i="50"/>
  <c r="AO92" i="48" s="1"/>
  <c r="HM42" i="49"/>
  <c r="U32" i="48" s="1"/>
  <c r="Q32" i="48" s="1"/>
  <c r="S32" i="48"/>
  <c r="O32" i="48" s="1"/>
  <c r="KT42" i="49"/>
  <c r="HL42" i="49"/>
  <c r="T32" i="48" s="1"/>
  <c r="P32" i="48" s="1"/>
  <c r="HJ42" i="49"/>
  <c r="R32" i="48" s="1"/>
  <c r="N32" i="48" s="1"/>
  <c r="BQ30" i="50"/>
  <c r="KJ61" i="49"/>
  <c r="KJ17" i="49" s="1"/>
  <c r="G61" i="49"/>
  <c r="IE61" i="49" s="1"/>
  <c r="HS61" i="49" s="1"/>
  <c r="GZ50" i="50"/>
  <c r="GZ49" i="50"/>
  <c r="W83" i="48"/>
  <c r="EC45" i="50"/>
  <c r="Y83" i="48" s="1"/>
  <c r="DZ45" i="50"/>
  <c r="V83" i="48" s="1"/>
  <c r="KL17" i="49"/>
  <c r="EC70" i="50"/>
  <c r="Y97" i="48" s="1"/>
  <c r="W97" i="48"/>
  <c r="LX70" i="50"/>
  <c r="MA70" i="50" s="1"/>
  <c r="DZ70" i="50"/>
  <c r="V97" i="48" s="1"/>
  <c r="ES112" i="50"/>
  <c r="EN112" i="50"/>
  <c r="ET112" i="50"/>
  <c r="ER112" i="50"/>
  <c r="MH112" i="50"/>
  <c r="HS139" i="50"/>
  <c r="HM139" i="50"/>
  <c r="HR139" i="50"/>
  <c r="EB46" i="50"/>
  <c r="X78" i="48" s="1"/>
  <c r="W78" i="48"/>
  <c r="DZ46" i="50"/>
  <c r="V78" i="48" s="1"/>
  <c r="DZ97" i="50"/>
  <c r="V77" i="48" s="1"/>
  <c r="ED97" i="50"/>
  <c r="W77" i="48"/>
  <c r="EB97" i="50"/>
  <c r="X77" i="48" s="1"/>
  <c r="JC154" i="50"/>
  <c r="IV154" i="50"/>
  <c r="AP128" i="48" s="1"/>
  <c r="JD154" i="50"/>
  <c r="JB154" i="50"/>
  <c r="AQ128" i="48"/>
  <c r="IX154" i="50"/>
  <c r="AR128" i="48" s="1"/>
  <c r="EN113" i="50"/>
  <c r="EQ113" i="50"/>
  <c r="MH113" i="50"/>
  <c r="MK113" i="50" s="1"/>
  <c r="EC69" i="50"/>
  <c r="Y96" i="48" s="1"/>
  <c r="DZ69" i="50"/>
  <c r="V96" i="48" s="1"/>
  <c r="W96" i="48"/>
  <c r="LX69" i="50"/>
  <c r="MA69" i="50" s="1"/>
  <c r="DM94" i="50"/>
  <c r="DM93" i="50"/>
  <c r="EB44" i="50"/>
  <c r="X63" i="48" s="1"/>
  <c r="EC44" i="50"/>
  <c r="Y63" i="48" s="1"/>
  <c r="W63" i="48"/>
  <c r="DZ44" i="50"/>
  <c r="V63" i="48" s="1"/>
  <c r="KN61" i="49"/>
  <c r="KN17" i="49" s="1"/>
  <c r="EF112" i="50"/>
  <c r="ED112" i="50"/>
  <c r="DZ112" i="50"/>
  <c r="EE112" i="50"/>
  <c r="LX112" i="50"/>
  <c r="DZ107" i="50"/>
  <c r="EF107" i="50"/>
  <c r="ED107" i="50"/>
  <c r="EE107" i="50"/>
  <c r="CZ61" i="49"/>
  <c r="JS63" i="49"/>
  <c r="JS61" i="49" s="1"/>
  <c r="JU61" i="49"/>
  <c r="JU17" i="49" s="1"/>
  <c r="JU18" i="49" s="1"/>
  <c r="EC55" i="50"/>
  <c r="Y85" i="48" s="1"/>
  <c r="W85" i="48"/>
  <c r="LX55" i="50"/>
  <c r="MA55" i="50" s="1"/>
  <c r="DZ55" i="50"/>
  <c r="V85" i="48" s="1"/>
  <c r="DZ108" i="50"/>
  <c r="EC108" i="50"/>
  <c r="JB155" i="50"/>
  <c r="EK50" i="51" s="1"/>
  <c r="JD155" i="50"/>
  <c r="EM50" i="51" s="1"/>
  <c r="IV155" i="50"/>
  <c r="AP129" i="48" s="1"/>
  <c r="AQ129" i="48"/>
  <c r="JC155" i="50"/>
  <c r="EL50" i="51" s="1"/>
  <c r="IY155" i="50"/>
  <c r="AS129" i="48" s="1"/>
  <c r="EQ55" i="50"/>
  <c r="AK85" i="48" s="1"/>
  <c r="MH55" i="50"/>
  <c r="MK55" i="50" s="1"/>
  <c r="AI85" i="48"/>
  <c r="EN55" i="50"/>
  <c r="AH85" i="48" s="1"/>
  <c r="CK117" i="50"/>
  <c r="CK64" i="50"/>
  <c r="CK63" i="50"/>
  <c r="GX89" i="50"/>
  <c r="HC89" i="50"/>
  <c r="HC145" i="50" s="1"/>
  <c r="GZ145" i="50" s="1"/>
  <c r="GY89" i="50"/>
  <c r="AL75" i="48" s="1"/>
  <c r="AM75" i="48"/>
  <c r="HA89" i="50"/>
  <c r="AN75" i="48" s="1"/>
  <c r="G27" i="51"/>
  <c r="D25" i="51"/>
  <c r="G25" i="51" s="1"/>
  <c r="LX54" i="50"/>
  <c r="LZ54" i="50" s="1"/>
  <c r="EB54" i="50"/>
  <c r="X65" i="48" s="1"/>
  <c r="EC54" i="50"/>
  <c r="Y65" i="48" s="1"/>
  <c r="W65" i="48"/>
  <c r="DZ54" i="50"/>
  <c r="V65" i="48" s="1"/>
  <c r="EC98" i="50"/>
  <c r="Y92" i="48" s="1"/>
  <c r="W92" i="48"/>
  <c r="DZ98" i="50"/>
  <c r="V92" i="48" s="1"/>
  <c r="W89" i="48"/>
  <c r="EC85" i="50"/>
  <c r="Y89" i="48" s="1"/>
  <c r="DZ85" i="50"/>
  <c r="V89" i="48" s="1"/>
  <c r="GY90" i="50"/>
  <c r="AL90" i="48" s="1"/>
  <c r="ED47" i="51"/>
  <c r="HB90" i="50"/>
  <c r="AO90" i="48" s="1"/>
  <c r="BG113" i="50"/>
  <c r="AM90" i="48"/>
  <c r="GX90" i="50"/>
  <c r="BG108" i="50"/>
  <c r="LA41" i="49"/>
  <c r="LB41" i="49"/>
  <c r="DZ113" i="50"/>
  <c r="EC113" i="50"/>
  <c r="LX113" i="50"/>
  <c r="MA113" i="50" s="1"/>
  <c r="HI21" i="49"/>
  <c r="I11" i="48" s="1"/>
  <c r="KQ21" i="49"/>
  <c r="G11" i="48"/>
  <c r="BP15" i="50"/>
  <c r="HF21" i="49"/>
  <c r="F11" i="48" s="1"/>
  <c r="HH21" i="49"/>
  <c r="H11" i="48" s="1"/>
  <c r="EQ80" i="50"/>
  <c r="AK88" i="48" s="1"/>
  <c r="AI88" i="48"/>
  <c r="EN80" i="50"/>
  <c r="AH88" i="48" s="1"/>
  <c r="CZ37" i="49"/>
  <c r="HG25" i="49"/>
  <c r="G15" i="48" s="1"/>
  <c r="W73" i="48"/>
  <c r="ED83" i="50"/>
  <c r="ED139" i="50" s="1"/>
  <c r="EA139" i="50" s="1"/>
  <c r="DZ83" i="50"/>
  <c r="V73" i="48" s="1"/>
  <c r="EB83" i="50"/>
  <c r="X73" i="48" s="1"/>
  <c r="IV63" i="50"/>
  <c r="AP68" i="48" s="1"/>
  <c r="JB63" i="50"/>
  <c r="JC63" i="50"/>
  <c r="IX63" i="50"/>
  <c r="AR68" i="48" s="1"/>
  <c r="AQ68" i="48"/>
  <c r="JD63" i="50"/>
  <c r="IW59" i="50"/>
  <c r="IX59" i="50" s="1"/>
  <c r="K49" i="48"/>
  <c r="HT59" i="49"/>
  <c r="L49" i="48" s="1"/>
  <c r="HR59" i="49"/>
  <c r="J49" i="48" s="1"/>
  <c r="HU59" i="49"/>
  <c r="M49" i="48" s="1"/>
  <c r="KZ59" i="49"/>
  <c r="FB15" i="50"/>
  <c r="ID21" i="49"/>
  <c r="HS21" i="49"/>
  <c r="IF21" i="49"/>
  <c r="AI72" i="48"/>
  <c r="EN79" i="50"/>
  <c r="AH72" i="48" s="1"/>
  <c r="ER79" i="50"/>
  <c r="ER134" i="50" s="1"/>
  <c r="EO134" i="50" s="1"/>
  <c r="EP79" i="50"/>
  <c r="AJ72" i="48" s="1"/>
  <c r="R63" i="49"/>
  <c r="CM27" i="51" s="1"/>
  <c r="M63" i="49"/>
  <c r="IE63" i="49"/>
  <c r="W74" i="48"/>
  <c r="EB84" i="50"/>
  <c r="X74" i="48" s="1"/>
  <c r="DZ84" i="50"/>
  <c r="V74" i="48" s="1"/>
  <c r="JC64" i="50"/>
  <c r="EL40" i="51" s="1"/>
  <c r="JD64" i="50"/>
  <c r="EM40" i="51" s="1"/>
  <c r="AQ95" i="48"/>
  <c r="JB64" i="50"/>
  <c r="EK40" i="51" s="1"/>
  <c r="IV64" i="50"/>
  <c r="AP95" i="48" s="1"/>
  <c r="IY64" i="50"/>
  <c r="AS95" i="48" s="1"/>
  <c r="GX92" i="50"/>
  <c r="IQ63" i="49"/>
  <c r="IT63" i="49"/>
  <c r="IP63" i="49"/>
  <c r="IP61" i="49" s="1"/>
  <c r="IP17" i="49" s="1"/>
  <c r="ED27" i="51"/>
  <c r="IR61" i="49"/>
  <c r="IR17" i="49" s="1"/>
  <c r="IR16" i="49" s="1"/>
  <c r="DZ153" i="50"/>
  <c r="V127" i="48" s="1"/>
  <c r="W127" i="48"/>
  <c r="LX153" i="50"/>
  <c r="AE49" i="50"/>
  <c r="AE50" i="50"/>
  <c r="CM36" i="51" s="1"/>
  <c r="MH155" i="50"/>
  <c r="MK155" i="50" s="1"/>
  <c r="EN155" i="50"/>
  <c r="AH129" i="48" s="1"/>
  <c r="AI129" i="48"/>
  <c r="EQ155" i="50"/>
  <c r="AK129" i="48" s="1"/>
  <c r="BS30" i="50"/>
  <c r="HU42" i="49"/>
  <c r="M32" i="48" s="1"/>
  <c r="HR42" i="49"/>
  <c r="J32" i="48" s="1"/>
  <c r="HT42" i="49"/>
  <c r="L32" i="48" s="1"/>
  <c r="K32" i="48"/>
  <c r="KZ42" i="49"/>
  <c r="AI77" i="48"/>
  <c r="ER97" i="50"/>
  <c r="EP97" i="50"/>
  <c r="AJ77" i="48" s="1"/>
  <c r="EN97" i="50"/>
  <c r="AH77" i="48" s="1"/>
  <c r="HM145" i="50"/>
  <c r="HR145" i="50"/>
  <c r="HS145" i="50"/>
  <c r="KD61" i="49"/>
  <c r="KD17" i="49" s="1"/>
  <c r="DZ155" i="50"/>
  <c r="V129" i="48" s="1"/>
  <c r="EC155" i="50"/>
  <c r="Y129" i="48" s="1"/>
  <c r="W129" i="48"/>
  <c r="LX155" i="50"/>
  <c r="MA155" i="50" s="1"/>
  <c r="EN93" i="50"/>
  <c r="AH76" i="48" s="1"/>
  <c r="ER93" i="50"/>
  <c r="EP93" i="50"/>
  <c r="AJ76" i="48" s="1"/>
  <c r="AI76" i="48"/>
  <c r="KM17" i="49"/>
  <c r="AI127" i="48"/>
  <c r="MH153" i="50"/>
  <c r="EN153" i="50"/>
  <c r="AH127" i="48" s="1"/>
  <c r="EN98" i="50"/>
  <c r="AH92" i="48" s="1"/>
  <c r="AI92" i="48"/>
  <c r="EQ98" i="50"/>
  <c r="AK92" i="48" s="1"/>
  <c r="JZ61" i="49"/>
  <c r="JZ17" i="49" s="1"/>
  <c r="EB154" i="50"/>
  <c r="X128" i="48" s="1"/>
  <c r="W128" i="48"/>
  <c r="DZ154" i="50"/>
  <c r="V128" i="48" s="1"/>
  <c r="LX154" i="50"/>
  <c r="EN94" i="50"/>
  <c r="AH91" i="48" s="1"/>
  <c r="EQ94" i="50"/>
  <c r="AK91" i="48" s="1"/>
  <c r="AI91" i="48"/>
  <c r="AL11" i="48"/>
  <c r="IQ19" i="49"/>
  <c r="AL9" i="48" s="1"/>
  <c r="HC126" i="50"/>
  <c r="HA126" i="50"/>
  <c r="AN123" i="48" s="1"/>
  <c r="J53" i="44" s="1"/>
  <c r="GX126" i="50"/>
  <c r="AM123" i="48"/>
  <c r="GY126" i="50"/>
  <c r="AL123" i="48" s="1"/>
  <c r="AI128" i="48"/>
  <c r="EP154" i="50"/>
  <c r="AJ128" i="48" s="1"/>
  <c r="MH154" i="50"/>
  <c r="EN154" i="50"/>
  <c r="AH128" i="48" s="1"/>
  <c r="FF98" i="50"/>
  <c r="FF97" i="50"/>
  <c r="KH61" i="49"/>
  <c r="KH17" i="49" s="1"/>
  <c r="FE94" i="50"/>
  <c r="FH94" i="50"/>
  <c r="DZ48" i="51"/>
  <c r="GY97" i="50"/>
  <c r="AL77" i="48" s="1"/>
  <c r="HC97" i="50"/>
  <c r="HA97" i="50"/>
  <c r="AN77" i="48" s="1"/>
  <c r="AM77" i="48"/>
  <c r="GX97" i="50"/>
  <c r="GX127" i="50"/>
  <c r="ED55" i="51"/>
  <c r="BH113" i="50"/>
  <c r="GY127" i="50"/>
  <c r="AL124" i="48" s="1"/>
  <c r="BH108" i="50"/>
  <c r="AM124" i="48"/>
  <c r="HB127" i="50"/>
  <c r="AO124" i="48" s="1"/>
  <c r="KF61" i="49"/>
  <c r="KF17" i="49" s="1"/>
  <c r="FI93" i="50"/>
  <c r="FE93" i="50"/>
  <c r="FG93" i="50"/>
  <c r="KO17" i="49"/>
  <c r="GX106" i="50"/>
  <c r="JD153" i="50"/>
  <c r="IV153" i="50"/>
  <c r="AP127" i="48" s="1"/>
  <c r="AQ127" i="48"/>
  <c r="JC153" i="50"/>
  <c r="JB153" i="50"/>
  <c r="AE127" i="50"/>
  <c r="AE126" i="50"/>
  <c r="KP61" i="49"/>
  <c r="KP17" i="49" s="1"/>
  <c r="MB122" i="50"/>
  <c r="LY122" i="50"/>
  <c r="NI122" i="50" s="1"/>
  <c r="NJ122" i="50" s="1"/>
  <c r="KQ53" i="49"/>
  <c r="HH53" i="49"/>
  <c r="H43" i="48" s="1"/>
  <c r="G43" i="48"/>
  <c r="HI53" i="49"/>
  <c r="I43" i="48" s="1"/>
  <c r="HF53" i="49"/>
  <c r="F43" i="48" s="1"/>
  <c r="KX40" i="49"/>
  <c r="KY40" i="49"/>
  <c r="DC61" i="49"/>
  <c r="DV61" i="49" s="1"/>
  <c r="HL49" i="49"/>
  <c r="T39" i="48" s="1"/>
  <c r="P39" i="48" s="1"/>
  <c r="KT49" i="49"/>
  <c r="S39" i="48"/>
  <c r="O39" i="48" s="1"/>
  <c r="HJ49" i="49"/>
  <c r="R39" i="48" s="1"/>
  <c r="N39" i="48" s="1"/>
  <c r="HM49" i="49"/>
  <c r="U39" i="48" s="1"/>
  <c r="Q39" i="48" s="1"/>
  <c r="HA83" i="50"/>
  <c r="AN73" i="48" s="1"/>
  <c r="GY83" i="50"/>
  <c r="AM73" i="48"/>
  <c r="GZ75" i="50"/>
  <c r="HA75" i="50" s="1"/>
  <c r="AN71" i="48" s="1"/>
  <c r="J31" i="44" s="1"/>
  <c r="HC83" i="50"/>
  <c r="HC139" i="50" s="1"/>
  <c r="GZ139" i="50" s="1"/>
  <c r="GX83" i="50"/>
  <c r="M27" i="49"/>
  <c r="HG29" i="49"/>
  <c r="P15" i="37"/>
  <c r="L15" i="37" s="1"/>
  <c r="P16" i="37"/>
  <c r="L16" i="37" s="1"/>
  <c r="P10" i="37"/>
  <c r="L10" i="37" s="1"/>
  <c r="P11" i="37"/>
  <c r="L11" i="37" s="1"/>
  <c r="CK93" i="50"/>
  <c r="CK94" i="50"/>
  <c r="W65" i="49"/>
  <c r="BR17" i="50"/>
  <c r="HQ23" i="49"/>
  <c r="AG13" i="48" s="1"/>
  <c r="AC13" i="48" s="1"/>
  <c r="AE13" i="48"/>
  <c r="AA13" i="48" s="1"/>
  <c r="KW23" i="49"/>
  <c r="HN23" i="49"/>
  <c r="AD13" i="48" s="1"/>
  <c r="Z13" i="48" s="1"/>
  <c r="HP23" i="49"/>
  <c r="AF13" i="48" s="1"/>
  <c r="AB13" i="48" s="1"/>
  <c r="AB17" i="49"/>
  <c r="HJ31" i="49"/>
  <c r="R21" i="48" s="1"/>
  <c r="N21" i="48" s="1"/>
  <c r="S21" i="48"/>
  <c r="O21" i="48" s="1"/>
  <c r="KT31" i="49"/>
  <c r="HM31" i="49"/>
  <c r="U21" i="48" s="1"/>
  <c r="Q21" i="48" s="1"/>
  <c r="HL31" i="49"/>
  <c r="T21" i="48" s="1"/>
  <c r="P21" i="48" s="1"/>
  <c r="CY98" i="50"/>
  <c r="CY97" i="50"/>
  <c r="AE128" i="48"/>
  <c r="LD154" i="50"/>
  <c r="CX154" i="50"/>
  <c r="AD128" i="48" s="1"/>
  <c r="CZ154" i="50"/>
  <c r="AF128" i="48" s="1"/>
  <c r="DW17" i="49"/>
  <c r="BG17" i="49"/>
  <c r="C45" i="48"/>
  <c r="AU45" i="48" s="1"/>
  <c r="AY45" i="48"/>
  <c r="P33" i="37"/>
  <c r="L33" i="37" s="1"/>
  <c r="P39" i="37"/>
  <c r="L39" i="37" s="1"/>
  <c r="C11" i="35" s="1"/>
  <c r="KT46" i="49"/>
  <c r="HL46" i="49"/>
  <c r="T36" i="48" s="1"/>
  <c r="P36" i="48" s="1"/>
  <c r="HJ46" i="49"/>
  <c r="R36" i="48" s="1"/>
  <c r="N36" i="48" s="1"/>
  <c r="S36" i="48"/>
  <c r="O36" i="48" s="1"/>
  <c r="HM46" i="49"/>
  <c r="U36" i="48" s="1"/>
  <c r="Q36" i="48" s="1"/>
  <c r="JB98" i="50"/>
  <c r="EK49" i="51" s="1"/>
  <c r="IV98" i="50"/>
  <c r="AP92" i="48" s="1"/>
  <c r="AQ92" i="48"/>
  <c r="JC98" i="50"/>
  <c r="EL49" i="51" s="1"/>
  <c r="IY98" i="50"/>
  <c r="AS92" i="48" s="1"/>
  <c r="JD98" i="50"/>
  <c r="EM49" i="51" s="1"/>
  <c r="MH98" i="50"/>
  <c r="MK98" i="50" s="1"/>
  <c r="LX98" i="50"/>
  <c r="MA98" i="50" s="1"/>
  <c r="IX44" i="50"/>
  <c r="AR63" i="48" s="1"/>
  <c r="JC44" i="50"/>
  <c r="JB44" i="50"/>
  <c r="IV44" i="50"/>
  <c r="AP63" i="48" s="1"/>
  <c r="IY44" i="50"/>
  <c r="AS63" i="48" s="1"/>
  <c r="AQ63" i="48"/>
  <c r="JD44" i="50"/>
  <c r="LX44" i="50"/>
  <c r="LZ44" i="50" s="1"/>
  <c r="JC79" i="50"/>
  <c r="JU133" i="50" s="1"/>
  <c r="AQ72" i="48"/>
  <c r="IW75" i="50"/>
  <c r="IX75" i="50" s="1"/>
  <c r="AR71" i="48" s="1"/>
  <c r="K31" i="44" s="1"/>
  <c r="JD79" i="50"/>
  <c r="JX133" i="50" s="1"/>
  <c r="IV79" i="50"/>
  <c r="JB79" i="50"/>
  <c r="JS133" i="50" s="1"/>
  <c r="IX79" i="50"/>
  <c r="AR72" i="48" s="1"/>
  <c r="MH79" i="50"/>
  <c r="MJ79" i="50" s="1"/>
  <c r="K39" i="48"/>
  <c r="HT49" i="49"/>
  <c r="L39" i="48" s="1"/>
  <c r="D39" i="48" s="1"/>
  <c r="AV39" i="48" s="1"/>
  <c r="HU49" i="49"/>
  <c r="M39" i="48" s="1"/>
  <c r="HR49" i="49"/>
  <c r="J39" i="48" s="1"/>
  <c r="KZ49" i="49"/>
  <c r="IX97" i="50"/>
  <c r="AR77" i="48" s="1"/>
  <c r="JC97" i="50"/>
  <c r="IV97" i="50"/>
  <c r="AP77" i="48" s="1"/>
  <c r="JB97" i="50"/>
  <c r="AQ77" i="48"/>
  <c r="JD97" i="50"/>
  <c r="MH97" i="50"/>
  <c r="MJ97" i="50" s="1"/>
  <c r="LX97" i="50"/>
  <c r="LZ97" i="50" s="1"/>
  <c r="HF27" i="49"/>
  <c r="F17" i="48" s="1"/>
  <c r="B17" i="48" s="1"/>
  <c r="HL27" i="49"/>
  <c r="T17" i="48" s="1"/>
  <c r="P17" i="48" s="1"/>
  <c r="S17" i="48"/>
  <c r="O17" i="48" s="1"/>
  <c r="BA24" i="48"/>
  <c r="IR138" i="50"/>
  <c r="JY138" i="50"/>
  <c r="JO138" i="50"/>
  <c r="ID66" i="49"/>
  <c r="HS66" i="49"/>
  <c r="CK79" i="50"/>
  <c r="CK80" i="50"/>
  <c r="KW67" i="49"/>
  <c r="AE53" i="48"/>
  <c r="AA53" i="48" s="1"/>
  <c r="HN67" i="49"/>
  <c r="AD53" i="48" s="1"/>
  <c r="Z53" i="48" s="1"/>
  <c r="JC107" i="50"/>
  <c r="JB107" i="50"/>
  <c r="IV107" i="50"/>
  <c r="JD107" i="50"/>
  <c r="JA107" i="50"/>
  <c r="LX107" i="50"/>
  <c r="KU47" i="49"/>
  <c r="KV47" i="49"/>
  <c r="KX59" i="49"/>
  <c r="KY59" i="49"/>
  <c r="IY45" i="50"/>
  <c r="AS83" i="48" s="1"/>
  <c r="JC45" i="50"/>
  <c r="EL35" i="51" s="1"/>
  <c r="JB45" i="50"/>
  <c r="EK35" i="51" s="1"/>
  <c r="IV45" i="50"/>
  <c r="AP83" i="48" s="1"/>
  <c r="AQ83" i="48"/>
  <c r="JD45" i="50"/>
  <c r="EM35" i="51" s="1"/>
  <c r="LX45" i="50"/>
  <c r="MA45" i="50" s="1"/>
  <c r="DM126" i="50"/>
  <c r="DM127" i="50"/>
  <c r="CN77" i="51"/>
  <c r="CT77" i="51" s="1"/>
  <c r="CZ45" i="49"/>
  <c r="S35" i="48"/>
  <c r="O35" i="48" s="1"/>
  <c r="HM45" i="49"/>
  <c r="U35" i="48" s="1"/>
  <c r="Q35" i="48" s="1"/>
  <c r="HL45" i="49"/>
  <c r="T35" i="48" s="1"/>
  <c r="P35" i="48" s="1"/>
  <c r="KU21" i="49"/>
  <c r="KV21" i="49"/>
  <c r="KT63" i="49"/>
  <c r="KV63" i="49" s="1"/>
  <c r="HM63" i="49"/>
  <c r="HJ63" i="49"/>
  <c r="CK84" i="50"/>
  <c r="CK83" i="50"/>
  <c r="CK85" i="50"/>
  <c r="HS25" i="49"/>
  <c r="ID25" i="49"/>
  <c r="IF25" i="49"/>
  <c r="DZ55" i="51"/>
  <c r="FH127" i="50"/>
  <c r="FE127" i="50"/>
  <c r="IV108" i="50"/>
  <c r="IY108" i="50"/>
  <c r="JB108" i="50"/>
  <c r="EK53" i="51" s="1"/>
  <c r="JD108" i="50"/>
  <c r="EM53" i="51" s="1"/>
  <c r="JC108" i="50"/>
  <c r="EL53" i="51" s="1"/>
  <c r="LX108" i="50"/>
  <c r="MA108" i="50" s="1"/>
  <c r="FE46" i="50"/>
  <c r="FG46" i="50"/>
  <c r="DA155" i="50"/>
  <c r="AG129" i="48" s="1"/>
  <c r="AE129" i="48"/>
  <c r="CX155" i="50"/>
  <c r="AD129" i="48" s="1"/>
  <c r="LD155" i="50"/>
  <c r="LG155" i="50" s="1"/>
  <c r="E45" i="48"/>
  <c r="AW45" i="48" s="1"/>
  <c r="BA45" i="48"/>
  <c r="KX20" i="49"/>
  <c r="KY20" i="49"/>
  <c r="S42" i="48"/>
  <c r="O42" i="48" s="1"/>
  <c r="HL52" i="49"/>
  <c r="T42" i="48" s="1"/>
  <c r="P42" i="48" s="1"/>
  <c r="HH28" i="49"/>
  <c r="H18" i="48" s="1"/>
  <c r="HI28" i="49"/>
  <c r="I18" i="48" s="1"/>
  <c r="KQ28" i="49"/>
  <c r="G18" i="48"/>
  <c r="HF28" i="49"/>
  <c r="F18" i="48" s="1"/>
  <c r="DP17" i="51"/>
  <c r="HJ55" i="49"/>
  <c r="R45" i="48" s="1"/>
  <c r="N45" i="48" s="1"/>
  <c r="KT55" i="49"/>
  <c r="HM55" i="49"/>
  <c r="U45" i="48" s="1"/>
  <c r="Q45" i="48" s="1"/>
  <c r="S45" i="48"/>
  <c r="O45" i="48" s="1"/>
  <c r="HL55" i="49"/>
  <c r="T45" i="48" s="1"/>
  <c r="P45" i="48" s="1"/>
  <c r="B45" i="48"/>
  <c r="AT45" i="48" s="1"/>
  <c r="AX45" i="48"/>
  <c r="W27" i="49"/>
  <c r="HU34" i="49"/>
  <c r="M24" i="48" s="1"/>
  <c r="E24" i="48" s="1"/>
  <c r="AW24" i="48" s="1"/>
  <c r="BS21" i="50"/>
  <c r="HT34" i="49"/>
  <c r="L24" i="48" s="1"/>
  <c r="D24" i="48" s="1"/>
  <c r="AV24" i="48" s="1"/>
  <c r="K24" i="48"/>
  <c r="HR34" i="49"/>
  <c r="J24" i="48" s="1"/>
  <c r="KZ34" i="49"/>
  <c r="AZ24" i="48"/>
  <c r="ET145" i="50"/>
  <c r="BS142" i="48" s="1"/>
  <c r="ES145" i="50"/>
  <c r="BR142" i="48" s="1"/>
  <c r="EN145" i="50"/>
  <c r="HG35" i="49"/>
  <c r="EE33" i="49"/>
  <c r="FF117" i="50"/>
  <c r="FF63" i="50"/>
  <c r="FF64" i="50"/>
  <c r="BW80" i="50"/>
  <c r="BW79" i="50"/>
  <c r="JV17" i="49"/>
  <c r="DM44" i="50"/>
  <c r="DM46" i="50"/>
  <c r="DM45" i="50"/>
  <c r="DM108" i="50"/>
  <c r="DM107" i="50"/>
  <c r="KU39" i="49"/>
  <c r="FG126" i="50"/>
  <c r="FH126" i="50"/>
  <c r="FE126" i="50"/>
  <c r="FE107" i="50"/>
  <c r="FJ107" i="50" s="1"/>
  <c r="FK107" i="50"/>
  <c r="FI107" i="50"/>
  <c r="AQ88" i="48"/>
  <c r="BL113" i="50"/>
  <c r="BO113" i="50" s="1"/>
  <c r="JD80" i="50"/>
  <c r="EM45" i="51" s="1"/>
  <c r="JB80" i="50"/>
  <c r="EK45" i="51" s="1"/>
  <c r="IY80" i="50"/>
  <c r="AS88" i="48" s="1"/>
  <c r="JC80" i="50"/>
  <c r="EL45" i="51" s="1"/>
  <c r="IV80" i="50"/>
  <c r="AP88" i="48" s="1"/>
  <c r="BL108" i="50"/>
  <c r="MH80" i="50"/>
  <c r="MK80" i="50" s="1"/>
  <c r="KR34" i="49"/>
  <c r="AZ39" i="48"/>
  <c r="MB117" i="50"/>
  <c r="K17" i="48"/>
  <c r="HT27" i="49"/>
  <c r="L17" i="48" s="1"/>
  <c r="CK55" i="50"/>
  <c r="CK112" i="50"/>
  <c r="CK54" i="50"/>
  <c r="CK113" i="50"/>
  <c r="KU38" i="49"/>
  <c r="KV38" i="49"/>
  <c r="KV29" i="49"/>
  <c r="KU29" i="49"/>
  <c r="HG66" i="49"/>
  <c r="AZ40" i="48"/>
  <c r="FE44" i="50"/>
  <c r="FG44" i="50"/>
  <c r="FH44" i="50"/>
  <c r="T17" i="49"/>
  <c r="IK17" i="49"/>
  <c r="IA17" i="49" s="1"/>
  <c r="LD153" i="50"/>
  <c r="AE127" i="48"/>
  <c r="CX153" i="50"/>
  <c r="AD127" i="48" s="1"/>
  <c r="EJ46" i="51"/>
  <c r="ML107" i="50"/>
  <c r="MI107" i="50"/>
  <c r="NM107" i="50" s="1"/>
  <c r="NN107" i="50" s="1"/>
  <c r="HL56" i="49"/>
  <c r="T46" i="48" s="1"/>
  <c r="P46" i="48" s="1"/>
  <c r="HJ56" i="49"/>
  <c r="R46" i="48" s="1"/>
  <c r="N46" i="48" s="1"/>
  <c r="S46" i="48"/>
  <c r="O46" i="48" s="1"/>
  <c r="HM56" i="49"/>
  <c r="U46" i="48" s="1"/>
  <c r="Q46" i="48" s="1"/>
  <c r="KT56" i="49"/>
  <c r="KU56" i="49" s="1"/>
  <c r="LX79" i="50"/>
  <c r="LZ79" i="50" s="1"/>
  <c r="FH45" i="50"/>
  <c r="DZ35" i="51"/>
  <c r="FE45" i="50"/>
  <c r="LA23" i="49"/>
  <c r="LB23" i="49"/>
  <c r="AX10" i="48"/>
  <c r="JM138" i="50"/>
  <c r="IP138" i="50"/>
  <c r="JT138" i="50"/>
  <c r="EF145" i="50"/>
  <c r="BM142" i="48" s="1"/>
  <c r="DZ145" i="50"/>
  <c r="EE145" i="50"/>
  <c r="BL142" i="48" s="1"/>
  <c r="LA20" i="49"/>
  <c r="LB20" i="49"/>
  <c r="K43" i="48"/>
  <c r="KZ53" i="49"/>
  <c r="HU53" i="49"/>
  <c r="M43" i="48" s="1"/>
  <c r="HR53" i="49"/>
  <c r="J43" i="48" s="1"/>
  <c r="HT53" i="49"/>
  <c r="L43" i="48" s="1"/>
  <c r="DZ134" i="50"/>
  <c r="EE134" i="50"/>
  <c r="BL140" i="48" s="1"/>
  <c r="EF134" i="50"/>
  <c r="BM140" i="48" s="1"/>
  <c r="FH108" i="50"/>
  <c r="DZ53" i="51"/>
  <c r="FE108" i="50"/>
  <c r="CN91" i="51"/>
  <c r="CT91" i="51" s="1"/>
  <c r="KS20" i="49"/>
  <c r="D10" i="48"/>
  <c r="AV10" i="48" s="1"/>
  <c r="AZ10" i="48"/>
  <c r="HF40" i="49"/>
  <c r="F30" i="48" s="1"/>
  <c r="BP28" i="50"/>
  <c r="EB17" i="49"/>
  <c r="G17" i="49"/>
  <c r="W61" i="49"/>
  <c r="W58" i="49"/>
  <c r="W33" i="49"/>
  <c r="W52" i="49"/>
  <c r="W37" i="49"/>
  <c r="KK17" i="49"/>
  <c r="HJ35" i="49"/>
  <c r="R25" i="48" s="1"/>
  <c r="N25" i="48" s="1"/>
  <c r="BQ22" i="50"/>
  <c r="KT35" i="49"/>
  <c r="HL35" i="49"/>
  <c r="T25" i="48" s="1"/>
  <c r="P25" i="48" s="1"/>
  <c r="HM35" i="49"/>
  <c r="U25" i="48" s="1"/>
  <c r="Q25" i="48" s="1"/>
  <c r="S25" i="48"/>
  <c r="O25" i="48" s="1"/>
  <c r="ED42" i="51"/>
  <c r="AM97" i="48"/>
  <c r="HB70" i="50"/>
  <c r="AO97" i="48" s="1"/>
  <c r="GY70" i="50"/>
  <c r="AL97" i="48" s="1"/>
  <c r="FB22" i="50"/>
  <c r="IF35" i="49"/>
  <c r="ID35" i="49"/>
  <c r="HS35" i="49"/>
  <c r="KU48" i="49"/>
  <c r="KV48" i="49"/>
  <c r="EJ48" i="51"/>
  <c r="KT24" i="49"/>
  <c r="HM24" i="49"/>
  <c r="U14" i="48" s="1"/>
  <c r="Q14" i="48" s="1"/>
  <c r="HJ24" i="49"/>
  <c r="R14" i="48" s="1"/>
  <c r="N14" i="48" s="1"/>
  <c r="S14" i="48"/>
  <c r="O14" i="48" s="1"/>
  <c r="HL24" i="49"/>
  <c r="T14" i="48" s="1"/>
  <c r="P14" i="48" s="1"/>
  <c r="JT18" i="49"/>
  <c r="AY40" i="48"/>
  <c r="AQ35" i="48"/>
  <c r="KB45" i="49"/>
  <c r="AS35" i="48" s="1"/>
  <c r="KA45" i="49"/>
  <c r="AR35" i="48" s="1"/>
  <c r="K21" i="44" s="1"/>
  <c r="HI46" i="49"/>
  <c r="I36" i="48" s="1"/>
  <c r="HF46" i="49"/>
  <c r="F36" i="48" s="1"/>
  <c r="G36" i="48"/>
  <c r="DP23" i="51"/>
  <c r="KQ46" i="49"/>
  <c r="HH46" i="49"/>
  <c r="H36" i="48" s="1"/>
  <c r="CY69" i="50"/>
  <c r="CY68" i="50"/>
  <c r="CY70" i="50"/>
  <c r="KA27" i="49"/>
  <c r="AR17" i="48" s="1"/>
  <c r="K44" i="44" s="1"/>
  <c r="AQ17" i="48"/>
  <c r="CK46" i="50"/>
  <c r="CK45" i="50"/>
  <c r="CK44" i="50"/>
  <c r="CK107" i="50"/>
  <c r="CK108" i="50"/>
  <c r="MH44" i="50"/>
  <c r="MJ44" i="50" s="1"/>
  <c r="AM96" i="48"/>
  <c r="GY69" i="50"/>
  <c r="AL96" i="48" s="1"/>
  <c r="ED41" i="51"/>
  <c r="HB69" i="50"/>
  <c r="AO96" i="48" s="1"/>
  <c r="AX53" i="48"/>
  <c r="B53" i="48"/>
  <c r="AT53" i="48" s="1"/>
  <c r="AY12" i="48"/>
  <c r="DV63" i="49"/>
  <c r="T22" i="41"/>
  <c r="AB22" i="41" s="1"/>
  <c r="T22" i="43"/>
  <c r="AB22" i="43" s="1"/>
  <c r="T22" i="40"/>
  <c r="AB22" i="40" s="1"/>
  <c r="T22" i="42"/>
  <c r="AB22" i="42" s="1"/>
  <c r="HA68" i="50"/>
  <c r="AN69" i="48" s="1"/>
  <c r="GY68" i="50"/>
  <c r="AL69" i="48" s="1"/>
  <c r="AM69" i="48"/>
  <c r="GX84" i="50"/>
  <c r="HA84" i="50"/>
  <c r="AN74" i="48" s="1"/>
  <c r="GY84" i="50"/>
  <c r="AL74" i="48" s="1"/>
  <c r="AM74" i="48"/>
  <c r="AE68" i="50"/>
  <c r="AE69" i="50"/>
  <c r="CM41" i="51" s="1"/>
  <c r="AE70" i="50"/>
  <c r="CM42" i="51" s="1"/>
  <c r="CK126" i="50"/>
  <c r="CK127" i="50"/>
  <c r="KS24" i="49"/>
  <c r="KR24" i="49"/>
  <c r="BD61" i="49"/>
  <c r="BD17" i="49" s="1"/>
  <c r="BD14" i="49" s="1"/>
  <c r="ES139" i="50"/>
  <c r="BR141" i="48" s="1"/>
  <c r="ET139" i="50"/>
  <c r="BS141" i="48" s="1"/>
  <c r="EN139" i="50"/>
  <c r="HM25" i="49"/>
  <c r="U15" i="48" s="1"/>
  <c r="Q15" i="48" s="1"/>
  <c r="HJ25" i="49"/>
  <c r="R15" i="48" s="1"/>
  <c r="N15" i="48" s="1"/>
  <c r="S15" i="48"/>
  <c r="O15" i="48" s="1"/>
  <c r="KT25" i="49"/>
  <c r="HL25" i="49"/>
  <c r="T15" i="48" s="1"/>
  <c r="P15" i="48" s="1"/>
  <c r="ID47" i="49"/>
  <c r="IF47" i="49"/>
  <c r="HS47" i="49"/>
  <c r="E10" i="48"/>
  <c r="AW10" i="48" s="1"/>
  <c r="BA10" i="48"/>
  <c r="ED46" i="51"/>
  <c r="GX85" i="50"/>
  <c r="HB85" i="50"/>
  <c r="AO89" i="48" s="1"/>
  <c r="GY85" i="50"/>
  <c r="AL89" i="48" s="1"/>
  <c r="AM89" i="48"/>
  <c r="KU23" i="49"/>
  <c r="KV23" i="49"/>
  <c r="BA14" i="48"/>
  <c r="E14" i="48"/>
  <c r="AW14" i="48" s="1"/>
  <c r="KU50" i="49"/>
  <c r="KV50" i="49"/>
  <c r="AE83" i="50"/>
  <c r="AE85" i="50"/>
  <c r="CM46" i="51" s="1"/>
  <c r="K139" i="50"/>
  <c r="H139" i="50" s="1"/>
  <c r="G139" i="50" s="1"/>
  <c r="AE84" i="50"/>
  <c r="AE74" i="48"/>
  <c r="AA74" i="48" s="1"/>
  <c r="CZ84" i="50"/>
  <c r="AF74" i="48" s="1"/>
  <c r="AB74" i="48" s="1"/>
  <c r="LD84" i="50"/>
  <c r="CX84" i="50"/>
  <c r="AD74" i="48" s="1"/>
  <c r="Z74" i="48" s="1"/>
  <c r="IV46" i="50"/>
  <c r="AP78" i="48" s="1"/>
  <c r="JD46" i="50"/>
  <c r="JB46" i="50"/>
  <c r="JC46" i="50"/>
  <c r="IX46" i="50"/>
  <c r="AR78" i="48" s="1"/>
  <c r="AQ78" i="48"/>
  <c r="GY64" i="50"/>
  <c r="AL95" i="48" s="1"/>
  <c r="ED40" i="51"/>
  <c r="HB64" i="50"/>
  <c r="AO95" i="48" s="1"/>
  <c r="AM95" i="48"/>
  <c r="C14" i="48"/>
  <c r="AU14" i="48" s="1"/>
  <c r="AY14" i="48"/>
  <c r="FB27" i="50"/>
  <c r="ID39" i="49"/>
  <c r="IF39" i="49"/>
  <c r="HS39" i="49"/>
  <c r="M45" i="49"/>
  <c r="HG47" i="49"/>
  <c r="CX85" i="50"/>
  <c r="AD89" i="48" s="1"/>
  <c r="Z89" i="48" s="1"/>
  <c r="DA85" i="50"/>
  <c r="AG89" i="48" s="1"/>
  <c r="AE89" i="48"/>
  <c r="AA89" i="48" s="1"/>
  <c r="LD85" i="50"/>
  <c r="LG85" i="50" s="1"/>
  <c r="AY21" i="48"/>
  <c r="IQ138" i="50"/>
  <c r="JN138" i="50"/>
  <c r="JV138" i="50"/>
  <c r="HL28" i="49"/>
  <c r="T18" i="48" s="1"/>
  <c r="P18" i="48" s="1"/>
  <c r="HM28" i="49"/>
  <c r="U18" i="48" s="1"/>
  <c r="Q18" i="48" s="1"/>
  <c r="KT28" i="49"/>
  <c r="S18" i="48"/>
  <c r="O18" i="48" s="1"/>
  <c r="HJ28" i="49"/>
  <c r="R18" i="48" s="1"/>
  <c r="N18" i="48" s="1"/>
  <c r="HT45" i="49"/>
  <c r="L35" i="48" s="1"/>
  <c r="K35" i="48"/>
  <c r="HU45" i="49"/>
  <c r="M35" i="48" s="1"/>
  <c r="GZ59" i="50"/>
  <c r="HA59" i="50" s="1"/>
  <c r="AN67" i="48" s="1"/>
  <c r="J51" i="44" s="1"/>
  <c r="AM68" i="48"/>
  <c r="HA63" i="50"/>
  <c r="AN68" i="48" s="1"/>
  <c r="GY63" i="50"/>
  <c r="AL68" i="48" s="1"/>
  <c r="LA24" i="49"/>
  <c r="LB24" i="49"/>
  <c r="KU20" i="49"/>
  <c r="KV20" i="49"/>
  <c r="KV41" i="49"/>
  <c r="KU41" i="49"/>
  <c r="O42" i="37"/>
  <c r="O43" i="37"/>
  <c r="AX55" i="48"/>
  <c r="GY117" i="50"/>
  <c r="HD117" i="50"/>
  <c r="BT134" i="48" s="1"/>
  <c r="GX117" i="50"/>
  <c r="GX116" i="50" s="1"/>
  <c r="HE117" i="50"/>
  <c r="BU134" i="48" s="1"/>
  <c r="HC117" i="50"/>
  <c r="CY90" i="50"/>
  <c r="CY89" i="50"/>
  <c r="IF29" i="49"/>
  <c r="ID29" i="49"/>
  <c r="DZ18" i="51"/>
  <c r="HS29" i="49"/>
  <c r="KX42" i="49"/>
  <c r="KY42" i="49"/>
  <c r="M37" i="49"/>
  <c r="HG39" i="49"/>
  <c r="CX83" i="50"/>
  <c r="AD73" i="48" s="1"/>
  <c r="Z73" i="48" s="1"/>
  <c r="AE73" i="48"/>
  <c r="AA73" i="48" s="1"/>
  <c r="CZ83" i="50"/>
  <c r="AF73" i="48" s="1"/>
  <c r="AB73" i="48" s="1"/>
  <c r="DB83" i="50"/>
  <c r="DB139" i="50" s="1"/>
  <c r="CY139" i="50" s="1"/>
  <c r="LD83" i="50"/>
  <c r="LF83" i="50" s="1"/>
  <c r="D45" i="48"/>
  <c r="AV45" i="48" s="1"/>
  <c r="AZ45" i="48"/>
  <c r="EH73" i="49"/>
  <c r="HK75" i="49"/>
  <c r="LE122" i="50"/>
  <c r="NA122" i="50" s="1"/>
  <c r="NB122" i="50" s="1"/>
  <c r="LH122" i="50"/>
  <c r="DC17" i="49"/>
  <c r="DF17" i="49"/>
  <c r="DX17" i="49"/>
  <c r="KS62" i="49"/>
  <c r="KJ122" i="50"/>
  <c r="BZ122" i="50"/>
  <c r="BV122" i="50"/>
  <c r="CB122" i="50"/>
  <c r="BE135" i="48" s="1"/>
  <c r="CA122" i="50"/>
  <c r="BD135" i="48" s="1"/>
  <c r="GS62" i="10" l="1"/>
  <c r="GU62" i="10" s="1"/>
  <c r="BS33" i="14"/>
  <c r="DM122" i="14" s="1"/>
  <c r="DQ26" i="11"/>
  <c r="DK62" i="10"/>
  <c r="DN62" i="10"/>
  <c r="HG27" i="49"/>
  <c r="GM89" i="51"/>
  <c r="AW113" i="50"/>
  <c r="AW108" i="50"/>
  <c r="CM47" i="51"/>
  <c r="HD145" i="14"/>
  <c r="BT142" i="18" s="1"/>
  <c r="G30" i="48"/>
  <c r="EH17" i="49"/>
  <c r="HK17" i="49" s="1"/>
  <c r="BO113" i="14"/>
  <c r="JF113" i="14" s="1"/>
  <c r="AA68" i="18"/>
  <c r="GT25" i="10"/>
  <c r="GU25" i="10"/>
  <c r="HH40" i="49"/>
  <c r="H30" i="48" s="1"/>
  <c r="FF89" i="50"/>
  <c r="FF90" i="50"/>
  <c r="D14" i="48"/>
  <c r="AV14" i="48" s="1"/>
  <c r="AC89" i="48"/>
  <c r="B40" i="48"/>
  <c r="AT40" i="48" s="1"/>
  <c r="AE122" i="14"/>
  <c r="K122" i="14"/>
  <c r="BS28" i="50"/>
  <c r="HR40" i="49"/>
  <c r="J30" i="48" s="1"/>
  <c r="HT40" i="49"/>
  <c r="L30" i="48" s="1"/>
  <c r="KZ40" i="49"/>
  <c r="K30" i="48"/>
  <c r="C30" i="48" s="1"/>
  <c r="AU30" i="48" s="1"/>
  <c r="HU40" i="49"/>
  <c r="M30" i="48" s="1"/>
  <c r="FE122" i="14"/>
  <c r="FJ122" i="14" s="1"/>
  <c r="FK122" i="14"/>
  <c r="FI122" i="14"/>
  <c r="HI40" i="49"/>
  <c r="I30" i="48" s="1"/>
  <c r="P72" i="18"/>
  <c r="GY145" i="14"/>
  <c r="KZ50" i="49"/>
  <c r="HU50" i="49"/>
  <c r="M40" i="48" s="1"/>
  <c r="E40" i="48" s="1"/>
  <c r="AW40" i="48" s="1"/>
  <c r="K40" i="48"/>
  <c r="C40" i="48" s="1"/>
  <c r="AU40" i="48" s="1"/>
  <c r="HR50" i="49"/>
  <c r="J40" i="48" s="1"/>
  <c r="HT50" i="49"/>
  <c r="L40" i="48" s="1"/>
  <c r="D40" i="48" s="1"/>
  <c r="AV40" i="48" s="1"/>
  <c r="AC97" i="18"/>
  <c r="DN59" i="10"/>
  <c r="M49" i="18" s="1"/>
  <c r="E49" i="18" s="1"/>
  <c r="AW49" i="18" s="1"/>
  <c r="DM59" i="10"/>
  <c r="L49" i="18" s="1"/>
  <c r="D49" i="18" s="1"/>
  <c r="AV49" i="18" s="1"/>
  <c r="GS59" i="10"/>
  <c r="K49" i="18"/>
  <c r="C49" i="18" s="1"/>
  <c r="AU49" i="18" s="1"/>
  <c r="DK59" i="10"/>
  <c r="J49" i="18" s="1"/>
  <c r="B49" i="18" s="1"/>
  <c r="AT49" i="18" s="1"/>
  <c r="GM91" i="51"/>
  <c r="GI79" i="51"/>
  <c r="FR79" i="51" s="1"/>
  <c r="FP79" i="51" s="1"/>
  <c r="EW79" i="51" s="1"/>
  <c r="N15" i="37"/>
  <c r="K15" i="37" s="1"/>
  <c r="M15" i="37" s="1"/>
  <c r="GM79" i="51"/>
  <c r="GM91" i="11"/>
  <c r="GI91" i="11"/>
  <c r="HA97" i="14"/>
  <c r="AN77" i="18" s="1"/>
  <c r="GX97" i="14"/>
  <c r="GY97" i="14"/>
  <c r="AL77" i="18" s="1"/>
  <c r="HC97" i="14"/>
  <c r="AM77" i="18"/>
  <c r="B10" i="48"/>
  <c r="AT10" i="48" s="1"/>
  <c r="N11" i="37"/>
  <c r="K11" i="37" s="1"/>
  <c r="GM77" i="51"/>
  <c r="FF98" i="14"/>
  <c r="FF97" i="14"/>
  <c r="BW98" i="14"/>
  <c r="BW97" i="14"/>
  <c r="BA32" i="18"/>
  <c r="AX32" i="18"/>
  <c r="DM42" i="10"/>
  <c r="L32" i="18" s="1"/>
  <c r="BS30" i="14"/>
  <c r="GS42" i="10"/>
  <c r="K32" i="18"/>
  <c r="C32" i="18" s="1"/>
  <c r="AU32" i="18" s="1"/>
  <c r="DK42" i="10"/>
  <c r="J32" i="18" s="1"/>
  <c r="B32" i="18" s="1"/>
  <c r="AT32" i="18" s="1"/>
  <c r="DN42" i="10"/>
  <c r="M32" i="18" s="1"/>
  <c r="E32" i="18" s="1"/>
  <c r="AW32" i="18" s="1"/>
  <c r="GK42" i="10"/>
  <c r="GL42" i="10"/>
  <c r="KB75" i="49"/>
  <c r="JY75" i="49"/>
  <c r="IQ144" i="50"/>
  <c r="AY10" i="48"/>
  <c r="JV144" i="50"/>
  <c r="AA96" i="18"/>
  <c r="AC96" i="18"/>
  <c r="GM75" i="11"/>
  <c r="GI75" i="11"/>
  <c r="GI81" i="11"/>
  <c r="FR81" i="11" s="1"/>
  <c r="FP81" i="11" s="1"/>
  <c r="EW81" i="11" s="1"/>
  <c r="GM81" i="11"/>
  <c r="AT46" i="44"/>
  <c r="AW46" i="44"/>
  <c r="BC46" i="44"/>
  <c r="AQ46" i="44"/>
  <c r="AZ46" i="44"/>
  <c r="EJ36" i="11"/>
  <c r="B14" i="48"/>
  <c r="AT14" i="48" s="1"/>
  <c r="GI87" i="11"/>
  <c r="FR87" i="11" s="1"/>
  <c r="FP87" i="11" s="1"/>
  <c r="EW87" i="11" s="1"/>
  <c r="FO87" i="11" s="1"/>
  <c r="GM87" i="11"/>
  <c r="GI89" i="11"/>
  <c r="GM89" i="11"/>
  <c r="N16" i="37"/>
  <c r="K16" i="37" s="1"/>
  <c r="JS17" i="49"/>
  <c r="AZ32" i="18"/>
  <c r="D32" i="18"/>
  <c r="AV32" i="18" s="1"/>
  <c r="GI91" i="51"/>
  <c r="DB14" i="49"/>
  <c r="GI79" i="11"/>
  <c r="GM79" i="11"/>
  <c r="IV75" i="14"/>
  <c r="AP71" i="18" s="1"/>
  <c r="GM77" i="11"/>
  <c r="GI77" i="11"/>
  <c r="FR77" i="11" s="1"/>
  <c r="FP77" i="11" s="1"/>
  <c r="EW77" i="11" s="1"/>
  <c r="FO77" i="11" s="1"/>
  <c r="ED49" i="11"/>
  <c r="AM92" i="18"/>
  <c r="GY98" i="14"/>
  <c r="AL92" i="18" s="1"/>
  <c r="GX98" i="14"/>
  <c r="HB98" i="14"/>
  <c r="AO92" i="18" s="1"/>
  <c r="GZ75" i="14"/>
  <c r="HA75" i="14" s="1"/>
  <c r="AN71" i="18" s="1"/>
  <c r="CV64" i="11"/>
  <c r="CV65" i="11"/>
  <c r="F11" i="11"/>
  <c r="G11" i="11" s="1"/>
  <c r="E12" i="11"/>
  <c r="E11" i="11" s="1"/>
  <c r="CH62" i="11"/>
  <c r="GI77" i="51"/>
  <c r="FR77" i="51" s="1"/>
  <c r="FP77" i="51" s="1"/>
  <c r="EW77" i="51" s="1"/>
  <c r="FO77" i="51" s="1"/>
  <c r="IR144" i="50"/>
  <c r="IO138" i="14"/>
  <c r="JO144" i="50"/>
  <c r="GG139" i="50"/>
  <c r="GL139" i="50" s="1"/>
  <c r="GM139" i="50"/>
  <c r="Z97" i="18"/>
  <c r="BR75" i="11"/>
  <c r="BR62" i="11" s="1"/>
  <c r="Z62" i="11" s="1"/>
  <c r="BW117" i="50"/>
  <c r="FY139" i="50"/>
  <c r="FS139" i="50"/>
  <c r="FX139" i="50" s="1"/>
  <c r="F52" i="11"/>
  <c r="G52" i="11" s="1"/>
  <c r="E52" i="11"/>
  <c r="Z76" i="18"/>
  <c r="Z91" i="18"/>
  <c r="HU107" i="14"/>
  <c r="HZ107" i="14" s="1"/>
  <c r="II107" i="14"/>
  <c r="HG108" i="14"/>
  <c r="HK107" i="14"/>
  <c r="BT132" i="18" s="1"/>
  <c r="N90" i="18"/>
  <c r="BO108" i="14"/>
  <c r="JF108" i="14" s="1"/>
  <c r="HF107" i="14"/>
  <c r="O90" i="18"/>
  <c r="HL107" i="14"/>
  <c r="BU132" i="18" s="1"/>
  <c r="GM81" i="51"/>
  <c r="CH87" i="51"/>
  <c r="BR87" i="51" s="1"/>
  <c r="CH91" i="51"/>
  <c r="CH89" i="51"/>
  <c r="BR89" i="51" s="1"/>
  <c r="GY75" i="14"/>
  <c r="AL71" i="18" s="1"/>
  <c r="HM134" i="14"/>
  <c r="HR134" i="14"/>
  <c r="HS134" i="14"/>
  <c r="GG134" i="14"/>
  <c r="GL134" i="14" s="1"/>
  <c r="GM134" i="14"/>
  <c r="AB76" i="18"/>
  <c r="O75" i="18"/>
  <c r="Q90" i="18"/>
  <c r="EJ45" i="11"/>
  <c r="JM133" i="14"/>
  <c r="IP133" i="14"/>
  <c r="JT133" i="14"/>
  <c r="AA69" i="18"/>
  <c r="EJ42" i="11"/>
  <c r="FY134" i="14"/>
  <c r="FS134" i="14"/>
  <c r="FX134" i="14" s="1"/>
  <c r="JY133" i="14"/>
  <c r="JO133" i="14"/>
  <c r="IR133" i="14"/>
  <c r="IF134" i="14"/>
  <c r="IG134" i="14"/>
  <c r="IA134" i="14"/>
  <c r="JV133" i="14"/>
  <c r="JN133" i="14"/>
  <c r="IQ133" i="14"/>
  <c r="CH75" i="51"/>
  <c r="CI62" i="51"/>
  <c r="F53" i="51" s="1"/>
  <c r="CH77" i="51"/>
  <c r="BR77" i="51" s="1"/>
  <c r="CJ62" i="51"/>
  <c r="F54" i="51" s="1"/>
  <c r="E54" i="51" s="1"/>
  <c r="FY134" i="50"/>
  <c r="FS134" i="50"/>
  <c r="FX134" i="50" s="1"/>
  <c r="BW46" i="50"/>
  <c r="HS134" i="50"/>
  <c r="HM134" i="50"/>
  <c r="HR134" i="50"/>
  <c r="BW44" i="50"/>
  <c r="G63" i="48" s="1"/>
  <c r="CH81" i="51"/>
  <c r="BR81" i="51" s="1"/>
  <c r="BW108" i="50"/>
  <c r="GI81" i="51"/>
  <c r="FR81" i="51" s="1"/>
  <c r="FP81" i="51" s="1"/>
  <c r="EW81" i="51" s="1"/>
  <c r="FO81" i="51" s="1"/>
  <c r="CH79" i="51"/>
  <c r="BR79" i="51" s="1"/>
  <c r="BW45" i="50"/>
  <c r="DP35" i="51" s="1"/>
  <c r="IG134" i="50"/>
  <c r="IF134" i="50"/>
  <c r="IA134" i="50"/>
  <c r="CK62" i="51"/>
  <c r="F55" i="51" s="1"/>
  <c r="E55" i="51" s="1"/>
  <c r="GM75" i="51"/>
  <c r="GM134" i="50"/>
  <c r="GG134" i="50"/>
  <c r="GL134" i="50" s="1"/>
  <c r="GI75" i="51"/>
  <c r="FR75" i="51" s="1"/>
  <c r="FP75" i="51" s="1"/>
  <c r="EW75" i="51" s="1"/>
  <c r="FO75" i="51" s="1"/>
  <c r="CK50" i="50"/>
  <c r="CM50" i="50" s="1"/>
  <c r="U84" i="48" s="1"/>
  <c r="Q84" i="48" s="1"/>
  <c r="GX96" i="50"/>
  <c r="BJ14" i="10"/>
  <c r="CA17" i="10"/>
  <c r="CA14" i="10" s="1"/>
  <c r="GX125" i="14"/>
  <c r="DK49" i="10"/>
  <c r="J39" i="18" s="1"/>
  <c r="B39" i="18" s="1"/>
  <c r="AT39" i="18" s="1"/>
  <c r="DN49" i="10"/>
  <c r="M39" i="18" s="1"/>
  <c r="E39" i="18" s="1"/>
  <c r="AW39" i="18" s="1"/>
  <c r="K39" i="18"/>
  <c r="C39" i="18" s="1"/>
  <c r="AU39" i="18" s="1"/>
  <c r="GS49" i="10"/>
  <c r="DM49" i="10"/>
  <c r="L39" i="18" s="1"/>
  <c r="D39" i="18" s="1"/>
  <c r="AV39" i="18" s="1"/>
  <c r="BJ89" i="11"/>
  <c r="AZ89" i="11" s="1"/>
  <c r="BA89" i="11" s="1"/>
  <c r="AX89" i="11" s="1"/>
  <c r="GJ33" i="10"/>
  <c r="DZ145" i="14"/>
  <c r="EF145" i="14"/>
  <c r="BM142" i="18" s="1"/>
  <c r="EE145" i="14"/>
  <c r="BL142" i="18" s="1"/>
  <c r="GT24" i="10"/>
  <c r="GU24" i="10"/>
  <c r="AA91" i="18"/>
  <c r="HU112" i="14"/>
  <c r="HY112" i="14" s="1"/>
  <c r="HG113" i="14"/>
  <c r="II112" i="14"/>
  <c r="HG112" i="14"/>
  <c r="LE112" i="14"/>
  <c r="NA112" i="14" s="1"/>
  <c r="NB112" i="14" s="1"/>
  <c r="LH112" i="14"/>
  <c r="GS47" i="10"/>
  <c r="DN47" i="10"/>
  <c r="M37" i="18" s="1"/>
  <c r="E37" i="18" s="1"/>
  <c r="AW37" i="18" s="1"/>
  <c r="K37" i="18"/>
  <c r="C37" i="18" s="1"/>
  <c r="AU37" i="18" s="1"/>
  <c r="DM47" i="10"/>
  <c r="L37" i="18" s="1"/>
  <c r="DK47" i="10"/>
  <c r="J37" i="18" s="1"/>
  <c r="B37" i="18" s="1"/>
  <c r="AT37" i="18" s="1"/>
  <c r="D37" i="18"/>
  <c r="AV37" i="18" s="1"/>
  <c r="AZ37" i="18"/>
  <c r="JN144" i="14"/>
  <c r="IQ144" i="14"/>
  <c r="JV144" i="14"/>
  <c r="EJ48" i="11"/>
  <c r="BL62" i="11"/>
  <c r="AX37" i="18"/>
  <c r="JT144" i="14"/>
  <c r="JM144" i="14"/>
  <c r="IP144" i="14"/>
  <c r="AY37" i="18"/>
  <c r="DN23" i="10"/>
  <c r="M13" i="18" s="1"/>
  <c r="K13" i="18"/>
  <c r="DQ14" i="11"/>
  <c r="BS17" i="14"/>
  <c r="DK23" i="10"/>
  <c r="J13" i="18" s="1"/>
  <c r="B13" i="18" s="1"/>
  <c r="AT13" i="18" s="1"/>
  <c r="DM23" i="10"/>
  <c r="L13" i="18" s="1"/>
  <c r="D13" i="18" s="1"/>
  <c r="AV13" i="18" s="1"/>
  <c r="GS23" i="10"/>
  <c r="LN113" i="14"/>
  <c r="LQ113" i="14" s="1"/>
  <c r="DL113" i="14"/>
  <c r="DO113" i="14"/>
  <c r="DQ54" i="11"/>
  <c r="EI18" i="10"/>
  <c r="DN63" i="10"/>
  <c r="DQ27" i="11"/>
  <c r="GS63" i="10"/>
  <c r="DK63" i="10"/>
  <c r="FE93" i="14"/>
  <c r="FI93" i="14"/>
  <c r="FG93" i="14"/>
  <c r="GK47" i="10"/>
  <c r="GL47" i="10"/>
  <c r="AA76" i="18"/>
  <c r="FF126" i="14"/>
  <c r="FF127" i="14"/>
  <c r="LN55" i="14"/>
  <c r="LQ55" i="14" s="1"/>
  <c r="DQ37" i="11"/>
  <c r="DL55" i="14"/>
  <c r="J85" i="18" s="1"/>
  <c r="K85" i="18"/>
  <c r="DO55" i="14"/>
  <c r="M85" i="18" s="1"/>
  <c r="EJ47" i="11"/>
  <c r="BN142" i="18"/>
  <c r="FE94" i="14"/>
  <c r="FH94" i="14"/>
  <c r="DZ48" i="11"/>
  <c r="BA37" i="18"/>
  <c r="DN35" i="10"/>
  <c r="M25" i="18" s="1"/>
  <c r="E25" i="18" s="1"/>
  <c r="AW25" i="18" s="1"/>
  <c r="DM35" i="10"/>
  <c r="L25" i="18" s="1"/>
  <c r="GS35" i="10"/>
  <c r="K25" i="18"/>
  <c r="DK35" i="10"/>
  <c r="J25" i="18" s="1"/>
  <c r="BS22" i="14"/>
  <c r="EJ40" i="11"/>
  <c r="LN54" i="14"/>
  <c r="LP54" i="14" s="1"/>
  <c r="DL54" i="14"/>
  <c r="J65" i="18" s="1"/>
  <c r="K65" i="18"/>
  <c r="DN54" i="14"/>
  <c r="L65" i="18" s="1"/>
  <c r="DO54" i="14"/>
  <c r="M65" i="18" s="1"/>
  <c r="AX46" i="18"/>
  <c r="BJ75" i="11"/>
  <c r="CN75" i="11" s="1"/>
  <c r="CT75" i="11" s="1"/>
  <c r="BK62" i="11"/>
  <c r="FR75" i="11"/>
  <c r="FP75" i="11" s="1"/>
  <c r="EW75" i="11" s="1"/>
  <c r="BA36" i="18"/>
  <c r="DR112" i="14"/>
  <c r="DQ112" i="14"/>
  <c r="DP112" i="14"/>
  <c r="LN112" i="14"/>
  <c r="DL112" i="14"/>
  <c r="BJ81" i="11"/>
  <c r="AZ81" i="11" s="1"/>
  <c r="BA81" i="11" s="1"/>
  <c r="AX81" i="11" s="1"/>
  <c r="GU28" i="10"/>
  <c r="GT28" i="10"/>
  <c r="GL46" i="10"/>
  <c r="GK46" i="10"/>
  <c r="FF70" i="14"/>
  <c r="FF68" i="14"/>
  <c r="FF69" i="14"/>
  <c r="BA46" i="18"/>
  <c r="BJ87" i="11"/>
  <c r="AZ87" i="11" s="1"/>
  <c r="BA87" i="11" s="1"/>
  <c r="AX87" i="11" s="1"/>
  <c r="FE154" i="14"/>
  <c r="FG154" i="14"/>
  <c r="AY36" i="18"/>
  <c r="GX92" i="14"/>
  <c r="AZ46" i="18"/>
  <c r="GX106" i="14"/>
  <c r="GX102" i="14" s="1"/>
  <c r="K36" i="18"/>
  <c r="C36" i="18" s="1"/>
  <c r="AU36" i="18" s="1"/>
  <c r="DN46" i="10"/>
  <c r="M36" i="18" s="1"/>
  <c r="E36" i="18" s="1"/>
  <c r="AW36" i="18" s="1"/>
  <c r="DK46" i="10"/>
  <c r="J36" i="18" s="1"/>
  <c r="B36" i="18" s="1"/>
  <c r="AT36" i="18" s="1"/>
  <c r="DQ23" i="11"/>
  <c r="DM46" i="10"/>
  <c r="L36" i="18" s="1"/>
  <c r="D36" i="18" s="1"/>
  <c r="AV36" i="18" s="1"/>
  <c r="GS46" i="10"/>
  <c r="FE155" i="14"/>
  <c r="FH155" i="14"/>
  <c r="DZ50" i="11"/>
  <c r="AM97" i="18"/>
  <c r="HB70" i="14"/>
  <c r="AO97" i="18" s="1"/>
  <c r="ED42" i="11"/>
  <c r="GY70" i="14"/>
  <c r="AL97" i="18" s="1"/>
  <c r="AY46" i="18"/>
  <c r="BA31" i="18"/>
  <c r="E31" i="18"/>
  <c r="AW31" i="18" s="1"/>
  <c r="BJ79" i="11"/>
  <c r="AZ79" i="11" s="1"/>
  <c r="BA79" i="11" s="1"/>
  <c r="AX79" i="11" s="1"/>
  <c r="FR79" i="11"/>
  <c r="FP79" i="11" s="1"/>
  <c r="EW79" i="11" s="1"/>
  <c r="AZ36" i="18"/>
  <c r="GY68" i="14"/>
  <c r="AL69" i="18" s="1"/>
  <c r="AM69" i="18"/>
  <c r="HA68" i="14"/>
  <c r="AN69" i="18" s="1"/>
  <c r="AZ31" i="18"/>
  <c r="D31" i="18"/>
  <c r="AV31" i="18" s="1"/>
  <c r="BJ77" i="11"/>
  <c r="AZ77" i="11" s="1"/>
  <c r="BA77" i="11" s="1"/>
  <c r="AX77" i="11" s="1"/>
  <c r="HB69" i="14"/>
  <c r="AO96" i="18" s="1"/>
  <c r="GY69" i="14"/>
  <c r="AL96" i="18" s="1"/>
  <c r="ED41" i="11"/>
  <c r="AM96" i="18"/>
  <c r="DM153" i="14"/>
  <c r="DM154" i="14"/>
  <c r="DM155" i="14"/>
  <c r="EL89" i="11"/>
  <c r="FH89" i="11" s="1"/>
  <c r="FG89" i="11" s="1"/>
  <c r="ET89" i="11" s="1"/>
  <c r="FF89" i="11" s="1"/>
  <c r="GX131" i="14"/>
  <c r="B31" i="18"/>
  <c r="AT31" i="18" s="1"/>
  <c r="AX31" i="18"/>
  <c r="BJ91" i="11"/>
  <c r="AZ91" i="11" s="1"/>
  <c r="BA91" i="11" s="1"/>
  <c r="AX91" i="11" s="1"/>
  <c r="GT41" i="10"/>
  <c r="GU41" i="10"/>
  <c r="AE126" i="14"/>
  <c r="AE127" i="14"/>
  <c r="BW93" i="14"/>
  <c r="BW94" i="14"/>
  <c r="GS56" i="10"/>
  <c r="GT56" i="10" s="1"/>
  <c r="DN56" i="10"/>
  <c r="M46" i="18" s="1"/>
  <c r="E46" i="18" s="1"/>
  <c r="AW46" i="18" s="1"/>
  <c r="K46" i="18"/>
  <c r="C46" i="18" s="1"/>
  <c r="AU46" i="18" s="1"/>
  <c r="DM56" i="10"/>
  <c r="L46" i="18" s="1"/>
  <c r="D46" i="18" s="1"/>
  <c r="AV46" i="18" s="1"/>
  <c r="DK56" i="10"/>
  <c r="J46" i="18" s="1"/>
  <c r="B46" i="18" s="1"/>
  <c r="AT46" i="18" s="1"/>
  <c r="JY144" i="14"/>
  <c r="IR144" i="14"/>
  <c r="JO144" i="14"/>
  <c r="JF107" i="14"/>
  <c r="GK41" i="10"/>
  <c r="GL41" i="10"/>
  <c r="AX36" i="18"/>
  <c r="EJ41" i="11"/>
  <c r="DM29" i="10"/>
  <c r="L19" i="18" s="1"/>
  <c r="D19" i="18" s="1"/>
  <c r="AV19" i="18" s="1"/>
  <c r="GS29" i="10"/>
  <c r="K19" i="18"/>
  <c r="C19" i="18" s="1"/>
  <c r="AU19" i="18" s="1"/>
  <c r="DK29" i="10"/>
  <c r="J19" i="18" s="1"/>
  <c r="B19" i="18" s="1"/>
  <c r="AT19" i="18" s="1"/>
  <c r="DQ18" i="11"/>
  <c r="DN29" i="10"/>
  <c r="M19" i="18" s="1"/>
  <c r="E19" i="18" s="1"/>
  <c r="AW19" i="18" s="1"/>
  <c r="CP145" i="14"/>
  <c r="BK142" i="18" s="1"/>
  <c r="CO145" i="14"/>
  <c r="CJ145" i="14"/>
  <c r="JR138" i="14"/>
  <c r="JQ138" i="14" s="1"/>
  <c r="AY31" i="18"/>
  <c r="C31" i="18"/>
  <c r="AU31" i="18" s="1"/>
  <c r="DM93" i="14"/>
  <c r="DM94" i="14"/>
  <c r="JK138" i="14"/>
  <c r="GL62" i="10"/>
  <c r="GJ61" i="10"/>
  <c r="LY107" i="14"/>
  <c r="NI107" i="14" s="1"/>
  <c r="NJ107" i="14" s="1"/>
  <c r="MB107" i="14"/>
  <c r="AX90" i="18"/>
  <c r="BA129" i="18"/>
  <c r="AZ128" i="18"/>
  <c r="CZ44" i="14"/>
  <c r="AF63" i="18" s="1"/>
  <c r="AB63" i="18" s="1"/>
  <c r="DA44" i="14"/>
  <c r="AG63" i="18" s="1"/>
  <c r="AC63" i="18" s="1"/>
  <c r="LD44" i="14"/>
  <c r="LF44" i="14" s="1"/>
  <c r="CX44" i="14"/>
  <c r="AD63" i="18" s="1"/>
  <c r="Z63" i="18" s="1"/>
  <c r="AE63" i="18"/>
  <c r="AA63" i="18" s="1"/>
  <c r="BW45" i="14"/>
  <c r="BW107" i="14"/>
  <c r="BW46" i="14"/>
  <c r="BW108" i="14"/>
  <c r="BW44" i="14"/>
  <c r="KJ55" i="14"/>
  <c r="KM55" i="14" s="1"/>
  <c r="BY55" i="14"/>
  <c r="I85" i="18" s="1"/>
  <c r="BV55" i="14"/>
  <c r="F85" i="18" s="1"/>
  <c r="DP37" i="11"/>
  <c r="G85" i="18"/>
  <c r="AY20" i="18"/>
  <c r="BA90" i="18"/>
  <c r="AY129" i="18"/>
  <c r="AX127" i="18"/>
  <c r="LD108" i="14"/>
  <c r="LG108" i="14" s="1"/>
  <c r="CX108" i="14"/>
  <c r="DA108" i="14"/>
  <c r="AX10" i="18"/>
  <c r="BV112" i="14"/>
  <c r="CA112" i="14"/>
  <c r="NQ112" i="14" s="1"/>
  <c r="CB112" i="14"/>
  <c r="BZ112" i="14"/>
  <c r="KJ112" i="14"/>
  <c r="AZ20" i="18"/>
  <c r="CA122" i="14"/>
  <c r="KJ122" i="14"/>
  <c r="CB122" i="14"/>
  <c r="BE135" i="18" s="1"/>
  <c r="BZ122" i="14"/>
  <c r="BV122" i="14"/>
  <c r="FE145" i="14"/>
  <c r="FJ145" i="14" s="1"/>
  <c r="FK145" i="14"/>
  <c r="FL18" i="10"/>
  <c r="FR17" i="10"/>
  <c r="AY128" i="18"/>
  <c r="BD141" i="18"/>
  <c r="LD107" i="14"/>
  <c r="DC107" i="14"/>
  <c r="NS107" i="14" s="1"/>
  <c r="DB107" i="14"/>
  <c r="CX107" i="14"/>
  <c r="DD107" i="14"/>
  <c r="BA10" i="18"/>
  <c r="HT112" i="14"/>
  <c r="HX112" i="14"/>
  <c r="GL30" i="10"/>
  <c r="GK30" i="10"/>
  <c r="GU48" i="10"/>
  <c r="GT48" i="10"/>
  <c r="AY90" i="18"/>
  <c r="AX128" i="18"/>
  <c r="AY127" i="18"/>
  <c r="AE78" i="18"/>
  <c r="AA78" i="18" s="1"/>
  <c r="CZ46" i="14"/>
  <c r="AF78" i="18" s="1"/>
  <c r="AB78" i="18" s="1"/>
  <c r="CX46" i="14"/>
  <c r="AD78" i="18" s="1"/>
  <c r="Z78" i="18" s="1"/>
  <c r="AY10" i="18"/>
  <c r="BY113" i="14"/>
  <c r="DP54" i="11"/>
  <c r="KJ113" i="14"/>
  <c r="KM113" i="14" s="1"/>
  <c r="BV113" i="14"/>
  <c r="DA27" i="10"/>
  <c r="H17" i="18" s="1"/>
  <c r="D17" i="18" s="1"/>
  <c r="G17" i="18"/>
  <c r="C17" i="18" s="1"/>
  <c r="IN107" i="14"/>
  <c r="IH107" i="14"/>
  <c r="IL107" i="14"/>
  <c r="IM107" i="14"/>
  <c r="EJ35" i="11"/>
  <c r="CX45" i="14"/>
  <c r="AD83" i="18" s="1"/>
  <c r="Z83" i="18" s="1"/>
  <c r="DA45" i="14"/>
  <c r="AG83" i="18" s="1"/>
  <c r="AC83" i="18" s="1"/>
  <c r="LD45" i="14"/>
  <c r="LG45" i="14" s="1"/>
  <c r="AE83" i="18"/>
  <c r="AA83" i="18" s="1"/>
  <c r="AX20" i="18"/>
  <c r="BZ117" i="14"/>
  <c r="CA117" i="14"/>
  <c r="KJ117" i="14"/>
  <c r="BV117" i="14"/>
  <c r="CB117" i="14"/>
  <c r="BE134" i="18" s="1"/>
  <c r="BD140" i="18"/>
  <c r="AM136" i="18"/>
  <c r="HI108" i="14"/>
  <c r="AO136" i="18" s="1"/>
  <c r="HF108" i="14"/>
  <c r="AL136" i="18" s="1"/>
  <c r="GS30" i="10"/>
  <c r="DM30" i="10"/>
  <c r="L20" i="18" s="1"/>
  <c r="D20" i="18" s="1"/>
  <c r="AV20" i="18" s="1"/>
  <c r="DN30" i="10"/>
  <c r="M20" i="18" s="1"/>
  <c r="DK30" i="10"/>
  <c r="J20" i="18" s="1"/>
  <c r="B20" i="18" s="1"/>
  <c r="AT20" i="18" s="1"/>
  <c r="K20" i="18"/>
  <c r="C20" i="18" s="1"/>
  <c r="AU20" i="18" s="1"/>
  <c r="DQ19" i="11"/>
  <c r="BX63" i="14"/>
  <c r="H68" i="18" s="1"/>
  <c r="BZ63" i="14"/>
  <c r="KJ63" i="14"/>
  <c r="KL63" i="14" s="1"/>
  <c r="BV63" i="14"/>
  <c r="F68" i="18" s="1"/>
  <c r="G68" i="18"/>
  <c r="CJ134" i="14"/>
  <c r="CP134" i="14"/>
  <c r="BK140" i="18" s="1"/>
  <c r="BI140" i="18" s="1"/>
  <c r="CO134" i="14"/>
  <c r="KX107" i="14"/>
  <c r="KU107" i="14"/>
  <c r="MW107" i="14" s="1"/>
  <c r="MX107" i="14" s="1"/>
  <c r="GK43" i="10"/>
  <c r="GL43" i="10"/>
  <c r="GJ37" i="10"/>
  <c r="BA19" i="18"/>
  <c r="AY35" i="18"/>
  <c r="C35" i="18"/>
  <c r="AU35" i="18" s="1"/>
  <c r="GJ27" i="10"/>
  <c r="G95" i="18"/>
  <c r="KJ64" i="14"/>
  <c r="KM64" i="14" s="1"/>
  <c r="BY64" i="14"/>
  <c r="I95" i="18" s="1"/>
  <c r="DP40" i="11"/>
  <c r="BV64" i="14"/>
  <c r="F95" i="18" s="1"/>
  <c r="BA33" i="18"/>
  <c r="AX19" i="18"/>
  <c r="E35" i="18"/>
  <c r="AW35" i="18" s="1"/>
  <c r="BA35" i="18"/>
  <c r="NR117" i="14"/>
  <c r="BJ134" i="18"/>
  <c r="BH134" i="18" s="1"/>
  <c r="DL117" i="14"/>
  <c r="DR117" i="14"/>
  <c r="BG134" i="18" s="1"/>
  <c r="LN117" i="14"/>
  <c r="DQ117" i="14"/>
  <c r="BF134" i="18" s="1"/>
  <c r="DP117" i="14"/>
  <c r="FR75" i="10"/>
  <c r="FU75" i="10"/>
  <c r="DD134" i="14"/>
  <c r="BQ140" i="18" s="1"/>
  <c r="BO140" i="18" s="1"/>
  <c r="DC134" i="14"/>
  <c r="CX134" i="14"/>
  <c r="FE139" i="14"/>
  <c r="FJ139" i="14" s="1"/>
  <c r="FK139" i="14"/>
  <c r="BX54" i="14"/>
  <c r="H65" i="18" s="1"/>
  <c r="BV54" i="14"/>
  <c r="F65" i="18" s="1"/>
  <c r="G65" i="18"/>
  <c r="BY54" i="14"/>
  <c r="I65" i="18" s="1"/>
  <c r="KJ54" i="14"/>
  <c r="KL54" i="14" s="1"/>
  <c r="AZ33" i="18"/>
  <c r="AZ19" i="18"/>
  <c r="AZ35" i="18"/>
  <c r="D35" i="18"/>
  <c r="AV35" i="18" s="1"/>
  <c r="E13" i="18"/>
  <c r="AW13" i="18" s="1"/>
  <c r="BA13" i="18"/>
  <c r="KU117" i="14"/>
  <c r="MW117" i="14" s="1"/>
  <c r="MX117" i="14" s="1"/>
  <c r="KX117" i="14"/>
  <c r="DP63" i="14"/>
  <c r="DN63" i="14"/>
  <c r="L68" i="18" s="1"/>
  <c r="LN63" i="14"/>
  <c r="LP63" i="14" s="1"/>
  <c r="DL63" i="14"/>
  <c r="J68" i="18" s="1"/>
  <c r="K68" i="18"/>
  <c r="EJ30" i="11"/>
  <c r="EK87" i="11"/>
  <c r="EK91" i="11"/>
  <c r="EK75" i="11"/>
  <c r="EK89" i="11"/>
  <c r="EK79" i="11"/>
  <c r="EK77" i="11"/>
  <c r="EK81" i="11"/>
  <c r="EL81" i="11"/>
  <c r="FH81" i="11" s="1"/>
  <c r="FG81" i="11" s="1"/>
  <c r="ET81" i="11" s="1"/>
  <c r="DO80" i="14"/>
  <c r="M88" i="18" s="1"/>
  <c r="E88" i="18" s="1"/>
  <c r="AW88" i="18" s="1"/>
  <c r="DQ45" i="11"/>
  <c r="K88" i="18"/>
  <c r="C88" i="18" s="1"/>
  <c r="AU88" i="18" s="1"/>
  <c r="DL80" i="14"/>
  <c r="J88" i="18" s="1"/>
  <c r="B88" i="18" s="1"/>
  <c r="AT88" i="18" s="1"/>
  <c r="LN80" i="14"/>
  <c r="LQ80" i="14" s="1"/>
  <c r="GS20" i="10"/>
  <c r="BS14" i="14"/>
  <c r="K10" i="18"/>
  <c r="C10" i="18" s="1"/>
  <c r="AU10" i="18" s="1"/>
  <c r="DK20" i="10"/>
  <c r="J10" i="18" s="1"/>
  <c r="B10" i="18" s="1"/>
  <c r="AT10" i="18" s="1"/>
  <c r="DM20" i="10"/>
  <c r="L10" i="18" s="1"/>
  <c r="DQ12" i="11"/>
  <c r="DN20" i="10"/>
  <c r="M10" i="18" s="1"/>
  <c r="E10" i="18" s="1"/>
  <c r="AW10" i="18" s="1"/>
  <c r="AY33" i="18"/>
  <c r="S97" i="18"/>
  <c r="O97" i="18" s="1"/>
  <c r="KT70" i="14"/>
  <c r="KW70" i="14" s="1"/>
  <c r="CJ70" i="14"/>
  <c r="R97" i="18" s="1"/>
  <c r="N97" i="18" s="1"/>
  <c r="CM70" i="14"/>
  <c r="U97" i="18" s="1"/>
  <c r="Q97" i="18" s="1"/>
  <c r="EM89" i="11"/>
  <c r="FK89" i="11" s="1"/>
  <c r="FJ89" i="11" s="1"/>
  <c r="EU89" i="11" s="1"/>
  <c r="FI89" i="11" s="1"/>
  <c r="EM91" i="11"/>
  <c r="FK91" i="11" s="1"/>
  <c r="FJ91" i="11" s="1"/>
  <c r="EU91" i="11" s="1"/>
  <c r="FI91" i="11" s="1"/>
  <c r="EM77" i="11"/>
  <c r="FK77" i="11" s="1"/>
  <c r="FJ77" i="11" s="1"/>
  <c r="EU77" i="11" s="1"/>
  <c r="FI77" i="11" s="1"/>
  <c r="EM87" i="11"/>
  <c r="FK87" i="11" s="1"/>
  <c r="FJ87" i="11" s="1"/>
  <c r="EU87" i="11" s="1"/>
  <c r="FI87" i="11" s="1"/>
  <c r="EM79" i="11"/>
  <c r="FK79" i="11" s="1"/>
  <c r="FJ79" i="11" s="1"/>
  <c r="EU79" i="11" s="1"/>
  <c r="EM75" i="11"/>
  <c r="FK75" i="11" s="1"/>
  <c r="FJ75" i="11" s="1"/>
  <c r="EU75" i="11" s="1"/>
  <c r="EM81" i="11"/>
  <c r="FK81" i="11" s="1"/>
  <c r="FJ81" i="11" s="1"/>
  <c r="EU81" i="11" s="1"/>
  <c r="AZ13" i="18"/>
  <c r="DQ40" i="11"/>
  <c r="K95" i="18"/>
  <c r="DO64" i="14"/>
  <c r="M95" i="18" s="1"/>
  <c r="LN64" i="14"/>
  <c r="LQ64" i="14" s="1"/>
  <c r="DL64" i="14"/>
  <c r="J95" i="18" s="1"/>
  <c r="S85" i="18"/>
  <c r="O85" i="18" s="1"/>
  <c r="CJ55" i="14"/>
  <c r="R85" i="18" s="1"/>
  <c r="N85" i="18" s="1"/>
  <c r="CM55" i="14"/>
  <c r="U85" i="18" s="1"/>
  <c r="Q85" i="18" s="1"/>
  <c r="KT55" i="14"/>
  <c r="KW55" i="14" s="1"/>
  <c r="EL77" i="11"/>
  <c r="FH77" i="11" s="1"/>
  <c r="FG77" i="11" s="1"/>
  <c r="ET77" i="11" s="1"/>
  <c r="FF77" i="11" s="1"/>
  <c r="DP79" i="14"/>
  <c r="DP134" i="14" s="1"/>
  <c r="DM134" i="14" s="1"/>
  <c r="K72" i="18"/>
  <c r="C72" i="18" s="1"/>
  <c r="AU72" i="18" s="1"/>
  <c r="DL79" i="14"/>
  <c r="DN79" i="14"/>
  <c r="L72" i="18" s="1"/>
  <c r="D72" i="18" s="1"/>
  <c r="AV72" i="18" s="1"/>
  <c r="LN79" i="14"/>
  <c r="LP79" i="14" s="1"/>
  <c r="AX33" i="18"/>
  <c r="AY19" i="18"/>
  <c r="CM69" i="14"/>
  <c r="U96" i="18" s="1"/>
  <c r="Q96" i="18" s="1"/>
  <c r="CJ69" i="14"/>
  <c r="R96" i="18" s="1"/>
  <c r="N96" i="18" s="1"/>
  <c r="KT69" i="14"/>
  <c r="KW69" i="14" s="1"/>
  <c r="S96" i="18"/>
  <c r="O96" i="18" s="1"/>
  <c r="AX75" i="18"/>
  <c r="AX13" i="18"/>
  <c r="CN91" i="11"/>
  <c r="CT91" i="11" s="1"/>
  <c r="CN89" i="11"/>
  <c r="CT89" i="11" s="1"/>
  <c r="CN77" i="11"/>
  <c r="CT77" i="11" s="1"/>
  <c r="CN87" i="11"/>
  <c r="CT87" i="11" s="1"/>
  <c r="CJ113" i="14"/>
  <c r="CM113" i="14"/>
  <c r="KT113" i="14"/>
  <c r="KW113" i="14" s="1"/>
  <c r="KT126" i="14"/>
  <c r="KV126" i="14" s="1"/>
  <c r="S123" i="18"/>
  <c r="O123" i="18" s="1"/>
  <c r="CL126" i="14"/>
  <c r="T123" i="18" s="1"/>
  <c r="P123" i="18" s="1"/>
  <c r="CJ126" i="14"/>
  <c r="R123" i="18" s="1"/>
  <c r="N123" i="18" s="1"/>
  <c r="DK43" i="10"/>
  <c r="J33" i="18" s="1"/>
  <c r="B33" i="18" s="1"/>
  <c r="AT33" i="18" s="1"/>
  <c r="K33" i="18"/>
  <c r="C33" i="18" s="1"/>
  <c r="AU33" i="18" s="1"/>
  <c r="GS43" i="10"/>
  <c r="DM43" i="10"/>
  <c r="L33" i="18" s="1"/>
  <c r="D33" i="18" s="1"/>
  <c r="AV33" i="18" s="1"/>
  <c r="DN43" i="10"/>
  <c r="M33" i="18" s="1"/>
  <c r="E33" i="18" s="1"/>
  <c r="AW33" i="18" s="1"/>
  <c r="EL75" i="11"/>
  <c r="FH75" i="11" s="1"/>
  <c r="FG75" i="11" s="1"/>
  <c r="ET75" i="11" s="1"/>
  <c r="GL29" i="10"/>
  <c r="GK29" i="10"/>
  <c r="KT68" i="14"/>
  <c r="KV68" i="14" s="1"/>
  <c r="CN68" i="14"/>
  <c r="CL68" i="14"/>
  <c r="T69" i="18" s="1"/>
  <c r="P69" i="18" s="1"/>
  <c r="S69" i="18"/>
  <c r="O69" i="18" s="1"/>
  <c r="CJ68" i="14"/>
  <c r="R69" i="18" s="1"/>
  <c r="N69" i="18" s="1"/>
  <c r="BV49" i="14"/>
  <c r="F64" i="18" s="1"/>
  <c r="BY49" i="14"/>
  <c r="I64" i="18" s="1"/>
  <c r="BX49" i="14"/>
  <c r="H64" i="18" s="1"/>
  <c r="KJ49" i="14"/>
  <c r="KL49" i="14" s="1"/>
  <c r="G64" i="18"/>
  <c r="AE44" i="14"/>
  <c r="AE107" i="14"/>
  <c r="AE46" i="14"/>
  <c r="AE75" i="14" s="1"/>
  <c r="AT113" i="14"/>
  <c r="AT108" i="14"/>
  <c r="AE45" i="14"/>
  <c r="CM35" i="11" s="1"/>
  <c r="K107" i="14"/>
  <c r="AE108" i="14"/>
  <c r="CM53" i="11" s="1"/>
  <c r="CP112" i="14"/>
  <c r="CO112" i="14"/>
  <c r="NR112" i="14" s="1"/>
  <c r="CJ112" i="14"/>
  <c r="KT112" i="14"/>
  <c r="CN112" i="14"/>
  <c r="B25" i="18"/>
  <c r="AT25" i="18" s="1"/>
  <c r="AX25" i="18"/>
  <c r="KT127" i="14"/>
  <c r="KW127" i="14" s="1"/>
  <c r="S124" i="18"/>
  <c r="O124" i="18" s="1"/>
  <c r="CM127" i="14"/>
  <c r="U124" i="18" s="1"/>
  <c r="Q124" i="18" s="1"/>
  <c r="CJ127" i="14"/>
  <c r="R124" i="18" s="1"/>
  <c r="N124" i="18" s="1"/>
  <c r="EL79" i="11"/>
  <c r="FH79" i="11" s="1"/>
  <c r="FG79" i="11" s="1"/>
  <c r="ET79" i="11" s="1"/>
  <c r="CA145" i="14"/>
  <c r="BV145" i="14"/>
  <c r="CB145" i="14"/>
  <c r="BE142" i="18" s="1"/>
  <c r="GK23" i="10"/>
  <c r="GL23" i="10"/>
  <c r="BV50" i="14"/>
  <c r="F84" i="18" s="1"/>
  <c r="G84" i="18"/>
  <c r="BY50" i="14"/>
  <c r="I84" i="18" s="1"/>
  <c r="DP36" i="11"/>
  <c r="KJ50" i="14"/>
  <c r="KM50" i="14" s="1"/>
  <c r="FE134" i="14"/>
  <c r="FJ134" i="14" s="1"/>
  <c r="FK134" i="14"/>
  <c r="KT54" i="14"/>
  <c r="KV54" i="14" s="1"/>
  <c r="CJ54" i="14"/>
  <c r="R65" i="18" s="1"/>
  <c r="N65" i="18" s="1"/>
  <c r="S65" i="18"/>
  <c r="O65" i="18" s="1"/>
  <c r="CM54" i="14"/>
  <c r="U65" i="18" s="1"/>
  <c r="Q65" i="18" s="1"/>
  <c r="CL54" i="14"/>
  <c r="T65" i="18" s="1"/>
  <c r="P65" i="18" s="1"/>
  <c r="BA25" i="18"/>
  <c r="GT54" i="10"/>
  <c r="EL91" i="11"/>
  <c r="FH91" i="11" s="1"/>
  <c r="FG91" i="11" s="1"/>
  <c r="ET91" i="11" s="1"/>
  <c r="FF91" i="11" s="1"/>
  <c r="FF45" i="14"/>
  <c r="FF108" i="14"/>
  <c r="FF46" i="14"/>
  <c r="FF107" i="14"/>
  <c r="FF44" i="14"/>
  <c r="EJ50" i="11"/>
  <c r="DQ46" i="11"/>
  <c r="DO85" i="14"/>
  <c r="M89" i="18" s="1"/>
  <c r="E89" i="18" s="1"/>
  <c r="AW89" i="18" s="1"/>
  <c r="LN85" i="14"/>
  <c r="LQ85" i="14" s="1"/>
  <c r="K89" i="18"/>
  <c r="C89" i="18" s="1"/>
  <c r="AU89" i="18" s="1"/>
  <c r="DL85" i="14"/>
  <c r="J89" i="18" s="1"/>
  <c r="B89" i="18" s="1"/>
  <c r="AT89" i="18" s="1"/>
  <c r="AY75" i="18"/>
  <c r="AY13" i="18"/>
  <c r="C13" i="18"/>
  <c r="AU13" i="18" s="1"/>
  <c r="GL20" i="10"/>
  <c r="GK20" i="10"/>
  <c r="GJ19" i="10"/>
  <c r="HJ112" i="14"/>
  <c r="HK112" i="14"/>
  <c r="BT133" i="18" s="1"/>
  <c r="HL112" i="14"/>
  <c r="BU133" i="18" s="1"/>
  <c r="HF112" i="14"/>
  <c r="AY25" i="18"/>
  <c r="C25" i="18"/>
  <c r="AU25" i="18" s="1"/>
  <c r="EL87" i="11"/>
  <c r="FH87" i="11" s="1"/>
  <c r="FG87" i="11" s="1"/>
  <c r="ET87" i="11" s="1"/>
  <c r="FF87" i="11" s="1"/>
  <c r="EJ53" i="11"/>
  <c r="LN84" i="14"/>
  <c r="K74" i="18"/>
  <c r="C74" i="18" s="1"/>
  <c r="AU74" i="18" s="1"/>
  <c r="DL84" i="14"/>
  <c r="J74" i="18" s="1"/>
  <c r="B74" i="18" s="1"/>
  <c r="AT74" i="18" s="1"/>
  <c r="DN84" i="14"/>
  <c r="L74" i="18" s="1"/>
  <c r="D74" i="18" s="1"/>
  <c r="AV74" i="18" s="1"/>
  <c r="AZ75" i="18"/>
  <c r="DL89" i="14"/>
  <c r="J75" i="18" s="1"/>
  <c r="B75" i="18" s="1"/>
  <c r="AT75" i="18" s="1"/>
  <c r="DP89" i="14"/>
  <c r="DP145" i="14" s="1"/>
  <c r="DM145" i="14" s="1"/>
  <c r="DN89" i="14"/>
  <c r="L75" i="18" s="1"/>
  <c r="D75" i="18" s="1"/>
  <c r="AV75" i="18" s="1"/>
  <c r="LN89" i="14"/>
  <c r="LP89" i="14" s="1"/>
  <c r="K75" i="18"/>
  <c r="C75" i="18" s="1"/>
  <c r="AU75" i="18" s="1"/>
  <c r="BW126" i="14"/>
  <c r="BW127" i="14"/>
  <c r="AZ10" i="18"/>
  <c r="D10" i="18"/>
  <c r="AV10" i="18" s="1"/>
  <c r="IH112" i="14"/>
  <c r="IL112" i="14"/>
  <c r="IN112" i="14"/>
  <c r="IM112" i="14"/>
  <c r="BW69" i="14"/>
  <c r="BW68" i="14"/>
  <c r="BW70" i="14"/>
  <c r="LE122" i="14"/>
  <c r="NA122" i="14" s="1"/>
  <c r="NB122" i="14" s="1"/>
  <c r="LH122" i="14"/>
  <c r="BN141" i="18"/>
  <c r="K73" i="18"/>
  <c r="C73" i="18" s="1"/>
  <c r="AU73" i="18" s="1"/>
  <c r="DL83" i="14"/>
  <c r="J73" i="18" s="1"/>
  <c r="B73" i="18" s="1"/>
  <c r="AT73" i="18" s="1"/>
  <c r="LN83" i="14"/>
  <c r="LP83" i="14" s="1"/>
  <c r="DN83" i="14"/>
  <c r="L73" i="18" s="1"/>
  <c r="D73" i="18" s="1"/>
  <c r="AV73" i="18" s="1"/>
  <c r="DP83" i="14"/>
  <c r="DP139" i="14" s="1"/>
  <c r="DM139" i="14" s="1"/>
  <c r="AX72" i="18"/>
  <c r="AX129" i="18"/>
  <c r="L17" i="10"/>
  <c r="DX17" i="10"/>
  <c r="DL17" i="10" s="1"/>
  <c r="DO90" i="14"/>
  <c r="M90" i="18" s="1"/>
  <c r="E90" i="18" s="1"/>
  <c r="AW90" i="18" s="1"/>
  <c r="DQ47" i="11"/>
  <c r="K90" i="18"/>
  <c r="C90" i="18" s="1"/>
  <c r="AU90" i="18" s="1"/>
  <c r="DL90" i="14"/>
  <c r="J90" i="18" s="1"/>
  <c r="B90" i="18" s="1"/>
  <c r="AT90" i="18" s="1"/>
  <c r="LN90" i="14"/>
  <c r="LQ90" i="14" s="1"/>
  <c r="HF113" i="14"/>
  <c r="AL137" i="18" s="1"/>
  <c r="HI113" i="14"/>
  <c r="AO137" i="18" s="1"/>
  <c r="AM137" i="18"/>
  <c r="AZ25" i="18"/>
  <c r="D25" i="18"/>
  <c r="AV25" i="18" s="1"/>
  <c r="BP135" i="18"/>
  <c r="BN135" i="18" s="1"/>
  <c r="NS122" i="14"/>
  <c r="BA20" i="18"/>
  <c r="E20" i="18"/>
  <c r="AW20" i="18" s="1"/>
  <c r="ML117" i="50"/>
  <c r="HF56" i="49"/>
  <c r="F46" i="48" s="1"/>
  <c r="HI56" i="49"/>
  <c r="I46" i="48" s="1"/>
  <c r="HH56" i="49"/>
  <c r="H46" i="48" s="1"/>
  <c r="KQ56" i="49"/>
  <c r="KR56" i="49" s="1"/>
  <c r="G46" i="48"/>
  <c r="BO108" i="50"/>
  <c r="JF108" i="50" s="1"/>
  <c r="KX46" i="49"/>
  <c r="K46" i="48"/>
  <c r="HR56" i="49"/>
  <c r="J46" i="48" s="1"/>
  <c r="HU56" i="49"/>
  <c r="M46" i="48" s="1"/>
  <c r="HT56" i="49"/>
  <c r="L46" i="48" s="1"/>
  <c r="KZ56" i="49"/>
  <c r="LA56" i="49" s="1"/>
  <c r="M11" i="37"/>
  <c r="S11" i="37" s="1"/>
  <c r="U11" i="37" s="1"/>
  <c r="KU30" i="49"/>
  <c r="EJ47" i="51"/>
  <c r="EJ42" i="51"/>
  <c r="KQ69" i="49"/>
  <c r="EJ41" i="51"/>
  <c r="BP36" i="50"/>
  <c r="JR144" i="50"/>
  <c r="JQ144" i="50" s="1"/>
  <c r="EJ36" i="51"/>
  <c r="G55" i="48"/>
  <c r="AY55" i="48" s="1"/>
  <c r="AA127" i="48"/>
  <c r="BC34" i="44"/>
  <c r="AW34" i="44"/>
  <c r="AT34" i="44"/>
  <c r="AQ34" i="44"/>
  <c r="AZ34" i="44"/>
  <c r="EJ37" i="51"/>
  <c r="JK144" i="50"/>
  <c r="JP144" i="50" s="1"/>
  <c r="BS36" i="50"/>
  <c r="KZ69" i="49"/>
  <c r="K55" i="48"/>
  <c r="HR69" i="49"/>
  <c r="J55" i="48" s="1"/>
  <c r="B55" i="48" s="1"/>
  <c r="AT55" i="48" s="1"/>
  <c r="ED50" i="51"/>
  <c r="HB155" i="50"/>
  <c r="AO129" i="48" s="1"/>
  <c r="GY155" i="50"/>
  <c r="AL129" i="48" s="1"/>
  <c r="AM129" i="48"/>
  <c r="FF154" i="50"/>
  <c r="FF155" i="50"/>
  <c r="FF153" i="50"/>
  <c r="FE153" i="50" s="1"/>
  <c r="GY154" i="50"/>
  <c r="AL128" i="48" s="1"/>
  <c r="AM128" i="48"/>
  <c r="HA154" i="50"/>
  <c r="AN128" i="48" s="1"/>
  <c r="GY153" i="50"/>
  <c r="AL127" i="48" s="1"/>
  <c r="AM127" i="48"/>
  <c r="HG19" i="49"/>
  <c r="N33" i="37"/>
  <c r="K33" i="37" s="1"/>
  <c r="M33" i="37" s="1"/>
  <c r="S33" i="37" s="1"/>
  <c r="E39" i="48"/>
  <c r="AW39" i="48" s="1"/>
  <c r="HF19" i="49"/>
  <c r="F9" i="48" s="1"/>
  <c r="B9" i="48" s="1"/>
  <c r="B24" i="48"/>
  <c r="AT24" i="48" s="1"/>
  <c r="CY46" i="50"/>
  <c r="CZ46" i="50" s="1"/>
  <c r="AF78" i="48" s="1"/>
  <c r="AB78" i="48" s="1"/>
  <c r="CK90" i="50"/>
  <c r="CJ90" i="50" s="1"/>
  <c r="R90" i="48" s="1"/>
  <c r="N90" i="48" s="1"/>
  <c r="CY45" i="50"/>
  <c r="DA45" i="50" s="1"/>
  <c r="AG83" i="48" s="1"/>
  <c r="AC83" i="48" s="1"/>
  <c r="E28" i="48"/>
  <c r="AW28" i="48" s="1"/>
  <c r="CY108" i="50"/>
  <c r="CX108" i="50" s="1"/>
  <c r="B28" i="48"/>
  <c r="AT28" i="48" s="1"/>
  <c r="CY107" i="50"/>
  <c r="DB107" i="50" s="1"/>
  <c r="N39" i="37"/>
  <c r="K39" i="37" s="1"/>
  <c r="M39" i="37" s="1"/>
  <c r="AX24" i="48"/>
  <c r="Z127" i="48"/>
  <c r="AX28" i="48"/>
  <c r="BW112" i="50"/>
  <c r="CA112" i="50" s="1"/>
  <c r="BW55" i="50"/>
  <c r="BY55" i="50" s="1"/>
  <c r="I85" i="48" s="1"/>
  <c r="KU22" i="49"/>
  <c r="BA40" i="48"/>
  <c r="BW54" i="50"/>
  <c r="BY54" i="50" s="1"/>
  <c r="I65" i="48" s="1"/>
  <c r="AY24" i="48"/>
  <c r="HG37" i="49"/>
  <c r="HI37" i="49" s="1"/>
  <c r="KY28" i="49"/>
  <c r="E13" i="48"/>
  <c r="AW13" i="48" s="1"/>
  <c r="D32" i="48"/>
  <c r="AV32" i="48" s="1"/>
  <c r="Z128" i="48"/>
  <c r="AY53" i="48"/>
  <c r="KR22" i="49"/>
  <c r="AY38" i="48"/>
  <c r="HG45" i="49"/>
  <c r="HH45" i="49" s="1"/>
  <c r="H35" i="48" s="1"/>
  <c r="AZ13" i="48"/>
  <c r="HG52" i="49"/>
  <c r="G42" i="48" s="1"/>
  <c r="C42" i="48" s="1"/>
  <c r="CN122" i="50"/>
  <c r="CP122" i="50"/>
  <c r="BK135" i="48" s="1"/>
  <c r="BI135" i="48" s="1"/>
  <c r="BA20" i="48"/>
  <c r="CJ122" i="50"/>
  <c r="CO122" i="50"/>
  <c r="BJ135" i="48" s="1"/>
  <c r="BH135" i="48" s="1"/>
  <c r="KS31" i="49"/>
  <c r="AZ38" i="48"/>
  <c r="D38" i="48"/>
  <c r="AV38" i="48" s="1"/>
  <c r="KS48" i="49"/>
  <c r="KR48" i="49"/>
  <c r="B38" i="48"/>
  <c r="AT38" i="48" s="1"/>
  <c r="AX38" i="48"/>
  <c r="KT37" i="49"/>
  <c r="KU40" i="49"/>
  <c r="KS30" i="49"/>
  <c r="KS23" i="49"/>
  <c r="KR49" i="49"/>
  <c r="AA129" i="48"/>
  <c r="KR50" i="49"/>
  <c r="G77" i="48"/>
  <c r="AY77" i="48" s="1"/>
  <c r="BV97" i="50"/>
  <c r="F77" i="48" s="1"/>
  <c r="BX97" i="50"/>
  <c r="H77" i="48" s="1"/>
  <c r="KJ97" i="50"/>
  <c r="KL97" i="50" s="1"/>
  <c r="AX40" i="48"/>
  <c r="BW63" i="50"/>
  <c r="G68" i="48" s="1"/>
  <c r="KS38" i="49"/>
  <c r="G54" i="48"/>
  <c r="AY54" i="48" s="1"/>
  <c r="AE19" i="48"/>
  <c r="AA19" i="48" s="1"/>
  <c r="HN29" i="49"/>
  <c r="AD19" i="48" s="1"/>
  <c r="Z19" i="48" s="1"/>
  <c r="HP29" i="49"/>
  <c r="AF19" i="48" s="1"/>
  <c r="AB19" i="48" s="1"/>
  <c r="KT69" i="49"/>
  <c r="HJ69" i="49"/>
  <c r="R55" i="48" s="1"/>
  <c r="N55" i="48" s="1"/>
  <c r="BQ36" i="50"/>
  <c r="S55" i="48"/>
  <c r="O55" i="48" s="1"/>
  <c r="N26" i="37"/>
  <c r="K26" i="37" s="1"/>
  <c r="M26" i="37" s="1"/>
  <c r="S26" i="37" s="1"/>
  <c r="U26" i="37" s="1"/>
  <c r="N25" i="37"/>
  <c r="K25" i="37" s="1"/>
  <c r="M25" i="37" s="1"/>
  <c r="S25" i="37" s="1"/>
  <c r="HQ29" i="49"/>
  <c r="AG19" i="48" s="1"/>
  <c r="AC19" i="48" s="1"/>
  <c r="HN43" i="49"/>
  <c r="AD33" i="48" s="1"/>
  <c r="Z33" i="48" s="1"/>
  <c r="HP43" i="49"/>
  <c r="AF33" i="48" s="1"/>
  <c r="AB33" i="48" s="1"/>
  <c r="AE33" i="48"/>
  <c r="AA33" i="48" s="1"/>
  <c r="HQ43" i="49"/>
  <c r="AG33" i="48" s="1"/>
  <c r="AC33" i="48" s="1"/>
  <c r="KW43" i="49"/>
  <c r="B20" i="48"/>
  <c r="AT20" i="48" s="1"/>
  <c r="AX20" i="48"/>
  <c r="AX12" i="48"/>
  <c r="KW29" i="49"/>
  <c r="KX29" i="49" s="1"/>
  <c r="AX21" i="48"/>
  <c r="C28" i="48"/>
  <c r="AU28" i="48" s="1"/>
  <c r="AZ20" i="48"/>
  <c r="BW126" i="50"/>
  <c r="G123" i="48" s="1"/>
  <c r="AX13" i="48"/>
  <c r="BW93" i="50"/>
  <c r="BW94" i="50"/>
  <c r="D31" i="48"/>
  <c r="AV31" i="48" s="1"/>
  <c r="AZ31" i="48"/>
  <c r="AX31" i="48"/>
  <c r="BA31" i="48"/>
  <c r="E31" i="48"/>
  <c r="AW31" i="48" s="1"/>
  <c r="KR41" i="49"/>
  <c r="KS41" i="49"/>
  <c r="AY31" i="48"/>
  <c r="C31" i="48"/>
  <c r="AU31" i="48" s="1"/>
  <c r="B31" i="48"/>
  <c r="AT31" i="48" s="1"/>
  <c r="D28" i="48"/>
  <c r="AV28" i="48" s="1"/>
  <c r="KQ68" i="49"/>
  <c r="KJ98" i="50"/>
  <c r="KM98" i="50" s="1"/>
  <c r="C13" i="48"/>
  <c r="AU13" i="48" s="1"/>
  <c r="AY13" i="48"/>
  <c r="BV98" i="50"/>
  <c r="F92" i="48" s="1"/>
  <c r="G92" i="48"/>
  <c r="E32" i="48"/>
  <c r="AW32" i="48" s="1"/>
  <c r="BY98" i="50"/>
  <c r="I92" i="48" s="1"/>
  <c r="BA92" i="48" s="1"/>
  <c r="AB128" i="48"/>
  <c r="AX32" i="48"/>
  <c r="AX39" i="48"/>
  <c r="HH54" i="49"/>
  <c r="H44" i="48" s="1"/>
  <c r="AZ44" i="48" s="1"/>
  <c r="B39" i="48"/>
  <c r="AT39" i="48" s="1"/>
  <c r="G44" i="48"/>
  <c r="AY44" i="48" s="1"/>
  <c r="HI54" i="49"/>
  <c r="I44" i="48" s="1"/>
  <c r="BA44" i="48" s="1"/>
  <c r="CY49" i="50"/>
  <c r="CY50" i="50"/>
  <c r="KY21" i="49"/>
  <c r="KX21" i="49"/>
  <c r="KQ54" i="49"/>
  <c r="KR54" i="49" s="1"/>
  <c r="KX30" i="49"/>
  <c r="KY30" i="49"/>
  <c r="HQ45" i="49"/>
  <c r="AG35" i="48" s="1"/>
  <c r="AC35" i="48" s="1"/>
  <c r="AE35" i="48"/>
  <c r="AA35" i="48" s="1"/>
  <c r="HP45" i="49"/>
  <c r="AF35" i="48" s="1"/>
  <c r="AB35" i="48" s="1"/>
  <c r="HN48" i="49"/>
  <c r="AD38" i="48" s="1"/>
  <c r="Z38" i="48" s="1"/>
  <c r="AE38" i="48"/>
  <c r="AA38" i="48" s="1"/>
  <c r="HQ48" i="49"/>
  <c r="AG38" i="48" s="1"/>
  <c r="AC38" i="48" s="1"/>
  <c r="HP48" i="49"/>
  <c r="AF38" i="48" s="1"/>
  <c r="AB38" i="48" s="1"/>
  <c r="KW48" i="49"/>
  <c r="Z129" i="48"/>
  <c r="AA128" i="48"/>
  <c r="KX47" i="49"/>
  <c r="KY47" i="49"/>
  <c r="KS42" i="49"/>
  <c r="KR42" i="49"/>
  <c r="HN31" i="49"/>
  <c r="AD21" i="48" s="1"/>
  <c r="Z21" i="48" s="1"/>
  <c r="HQ31" i="49"/>
  <c r="AG21" i="48" s="1"/>
  <c r="AC21" i="48" s="1"/>
  <c r="HP31" i="49"/>
  <c r="AF21" i="48" s="1"/>
  <c r="AB21" i="48" s="1"/>
  <c r="KW31" i="49"/>
  <c r="AE21" i="48"/>
  <c r="AA21" i="48" s="1"/>
  <c r="AE17" i="48"/>
  <c r="AA17" i="48" s="1"/>
  <c r="HP27" i="49"/>
  <c r="AF17" i="48" s="1"/>
  <c r="AB17" i="48" s="1"/>
  <c r="HQ49" i="49"/>
  <c r="AG39" i="48" s="1"/>
  <c r="AC39" i="48" s="1"/>
  <c r="HP49" i="49"/>
  <c r="AF39" i="48" s="1"/>
  <c r="AB39" i="48" s="1"/>
  <c r="AE39" i="48"/>
  <c r="AA39" i="48" s="1"/>
  <c r="HN49" i="49"/>
  <c r="AD39" i="48" s="1"/>
  <c r="Z39" i="48" s="1"/>
  <c r="KW49" i="49"/>
  <c r="AY32" i="48"/>
  <c r="HI59" i="49"/>
  <c r="I49" i="48" s="1"/>
  <c r="HF59" i="49"/>
  <c r="F49" i="48" s="1"/>
  <c r="KQ59" i="49"/>
  <c r="HH59" i="49"/>
  <c r="H49" i="48" s="1"/>
  <c r="G49" i="48"/>
  <c r="KW24" i="49"/>
  <c r="HP24" i="49"/>
  <c r="AF14" i="48" s="1"/>
  <c r="AB14" i="48" s="1"/>
  <c r="HN24" i="49"/>
  <c r="AD14" i="48" s="1"/>
  <c r="Z14" i="48" s="1"/>
  <c r="HQ24" i="49"/>
  <c r="AG14" i="48" s="1"/>
  <c r="AC14" i="48" s="1"/>
  <c r="AE14" i="48"/>
  <c r="AA14" i="48" s="1"/>
  <c r="HN25" i="49"/>
  <c r="AD15" i="48" s="1"/>
  <c r="Z15" i="48" s="1"/>
  <c r="AE15" i="48"/>
  <c r="AA15" i="48" s="1"/>
  <c r="HP25" i="49"/>
  <c r="AF15" i="48" s="1"/>
  <c r="AB15" i="48" s="1"/>
  <c r="HQ25" i="49"/>
  <c r="AG15" i="48" s="1"/>
  <c r="AC15" i="48" s="1"/>
  <c r="KW25" i="49"/>
  <c r="AE24" i="48"/>
  <c r="AA24" i="48" s="1"/>
  <c r="BR21" i="50"/>
  <c r="HP34" i="49"/>
  <c r="AF24" i="48" s="1"/>
  <c r="AB24" i="48" s="1"/>
  <c r="HN34" i="49"/>
  <c r="AD24" i="48" s="1"/>
  <c r="Z24" i="48" s="1"/>
  <c r="KW34" i="49"/>
  <c r="HQ34" i="49"/>
  <c r="AG24" i="48" s="1"/>
  <c r="AC24" i="48" s="1"/>
  <c r="HP41" i="49"/>
  <c r="AF31" i="48" s="1"/>
  <c r="AB31" i="48" s="1"/>
  <c r="BR29" i="50"/>
  <c r="HN41" i="49"/>
  <c r="AD31" i="48" s="1"/>
  <c r="Z31" i="48" s="1"/>
  <c r="AE31" i="48"/>
  <c r="AA31" i="48" s="1"/>
  <c r="KW41" i="49"/>
  <c r="HQ41" i="49"/>
  <c r="AG31" i="48" s="1"/>
  <c r="AC31" i="48" s="1"/>
  <c r="KX50" i="49"/>
  <c r="KY50" i="49"/>
  <c r="KT59" i="49"/>
  <c r="S49" i="48"/>
  <c r="O49" i="48" s="1"/>
  <c r="HL59" i="49"/>
  <c r="T49" i="48" s="1"/>
  <c r="P49" i="48" s="1"/>
  <c r="HJ59" i="49"/>
  <c r="R49" i="48" s="1"/>
  <c r="N49" i="48" s="1"/>
  <c r="HM59" i="49"/>
  <c r="U49" i="48" s="1"/>
  <c r="Q49" i="48" s="1"/>
  <c r="HN68" i="49"/>
  <c r="AD54" i="48" s="1"/>
  <c r="Z54" i="48" s="1"/>
  <c r="KW68" i="49"/>
  <c r="AE54" i="48"/>
  <c r="AA54" i="48" s="1"/>
  <c r="HN38" i="49"/>
  <c r="AD28" i="48" s="1"/>
  <c r="Z28" i="48" s="1"/>
  <c r="KW38" i="49"/>
  <c r="BR26" i="50"/>
  <c r="HQ38" i="49"/>
  <c r="AG28" i="48" s="1"/>
  <c r="AC28" i="48" s="1"/>
  <c r="HP38" i="49"/>
  <c r="AF28" i="48" s="1"/>
  <c r="AB28" i="48" s="1"/>
  <c r="AE28" i="48"/>
  <c r="AA28" i="48" s="1"/>
  <c r="HO19" i="49"/>
  <c r="FD17" i="49"/>
  <c r="HO17" i="49" s="1"/>
  <c r="HQ22" i="49"/>
  <c r="AG12" i="48" s="1"/>
  <c r="AC12" i="48" s="1"/>
  <c r="AE12" i="48"/>
  <c r="AA12" i="48" s="1"/>
  <c r="HN22" i="49"/>
  <c r="AD12" i="48" s="1"/>
  <c r="Z12" i="48" s="1"/>
  <c r="BR16" i="50"/>
  <c r="KW22" i="49"/>
  <c r="HP22" i="49"/>
  <c r="AF12" i="48" s="1"/>
  <c r="AB12" i="48" s="1"/>
  <c r="HN53" i="49"/>
  <c r="AD43" i="48" s="1"/>
  <c r="Z43" i="48" s="1"/>
  <c r="HQ53" i="49"/>
  <c r="AG43" i="48" s="1"/>
  <c r="AC43" i="48" s="1"/>
  <c r="HP53" i="49"/>
  <c r="AF43" i="48" s="1"/>
  <c r="AB43" i="48" s="1"/>
  <c r="KW53" i="49"/>
  <c r="AE43" i="48"/>
  <c r="AA43" i="48" s="1"/>
  <c r="HP52" i="49"/>
  <c r="AF42" i="48" s="1"/>
  <c r="AB42" i="48" s="1"/>
  <c r="AE42" i="48"/>
  <c r="AA42" i="48" s="1"/>
  <c r="AM85" i="48"/>
  <c r="HB55" i="50"/>
  <c r="AO85" i="48" s="1"/>
  <c r="ED37" i="51"/>
  <c r="GY55" i="50"/>
  <c r="AL85" i="48" s="1"/>
  <c r="DM80" i="50"/>
  <c r="DM79" i="50"/>
  <c r="AX33" i="48"/>
  <c r="KR43" i="49"/>
  <c r="KS43" i="49"/>
  <c r="GX134" i="50"/>
  <c r="GX133" i="50" s="1"/>
  <c r="GY134" i="50"/>
  <c r="HD134" i="50"/>
  <c r="BT140" i="48" s="1"/>
  <c r="HE134" i="50"/>
  <c r="BU140" i="48" s="1"/>
  <c r="BA33" i="48"/>
  <c r="KZ43" i="49"/>
  <c r="K33" i="48"/>
  <c r="HR43" i="49"/>
  <c r="J33" i="48" s="1"/>
  <c r="B33" i="48" s="1"/>
  <c r="AT33" i="48" s="1"/>
  <c r="HU43" i="49"/>
  <c r="M33" i="48" s="1"/>
  <c r="E33" i="48" s="1"/>
  <c r="AW33" i="48" s="1"/>
  <c r="HT43" i="49"/>
  <c r="L33" i="48" s="1"/>
  <c r="D33" i="48" s="1"/>
  <c r="AV33" i="48" s="1"/>
  <c r="AZ33" i="48"/>
  <c r="AY33" i="48"/>
  <c r="BJ62" i="51"/>
  <c r="AZ75" i="51"/>
  <c r="K54" i="48"/>
  <c r="KZ68" i="49"/>
  <c r="HR68" i="49"/>
  <c r="J54" i="48" s="1"/>
  <c r="F22" i="51"/>
  <c r="S62" i="51"/>
  <c r="GX78" i="50"/>
  <c r="AE55" i="50"/>
  <c r="CM37" i="51" s="1"/>
  <c r="K112" i="50"/>
  <c r="AU108" i="50"/>
  <c r="AE113" i="50"/>
  <c r="CM54" i="51" s="1"/>
  <c r="AE112" i="50"/>
  <c r="AU113" i="50"/>
  <c r="AE54" i="50"/>
  <c r="AQ35" i="44"/>
  <c r="AZ35" i="44"/>
  <c r="AT35" i="44"/>
  <c r="BC35" i="44"/>
  <c r="AW35" i="44"/>
  <c r="AV113" i="50"/>
  <c r="AV108" i="50"/>
  <c r="CM45" i="51"/>
  <c r="AX54" i="48"/>
  <c r="FH80" i="50"/>
  <c r="DZ45" i="51"/>
  <c r="FE80" i="50"/>
  <c r="CZ17" i="49"/>
  <c r="CZ14" i="49" s="1"/>
  <c r="FF112" i="50"/>
  <c r="FF54" i="50"/>
  <c r="FF113" i="50"/>
  <c r="FF55" i="50"/>
  <c r="KZ54" i="49"/>
  <c r="LA54" i="49" s="1"/>
  <c r="HR54" i="49"/>
  <c r="J44" i="48" s="1"/>
  <c r="HU54" i="49"/>
  <c r="M44" i="48" s="1"/>
  <c r="HT54" i="49"/>
  <c r="L44" i="48" s="1"/>
  <c r="K44" i="48"/>
  <c r="DL122" i="50"/>
  <c r="DR122" i="50"/>
  <c r="BG135" i="48" s="1"/>
  <c r="BC135" i="48" s="1"/>
  <c r="DP122" i="50"/>
  <c r="DQ122" i="50"/>
  <c r="BF135" i="48" s="1"/>
  <c r="BB135" i="48" s="1"/>
  <c r="BY135" i="48" s="1"/>
  <c r="BZ135" i="48" s="1"/>
  <c r="LN122" i="50"/>
  <c r="FI79" i="50"/>
  <c r="FI134" i="50" s="1"/>
  <c r="FF134" i="50" s="1"/>
  <c r="FE79" i="50"/>
  <c r="FG79" i="50"/>
  <c r="GY54" i="50"/>
  <c r="AL65" i="48" s="1"/>
  <c r="HA54" i="50"/>
  <c r="AN65" i="48" s="1"/>
  <c r="J34" i="44" s="1"/>
  <c r="HB54" i="50"/>
  <c r="AO65" i="48" s="1"/>
  <c r="AM65" i="48"/>
  <c r="HR22" i="49"/>
  <c r="J12" i="48" s="1"/>
  <c r="K12" i="48"/>
  <c r="DQ13" i="51"/>
  <c r="HT22" i="49"/>
  <c r="L12" i="48" s="1"/>
  <c r="D12" i="48" s="1"/>
  <c r="AV12" i="48" s="1"/>
  <c r="KZ22" i="49"/>
  <c r="BS16" i="50"/>
  <c r="HU22" i="49"/>
  <c r="M12" i="48" s="1"/>
  <c r="E12" i="48" s="1"/>
  <c r="AW12" i="48" s="1"/>
  <c r="LB46" i="49"/>
  <c r="LA46" i="49"/>
  <c r="HE112" i="50"/>
  <c r="HD112" i="50"/>
  <c r="GY112" i="50"/>
  <c r="HC112" i="50"/>
  <c r="LA38" i="49"/>
  <c r="LB38" i="49"/>
  <c r="KZ31" i="49"/>
  <c r="HT31" i="49"/>
  <c r="L21" i="48" s="1"/>
  <c r="D21" i="48" s="1"/>
  <c r="AV21" i="48" s="1"/>
  <c r="HR31" i="49"/>
  <c r="J21" i="48" s="1"/>
  <c r="K21" i="48"/>
  <c r="HU31" i="49"/>
  <c r="M21" i="48" s="1"/>
  <c r="E21" i="48" s="1"/>
  <c r="AW21" i="48" s="1"/>
  <c r="FO79" i="51"/>
  <c r="FO71" i="51"/>
  <c r="FO70" i="51"/>
  <c r="HB113" i="50"/>
  <c r="ED54" i="51"/>
  <c r="GX113" i="50"/>
  <c r="GX112" i="50" s="1"/>
  <c r="GY113" i="50"/>
  <c r="AX44" i="48"/>
  <c r="KT19" i="49"/>
  <c r="HI25" i="49"/>
  <c r="I15" i="48" s="1"/>
  <c r="BA15" i="48" s="1"/>
  <c r="HH25" i="49"/>
  <c r="H15" i="48" s="1"/>
  <c r="AZ15" i="48" s="1"/>
  <c r="KQ25" i="49"/>
  <c r="KQ19" i="49" s="1"/>
  <c r="HF25" i="49"/>
  <c r="F15" i="48" s="1"/>
  <c r="DV17" i="49"/>
  <c r="AC129" i="48"/>
  <c r="M16" i="37"/>
  <c r="S16" i="37" s="1"/>
  <c r="U16" i="37" s="1"/>
  <c r="EJ53" i="51"/>
  <c r="EJ40" i="51"/>
  <c r="IP18" i="49"/>
  <c r="CP117" i="50"/>
  <c r="BK134" i="48" s="1"/>
  <c r="BI134" i="48" s="1"/>
  <c r="CO117" i="50"/>
  <c r="BJ134" i="48" s="1"/>
  <c r="BH134" i="48" s="1"/>
  <c r="CJ117" i="50"/>
  <c r="CN117" i="50"/>
  <c r="KT117" i="50"/>
  <c r="AX108" i="50"/>
  <c r="CM55" i="51"/>
  <c r="AX113" i="50"/>
  <c r="O20" i="37"/>
  <c r="O21" i="37"/>
  <c r="N20" i="37"/>
  <c r="AX11" i="48"/>
  <c r="N21" i="37"/>
  <c r="FE97" i="50"/>
  <c r="FI97" i="50"/>
  <c r="FG97" i="50"/>
  <c r="FF49" i="50"/>
  <c r="FF50" i="50"/>
  <c r="BW49" i="50"/>
  <c r="BW50" i="50"/>
  <c r="FE98" i="50"/>
  <c r="FH98" i="50"/>
  <c r="DZ49" i="51"/>
  <c r="LA59" i="49"/>
  <c r="KZ58" i="49"/>
  <c r="LB59" i="49"/>
  <c r="AY11" i="48"/>
  <c r="HB49" i="50"/>
  <c r="AO64" i="48" s="1"/>
  <c r="HA49" i="50"/>
  <c r="AN64" i="48" s="1"/>
  <c r="J35" i="44" s="1"/>
  <c r="AM64" i="48"/>
  <c r="GY49" i="50"/>
  <c r="AL64" i="48" s="1"/>
  <c r="HR21" i="49"/>
  <c r="J11" i="48" s="1"/>
  <c r="B11" i="48" s="1"/>
  <c r="AT11" i="48" s="1"/>
  <c r="HU21" i="49"/>
  <c r="M11" i="48" s="1"/>
  <c r="E11" i="48" s="1"/>
  <c r="AW11" i="48" s="1"/>
  <c r="K11" i="48"/>
  <c r="KZ21" i="49"/>
  <c r="BS15" i="50"/>
  <c r="HT21" i="49"/>
  <c r="L11" i="48" s="1"/>
  <c r="D11" i="48" s="1"/>
  <c r="AV11" i="48" s="1"/>
  <c r="KS21" i="49"/>
  <c r="KR21" i="49"/>
  <c r="HB50" i="50"/>
  <c r="AO84" i="48" s="1"/>
  <c r="ED36" i="51"/>
  <c r="AM84" i="48"/>
  <c r="GY50" i="50"/>
  <c r="AL84" i="48" s="1"/>
  <c r="LA42" i="49"/>
  <c r="LB42" i="49"/>
  <c r="BA11" i="48"/>
  <c r="MI112" i="50"/>
  <c r="NM112" i="50" s="1"/>
  <c r="NN112" i="50" s="1"/>
  <c r="ML112" i="50"/>
  <c r="EJ49" i="51"/>
  <c r="C32" i="48"/>
  <c r="AU32" i="48" s="1"/>
  <c r="EF139" i="50"/>
  <c r="BM141" i="48" s="1"/>
  <c r="DZ139" i="50"/>
  <c r="EE139" i="50"/>
  <c r="BL141" i="48" s="1"/>
  <c r="CK97" i="50"/>
  <c r="CK98" i="50"/>
  <c r="B32" i="48"/>
  <c r="AT32" i="48" s="1"/>
  <c r="HS63" i="49"/>
  <c r="DZ27" i="51"/>
  <c r="ID63" i="49"/>
  <c r="AZ11" i="48"/>
  <c r="M61" i="49"/>
  <c r="HG61" i="49" s="1"/>
  <c r="HG63" i="49"/>
  <c r="HD145" i="50"/>
  <c r="BT142" i="48" s="1"/>
  <c r="GY145" i="50"/>
  <c r="GX145" i="50"/>
  <c r="GX144" i="50" s="1"/>
  <c r="HE145" i="50"/>
  <c r="BU142" i="48" s="1"/>
  <c r="DN93" i="50"/>
  <c r="L76" i="48" s="1"/>
  <c r="DL93" i="50"/>
  <c r="J76" i="48" s="1"/>
  <c r="DP93" i="50"/>
  <c r="LN93" i="50"/>
  <c r="LP93" i="50" s="1"/>
  <c r="K76" i="48"/>
  <c r="GX125" i="50"/>
  <c r="DM98" i="50"/>
  <c r="DM97" i="50"/>
  <c r="CN89" i="51"/>
  <c r="CT89" i="51" s="1"/>
  <c r="CT84" i="51" s="1"/>
  <c r="CN81" i="51"/>
  <c r="CT81" i="51" s="1"/>
  <c r="CN79" i="51"/>
  <c r="CT79" i="51" s="1"/>
  <c r="CN87" i="51"/>
  <c r="CT87" i="51" s="1"/>
  <c r="GX88" i="50"/>
  <c r="EJ50" i="51"/>
  <c r="LN94" i="50"/>
  <c r="LQ94" i="50" s="1"/>
  <c r="DO94" i="50"/>
  <c r="M91" i="48" s="1"/>
  <c r="DL94" i="50"/>
  <c r="J91" i="48" s="1"/>
  <c r="K91" i="48"/>
  <c r="DQ48" i="51"/>
  <c r="KV42" i="49"/>
  <c r="KU42" i="49"/>
  <c r="AE53" i="44"/>
  <c r="AN53" i="44"/>
  <c r="AH53" i="44"/>
  <c r="AB53" i="44"/>
  <c r="AK53" i="44"/>
  <c r="BI108" i="50"/>
  <c r="ES134" i="50"/>
  <c r="BR140" i="48" s="1"/>
  <c r="ET134" i="50"/>
  <c r="BS140" i="48" s="1"/>
  <c r="EN134" i="50"/>
  <c r="CN75" i="51"/>
  <c r="CT75" i="51" s="1"/>
  <c r="T51" i="39"/>
  <c r="CL63" i="50"/>
  <c r="T68" i="48" s="1"/>
  <c r="P68" i="48" s="1"/>
  <c r="S68" i="48"/>
  <c r="O68" i="48" s="1"/>
  <c r="CN63" i="50"/>
  <c r="CJ63" i="50"/>
  <c r="R68" i="48" s="1"/>
  <c r="N68" i="48" s="1"/>
  <c r="KT63" i="50"/>
  <c r="KV63" i="50" s="1"/>
  <c r="MB112" i="50"/>
  <c r="LY112" i="50"/>
  <c r="NI112" i="50" s="1"/>
  <c r="NJ112" i="50" s="1"/>
  <c r="BI113" i="50"/>
  <c r="S95" i="48"/>
  <c r="O95" i="48" s="1"/>
  <c r="CJ64" i="50"/>
  <c r="R95" i="48" s="1"/>
  <c r="N95" i="48" s="1"/>
  <c r="CM64" i="50"/>
  <c r="U95" i="48" s="1"/>
  <c r="Q95" i="48" s="1"/>
  <c r="KT64" i="50"/>
  <c r="KW64" i="50" s="1"/>
  <c r="HH27" i="49"/>
  <c r="H17" i="48" s="1"/>
  <c r="G17" i="48"/>
  <c r="C17" i="48" s="1"/>
  <c r="AQ44" i="44"/>
  <c r="BC44" i="44"/>
  <c r="AT44" i="44"/>
  <c r="AZ44" i="44"/>
  <c r="AW44" i="44"/>
  <c r="AX43" i="48"/>
  <c r="B43" i="48"/>
  <c r="AT43" i="48" s="1"/>
  <c r="AY30" i="48"/>
  <c r="KT94" i="50"/>
  <c r="KW94" i="50" s="1"/>
  <c r="S91" i="48"/>
  <c r="O91" i="48" s="1"/>
  <c r="CM94" i="50"/>
  <c r="U91" i="48" s="1"/>
  <c r="Q91" i="48" s="1"/>
  <c r="CJ94" i="50"/>
  <c r="R91" i="48" s="1"/>
  <c r="N91" i="48" s="1"/>
  <c r="AZ30" i="48"/>
  <c r="D30" i="48"/>
  <c r="AV30" i="48" s="1"/>
  <c r="KT54" i="50"/>
  <c r="KV54" i="50" s="1"/>
  <c r="CJ54" i="50"/>
  <c r="R65" i="48" s="1"/>
  <c r="N65" i="48" s="1"/>
  <c r="CM54" i="50"/>
  <c r="U65" i="48" s="1"/>
  <c r="Q65" i="48" s="1"/>
  <c r="S65" i="48"/>
  <c r="O65" i="48" s="1"/>
  <c r="CL54" i="50"/>
  <c r="T65" i="48" s="1"/>
  <c r="P65" i="48" s="1"/>
  <c r="CJ45" i="50"/>
  <c r="R83" i="48" s="1"/>
  <c r="N83" i="48" s="1"/>
  <c r="KT45" i="50"/>
  <c r="KW45" i="50" s="1"/>
  <c r="S83" i="48"/>
  <c r="O83" i="48" s="1"/>
  <c r="CM45" i="50"/>
  <c r="U83" i="48" s="1"/>
  <c r="Q83" i="48" s="1"/>
  <c r="BA36" i="48"/>
  <c r="E36" i="48"/>
  <c r="AW36" i="48" s="1"/>
  <c r="HU35" i="49"/>
  <c r="M25" i="48" s="1"/>
  <c r="HR35" i="49"/>
  <c r="J25" i="48" s="1"/>
  <c r="K25" i="48"/>
  <c r="BS22" i="50"/>
  <c r="HT35" i="49"/>
  <c r="L25" i="48" s="1"/>
  <c r="KZ35" i="49"/>
  <c r="LA35" i="49" s="1"/>
  <c r="KT89" i="50"/>
  <c r="KV89" i="50" s="1"/>
  <c r="S75" i="48"/>
  <c r="O75" i="48" s="1"/>
  <c r="CL89" i="50"/>
  <c r="T75" i="48" s="1"/>
  <c r="P75" i="48" s="1"/>
  <c r="CN89" i="50"/>
  <c r="CN145" i="50" s="1"/>
  <c r="CK145" i="50" s="1"/>
  <c r="CJ89" i="50"/>
  <c r="R75" i="48" s="1"/>
  <c r="N75" i="48" s="1"/>
  <c r="CK68" i="50"/>
  <c r="CK70" i="50"/>
  <c r="CK69" i="50"/>
  <c r="JF113" i="50"/>
  <c r="JF112" i="50"/>
  <c r="FE64" i="50"/>
  <c r="DZ40" i="51"/>
  <c r="FH64" i="50"/>
  <c r="AX18" i="48"/>
  <c r="B18" i="48"/>
  <c r="AT18" i="48" s="1"/>
  <c r="EL89" i="51"/>
  <c r="FH89" i="51" s="1"/>
  <c r="FG89" i="51" s="1"/>
  <c r="ET89" i="51" s="1"/>
  <c r="EL81" i="51"/>
  <c r="FH81" i="51" s="1"/>
  <c r="FG81" i="51" s="1"/>
  <c r="ET81" i="51" s="1"/>
  <c r="EL77" i="51"/>
  <c r="FH77" i="51" s="1"/>
  <c r="FG77" i="51" s="1"/>
  <c r="ET77" i="51" s="1"/>
  <c r="FF77" i="51" s="1"/>
  <c r="EL91" i="51"/>
  <c r="FH91" i="51" s="1"/>
  <c r="FG91" i="51" s="1"/>
  <c r="ET91" i="51" s="1"/>
  <c r="FF91" i="51" s="1"/>
  <c r="EL75" i="51"/>
  <c r="FH75" i="51" s="1"/>
  <c r="FG75" i="51" s="1"/>
  <c r="ET75" i="51" s="1"/>
  <c r="EL79" i="51"/>
  <c r="FH79" i="51" s="1"/>
  <c r="FG79" i="51" s="1"/>
  <c r="ET79" i="51" s="1"/>
  <c r="EL87" i="51"/>
  <c r="FH87" i="51" s="1"/>
  <c r="FG87" i="51" s="1"/>
  <c r="ET87" i="51" s="1"/>
  <c r="FF87" i="51" s="1"/>
  <c r="JV133" i="50"/>
  <c r="JN133" i="50"/>
  <c r="IQ133" i="50"/>
  <c r="S64" i="48"/>
  <c r="O64" i="48" s="1"/>
  <c r="CM49" i="50"/>
  <c r="U64" i="48" s="1"/>
  <c r="Q64" i="48" s="1"/>
  <c r="CJ49" i="50"/>
  <c r="R64" i="48" s="1"/>
  <c r="N64" i="48" s="1"/>
  <c r="KT49" i="50"/>
  <c r="KV49" i="50" s="1"/>
  <c r="CL49" i="50"/>
  <c r="T64" i="48" s="1"/>
  <c r="P64" i="48" s="1"/>
  <c r="CL93" i="50"/>
  <c r="T76" i="48" s="1"/>
  <c r="P76" i="48" s="1"/>
  <c r="S76" i="48"/>
  <c r="O76" i="48" s="1"/>
  <c r="KT93" i="50"/>
  <c r="KV93" i="50" s="1"/>
  <c r="CJ93" i="50"/>
  <c r="R76" i="48" s="1"/>
  <c r="N76" i="48" s="1"/>
  <c r="CN93" i="50"/>
  <c r="E30" i="48"/>
  <c r="AW30" i="48" s="1"/>
  <c r="BA30" i="48"/>
  <c r="LA53" i="49"/>
  <c r="CJ112" i="50"/>
  <c r="KT112" i="50"/>
  <c r="CP112" i="50"/>
  <c r="CO112" i="50"/>
  <c r="CN112" i="50"/>
  <c r="LN108" i="50"/>
  <c r="LQ108" i="50" s="1"/>
  <c r="DQ53" i="51"/>
  <c r="DL108" i="50"/>
  <c r="DO108" i="50"/>
  <c r="BV112" i="50"/>
  <c r="D18" i="48"/>
  <c r="AV18" i="48" s="1"/>
  <c r="AZ18" i="48"/>
  <c r="CJ83" i="50"/>
  <c r="R73" i="48" s="1"/>
  <c r="N73" i="48" s="1"/>
  <c r="S73" i="48"/>
  <c r="O73" i="48" s="1"/>
  <c r="CL83" i="50"/>
  <c r="T73" i="48" s="1"/>
  <c r="P73" i="48" s="1"/>
  <c r="KT83" i="50"/>
  <c r="KV83" i="50" s="1"/>
  <c r="CN83" i="50"/>
  <c r="CN139" i="50" s="1"/>
  <c r="CK139" i="50" s="1"/>
  <c r="LA49" i="49"/>
  <c r="LB49" i="49"/>
  <c r="CY126" i="50"/>
  <c r="CY127" i="50"/>
  <c r="GY139" i="50"/>
  <c r="HD139" i="50"/>
  <c r="BT141" i="48" s="1"/>
  <c r="GX139" i="50"/>
  <c r="GX138" i="50" s="1"/>
  <c r="HE139" i="50"/>
  <c r="BU141" i="48" s="1"/>
  <c r="AZ43" i="48"/>
  <c r="D43" i="48"/>
  <c r="AV43" i="48" s="1"/>
  <c r="FF68" i="50"/>
  <c r="FF70" i="50"/>
  <c r="FF69" i="50"/>
  <c r="FG63" i="50"/>
  <c r="FE63" i="50"/>
  <c r="FI63" i="50"/>
  <c r="HI29" i="49"/>
  <c r="I19" i="48" s="1"/>
  <c r="KQ29" i="49"/>
  <c r="KQ27" i="49" s="1"/>
  <c r="DP18" i="51"/>
  <c r="HH29" i="49"/>
  <c r="H19" i="48" s="1"/>
  <c r="HF29" i="49"/>
  <c r="F19" i="48" s="1"/>
  <c r="G19" i="48"/>
  <c r="FF85" i="50"/>
  <c r="FF84" i="50"/>
  <c r="FF83" i="50"/>
  <c r="CX68" i="50"/>
  <c r="AD69" i="48" s="1"/>
  <c r="Z69" i="48" s="1"/>
  <c r="AE69" i="48"/>
  <c r="AA69" i="48" s="1"/>
  <c r="DB68" i="50"/>
  <c r="LD68" i="50"/>
  <c r="LF68" i="50" s="1"/>
  <c r="CZ68" i="50"/>
  <c r="AF69" i="48" s="1"/>
  <c r="AB69" i="48" s="1"/>
  <c r="DM64" i="50"/>
  <c r="DM117" i="50"/>
  <c r="DM63" i="50"/>
  <c r="GX82" i="50"/>
  <c r="LD69" i="50"/>
  <c r="LG69" i="50" s="1"/>
  <c r="CX69" i="50"/>
  <c r="AD96" i="48" s="1"/>
  <c r="Z96" i="48" s="1"/>
  <c r="DA69" i="50"/>
  <c r="AG96" i="48" s="1"/>
  <c r="AC96" i="48" s="1"/>
  <c r="AE96" i="48"/>
  <c r="AA96" i="48" s="1"/>
  <c r="KU24" i="49"/>
  <c r="KV24" i="49"/>
  <c r="CZ89" i="50"/>
  <c r="AF75" i="48" s="1"/>
  <c r="AB75" i="48" s="1"/>
  <c r="AE75" i="48"/>
  <c r="AA75" i="48" s="1"/>
  <c r="DB89" i="50"/>
  <c r="DB145" i="50" s="1"/>
  <c r="CY145" i="50" s="1"/>
  <c r="CX89" i="50"/>
  <c r="AD75" i="48" s="1"/>
  <c r="Z75" i="48" s="1"/>
  <c r="LD89" i="50"/>
  <c r="LF89" i="50" s="1"/>
  <c r="KU28" i="49"/>
  <c r="KV28" i="49"/>
  <c r="KT27" i="49"/>
  <c r="CL126" i="50"/>
  <c r="T123" i="48" s="1"/>
  <c r="P123" i="48" s="1"/>
  <c r="S123" i="48"/>
  <c r="O123" i="48" s="1"/>
  <c r="CJ126" i="50"/>
  <c r="R123" i="48" s="1"/>
  <c r="N123" i="48" s="1"/>
  <c r="KT126" i="50"/>
  <c r="KV126" i="50" s="1"/>
  <c r="KS40" i="49"/>
  <c r="KR40" i="49"/>
  <c r="KT55" i="50"/>
  <c r="KW55" i="50" s="1"/>
  <c r="CM55" i="50"/>
  <c r="U85" i="48" s="1"/>
  <c r="Q85" i="48" s="1"/>
  <c r="CJ55" i="50"/>
  <c r="R85" i="48" s="1"/>
  <c r="N85" i="48" s="1"/>
  <c r="S85" i="48"/>
  <c r="O85" i="48" s="1"/>
  <c r="DQ35" i="51"/>
  <c r="DO45" i="50"/>
  <c r="M83" i="48" s="1"/>
  <c r="DL45" i="50"/>
  <c r="J83" i="48" s="1"/>
  <c r="LN45" i="50"/>
  <c r="LQ45" i="50" s="1"/>
  <c r="K83" i="48"/>
  <c r="G85" i="48"/>
  <c r="KJ55" i="50"/>
  <c r="KM55" i="50" s="1"/>
  <c r="BV55" i="50"/>
  <c r="F85" i="48" s="1"/>
  <c r="KT84" i="50"/>
  <c r="CJ84" i="50"/>
  <c r="R74" i="48" s="1"/>
  <c r="N74" i="48" s="1"/>
  <c r="S74" i="48"/>
  <c r="O74" i="48" s="1"/>
  <c r="CL84" i="50"/>
  <c r="T74" i="48" s="1"/>
  <c r="P74" i="48" s="1"/>
  <c r="KV31" i="49"/>
  <c r="KU31" i="49"/>
  <c r="AN31" i="44"/>
  <c r="AE31" i="44"/>
  <c r="AK31" i="44"/>
  <c r="AH31" i="44"/>
  <c r="AB31" i="44"/>
  <c r="KR53" i="49"/>
  <c r="KX23" i="49"/>
  <c r="KY23" i="49"/>
  <c r="DP107" i="50"/>
  <c r="DQ107" i="50"/>
  <c r="DL107" i="50"/>
  <c r="DR107" i="50"/>
  <c r="LN107" i="50"/>
  <c r="CJ85" i="50"/>
  <c r="R89" i="48" s="1"/>
  <c r="N89" i="48" s="1"/>
  <c r="S89" i="48"/>
  <c r="O89" i="48" s="1"/>
  <c r="CM85" i="50"/>
  <c r="U89" i="48" s="1"/>
  <c r="Q89" i="48" s="1"/>
  <c r="KT85" i="50"/>
  <c r="KW85" i="50" s="1"/>
  <c r="KQ39" i="49"/>
  <c r="G29" i="48"/>
  <c r="HH39" i="49"/>
  <c r="H29" i="48" s="1"/>
  <c r="HF39" i="49"/>
  <c r="F29" i="48" s="1"/>
  <c r="BP27" i="50"/>
  <c r="HI39" i="49"/>
  <c r="I29" i="48" s="1"/>
  <c r="CX90" i="50"/>
  <c r="AD90" i="48" s="1"/>
  <c r="Z90" i="48" s="1"/>
  <c r="AE90" i="48"/>
  <c r="AA90" i="48" s="1"/>
  <c r="DA90" i="50"/>
  <c r="AG90" i="48" s="1"/>
  <c r="AC90" i="48" s="1"/>
  <c r="LD90" i="50"/>
  <c r="LG90" i="50" s="1"/>
  <c r="BY44" i="50"/>
  <c r="I63" i="48" s="1"/>
  <c r="BW89" i="50"/>
  <c r="BW90" i="50"/>
  <c r="DN46" i="50"/>
  <c r="L78" i="48" s="1"/>
  <c r="DL46" i="50"/>
  <c r="J78" i="48" s="1"/>
  <c r="K78" i="48"/>
  <c r="LY107" i="50"/>
  <c r="NI107" i="50" s="1"/>
  <c r="NJ107" i="50" s="1"/>
  <c r="MB107" i="50"/>
  <c r="CB107" i="50"/>
  <c r="BV107" i="50"/>
  <c r="BZ107" i="50"/>
  <c r="KJ107" i="50"/>
  <c r="CA107" i="50"/>
  <c r="E18" i="48"/>
  <c r="AW18" i="48" s="1"/>
  <c r="BA18" i="48"/>
  <c r="AY43" i="48"/>
  <c r="C43" i="48"/>
  <c r="AU43" i="48" s="1"/>
  <c r="CJ127" i="50"/>
  <c r="R124" i="48" s="1"/>
  <c r="N124" i="48" s="1"/>
  <c r="S124" i="48"/>
  <c r="O124" i="48" s="1"/>
  <c r="CM127" i="50"/>
  <c r="U124" i="48" s="1"/>
  <c r="Q124" i="48" s="1"/>
  <c r="KT127" i="50"/>
  <c r="KW127" i="50" s="1"/>
  <c r="KJ46" i="50"/>
  <c r="G78" i="48"/>
  <c r="BX46" i="50"/>
  <c r="H78" i="48" s="1"/>
  <c r="BV46" i="50"/>
  <c r="F78" i="48" s="1"/>
  <c r="DP53" i="51"/>
  <c r="BV108" i="50"/>
  <c r="BY108" i="50"/>
  <c r="KJ108" i="50"/>
  <c r="KM108" i="50" s="1"/>
  <c r="B30" i="48"/>
  <c r="AT30" i="48" s="1"/>
  <c r="AX30" i="48"/>
  <c r="K63" i="48"/>
  <c r="DN44" i="50"/>
  <c r="L63" i="48" s="1"/>
  <c r="DL44" i="50"/>
  <c r="J63" i="48" s="1"/>
  <c r="DO44" i="50"/>
  <c r="M63" i="48" s="1"/>
  <c r="LN44" i="50"/>
  <c r="LP44" i="50" s="1"/>
  <c r="KJ113" i="50"/>
  <c r="KM113" i="50" s="1"/>
  <c r="DP54" i="51"/>
  <c r="BV113" i="50"/>
  <c r="BY113" i="50"/>
  <c r="AX35" i="48"/>
  <c r="B35" i="48"/>
  <c r="AT35" i="48" s="1"/>
  <c r="L36" i="37"/>
  <c r="C15" i="35" s="1"/>
  <c r="AL73" i="48"/>
  <c r="GY75" i="50"/>
  <c r="AL71" i="48" s="1"/>
  <c r="JS18" i="49"/>
  <c r="JY17" i="49"/>
  <c r="KS25" i="49"/>
  <c r="KR25" i="49"/>
  <c r="CX46" i="50"/>
  <c r="AD78" i="48" s="1"/>
  <c r="Z78" i="48" s="1"/>
  <c r="AE78" i="48"/>
  <c r="AA78" i="48" s="1"/>
  <c r="K124" i="48"/>
  <c r="DL127" i="50"/>
  <c r="J124" i="48" s="1"/>
  <c r="DQ55" i="51"/>
  <c r="DO127" i="50"/>
  <c r="M124" i="48" s="1"/>
  <c r="LN127" i="50"/>
  <c r="LQ127" i="50" s="1"/>
  <c r="T33" i="37"/>
  <c r="U33" i="37"/>
  <c r="FI117" i="50"/>
  <c r="FE117" i="50"/>
  <c r="FJ117" i="50" s="1"/>
  <c r="FK117" i="50"/>
  <c r="HT47" i="49"/>
  <c r="L37" i="48" s="1"/>
  <c r="KZ47" i="49"/>
  <c r="HR47" i="49"/>
  <c r="J37" i="48" s="1"/>
  <c r="HU47" i="49"/>
  <c r="M37" i="48" s="1"/>
  <c r="K37" i="48"/>
  <c r="D36" i="48"/>
  <c r="AV36" i="48" s="1"/>
  <c r="AZ36" i="48"/>
  <c r="AX15" i="48"/>
  <c r="JR138" i="50"/>
  <c r="JQ138" i="50" s="1"/>
  <c r="AZ77" i="48"/>
  <c r="K123" i="48"/>
  <c r="DN126" i="50"/>
  <c r="L123" i="48" s="1"/>
  <c r="DL126" i="50"/>
  <c r="J123" i="48" s="1"/>
  <c r="LN126" i="50"/>
  <c r="LP126" i="50" s="1"/>
  <c r="KJ127" i="50"/>
  <c r="KM127" i="50" s="1"/>
  <c r="DP55" i="51"/>
  <c r="BV127" i="50"/>
  <c r="F124" i="48" s="1"/>
  <c r="BY127" i="50"/>
  <c r="I124" i="48" s="1"/>
  <c r="G124" i="48"/>
  <c r="KR46" i="49"/>
  <c r="KS46" i="49"/>
  <c r="AY15" i="48"/>
  <c r="IO138" i="50"/>
  <c r="JV18" i="49"/>
  <c r="AE83" i="48"/>
  <c r="AA83" i="48" s="1"/>
  <c r="C39" i="48"/>
  <c r="AU39" i="48" s="1"/>
  <c r="AY18" i="48"/>
  <c r="C18" i="48"/>
  <c r="AU18" i="48" s="1"/>
  <c r="DB97" i="50"/>
  <c r="CZ97" i="50"/>
  <c r="AF77" i="48" s="1"/>
  <c r="AB77" i="48" s="1"/>
  <c r="LD97" i="50"/>
  <c r="LF97" i="50" s="1"/>
  <c r="AE77" i="48"/>
  <c r="AA77" i="48" s="1"/>
  <c r="CX97" i="50"/>
  <c r="AD77" i="48" s="1"/>
  <c r="Z77" i="48" s="1"/>
  <c r="AE97" i="48"/>
  <c r="AA97" i="48" s="1"/>
  <c r="CX70" i="50"/>
  <c r="AD97" i="48" s="1"/>
  <c r="Z97" i="48" s="1"/>
  <c r="DA70" i="50"/>
  <c r="AG97" i="48" s="1"/>
  <c r="AC97" i="48" s="1"/>
  <c r="LD70" i="50"/>
  <c r="LG70" i="50" s="1"/>
  <c r="DC139" i="50"/>
  <c r="BP141" i="48" s="1"/>
  <c r="BN141" i="48" s="1"/>
  <c r="DD139" i="50"/>
  <c r="BQ141" i="48" s="1"/>
  <c r="BO141" i="48" s="1"/>
  <c r="CX139" i="50"/>
  <c r="KT108" i="50"/>
  <c r="KW108" i="50" s="1"/>
  <c r="CJ108" i="50"/>
  <c r="CM108" i="50"/>
  <c r="JK138" i="50"/>
  <c r="G52" i="48"/>
  <c r="HF66" i="49"/>
  <c r="F52" i="48" s="1"/>
  <c r="KQ66" i="49"/>
  <c r="KQ65" i="49" s="1"/>
  <c r="KU55" i="49"/>
  <c r="KT52" i="49"/>
  <c r="JT133" i="50"/>
  <c r="IP133" i="50"/>
  <c r="JM133" i="50"/>
  <c r="KU46" i="49"/>
  <c r="KV46" i="49"/>
  <c r="KT45" i="49"/>
  <c r="BV79" i="50"/>
  <c r="KJ79" i="50"/>
  <c r="KL79" i="50" s="1"/>
  <c r="BX79" i="50"/>
  <c r="H72" i="48" s="1"/>
  <c r="BZ79" i="50"/>
  <c r="BZ134" i="50" s="1"/>
  <c r="BW134" i="50" s="1"/>
  <c r="G72" i="48"/>
  <c r="CX107" i="50"/>
  <c r="EM81" i="51"/>
  <c r="FK81" i="51" s="1"/>
  <c r="FJ81" i="51" s="1"/>
  <c r="EU81" i="51" s="1"/>
  <c r="EM87" i="51"/>
  <c r="FK87" i="51" s="1"/>
  <c r="FJ87" i="51" s="1"/>
  <c r="EU87" i="51" s="1"/>
  <c r="FI87" i="51" s="1"/>
  <c r="EM77" i="51"/>
  <c r="FK77" i="51" s="1"/>
  <c r="FJ77" i="51" s="1"/>
  <c r="EU77" i="51" s="1"/>
  <c r="FI77" i="51" s="1"/>
  <c r="EM91" i="51"/>
  <c r="FK91" i="51" s="1"/>
  <c r="FJ91" i="51" s="1"/>
  <c r="EU91" i="51" s="1"/>
  <c r="FI91" i="51" s="1"/>
  <c r="EM89" i="51"/>
  <c r="FK89" i="51" s="1"/>
  <c r="FJ89" i="51" s="1"/>
  <c r="EU89" i="51" s="1"/>
  <c r="FI89" i="51" s="1"/>
  <c r="EM79" i="51"/>
  <c r="FK79" i="51" s="1"/>
  <c r="FJ79" i="51" s="1"/>
  <c r="EU79" i="51" s="1"/>
  <c r="EM75" i="51"/>
  <c r="FK75" i="51" s="1"/>
  <c r="FJ75" i="51" s="1"/>
  <c r="EU75" i="51" s="1"/>
  <c r="CM80" i="50"/>
  <c r="U88" i="48" s="1"/>
  <c r="Q88" i="48" s="1"/>
  <c r="S88" i="48"/>
  <c r="O88" i="48" s="1"/>
  <c r="KT80" i="50"/>
  <c r="KW80" i="50" s="1"/>
  <c r="CJ80" i="50"/>
  <c r="R88" i="48" s="1"/>
  <c r="N88" i="48" s="1"/>
  <c r="AP72" i="48"/>
  <c r="IV75" i="50"/>
  <c r="AP71" i="48" s="1"/>
  <c r="C24" i="48"/>
  <c r="AU24" i="48" s="1"/>
  <c r="HT25" i="49"/>
  <c r="L15" i="48" s="1"/>
  <c r="HU25" i="49"/>
  <c r="M15" i="48" s="1"/>
  <c r="KZ25" i="49"/>
  <c r="HR25" i="49"/>
  <c r="J15" i="48" s="1"/>
  <c r="B15" i="48" s="1"/>
  <c r="AT15" i="48" s="1"/>
  <c r="K15" i="48"/>
  <c r="E43" i="48"/>
  <c r="AW43" i="48" s="1"/>
  <c r="BA43" i="48"/>
  <c r="K19" i="48"/>
  <c r="KZ29" i="49"/>
  <c r="HR29" i="49"/>
  <c r="J19" i="48" s="1"/>
  <c r="DQ18" i="51"/>
  <c r="HT29" i="49"/>
  <c r="L19" i="48" s="1"/>
  <c r="HU29" i="49"/>
  <c r="M19" i="48" s="1"/>
  <c r="CJ107" i="50"/>
  <c r="CN107" i="50"/>
  <c r="CO107" i="50"/>
  <c r="KT107" i="50"/>
  <c r="CP107" i="50"/>
  <c r="C36" i="48"/>
  <c r="AU36" i="48" s="1"/>
  <c r="AY36" i="48"/>
  <c r="S22" i="40"/>
  <c r="AA22" i="40" s="1"/>
  <c r="S22" i="42"/>
  <c r="AA22" i="42" s="1"/>
  <c r="S22" i="43"/>
  <c r="AA22" i="43" s="1"/>
  <c r="S22" i="41"/>
  <c r="AA22" i="41" s="1"/>
  <c r="G37" i="48"/>
  <c r="KQ47" i="49"/>
  <c r="KQ45" i="49" s="1"/>
  <c r="HH47" i="49"/>
  <c r="H37" i="48" s="1"/>
  <c r="HI47" i="49"/>
  <c r="I37" i="48" s="1"/>
  <c r="HF47" i="49"/>
  <c r="F37" i="48" s="1"/>
  <c r="KU25" i="49"/>
  <c r="KV25" i="49"/>
  <c r="CM44" i="50"/>
  <c r="U63" i="48" s="1"/>
  <c r="Q63" i="48" s="1"/>
  <c r="S63" i="48"/>
  <c r="O63" i="48" s="1"/>
  <c r="CJ44" i="50"/>
  <c r="R63" i="48" s="1"/>
  <c r="N63" i="48" s="1"/>
  <c r="CL44" i="50"/>
  <c r="T63" i="48" s="1"/>
  <c r="P63" i="48" s="1"/>
  <c r="KT44" i="50"/>
  <c r="KV44" i="50" s="1"/>
  <c r="B36" i="48"/>
  <c r="AT36" i="48" s="1"/>
  <c r="AX36" i="48"/>
  <c r="R17" i="49"/>
  <c r="IE17" i="49"/>
  <c r="HS17" i="49" s="1"/>
  <c r="DP45" i="51"/>
  <c r="BY80" i="50"/>
  <c r="I88" i="48" s="1"/>
  <c r="KJ80" i="50"/>
  <c r="KM80" i="50" s="1"/>
  <c r="G88" i="48"/>
  <c r="BV80" i="50"/>
  <c r="F88" i="48" s="1"/>
  <c r="LD44" i="50"/>
  <c r="LF44" i="50" s="1"/>
  <c r="CZ44" i="50"/>
  <c r="AF63" i="48" s="1"/>
  <c r="AB63" i="48" s="1"/>
  <c r="CX44" i="50"/>
  <c r="AD63" i="48" s="1"/>
  <c r="Z63" i="48" s="1"/>
  <c r="AE63" i="48"/>
  <c r="AA63" i="48" s="1"/>
  <c r="DA44" i="50"/>
  <c r="AG63" i="48" s="1"/>
  <c r="AC63" i="48" s="1"/>
  <c r="CN79" i="50"/>
  <c r="CN134" i="50" s="1"/>
  <c r="CK134" i="50" s="1"/>
  <c r="S72" i="48"/>
  <c r="O72" i="48" s="1"/>
  <c r="CJ79" i="50"/>
  <c r="R72" i="48" s="1"/>
  <c r="N72" i="48" s="1"/>
  <c r="KT79" i="50"/>
  <c r="KV79" i="50" s="1"/>
  <c r="CL79" i="50"/>
  <c r="T72" i="48" s="1"/>
  <c r="P72" i="48" s="1"/>
  <c r="IR133" i="50"/>
  <c r="IR131" i="50" s="1"/>
  <c r="JO133" i="50"/>
  <c r="JY133" i="50"/>
  <c r="AE51" i="44"/>
  <c r="AH51" i="44"/>
  <c r="AK51" i="44"/>
  <c r="AN51" i="44"/>
  <c r="AB51" i="44"/>
  <c r="AZ21" i="44"/>
  <c r="AW21" i="44"/>
  <c r="AT21" i="44"/>
  <c r="AQ21" i="44"/>
  <c r="BC21" i="44"/>
  <c r="M10" i="37"/>
  <c r="K36" i="37"/>
  <c r="B15" i="35" s="1"/>
  <c r="EJ45" i="51"/>
  <c r="HG33" i="49"/>
  <c r="EE17" i="49"/>
  <c r="K52" i="48"/>
  <c r="HR66" i="49"/>
  <c r="J52" i="48" s="1"/>
  <c r="KZ66" i="49"/>
  <c r="AW31" i="44"/>
  <c r="AT31" i="44"/>
  <c r="AZ31" i="44"/>
  <c r="AQ31" i="44"/>
  <c r="BC31" i="44"/>
  <c r="KV49" i="49"/>
  <c r="KU49" i="49"/>
  <c r="BY64" i="50"/>
  <c r="I95" i="48" s="1"/>
  <c r="KJ64" i="50"/>
  <c r="KM64" i="50" s="1"/>
  <c r="DP40" i="51"/>
  <c r="BV64" i="50"/>
  <c r="F95" i="48" s="1"/>
  <c r="G95" i="48"/>
  <c r="CM113" i="50"/>
  <c r="KT113" i="50"/>
  <c r="KW113" i="50" s="1"/>
  <c r="CJ113" i="50"/>
  <c r="KS28" i="49"/>
  <c r="KR28" i="49"/>
  <c r="CX98" i="50"/>
  <c r="AD92" i="48" s="1"/>
  <c r="Z92" i="48" s="1"/>
  <c r="DA98" i="50"/>
  <c r="AG92" i="48" s="1"/>
  <c r="AC92" i="48" s="1"/>
  <c r="AE92" i="48"/>
  <c r="AA92" i="48" s="1"/>
  <c r="LD98" i="50"/>
  <c r="LG98" i="50" s="1"/>
  <c r="AE139" i="50"/>
  <c r="AE75" i="50"/>
  <c r="S90" i="48"/>
  <c r="O90" i="48" s="1"/>
  <c r="KT90" i="50"/>
  <c r="KW90" i="50" s="1"/>
  <c r="CM90" i="50"/>
  <c r="U90" i="48" s="1"/>
  <c r="Q90" i="48" s="1"/>
  <c r="HR39" i="49"/>
  <c r="J29" i="48" s="1"/>
  <c r="HT39" i="49"/>
  <c r="L29" i="48" s="1"/>
  <c r="KZ39" i="49"/>
  <c r="HU39" i="49"/>
  <c r="M29" i="48" s="1"/>
  <c r="BS27" i="50"/>
  <c r="K29" i="48"/>
  <c r="S78" i="48"/>
  <c r="O78" i="48" s="1"/>
  <c r="CL46" i="50"/>
  <c r="T78" i="48" s="1"/>
  <c r="P78" i="48" s="1"/>
  <c r="CJ46" i="50"/>
  <c r="R78" i="48" s="1"/>
  <c r="N78" i="48" s="1"/>
  <c r="KU35" i="49"/>
  <c r="KT33" i="49"/>
  <c r="S15" i="37"/>
  <c r="HI35" i="49"/>
  <c r="I25" i="48" s="1"/>
  <c r="BP22" i="50"/>
  <c r="HF35" i="49"/>
  <c r="F25" i="48" s="1"/>
  <c r="KQ35" i="49"/>
  <c r="HH35" i="49"/>
  <c r="H25" i="48" s="1"/>
  <c r="G25" i="48"/>
  <c r="LA34" i="49"/>
  <c r="EJ35" i="51"/>
  <c r="EK77" i="51"/>
  <c r="EK81" i="51"/>
  <c r="EK87" i="51"/>
  <c r="EK89" i="51"/>
  <c r="EK75" i="51"/>
  <c r="EK91" i="51"/>
  <c r="EK79" i="51"/>
  <c r="KT50" i="50"/>
  <c r="KW50" i="50" s="1"/>
  <c r="KJ117" i="50"/>
  <c r="CB117" i="50"/>
  <c r="BE134" i="48" s="1"/>
  <c r="BZ117" i="50"/>
  <c r="CA117" i="50"/>
  <c r="BD134" i="48" s="1"/>
  <c r="BV117" i="50"/>
  <c r="HJ75" i="49"/>
  <c r="HG75" i="49"/>
  <c r="DP30" i="51" s="1"/>
  <c r="CA135" i="48"/>
  <c r="CB135" i="48" s="1"/>
  <c r="KK122" i="50"/>
  <c r="MS122" i="50" s="1"/>
  <c r="MT122" i="50" s="1"/>
  <c r="KN122" i="50"/>
  <c r="KX122" i="50"/>
  <c r="KU122" i="50"/>
  <c r="MW122" i="50" s="1"/>
  <c r="MX122" i="50" s="1"/>
  <c r="CJ50" i="50" l="1"/>
  <c r="R84" i="48" s="1"/>
  <c r="N84" i="48" s="1"/>
  <c r="BV54" i="50"/>
  <c r="F65" i="48" s="1"/>
  <c r="DC107" i="50"/>
  <c r="LB40" i="49"/>
  <c r="LA40" i="49"/>
  <c r="FE90" i="50"/>
  <c r="DZ47" i="51"/>
  <c r="FH90" i="50"/>
  <c r="T11" i="37"/>
  <c r="HZ112" i="14"/>
  <c r="FE89" i="50"/>
  <c r="FI89" i="50"/>
  <c r="FI145" i="50" s="1"/>
  <c r="FF145" i="50" s="1"/>
  <c r="FG89" i="50"/>
  <c r="GS58" i="10"/>
  <c r="GT59" i="10"/>
  <c r="GU59" i="10"/>
  <c r="LA50" i="49"/>
  <c r="LB50" i="49"/>
  <c r="GJ17" i="10"/>
  <c r="JF112" i="14"/>
  <c r="DM89" i="50"/>
  <c r="DM90" i="50"/>
  <c r="S84" i="48"/>
  <c r="O84" i="48" s="1"/>
  <c r="BC135" i="18"/>
  <c r="LN122" i="14"/>
  <c r="DL122" i="14"/>
  <c r="DQ122" i="14"/>
  <c r="BF135" i="18" s="1"/>
  <c r="DP122" i="14"/>
  <c r="DR122" i="14"/>
  <c r="BG135" i="18" s="1"/>
  <c r="GS52" i="10"/>
  <c r="GS45" i="10"/>
  <c r="IO144" i="50"/>
  <c r="ED87" i="11"/>
  <c r="EH87" i="11" s="1"/>
  <c r="AN115" i="18" s="1"/>
  <c r="BZ97" i="14"/>
  <c r="BV97" i="14"/>
  <c r="F77" i="18" s="1"/>
  <c r="AX77" i="18" s="1"/>
  <c r="BX97" i="14"/>
  <c r="H77" i="18" s="1"/>
  <c r="KJ97" i="14"/>
  <c r="KL97" i="14" s="1"/>
  <c r="G77" i="18"/>
  <c r="AY77" i="18" s="1"/>
  <c r="FH98" i="14"/>
  <c r="FE98" i="14"/>
  <c r="DZ49" i="11"/>
  <c r="DD107" i="50"/>
  <c r="KJ45" i="50"/>
  <c r="KM45" i="50" s="1"/>
  <c r="LD107" i="50"/>
  <c r="LH107" i="50" s="1"/>
  <c r="G83" i="48"/>
  <c r="BV45" i="50"/>
  <c r="F83" i="48" s="1"/>
  <c r="B83" i="48" s="1"/>
  <c r="AT83" i="48" s="1"/>
  <c r="BY45" i="50"/>
  <c r="I83" i="48" s="1"/>
  <c r="E83" i="48" s="1"/>
  <c r="AW83" i="48" s="1"/>
  <c r="ED91" i="51"/>
  <c r="EE91" i="51" s="1"/>
  <c r="GU42" i="10"/>
  <c r="GT42" i="10"/>
  <c r="B11" i="35"/>
  <c r="GL45" i="10"/>
  <c r="DM98" i="14"/>
  <c r="DM97" i="14"/>
  <c r="GX96" i="14"/>
  <c r="GX74" i="14" s="1"/>
  <c r="IQ131" i="50"/>
  <c r="G92" i="18"/>
  <c r="AY92" i="18" s="1"/>
  <c r="DP49" i="11"/>
  <c r="KJ98" i="14"/>
  <c r="KM98" i="14" s="1"/>
  <c r="BY98" i="14"/>
  <c r="I92" i="18" s="1"/>
  <c r="BV98" i="14"/>
  <c r="F92" i="18" s="1"/>
  <c r="AX92" i="18" s="1"/>
  <c r="FE97" i="14"/>
  <c r="FI97" i="14"/>
  <c r="FG97" i="14"/>
  <c r="ED77" i="51"/>
  <c r="EE77" i="51" s="1"/>
  <c r="HX107" i="14"/>
  <c r="ED77" i="11"/>
  <c r="HT107" i="14"/>
  <c r="HY107" i="14"/>
  <c r="DP37" i="51"/>
  <c r="ED75" i="51"/>
  <c r="EF75" i="51" s="1"/>
  <c r="G65" i="48"/>
  <c r="AY65" i="48" s="1"/>
  <c r="KJ54" i="50"/>
  <c r="KL54" i="50" s="1"/>
  <c r="BX54" i="50"/>
  <c r="H65" i="48" s="1"/>
  <c r="I34" i="44" s="1"/>
  <c r="IR131" i="14"/>
  <c r="ED91" i="11"/>
  <c r="BA87" i="51"/>
  <c r="AX87" i="51" s="1"/>
  <c r="ED79" i="11"/>
  <c r="JF107" i="50"/>
  <c r="JI107" i="50" s="1"/>
  <c r="BV132" i="48" s="1"/>
  <c r="BA77" i="51"/>
  <c r="AX77" i="51" s="1"/>
  <c r="JR133" i="14"/>
  <c r="JQ133" i="14" s="1"/>
  <c r="ED75" i="11"/>
  <c r="IO133" i="14"/>
  <c r="BI142" i="18"/>
  <c r="BX44" i="50"/>
  <c r="H63" i="48" s="1"/>
  <c r="BR91" i="51"/>
  <c r="BA91" i="51"/>
  <c r="AX91" i="51" s="1"/>
  <c r="BV44" i="50"/>
  <c r="F63" i="48" s="1"/>
  <c r="AX63" i="48" s="1"/>
  <c r="KJ44" i="50"/>
  <c r="KL44" i="50" s="1"/>
  <c r="BA79" i="51"/>
  <c r="AX79" i="51" s="1"/>
  <c r="BA89" i="51"/>
  <c r="AX89" i="51" s="1"/>
  <c r="ED81" i="11"/>
  <c r="ED89" i="11"/>
  <c r="JK133" i="14"/>
  <c r="IQ131" i="14"/>
  <c r="IP131" i="14"/>
  <c r="LD108" i="50"/>
  <c r="LG108" i="50" s="1"/>
  <c r="ED79" i="51"/>
  <c r="EE79" i="51" s="1"/>
  <c r="EW62" i="51"/>
  <c r="DA108" i="50"/>
  <c r="FO73" i="51"/>
  <c r="FO68" i="51" s="1"/>
  <c r="FO72" i="51"/>
  <c r="CO77" i="51"/>
  <c r="CU77" i="51" s="1"/>
  <c r="CQ77" i="51" s="1"/>
  <c r="ED89" i="51"/>
  <c r="EE89" i="51" s="1"/>
  <c r="BA81" i="51"/>
  <c r="AX81" i="51" s="1"/>
  <c r="E53" i="51"/>
  <c r="E52" i="51" s="1"/>
  <c r="F52" i="51"/>
  <c r="G52" i="51" s="1"/>
  <c r="BR75" i="51"/>
  <c r="CH62" i="51"/>
  <c r="GT49" i="10"/>
  <c r="GU49" i="10"/>
  <c r="FO71" i="11"/>
  <c r="FO79" i="11"/>
  <c r="FO70" i="11"/>
  <c r="DM126" i="14"/>
  <c r="DM127" i="14"/>
  <c r="GT29" i="10"/>
  <c r="GU29" i="10"/>
  <c r="DL155" i="14"/>
  <c r="J129" i="18" s="1"/>
  <c r="B129" i="18" s="1"/>
  <c r="AT129" i="18" s="1"/>
  <c r="DQ50" i="11"/>
  <c r="K129" i="18"/>
  <c r="C129" i="18" s="1"/>
  <c r="AU129" i="18" s="1"/>
  <c r="DO155" i="14"/>
  <c r="M129" i="18" s="1"/>
  <c r="E129" i="18" s="1"/>
  <c r="AW129" i="18" s="1"/>
  <c r="LN155" i="14"/>
  <c r="LQ155" i="14" s="1"/>
  <c r="JP138" i="14"/>
  <c r="JL138" i="14"/>
  <c r="IZ139" i="14" s="1"/>
  <c r="IW139" i="14"/>
  <c r="BV94" i="14"/>
  <c r="F91" i="18" s="1"/>
  <c r="BY94" i="14"/>
  <c r="I91" i="18" s="1"/>
  <c r="KJ94" i="14"/>
  <c r="KM94" i="14" s="1"/>
  <c r="G91" i="18"/>
  <c r="DP48" i="11"/>
  <c r="DN154" i="14"/>
  <c r="L128" i="18" s="1"/>
  <c r="D128" i="18" s="1"/>
  <c r="AV128" i="18" s="1"/>
  <c r="K128" i="18"/>
  <c r="C128" i="18" s="1"/>
  <c r="AU128" i="18" s="1"/>
  <c r="DL154" i="14"/>
  <c r="J128" i="18" s="1"/>
  <c r="B128" i="18" s="1"/>
  <c r="AT128" i="18" s="1"/>
  <c r="LN154" i="14"/>
  <c r="FO72" i="11"/>
  <c r="FO73" i="11"/>
  <c r="FO68" i="11" s="1"/>
  <c r="FO81" i="11"/>
  <c r="LN94" i="14"/>
  <c r="LQ94" i="14" s="1"/>
  <c r="K91" i="18"/>
  <c r="DO94" i="14"/>
  <c r="M91" i="18" s="1"/>
  <c r="DL94" i="14"/>
  <c r="J91" i="18" s="1"/>
  <c r="DQ48" i="11"/>
  <c r="BW75" i="14"/>
  <c r="KJ93" i="14"/>
  <c r="KL93" i="14" s="1"/>
  <c r="BZ93" i="14"/>
  <c r="BV93" i="14"/>
  <c r="G76" i="18"/>
  <c r="BX93" i="14"/>
  <c r="H76" i="18" s="1"/>
  <c r="K127" i="18"/>
  <c r="C127" i="18" s="1"/>
  <c r="AU127" i="18" s="1"/>
  <c r="DL153" i="14"/>
  <c r="J127" i="18" s="1"/>
  <c r="B127" i="18" s="1"/>
  <c r="AT127" i="18" s="1"/>
  <c r="LN153" i="14"/>
  <c r="GT46" i="10"/>
  <c r="GU46" i="10"/>
  <c r="DN93" i="14"/>
  <c r="L76" i="18" s="1"/>
  <c r="DP93" i="14"/>
  <c r="LN93" i="14"/>
  <c r="LP93" i="14" s="1"/>
  <c r="DL93" i="14"/>
  <c r="J76" i="18" s="1"/>
  <c r="K76" i="18"/>
  <c r="AX108" i="14"/>
  <c r="CM55" i="11"/>
  <c r="CM62" i="11" s="1"/>
  <c r="CS62" i="11" s="1"/>
  <c r="AX113" i="14"/>
  <c r="LR112" i="14"/>
  <c r="LO112" i="14"/>
  <c r="NE112" i="14" s="1"/>
  <c r="NF112" i="14" s="1"/>
  <c r="GU63" i="10"/>
  <c r="GS61" i="10"/>
  <c r="IO144" i="14"/>
  <c r="IO131" i="14" s="1"/>
  <c r="JI107" i="14"/>
  <c r="BV132" i="18" s="1"/>
  <c r="JE107" i="14"/>
  <c r="JJ107" i="14"/>
  <c r="BW132" i="18" s="1"/>
  <c r="JR144" i="14"/>
  <c r="JQ144" i="14" s="1"/>
  <c r="JE108" i="14"/>
  <c r="AP136" i="18" s="1"/>
  <c r="AQ136" i="18"/>
  <c r="JH108" i="14"/>
  <c r="AS136" i="18" s="1"/>
  <c r="FE69" i="14"/>
  <c r="DZ41" i="11"/>
  <c r="FH69" i="14"/>
  <c r="DM70" i="14"/>
  <c r="DM69" i="14"/>
  <c r="DM68" i="14"/>
  <c r="GU47" i="10"/>
  <c r="GT47" i="10"/>
  <c r="BJ142" i="18"/>
  <c r="BH142" i="18" s="1"/>
  <c r="JK144" i="14"/>
  <c r="FI68" i="14"/>
  <c r="FE68" i="14"/>
  <c r="FG68" i="14"/>
  <c r="FE70" i="14"/>
  <c r="DZ42" i="11"/>
  <c r="FH70" i="14"/>
  <c r="T62" i="11"/>
  <c r="F23" i="11"/>
  <c r="E23" i="11" s="1"/>
  <c r="CN81" i="11"/>
  <c r="CT81" i="11" s="1"/>
  <c r="EW62" i="11"/>
  <c r="FO75" i="11"/>
  <c r="GT35" i="10"/>
  <c r="GS33" i="10"/>
  <c r="FH127" i="14"/>
  <c r="DZ55" i="11"/>
  <c r="FE127" i="14"/>
  <c r="CN79" i="11"/>
  <c r="CT79" i="11" s="1"/>
  <c r="CT64" i="11" s="1"/>
  <c r="F22" i="11"/>
  <c r="S62" i="11"/>
  <c r="FH126" i="14"/>
  <c r="FG126" i="14"/>
  <c r="FE126" i="14"/>
  <c r="GU23" i="10"/>
  <c r="GT23" i="10"/>
  <c r="JE112" i="14"/>
  <c r="JI112" i="14"/>
  <c r="BV133" i="18" s="1"/>
  <c r="JJ112" i="14"/>
  <c r="BW133" i="18" s="1"/>
  <c r="JE113" i="14"/>
  <c r="AP137" i="18" s="1"/>
  <c r="AQ137" i="18"/>
  <c r="JH113" i="14"/>
  <c r="AS137" i="18" s="1"/>
  <c r="AZ75" i="11"/>
  <c r="BJ62" i="11"/>
  <c r="B95" i="18"/>
  <c r="AT95" i="18" s="1"/>
  <c r="AX95" i="18"/>
  <c r="KK112" i="14"/>
  <c r="MS112" i="14" s="1"/>
  <c r="MT112" i="14" s="1"/>
  <c r="KN112" i="14"/>
  <c r="BV45" i="14"/>
  <c r="F83" i="18" s="1"/>
  <c r="DP35" i="11"/>
  <c r="G83" i="18"/>
  <c r="BY45" i="14"/>
  <c r="I83" i="18" s="1"/>
  <c r="KJ45" i="14"/>
  <c r="KM45" i="14" s="1"/>
  <c r="BV70" i="14"/>
  <c r="F97" i="18" s="1"/>
  <c r="KJ70" i="14"/>
  <c r="KM70" i="14" s="1"/>
  <c r="G97" i="18"/>
  <c r="BY70" i="14"/>
  <c r="I97" i="18" s="1"/>
  <c r="DP42" i="11"/>
  <c r="BD142" i="18"/>
  <c r="FF73" i="11"/>
  <c r="FF68" i="11" s="1"/>
  <c r="FF72" i="11"/>
  <c r="FF81" i="11"/>
  <c r="BA65" i="18"/>
  <c r="E65" i="18"/>
  <c r="AW65" i="18" s="1"/>
  <c r="LR117" i="14"/>
  <c r="LO117" i="14"/>
  <c r="NE117" i="14" s="1"/>
  <c r="NF117" i="14" s="1"/>
  <c r="E95" i="18"/>
  <c r="AW95" i="18" s="1"/>
  <c r="BA95" i="18"/>
  <c r="BX68" i="14"/>
  <c r="H69" i="18" s="1"/>
  <c r="KJ68" i="14"/>
  <c r="KL68" i="14" s="1"/>
  <c r="BV68" i="14"/>
  <c r="F69" i="18" s="1"/>
  <c r="G69" i="18"/>
  <c r="BZ68" i="14"/>
  <c r="FF75" i="11"/>
  <c r="ET62" i="11"/>
  <c r="ET65" i="11"/>
  <c r="C65" i="18"/>
  <c r="AU65" i="18" s="1"/>
  <c r="AY65" i="18"/>
  <c r="AY85" i="18"/>
  <c r="C85" i="18"/>
  <c r="AU85" i="18" s="1"/>
  <c r="BV69" i="14"/>
  <c r="F96" i="18" s="1"/>
  <c r="BY69" i="14"/>
  <c r="I96" i="18" s="1"/>
  <c r="G96" i="18"/>
  <c r="DP41" i="11"/>
  <c r="KJ69" i="14"/>
  <c r="KM69" i="14" s="1"/>
  <c r="DR145" i="14"/>
  <c r="BG142" i="18" s="1"/>
  <c r="BC142" i="18" s="1"/>
  <c r="DL145" i="14"/>
  <c r="DQ145" i="14"/>
  <c r="BF142" i="18" s="1"/>
  <c r="FF71" i="11"/>
  <c r="FF70" i="11"/>
  <c r="FF79" i="11"/>
  <c r="CO75" i="11"/>
  <c r="CU75" i="11" s="1"/>
  <c r="CO89" i="11"/>
  <c r="CU89" i="11" s="1"/>
  <c r="CQ89" i="11" s="1"/>
  <c r="CO87" i="11"/>
  <c r="CU87" i="11" s="1"/>
  <c r="CO77" i="11"/>
  <c r="CU77" i="11" s="1"/>
  <c r="CQ77" i="11" s="1"/>
  <c r="CO81" i="11"/>
  <c r="CU81" i="11" s="1"/>
  <c r="CO91" i="11"/>
  <c r="CU91" i="11" s="1"/>
  <c r="CQ91" i="11" s="1"/>
  <c r="B65" i="18"/>
  <c r="AT65" i="18" s="1"/>
  <c r="AX65" i="18"/>
  <c r="AY95" i="18"/>
  <c r="C95" i="18"/>
  <c r="AU95" i="18" s="1"/>
  <c r="FE44" i="14"/>
  <c r="FH44" i="14"/>
  <c r="FG44" i="14"/>
  <c r="AY108" i="14"/>
  <c r="BB108" i="14" s="1"/>
  <c r="DT107" i="14" s="1"/>
  <c r="BC108" i="14"/>
  <c r="BA108" i="14"/>
  <c r="AZ108" i="14"/>
  <c r="CT83" i="11"/>
  <c r="EJ81" i="11"/>
  <c r="FD81" i="11"/>
  <c r="FE81" i="11" s="1"/>
  <c r="ES81" i="11" s="1"/>
  <c r="EN81" i="11" s="1"/>
  <c r="D65" i="18"/>
  <c r="AV65" i="18" s="1"/>
  <c r="AZ65" i="18"/>
  <c r="B85" i="18"/>
  <c r="AT85" i="18" s="1"/>
  <c r="AX85" i="18"/>
  <c r="ET84" i="11"/>
  <c r="FI107" i="14"/>
  <c r="FK107" i="14"/>
  <c r="FE107" i="14"/>
  <c r="FJ107" i="14" s="1"/>
  <c r="AY113" i="14"/>
  <c r="BA113" i="14"/>
  <c r="BC113" i="14"/>
  <c r="AZ113" i="14"/>
  <c r="GU43" i="10"/>
  <c r="GT43" i="10"/>
  <c r="GS37" i="10"/>
  <c r="FD77" i="11"/>
  <c r="FE77" i="11" s="1"/>
  <c r="ES77" i="11" s="1"/>
  <c r="EN77" i="11" s="1"/>
  <c r="EJ77" i="11"/>
  <c r="BJ140" i="18"/>
  <c r="BH140" i="18" s="1"/>
  <c r="GU30" i="10"/>
  <c r="GT30" i="10"/>
  <c r="GS27" i="10"/>
  <c r="E85" i="18"/>
  <c r="AW85" i="18" s="1"/>
  <c r="BA85" i="18"/>
  <c r="DR139" i="14"/>
  <c r="BG141" i="18" s="1"/>
  <c r="BC141" i="18" s="1"/>
  <c r="DL139" i="14"/>
  <c r="DQ139" i="14"/>
  <c r="BF141" i="18" s="1"/>
  <c r="BB141" i="18" s="1"/>
  <c r="LN139" i="14"/>
  <c r="CT84" i="11"/>
  <c r="J72" i="18"/>
  <c r="B72" i="18" s="1"/>
  <c r="AT72" i="18" s="1"/>
  <c r="FD79" i="11"/>
  <c r="FE79" i="11" s="1"/>
  <c r="ES79" i="11" s="1"/>
  <c r="EN79" i="11" s="1"/>
  <c r="EJ79" i="11"/>
  <c r="FG46" i="14"/>
  <c r="FE46" i="14"/>
  <c r="CM89" i="11"/>
  <c r="FI81" i="11"/>
  <c r="FI73" i="11"/>
  <c r="FI68" i="11" s="1"/>
  <c r="FI72" i="11"/>
  <c r="FD89" i="11"/>
  <c r="FE89" i="11" s="1"/>
  <c r="ES89" i="11" s="1"/>
  <c r="EN89" i="11" s="1"/>
  <c r="EJ89" i="11"/>
  <c r="FH108" i="14"/>
  <c r="FE108" i="14"/>
  <c r="DZ53" i="11"/>
  <c r="CM81" i="11"/>
  <c r="DQ134" i="14"/>
  <c r="BF140" i="18" s="1"/>
  <c r="BB140" i="18" s="1"/>
  <c r="DL134" i="14"/>
  <c r="DR134" i="14"/>
  <c r="BG140" i="18" s="1"/>
  <c r="BC140" i="18" s="1"/>
  <c r="FI75" i="11"/>
  <c r="EU62" i="11"/>
  <c r="FD75" i="11"/>
  <c r="FE75" i="11" s="1"/>
  <c r="ES75" i="11" s="1"/>
  <c r="EN75" i="11" s="1"/>
  <c r="EJ75" i="11"/>
  <c r="BX126" i="14"/>
  <c r="H123" i="18" s="1"/>
  <c r="G123" i="18"/>
  <c r="KJ126" i="14"/>
  <c r="KL126" i="14" s="1"/>
  <c r="BV126" i="14"/>
  <c r="F123" i="18" s="1"/>
  <c r="DZ35" i="11"/>
  <c r="FH45" i="14"/>
  <c r="FE45" i="14"/>
  <c r="CT65" i="11"/>
  <c r="FI70" i="11"/>
  <c r="FI79" i="11"/>
  <c r="FI71" i="11"/>
  <c r="EJ91" i="11"/>
  <c r="FD91" i="11"/>
  <c r="FE91" i="11" s="1"/>
  <c r="ES91" i="11" s="1"/>
  <c r="EN91" i="11" s="1"/>
  <c r="AY68" i="18"/>
  <c r="C68" i="18"/>
  <c r="AU68" i="18" s="1"/>
  <c r="E84" i="18"/>
  <c r="AW84" i="18" s="1"/>
  <c r="BA84" i="18"/>
  <c r="AY64" i="18"/>
  <c r="C64" i="18"/>
  <c r="AU64" i="18" s="1"/>
  <c r="DM45" i="14"/>
  <c r="DM44" i="14"/>
  <c r="DM107" i="14"/>
  <c r="DM108" i="14"/>
  <c r="DM46" i="14"/>
  <c r="EJ87" i="11"/>
  <c r="FD87" i="11"/>
  <c r="FE87" i="11" s="1"/>
  <c r="ES87" i="11" s="1"/>
  <c r="EN87" i="11" s="1"/>
  <c r="BP140" i="18"/>
  <c r="BN140" i="18" s="1"/>
  <c r="AX68" i="18"/>
  <c r="B68" i="18"/>
  <c r="AT68" i="18" s="1"/>
  <c r="AY84" i="18"/>
  <c r="C84" i="18"/>
  <c r="AU84" i="18" s="1"/>
  <c r="CM87" i="11"/>
  <c r="GT20" i="10"/>
  <c r="GU20" i="10"/>
  <c r="GS19" i="10"/>
  <c r="BC134" i="18"/>
  <c r="KK122" i="14"/>
  <c r="MS122" i="14" s="1"/>
  <c r="MT122" i="14" s="1"/>
  <c r="KN122" i="14"/>
  <c r="BY44" i="14"/>
  <c r="I63" i="18" s="1"/>
  <c r="G63" i="18"/>
  <c r="BX44" i="14"/>
  <c r="H63" i="18" s="1"/>
  <c r="BV44" i="14"/>
  <c r="F63" i="18" s="1"/>
  <c r="KJ44" i="14"/>
  <c r="KL44" i="14" s="1"/>
  <c r="AX84" i="18"/>
  <c r="B84" i="18"/>
  <c r="AT84" i="18" s="1"/>
  <c r="D64" i="18"/>
  <c r="AV64" i="18" s="1"/>
  <c r="AZ64" i="18"/>
  <c r="CM77" i="11"/>
  <c r="BW59" i="14"/>
  <c r="BX59" i="14" s="1"/>
  <c r="H67" i="18" s="1"/>
  <c r="BD135" i="18"/>
  <c r="NQ122" i="14"/>
  <c r="BY108" i="14"/>
  <c r="DP53" i="11"/>
  <c r="BV108" i="14"/>
  <c r="KJ108" i="14"/>
  <c r="KM108" i="14" s="1"/>
  <c r="KX112" i="14"/>
  <c r="KU112" i="14"/>
  <c r="MW112" i="14" s="1"/>
  <c r="MX112" i="14" s="1"/>
  <c r="BA64" i="18"/>
  <c r="E64" i="18"/>
  <c r="AW64" i="18" s="1"/>
  <c r="KK117" i="14"/>
  <c r="MS117" i="14" s="1"/>
  <c r="MT117" i="14" s="1"/>
  <c r="KN117" i="14"/>
  <c r="LH107" i="14"/>
  <c r="LE107" i="14"/>
  <c r="NA107" i="14" s="1"/>
  <c r="NB107" i="14" s="1"/>
  <c r="G78" i="18"/>
  <c r="BV46" i="14"/>
  <c r="F78" i="18" s="1"/>
  <c r="KJ46" i="14"/>
  <c r="BX46" i="14"/>
  <c r="H78" i="18" s="1"/>
  <c r="KJ127" i="14"/>
  <c r="KM127" i="14" s="1"/>
  <c r="BV127" i="14"/>
  <c r="F124" i="18" s="1"/>
  <c r="DP55" i="11"/>
  <c r="BY127" i="14"/>
  <c r="I124" i="18" s="1"/>
  <c r="G124" i="18"/>
  <c r="AX64" i="18"/>
  <c r="B64" i="18"/>
  <c r="AT64" i="18" s="1"/>
  <c r="CM75" i="11"/>
  <c r="D68" i="18"/>
  <c r="AV68" i="18" s="1"/>
  <c r="AZ68" i="18"/>
  <c r="BD134" i="18"/>
  <c r="NQ117" i="14"/>
  <c r="CA107" i="14"/>
  <c r="NQ107" i="14" s="1"/>
  <c r="CB107" i="14"/>
  <c r="BV107" i="14"/>
  <c r="KJ107" i="14"/>
  <c r="BZ107" i="14"/>
  <c r="C46" i="48"/>
  <c r="AU46" i="48" s="1"/>
  <c r="AY46" i="48"/>
  <c r="CO91" i="51"/>
  <c r="CU91" i="51" s="1"/>
  <c r="CQ91" i="51" s="1"/>
  <c r="CB112" i="50"/>
  <c r="AZ46" i="48"/>
  <c r="D46" i="48"/>
  <c r="AV46" i="48" s="1"/>
  <c r="BZ112" i="50"/>
  <c r="BA46" i="48"/>
  <c r="E46" i="48"/>
  <c r="AW46" i="48" s="1"/>
  <c r="KJ112" i="50"/>
  <c r="AX46" i="48"/>
  <c r="B46" i="48"/>
  <c r="AT46" i="48" s="1"/>
  <c r="HH52" i="49"/>
  <c r="H42" i="48" s="1"/>
  <c r="I46" i="44" s="1"/>
  <c r="M46" i="44" s="1"/>
  <c r="BF46" i="44" s="1"/>
  <c r="ED87" i="51"/>
  <c r="EE87" i="51" s="1"/>
  <c r="BA108" i="50"/>
  <c r="G35" i="48"/>
  <c r="C35" i="48" s="1"/>
  <c r="AU35" i="48" s="1"/>
  <c r="HI45" i="49"/>
  <c r="I35" i="48" s="1"/>
  <c r="BA35" i="48" s="1"/>
  <c r="BW155" i="50"/>
  <c r="BW153" i="50"/>
  <c r="BW154" i="50"/>
  <c r="DS17" i="49"/>
  <c r="DS14" i="49" s="1"/>
  <c r="C55" i="48"/>
  <c r="AU55" i="48" s="1"/>
  <c r="BA113" i="50"/>
  <c r="JL144" i="50"/>
  <c r="IZ145" i="50" s="1"/>
  <c r="BV142" i="48" s="1"/>
  <c r="IW145" i="50"/>
  <c r="KT145" i="50" s="1"/>
  <c r="LD45" i="50"/>
  <c r="LG45" i="50" s="1"/>
  <c r="CX45" i="50"/>
  <c r="AD83" i="48" s="1"/>
  <c r="Z83" i="48" s="1"/>
  <c r="DZ50" i="51"/>
  <c r="FH155" i="50"/>
  <c r="FE155" i="50"/>
  <c r="FG154" i="50"/>
  <c r="FE154" i="50"/>
  <c r="FO67" i="51"/>
  <c r="DM154" i="50"/>
  <c r="DM153" i="50"/>
  <c r="DM155" i="50"/>
  <c r="BZ63" i="50"/>
  <c r="KJ63" i="50"/>
  <c r="KL63" i="50" s="1"/>
  <c r="BV63" i="50"/>
  <c r="F68" i="48" s="1"/>
  <c r="AX68" i="48" s="1"/>
  <c r="BX63" i="50"/>
  <c r="H68" i="48" s="1"/>
  <c r="AZ68" i="48" s="1"/>
  <c r="E15" i="48"/>
  <c r="AW15" i="48" s="1"/>
  <c r="KZ52" i="49"/>
  <c r="AX92" i="48"/>
  <c r="KQ52" i="49"/>
  <c r="D15" i="48"/>
  <c r="AV15" i="48" s="1"/>
  <c r="AX77" i="48"/>
  <c r="T26" i="37"/>
  <c r="GX102" i="50"/>
  <c r="KZ33" i="49"/>
  <c r="T16" i="37"/>
  <c r="KJ126" i="50"/>
  <c r="KL126" i="50" s="1"/>
  <c r="BV126" i="50"/>
  <c r="F123" i="48" s="1"/>
  <c r="B123" i="48" s="1"/>
  <c r="AT123" i="48" s="1"/>
  <c r="BX126" i="50"/>
  <c r="H123" i="48" s="1"/>
  <c r="AZ123" i="48" s="1"/>
  <c r="KY29" i="49"/>
  <c r="D44" i="48"/>
  <c r="AV44" i="48" s="1"/>
  <c r="M27" i="37"/>
  <c r="CK154" i="50"/>
  <c r="CK155" i="50"/>
  <c r="CK153" i="50"/>
  <c r="C33" i="48"/>
  <c r="AU33" i="48" s="1"/>
  <c r="KY43" i="49"/>
  <c r="KX43" i="49"/>
  <c r="E44" i="48"/>
  <c r="AW44" i="48" s="1"/>
  <c r="BV94" i="50"/>
  <c r="F91" i="48" s="1"/>
  <c r="BY94" i="50"/>
  <c r="I91" i="48" s="1"/>
  <c r="DP48" i="51"/>
  <c r="KJ94" i="50"/>
  <c r="KM94" i="50" s="1"/>
  <c r="G91" i="48"/>
  <c r="KJ93" i="50"/>
  <c r="KL93" i="50" s="1"/>
  <c r="G76" i="48"/>
  <c r="C76" i="48" s="1"/>
  <c r="AU76" i="48" s="1"/>
  <c r="BZ93" i="50"/>
  <c r="BV93" i="50"/>
  <c r="F76" i="48" s="1"/>
  <c r="BX93" i="50"/>
  <c r="H76" i="48" s="1"/>
  <c r="AY92" i="48"/>
  <c r="KW19" i="49"/>
  <c r="KZ65" i="49"/>
  <c r="M17" i="37"/>
  <c r="KY48" i="49"/>
  <c r="KX48" i="49"/>
  <c r="KW45" i="49"/>
  <c r="DA50" i="50"/>
  <c r="AG84" i="48" s="1"/>
  <c r="AC84" i="48" s="1"/>
  <c r="AE84" i="48"/>
  <c r="AA84" i="48" s="1"/>
  <c r="CX50" i="50"/>
  <c r="AD84" i="48" s="1"/>
  <c r="Z84" i="48" s="1"/>
  <c r="LD50" i="50"/>
  <c r="LG50" i="50" s="1"/>
  <c r="CX49" i="50"/>
  <c r="AD64" i="48" s="1"/>
  <c r="Z64" i="48" s="1"/>
  <c r="LD49" i="50"/>
  <c r="LF49" i="50" s="1"/>
  <c r="CZ49" i="50"/>
  <c r="AF64" i="48" s="1"/>
  <c r="AB64" i="48" s="1"/>
  <c r="AE64" i="48"/>
  <c r="AA64" i="48" s="1"/>
  <c r="DA49" i="50"/>
  <c r="AG64" i="48" s="1"/>
  <c r="AC64" i="48" s="1"/>
  <c r="KY31" i="49"/>
  <c r="KX31" i="49"/>
  <c r="KW27" i="49"/>
  <c r="KX49" i="49"/>
  <c r="KY49" i="49"/>
  <c r="KY45" i="49" s="1"/>
  <c r="KX25" i="49"/>
  <c r="KY25" i="49"/>
  <c r="KU59" i="49"/>
  <c r="KV59" i="49"/>
  <c r="KY41" i="49"/>
  <c r="KX41" i="49"/>
  <c r="CY94" i="50"/>
  <c r="CY93" i="50"/>
  <c r="KY24" i="49"/>
  <c r="KX24" i="49"/>
  <c r="AY49" i="48"/>
  <c r="C49" i="48"/>
  <c r="AU49" i="48" s="1"/>
  <c r="KW33" i="49"/>
  <c r="KX34" i="49"/>
  <c r="I41" i="44"/>
  <c r="AZ49" i="48"/>
  <c r="KQ58" i="49"/>
  <c r="KR59" i="49"/>
  <c r="KS59" i="49"/>
  <c r="AX49" i="48"/>
  <c r="B49" i="48"/>
  <c r="AT49" i="48" s="1"/>
  <c r="CY64" i="50"/>
  <c r="CY63" i="50"/>
  <c r="CY117" i="50"/>
  <c r="E49" i="48"/>
  <c r="AW49" i="48" s="1"/>
  <c r="BA49" i="48"/>
  <c r="D49" i="48"/>
  <c r="AV49" i="48" s="1"/>
  <c r="KY22" i="49"/>
  <c r="KX22" i="49"/>
  <c r="CY112" i="50"/>
  <c r="CY55" i="50"/>
  <c r="CY113" i="50"/>
  <c r="CY54" i="50"/>
  <c r="CY80" i="50"/>
  <c r="CY79" i="50"/>
  <c r="KX53" i="49"/>
  <c r="KW52" i="49"/>
  <c r="KX38" i="49"/>
  <c r="KY38" i="49"/>
  <c r="KW37" i="49"/>
  <c r="C44" i="48"/>
  <c r="AU44" i="48" s="1"/>
  <c r="AK34" i="44"/>
  <c r="AB34" i="44"/>
  <c r="AE34" i="44"/>
  <c r="AH34" i="44"/>
  <c r="AN34" i="44"/>
  <c r="GX74" i="50"/>
  <c r="F21" i="51"/>
  <c r="G21" i="51" s="1"/>
  <c r="E22" i="51"/>
  <c r="E21" i="51" s="1"/>
  <c r="GX131" i="50"/>
  <c r="B54" i="48"/>
  <c r="AT54" i="48" s="1"/>
  <c r="DZ37" i="51"/>
  <c r="FH55" i="50"/>
  <c r="FE55" i="50"/>
  <c r="FH113" i="50"/>
  <c r="FE113" i="50"/>
  <c r="DZ54" i="51"/>
  <c r="C54" i="48"/>
  <c r="AU54" i="48" s="1"/>
  <c r="FE54" i="50"/>
  <c r="FH54" i="50"/>
  <c r="FG54" i="50"/>
  <c r="BA75" i="51"/>
  <c r="AZ62" i="51"/>
  <c r="CT83" i="51"/>
  <c r="FI112" i="50"/>
  <c r="FE112" i="50"/>
  <c r="FJ112" i="50" s="1"/>
  <c r="FK112" i="50"/>
  <c r="R62" i="51"/>
  <c r="CN62" i="51"/>
  <c r="CT62" i="51" s="1"/>
  <c r="DM113" i="50"/>
  <c r="DM55" i="50"/>
  <c r="DM54" i="50"/>
  <c r="DM112" i="50"/>
  <c r="LA22" i="49"/>
  <c r="LB22" i="49"/>
  <c r="FE134" i="50"/>
  <c r="FJ134" i="50" s="1"/>
  <c r="FK134" i="50"/>
  <c r="DN79" i="50"/>
  <c r="L72" i="48" s="1"/>
  <c r="D72" i="48" s="1"/>
  <c r="AV72" i="48" s="1"/>
  <c r="K72" i="48"/>
  <c r="DL79" i="50"/>
  <c r="J72" i="48" s="1"/>
  <c r="DP79" i="50"/>
  <c r="DP134" i="50" s="1"/>
  <c r="DM134" i="50" s="1"/>
  <c r="LN79" i="50"/>
  <c r="LP79" i="50" s="1"/>
  <c r="LR122" i="50"/>
  <c r="LO122" i="50"/>
  <c r="NE122" i="50" s="1"/>
  <c r="NF122" i="50" s="1"/>
  <c r="LB43" i="49"/>
  <c r="LA43" i="49"/>
  <c r="DQ45" i="51"/>
  <c r="LN80" i="50"/>
  <c r="LQ80" i="50" s="1"/>
  <c r="DL80" i="50"/>
  <c r="J88" i="48" s="1"/>
  <c r="B88" i="48" s="1"/>
  <c r="AT88" i="48" s="1"/>
  <c r="DO80" i="50"/>
  <c r="M88" i="48" s="1"/>
  <c r="E88" i="48" s="1"/>
  <c r="AW88" i="48" s="1"/>
  <c r="K88" i="48"/>
  <c r="C21" i="48"/>
  <c r="AU21" i="48" s="1"/>
  <c r="B44" i="48"/>
  <c r="AT44" i="48" s="1"/>
  <c r="B21" i="48"/>
  <c r="AT21" i="48" s="1"/>
  <c r="C12" i="48"/>
  <c r="AU12" i="48" s="1"/>
  <c r="B12" i="48"/>
  <c r="AT12" i="48" s="1"/>
  <c r="LA31" i="49"/>
  <c r="LB31" i="49"/>
  <c r="S17" i="42"/>
  <c r="AA17" i="42" s="1"/>
  <c r="S17" i="43"/>
  <c r="AA17" i="43" s="1"/>
  <c r="S17" i="41"/>
  <c r="AA17" i="41" s="1"/>
  <c r="S17" i="40"/>
  <c r="AA17" i="40" s="1"/>
  <c r="M17" i="49"/>
  <c r="HG17" i="49" s="1"/>
  <c r="EE75" i="51"/>
  <c r="CO81" i="51"/>
  <c r="CU81" i="51" s="1"/>
  <c r="CO89" i="51"/>
  <c r="CU89" i="51" s="1"/>
  <c r="KV45" i="49"/>
  <c r="CM62" i="51"/>
  <c r="CS62" i="51" s="1"/>
  <c r="CO75" i="51"/>
  <c r="CU75" i="51" s="1"/>
  <c r="CQ75" i="51" s="1"/>
  <c r="CM79" i="51"/>
  <c r="CS79" i="51" s="1"/>
  <c r="CM77" i="51"/>
  <c r="CS77" i="51" s="1"/>
  <c r="CM89" i="51"/>
  <c r="CS89" i="51" s="1"/>
  <c r="CO62" i="51"/>
  <c r="CU62" i="51" s="1"/>
  <c r="CM91" i="51"/>
  <c r="CS91" i="51" s="1"/>
  <c r="CO79" i="51"/>
  <c r="CU79" i="51" s="1"/>
  <c r="CM87" i="51"/>
  <c r="CS87" i="51" s="1"/>
  <c r="CO87" i="51"/>
  <c r="CU87" i="51" s="1"/>
  <c r="CM75" i="51"/>
  <c r="CS75" i="51" s="1"/>
  <c r="CM81" i="51"/>
  <c r="CS81" i="51" s="1"/>
  <c r="C15" i="48"/>
  <c r="AU15" i="48" s="1"/>
  <c r="C11" i="48"/>
  <c r="AU11" i="48" s="1"/>
  <c r="FH49" i="50"/>
  <c r="FG49" i="50"/>
  <c r="FE49" i="50"/>
  <c r="JR133" i="50"/>
  <c r="JQ133" i="50" s="1"/>
  <c r="CT65" i="51"/>
  <c r="CT64" i="51"/>
  <c r="HU63" i="49"/>
  <c r="HR63" i="49"/>
  <c r="DQ27" i="51"/>
  <c r="KZ63" i="49"/>
  <c r="BC113" i="50"/>
  <c r="AY113" i="50"/>
  <c r="ED81" i="51"/>
  <c r="EE81" i="51" s="1"/>
  <c r="EE66" i="51" s="1"/>
  <c r="DM49" i="50"/>
  <c r="DM50" i="50"/>
  <c r="BC108" i="50"/>
  <c r="AY108" i="50"/>
  <c r="LB21" i="49"/>
  <c r="LA21" i="49"/>
  <c r="K21" i="37"/>
  <c r="M21" i="37" s="1"/>
  <c r="S21" i="37" s="1"/>
  <c r="KU117" i="50"/>
  <c r="MW117" i="50" s="1"/>
  <c r="MX117" i="50" s="1"/>
  <c r="KX117" i="50"/>
  <c r="HG108" i="50"/>
  <c r="II107" i="50"/>
  <c r="HU107" i="50"/>
  <c r="HG107" i="50"/>
  <c r="CT66" i="51"/>
  <c r="S18" i="42"/>
  <c r="AA18" i="42" s="1"/>
  <c r="S18" i="41"/>
  <c r="AA18" i="41" s="1"/>
  <c r="S18" i="43"/>
  <c r="AA18" i="43" s="1"/>
  <c r="S19" i="40"/>
  <c r="AA19" i="40" s="1"/>
  <c r="KT98" i="50"/>
  <c r="KW98" i="50" s="1"/>
  <c r="S92" i="48"/>
  <c r="O92" i="48" s="1"/>
  <c r="CJ98" i="50"/>
  <c r="R92" i="48" s="1"/>
  <c r="N92" i="48" s="1"/>
  <c r="CM98" i="50"/>
  <c r="U92" i="48" s="1"/>
  <c r="Q92" i="48" s="1"/>
  <c r="HF63" i="49"/>
  <c r="KQ63" i="49"/>
  <c r="DP27" i="51"/>
  <c r="HI63" i="49"/>
  <c r="CN97" i="50"/>
  <c r="CL97" i="50"/>
  <c r="T77" i="48" s="1"/>
  <c r="P77" i="48" s="1"/>
  <c r="CJ97" i="50"/>
  <c r="R77" i="48" s="1"/>
  <c r="N77" i="48" s="1"/>
  <c r="KT97" i="50"/>
  <c r="KV97" i="50" s="1"/>
  <c r="S77" i="48"/>
  <c r="O77" i="48" s="1"/>
  <c r="DP97" i="50"/>
  <c r="K77" i="48"/>
  <c r="DL97" i="50"/>
  <c r="J77" i="48" s="1"/>
  <c r="DN97" i="50"/>
  <c r="L77" i="48" s="1"/>
  <c r="D77" i="48" s="1"/>
  <c r="AV77" i="48" s="1"/>
  <c r="LN97" i="50"/>
  <c r="LP97" i="50" s="1"/>
  <c r="K20" i="37"/>
  <c r="M20" i="37" s="1"/>
  <c r="HG112" i="50"/>
  <c r="HG113" i="50"/>
  <c r="II112" i="50"/>
  <c r="HU112" i="50"/>
  <c r="DO98" i="50"/>
  <c r="M92" i="48" s="1"/>
  <c r="E92" i="48" s="1"/>
  <c r="AW92" i="48" s="1"/>
  <c r="DQ49" i="51"/>
  <c r="K92" i="48"/>
  <c r="DL98" i="50"/>
  <c r="J92" i="48" s="1"/>
  <c r="LN98" i="50"/>
  <c r="LQ98" i="50" s="1"/>
  <c r="DP36" i="51"/>
  <c r="BY50" i="50"/>
  <c r="I84" i="48" s="1"/>
  <c r="KJ50" i="50"/>
  <c r="KM50" i="50" s="1"/>
  <c r="G84" i="48"/>
  <c r="BV50" i="50"/>
  <c r="F84" i="48" s="1"/>
  <c r="AK35" i="44"/>
  <c r="AN35" i="44"/>
  <c r="AB35" i="44"/>
  <c r="AH35" i="44"/>
  <c r="AE35" i="44"/>
  <c r="BV49" i="50"/>
  <c r="F64" i="48" s="1"/>
  <c r="KJ49" i="50"/>
  <c r="KL49" i="50" s="1"/>
  <c r="G64" i="48"/>
  <c r="BY49" i="50"/>
  <c r="I64" i="48" s="1"/>
  <c r="BX49" i="50"/>
  <c r="H64" i="48" s="1"/>
  <c r="DZ36" i="51"/>
  <c r="FE50" i="50"/>
  <c r="FH50" i="50"/>
  <c r="B63" i="48"/>
  <c r="AT63" i="48" s="1"/>
  <c r="BA95" i="48"/>
  <c r="LA39" i="49"/>
  <c r="LB39" i="49"/>
  <c r="KZ37" i="49"/>
  <c r="EJ79" i="51"/>
  <c r="FD79" i="51"/>
  <c r="FE79" i="51" s="1"/>
  <c r="ES79" i="51" s="1"/>
  <c r="AZ72" i="48"/>
  <c r="C83" i="48"/>
  <c r="AU83" i="48" s="1"/>
  <c r="AY83" i="48"/>
  <c r="AY78" i="48"/>
  <c r="C78" i="48"/>
  <c r="AU78" i="48" s="1"/>
  <c r="AY29" i="48"/>
  <c r="C29" i="48"/>
  <c r="AU29" i="48" s="1"/>
  <c r="CJ69" i="50"/>
  <c r="R96" i="48" s="1"/>
  <c r="N96" i="48" s="1"/>
  <c r="CM69" i="50"/>
  <c r="U96" i="48" s="1"/>
  <c r="Q96" i="48" s="1"/>
  <c r="S96" i="48"/>
  <c r="O96" i="48" s="1"/>
  <c r="KT69" i="50"/>
  <c r="KW69" i="50" s="1"/>
  <c r="EI77" i="51"/>
  <c r="AO106" i="48" s="1"/>
  <c r="EF77" i="51"/>
  <c r="EH77" i="51"/>
  <c r="AN106" i="48" s="1"/>
  <c r="J12" i="44" s="1"/>
  <c r="AX83" i="48"/>
  <c r="CO139" i="50"/>
  <c r="BJ141" i="48" s="1"/>
  <c r="BH141" i="48" s="1"/>
  <c r="CP139" i="50"/>
  <c r="BK141" i="48" s="1"/>
  <c r="BI141" i="48" s="1"/>
  <c r="CJ139" i="50"/>
  <c r="CL68" i="50"/>
  <c r="T69" i="48" s="1"/>
  <c r="P69" i="48" s="1"/>
  <c r="S69" i="48"/>
  <c r="O69" i="48" s="1"/>
  <c r="CJ68" i="50"/>
  <c r="R69" i="48" s="1"/>
  <c r="N69" i="48" s="1"/>
  <c r="CN68" i="50"/>
  <c r="KT68" i="50"/>
  <c r="KV68" i="50" s="1"/>
  <c r="FD89" i="51"/>
  <c r="FE89" i="51" s="1"/>
  <c r="ES89" i="51" s="1"/>
  <c r="EJ89" i="51"/>
  <c r="T15" i="37"/>
  <c r="U15" i="37"/>
  <c r="S17" i="37"/>
  <c r="KX107" i="50"/>
  <c r="KU107" i="50"/>
  <c r="MW107" i="50" s="1"/>
  <c r="MX107" i="50" s="1"/>
  <c r="AX65" i="48"/>
  <c r="AY63" i="48"/>
  <c r="C63" i="48"/>
  <c r="AU63" i="48" s="1"/>
  <c r="EI91" i="51"/>
  <c r="AO117" i="48" s="1"/>
  <c r="EF91" i="51"/>
  <c r="EH91" i="51"/>
  <c r="AN117" i="48" s="1"/>
  <c r="J17" i="44" s="1"/>
  <c r="F72" i="48"/>
  <c r="KN107" i="50"/>
  <c r="KK107" i="50"/>
  <c r="MS107" i="50" s="1"/>
  <c r="MT107" i="50" s="1"/>
  <c r="D63" i="48"/>
  <c r="AV63" i="48" s="1"/>
  <c r="AZ63" i="48"/>
  <c r="C124" i="48"/>
  <c r="AU124" i="48" s="1"/>
  <c r="AY124" i="48"/>
  <c r="E63" i="48"/>
  <c r="AW63" i="48" s="1"/>
  <c r="BA63" i="48"/>
  <c r="DZ41" i="51"/>
  <c r="FH69" i="50"/>
  <c r="FE69" i="50"/>
  <c r="KU112" i="50"/>
  <c r="MW112" i="50" s="1"/>
  <c r="MX112" i="50" s="1"/>
  <c r="KX112" i="50"/>
  <c r="FI75" i="51"/>
  <c r="EU62" i="51"/>
  <c r="KR39" i="49"/>
  <c r="KS39" i="49"/>
  <c r="KQ37" i="49"/>
  <c r="BA88" i="48"/>
  <c r="EJ81" i="51"/>
  <c r="FD81" i="51"/>
  <c r="FE81" i="51" s="1"/>
  <c r="ES81" i="51" s="1"/>
  <c r="AY95" i="48"/>
  <c r="R22" i="42"/>
  <c r="R22" i="43"/>
  <c r="R22" i="40"/>
  <c r="CA134" i="48"/>
  <c r="R22" i="41"/>
  <c r="FD77" i="51"/>
  <c r="FE77" i="51" s="1"/>
  <c r="ES77" i="51" s="1"/>
  <c r="EJ77" i="51"/>
  <c r="AX95" i="48"/>
  <c r="AX52" i="48"/>
  <c r="B52" i="48"/>
  <c r="AT52" i="48" s="1"/>
  <c r="JE108" i="50"/>
  <c r="AP136" i="48" s="1"/>
  <c r="JH108" i="50"/>
  <c r="AS136" i="48" s="1"/>
  <c r="AQ136" i="48"/>
  <c r="E124" i="48"/>
  <c r="AW124" i="48" s="1"/>
  <c r="BA124" i="48"/>
  <c r="FE83" i="50"/>
  <c r="FI83" i="50"/>
  <c r="FI139" i="50" s="1"/>
  <c r="FF139" i="50" s="1"/>
  <c r="FG83" i="50"/>
  <c r="FE70" i="50"/>
  <c r="DZ42" i="51"/>
  <c r="FH70" i="50"/>
  <c r="CP145" i="50"/>
  <c r="BK142" i="48" s="1"/>
  <c r="BI142" i="48" s="1"/>
  <c r="CO145" i="50"/>
  <c r="BJ142" i="48" s="1"/>
  <c r="BH142" i="48" s="1"/>
  <c r="CJ145" i="50"/>
  <c r="BA65" i="48"/>
  <c r="S39" i="37"/>
  <c r="D11" i="35"/>
  <c r="FI81" i="51"/>
  <c r="FI73" i="51"/>
  <c r="FI68" i="51" s="1"/>
  <c r="JK133" i="50"/>
  <c r="C52" i="48"/>
  <c r="AU52" i="48" s="1"/>
  <c r="AY52" i="48"/>
  <c r="B124" i="48"/>
  <c r="AT124" i="48" s="1"/>
  <c r="AX124" i="48"/>
  <c r="LA47" i="49"/>
  <c r="LB47" i="49"/>
  <c r="LB45" i="49" s="1"/>
  <c r="KZ45" i="49"/>
  <c r="FG84" i="50"/>
  <c r="FE84" i="50"/>
  <c r="FE68" i="50"/>
  <c r="FG68" i="50"/>
  <c r="FI68" i="50"/>
  <c r="FF70" i="51"/>
  <c r="FF79" i="51"/>
  <c r="FF71" i="51"/>
  <c r="D35" i="48"/>
  <c r="AV35" i="48" s="1"/>
  <c r="AZ35" i="48"/>
  <c r="I21" i="44"/>
  <c r="CJ70" i="50"/>
  <c r="R97" i="48" s="1"/>
  <c r="N97" i="48" s="1"/>
  <c r="KT70" i="50"/>
  <c r="KW70" i="50" s="1"/>
  <c r="S97" i="48"/>
  <c r="O97" i="48" s="1"/>
  <c r="CM70" i="50"/>
  <c r="U97" i="48" s="1"/>
  <c r="Q97" i="48" s="1"/>
  <c r="AX85" i="48"/>
  <c r="DZ46" i="51"/>
  <c r="FE85" i="50"/>
  <c r="FH85" i="50"/>
  <c r="ET65" i="51"/>
  <c r="FF75" i="51"/>
  <c r="ET62" i="51"/>
  <c r="I44" i="44"/>
  <c r="D17" i="48"/>
  <c r="CJ134" i="50"/>
  <c r="CP134" i="50"/>
  <c r="BK140" i="48" s="1"/>
  <c r="BI140" i="48" s="1"/>
  <c r="CO134" i="50"/>
  <c r="BJ140" i="48" s="1"/>
  <c r="BH140" i="48" s="1"/>
  <c r="LB29" i="49"/>
  <c r="LA29" i="49"/>
  <c r="KZ27" i="49"/>
  <c r="EF79" i="51"/>
  <c r="EI79" i="51"/>
  <c r="AO111" i="48" s="1"/>
  <c r="EH71" i="51"/>
  <c r="EH70" i="51"/>
  <c r="AN109" i="48" s="1"/>
  <c r="EI71" i="51"/>
  <c r="EF71" i="51"/>
  <c r="EF70" i="51"/>
  <c r="EH79" i="51"/>
  <c r="AN111" i="48" s="1"/>
  <c r="J26" i="44" s="1"/>
  <c r="EI70" i="51"/>
  <c r="AO109" i="48" s="1"/>
  <c r="LO107" i="50"/>
  <c r="NE107" i="50" s="1"/>
  <c r="NF107" i="50" s="1"/>
  <c r="LR107" i="50"/>
  <c r="B37" i="48"/>
  <c r="AT37" i="48" s="1"/>
  <c r="N42" i="37"/>
  <c r="K42" i="37" s="1"/>
  <c r="M42" i="37" s="1"/>
  <c r="AX37" i="48"/>
  <c r="N43" i="37"/>
  <c r="K43" i="37" s="1"/>
  <c r="M43" i="37" s="1"/>
  <c r="S43" i="37" s="1"/>
  <c r="BA85" i="48"/>
  <c r="DN63" i="50"/>
  <c r="L68" i="48" s="1"/>
  <c r="LN63" i="50"/>
  <c r="LP63" i="50" s="1"/>
  <c r="DL63" i="50"/>
  <c r="J68" i="48" s="1"/>
  <c r="DP63" i="50"/>
  <c r="K68" i="48"/>
  <c r="AY19" i="48"/>
  <c r="C19" i="48"/>
  <c r="AU19" i="48" s="1"/>
  <c r="JI112" i="50"/>
  <c r="BV133" i="48" s="1"/>
  <c r="JE112" i="50"/>
  <c r="JJ112" i="50"/>
  <c r="BW133" i="48" s="1"/>
  <c r="C25" i="48"/>
  <c r="AU25" i="48" s="1"/>
  <c r="AY25" i="48"/>
  <c r="AZ25" i="48"/>
  <c r="D25" i="48"/>
  <c r="AV25" i="48" s="1"/>
  <c r="BA37" i="48"/>
  <c r="E37" i="48"/>
  <c r="AW37" i="48" s="1"/>
  <c r="BY90" i="50"/>
  <c r="I90" i="48" s="1"/>
  <c r="BV90" i="50"/>
  <c r="F90" i="48" s="1"/>
  <c r="KJ90" i="50"/>
  <c r="KM90" i="50" s="1"/>
  <c r="DP47" i="51"/>
  <c r="G90" i="48"/>
  <c r="AZ108" i="50"/>
  <c r="AZ113" i="50"/>
  <c r="LN117" i="50"/>
  <c r="DL117" i="50"/>
  <c r="DQ117" i="50"/>
  <c r="BF134" i="48" s="1"/>
  <c r="DR117" i="50"/>
  <c r="BG134" i="48" s="1"/>
  <c r="BC134" i="48" s="1"/>
  <c r="DP117" i="50"/>
  <c r="AX19" i="48"/>
  <c r="B19" i="48"/>
  <c r="AT19" i="48" s="1"/>
  <c r="KN112" i="50"/>
  <c r="KK112" i="50"/>
  <c r="MS112" i="50" s="1"/>
  <c r="MT112" i="50" s="1"/>
  <c r="AY68" i="48"/>
  <c r="FF81" i="51"/>
  <c r="FF73" i="51"/>
  <c r="FF68" i="51" s="1"/>
  <c r="FF72" i="51"/>
  <c r="AQ137" i="48"/>
  <c r="JH113" i="50"/>
  <c r="AS137" i="48" s="1"/>
  <c r="JE113" i="50"/>
  <c r="AP137" i="48" s="1"/>
  <c r="AX88" i="48"/>
  <c r="AY123" i="48"/>
  <c r="C123" i="48"/>
  <c r="AU123" i="48" s="1"/>
  <c r="BV89" i="50"/>
  <c r="F75" i="48" s="1"/>
  <c r="BZ89" i="50"/>
  <c r="BZ145" i="50" s="1"/>
  <c r="BW145" i="50" s="1"/>
  <c r="BX89" i="50"/>
  <c r="H75" i="48" s="1"/>
  <c r="G75" i="48"/>
  <c r="KJ89" i="50"/>
  <c r="KL89" i="50" s="1"/>
  <c r="BA29" i="48"/>
  <c r="E29" i="48"/>
  <c r="AW29" i="48" s="1"/>
  <c r="AY85" i="48"/>
  <c r="DQ40" i="51"/>
  <c r="K95" i="48"/>
  <c r="C95" i="48" s="1"/>
  <c r="AU95" i="48" s="1"/>
  <c r="DO64" i="50"/>
  <c r="M95" i="48" s="1"/>
  <c r="E95" i="48" s="1"/>
  <c r="AW95" i="48" s="1"/>
  <c r="LN64" i="50"/>
  <c r="LQ64" i="50" s="1"/>
  <c r="DL64" i="50"/>
  <c r="J95" i="48" s="1"/>
  <c r="B95" i="48" s="1"/>
  <c r="AT95" i="48" s="1"/>
  <c r="AZ19" i="48"/>
  <c r="D19" i="48"/>
  <c r="AV19" i="48" s="1"/>
  <c r="S18" i="40"/>
  <c r="AA18" i="40" s="1"/>
  <c r="S19" i="42"/>
  <c r="AA19" i="42" s="1"/>
  <c r="S19" i="43"/>
  <c r="AA19" i="43" s="1"/>
  <c r="S19" i="41"/>
  <c r="AA19" i="41" s="1"/>
  <c r="ET84" i="51"/>
  <c r="FF89" i="51"/>
  <c r="DM70" i="50"/>
  <c r="DM69" i="50"/>
  <c r="DM68" i="50"/>
  <c r="LA25" i="49"/>
  <c r="LB25" i="49"/>
  <c r="KZ19" i="49"/>
  <c r="EJ75" i="51"/>
  <c r="FD75" i="51"/>
  <c r="FE75" i="51" s="1"/>
  <c r="ES75" i="51" s="1"/>
  <c r="KN117" i="50"/>
  <c r="KK117" i="50"/>
  <c r="MS117" i="50" s="1"/>
  <c r="MT117" i="50" s="1"/>
  <c r="KR35" i="49"/>
  <c r="KQ33" i="49"/>
  <c r="DM83" i="50"/>
  <c r="DM85" i="50"/>
  <c r="DM84" i="50"/>
  <c r="M36" i="37"/>
  <c r="S10" i="37"/>
  <c r="M12" i="37"/>
  <c r="CQ87" i="51"/>
  <c r="AZ37" i="48"/>
  <c r="D37" i="48"/>
  <c r="AV37" i="48" s="1"/>
  <c r="U25" i="37"/>
  <c r="S27" i="37"/>
  <c r="T25" i="37"/>
  <c r="T27" i="37" s="1"/>
  <c r="AX25" i="48"/>
  <c r="B25" i="48"/>
  <c r="AT25" i="48" s="1"/>
  <c r="KR47" i="49"/>
  <c r="KS47" i="49"/>
  <c r="KS45" i="49" s="1"/>
  <c r="CQ79" i="51"/>
  <c r="BW85" i="50"/>
  <c r="BW84" i="50"/>
  <c r="BW83" i="50"/>
  <c r="AY88" i="48"/>
  <c r="IO133" i="50"/>
  <c r="IP131" i="50"/>
  <c r="C37" i="48"/>
  <c r="AU37" i="48" s="1"/>
  <c r="AY37" i="48"/>
  <c r="AY72" i="48"/>
  <c r="B78" i="48"/>
  <c r="AT78" i="48" s="1"/>
  <c r="AX78" i="48"/>
  <c r="B29" i="48"/>
  <c r="AT29" i="48" s="1"/>
  <c r="AX29" i="48"/>
  <c r="DC145" i="50"/>
  <c r="BP142" i="48" s="1"/>
  <c r="BN142" i="48" s="1"/>
  <c r="DD145" i="50"/>
  <c r="BQ142" i="48" s="1"/>
  <c r="BO142" i="48" s="1"/>
  <c r="CX145" i="50"/>
  <c r="KR29" i="49"/>
  <c r="KS29" i="49"/>
  <c r="CX127" i="50"/>
  <c r="AD124" i="48" s="1"/>
  <c r="Z124" i="48" s="1"/>
  <c r="LD127" i="50"/>
  <c r="LG127" i="50" s="1"/>
  <c r="DA127" i="50"/>
  <c r="AG124" i="48" s="1"/>
  <c r="AC124" i="48" s="1"/>
  <c r="AE124" i="48"/>
  <c r="AA124" i="48" s="1"/>
  <c r="EJ91" i="51"/>
  <c r="FD91" i="51"/>
  <c r="FE91" i="51" s="1"/>
  <c r="ES91" i="51" s="1"/>
  <c r="FI79" i="51"/>
  <c r="FI71" i="51"/>
  <c r="EJ87" i="51"/>
  <c r="FD87" i="51"/>
  <c r="FE87" i="51" s="1"/>
  <c r="ES87" i="51" s="1"/>
  <c r="IW139" i="50"/>
  <c r="JL138" i="50"/>
  <c r="IZ139" i="50" s="1"/>
  <c r="BV141" i="48" s="1"/>
  <c r="JP138" i="50"/>
  <c r="BW70" i="50"/>
  <c r="BW68" i="50"/>
  <c r="BW69" i="50"/>
  <c r="BA25" i="48"/>
  <c r="E25" i="48"/>
  <c r="AW25" i="48" s="1"/>
  <c r="BV134" i="50"/>
  <c r="CA134" i="50"/>
  <c r="BD140" i="48" s="1"/>
  <c r="CB134" i="50"/>
  <c r="BE140" i="48" s="1"/>
  <c r="AZ78" i="48"/>
  <c r="D78" i="48"/>
  <c r="AV78" i="48" s="1"/>
  <c r="D29" i="48"/>
  <c r="AV29" i="48" s="1"/>
  <c r="AZ29" i="48"/>
  <c r="BA19" i="48"/>
  <c r="E19" i="48"/>
  <c r="AW19" i="48" s="1"/>
  <c r="CZ126" i="50"/>
  <c r="CX126" i="50"/>
  <c r="AD123" i="48" s="1"/>
  <c r="Z123" i="48" s="1"/>
  <c r="LD126" i="50"/>
  <c r="LF126" i="50" s="1"/>
  <c r="AE123" i="48"/>
  <c r="AA123" i="48" s="1"/>
  <c r="DO90" i="50" l="1"/>
  <c r="M90" i="48" s="1"/>
  <c r="DL90" i="50"/>
  <c r="J90" i="48" s="1"/>
  <c r="K90" i="48"/>
  <c r="LN90" i="50"/>
  <c r="LQ90" i="50" s="1"/>
  <c r="DQ47" i="51"/>
  <c r="IO131" i="50"/>
  <c r="S46" i="44"/>
  <c r="BL46" i="44" s="1"/>
  <c r="DL89" i="50"/>
  <c r="J75" i="48" s="1"/>
  <c r="B75" i="48" s="1"/>
  <c r="AT75" i="48" s="1"/>
  <c r="DN89" i="50"/>
  <c r="L75" i="48" s="1"/>
  <c r="DP89" i="50"/>
  <c r="DP145" i="50" s="1"/>
  <c r="DM145" i="50" s="1"/>
  <c r="K75" i="48"/>
  <c r="LN89" i="50"/>
  <c r="LP89" i="50" s="1"/>
  <c r="P46" i="44"/>
  <c r="BI46" i="44" s="1"/>
  <c r="BA83" i="48"/>
  <c r="FK145" i="50"/>
  <c r="FE145" i="50"/>
  <c r="FJ145" i="50" s="1"/>
  <c r="EI87" i="51"/>
  <c r="AO115" i="48" s="1"/>
  <c r="EI75" i="51"/>
  <c r="Y46" i="44"/>
  <c r="BR46" i="44" s="1"/>
  <c r="EH75" i="51"/>
  <c r="AN105" i="48" s="1"/>
  <c r="EF87" i="51"/>
  <c r="AL115" i="48" s="1"/>
  <c r="EE87" i="11"/>
  <c r="GS17" i="10"/>
  <c r="LO122" i="14"/>
  <c r="NE122" i="14" s="1"/>
  <c r="NF122" i="14" s="1"/>
  <c r="LR122" i="14"/>
  <c r="V46" i="44"/>
  <c r="BO46" i="44" s="1"/>
  <c r="EI87" i="11"/>
  <c r="AO115" i="18" s="1"/>
  <c r="EF87" i="11"/>
  <c r="AZ65" i="48"/>
  <c r="D68" i="48"/>
  <c r="AV68" i="48" s="1"/>
  <c r="EN84" i="11"/>
  <c r="EO89" i="11"/>
  <c r="EP89" i="11" s="1"/>
  <c r="EQ89" i="11"/>
  <c r="ER89" i="11"/>
  <c r="DP97" i="14"/>
  <c r="K77" i="18"/>
  <c r="C77" i="18" s="1"/>
  <c r="AU77" i="18" s="1"/>
  <c r="DL97" i="14"/>
  <c r="DN97" i="14"/>
  <c r="L77" i="18" s="1"/>
  <c r="LN97" i="14"/>
  <c r="LP97" i="14" s="1"/>
  <c r="DO98" i="14"/>
  <c r="M92" i="18" s="1"/>
  <c r="E92" i="18" s="1"/>
  <c r="AW92" i="18" s="1"/>
  <c r="LN98" i="14"/>
  <c r="LQ98" i="14" s="1"/>
  <c r="DQ49" i="11"/>
  <c r="K92" i="18"/>
  <c r="C92" i="18" s="1"/>
  <c r="AU92" i="18" s="1"/>
  <c r="DL98" i="14"/>
  <c r="J92" i="18" s="1"/>
  <c r="B92" i="18" s="1"/>
  <c r="AT92" i="18" s="1"/>
  <c r="LE107" i="50"/>
  <c r="NA107" i="50" s="1"/>
  <c r="NB107" i="50" s="1"/>
  <c r="EE77" i="11"/>
  <c r="EI77" i="11"/>
  <c r="EH77" i="11"/>
  <c r="EF77" i="11"/>
  <c r="EG77" i="11" s="1"/>
  <c r="EI75" i="11"/>
  <c r="EH75" i="11"/>
  <c r="EF75" i="11"/>
  <c r="EG75" i="11" s="1"/>
  <c r="EE75" i="11"/>
  <c r="D77" i="18"/>
  <c r="AV77" i="18" s="1"/>
  <c r="AZ77" i="18"/>
  <c r="ER75" i="11"/>
  <c r="EN62" i="11"/>
  <c r="EQ75" i="11"/>
  <c r="EN65" i="11"/>
  <c r="EO75" i="11"/>
  <c r="EP75" i="11" s="1"/>
  <c r="EI89" i="51"/>
  <c r="AO116" i="48" s="1"/>
  <c r="E35" i="48"/>
  <c r="AW35" i="48" s="1"/>
  <c r="ER91" i="11"/>
  <c r="EO91" i="11"/>
  <c r="EP91" i="11" s="1"/>
  <c r="EQ91" i="11"/>
  <c r="EQ77" i="11"/>
  <c r="ER77" i="11"/>
  <c r="EO77" i="11"/>
  <c r="EP77" i="11" s="1"/>
  <c r="ER81" i="11"/>
  <c r="ER73" i="11"/>
  <c r="EQ73" i="11"/>
  <c r="EO73" i="11"/>
  <c r="EO68" i="11" s="1"/>
  <c r="EP68" i="11" s="1"/>
  <c r="ER72" i="11"/>
  <c r="EQ72" i="11"/>
  <c r="EO72" i="11"/>
  <c r="EP72" i="11" s="1"/>
  <c r="EQ81" i="11"/>
  <c r="EO81" i="11"/>
  <c r="EP81" i="11" s="1"/>
  <c r="CO79" i="11"/>
  <c r="CU79" i="11" s="1"/>
  <c r="ER71" i="11"/>
  <c r="EO70" i="11"/>
  <c r="EP70" i="11" s="1"/>
  <c r="EQ79" i="11"/>
  <c r="EN66" i="11"/>
  <c r="EQ70" i="11"/>
  <c r="ER79" i="11"/>
  <c r="ER70" i="11"/>
  <c r="EO71" i="11"/>
  <c r="EO79" i="11"/>
  <c r="EP79" i="11" s="1"/>
  <c r="EQ71" i="11"/>
  <c r="EI70" i="11"/>
  <c r="AO109" i="18" s="1"/>
  <c r="EH70" i="11"/>
  <c r="EF71" i="11"/>
  <c r="EF67" i="11" s="1"/>
  <c r="EG67" i="11" s="1"/>
  <c r="EF70" i="11"/>
  <c r="EG70" i="11" s="1"/>
  <c r="EH71" i="11"/>
  <c r="EI79" i="11"/>
  <c r="EH79" i="11"/>
  <c r="AN111" i="18" s="1"/>
  <c r="EF79" i="11"/>
  <c r="EG79" i="11" s="1"/>
  <c r="EE79" i="11"/>
  <c r="EI71" i="11"/>
  <c r="EI67" i="11" s="1"/>
  <c r="EF89" i="51"/>
  <c r="EH89" i="51"/>
  <c r="AN116" i="48" s="1"/>
  <c r="J16" i="44" s="1"/>
  <c r="CO62" i="11"/>
  <c r="CU62" i="11" s="1"/>
  <c r="EE89" i="11"/>
  <c r="EI89" i="11"/>
  <c r="EH89" i="11"/>
  <c r="AN116" i="18" s="1"/>
  <c r="EF89" i="11"/>
  <c r="EG89" i="11" s="1"/>
  <c r="DM75" i="14"/>
  <c r="EN83" i="11"/>
  <c r="EO87" i="11"/>
  <c r="EP87" i="11" s="1"/>
  <c r="ER87" i="11"/>
  <c r="EQ87" i="11"/>
  <c r="EI81" i="11"/>
  <c r="EH81" i="11"/>
  <c r="AN112" i="18" s="1"/>
  <c r="EI73" i="11"/>
  <c r="EF81" i="11"/>
  <c r="EG81" i="11" s="1"/>
  <c r="EH73" i="11"/>
  <c r="EE81" i="11"/>
  <c r="EF73" i="11"/>
  <c r="EF68" i="11" s="1"/>
  <c r="EG68" i="11" s="1"/>
  <c r="EI72" i="11"/>
  <c r="AO110" i="18" s="1"/>
  <c r="EF72" i="11"/>
  <c r="EG72" i="11" s="1"/>
  <c r="EH72" i="11"/>
  <c r="EE91" i="11"/>
  <c r="EI91" i="11"/>
  <c r="AO117" i="18" s="1"/>
  <c r="EH91" i="11"/>
  <c r="AN117" i="18" s="1"/>
  <c r="EF91" i="11"/>
  <c r="EG91" i="11" s="1"/>
  <c r="BA92" i="18"/>
  <c r="AO112" i="18"/>
  <c r="AO116" i="18"/>
  <c r="AN105" i="18"/>
  <c r="AL105" i="18"/>
  <c r="AN109" i="18"/>
  <c r="AO111" i="18"/>
  <c r="CQ79" i="11"/>
  <c r="CT66" i="11"/>
  <c r="CU66" i="51"/>
  <c r="EH87" i="51"/>
  <c r="AN115" i="48" s="1"/>
  <c r="J15" i="44" s="1"/>
  <c r="CQ66" i="51"/>
  <c r="JJ107" i="50"/>
  <c r="BW132" i="48" s="1"/>
  <c r="JE107" i="50"/>
  <c r="LD145" i="50"/>
  <c r="AN110" i="18"/>
  <c r="B68" i="48"/>
  <c r="AT68" i="48" s="1"/>
  <c r="CU84" i="51"/>
  <c r="CQ84" i="51" s="1"/>
  <c r="BR62" i="51"/>
  <c r="Z62" i="51" s="1"/>
  <c r="D123" i="48"/>
  <c r="AV123" i="48" s="1"/>
  <c r="I53" i="44"/>
  <c r="S53" i="44" s="1"/>
  <c r="BL53" i="44" s="1"/>
  <c r="JP133" i="14"/>
  <c r="JL133" i="14"/>
  <c r="IZ134" i="14" s="1"/>
  <c r="IW134" i="14"/>
  <c r="CU65" i="51"/>
  <c r="CQ65" i="51" s="1"/>
  <c r="GU45" i="10"/>
  <c r="IW145" i="14"/>
  <c r="JP144" i="14"/>
  <c r="JL144" i="14"/>
  <c r="IZ145" i="14" s="1"/>
  <c r="FF67" i="11"/>
  <c r="D76" i="18"/>
  <c r="AV76" i="18" s="1"/>
  <c r="AZ76" i="18"/>
  <c r="FI67" i="11"/>
  <c r="R62" i="11"/>
  <c r="CN62" i="11"/>
  <c r="CT62" i="11" s="1"/>
  <c r="AY76" i="18"/>
  <c r="C76" i="18"/>
  <c r="AU76" i="18" s="1"/>
  <c r="BA75" i="11"/>
  <c r="AZ62" i="11"/>
  <c r="F76" i="18"/>
  <c r="BV75" i="14"/>
  <c r="F71" i="18" s="1"/>
  <c r="AX71" i="18" s="1"/>
  <c r="DN68" i="14"/>
  <c r="L69" i="18" s="1"/>
  <c r="D69" i="18" s="1"/>
  <c r="AV69" i="18" s="1"/>
  <c r="K69" i="18"/>
  <c r="LN68" i="14"/>
  <c r="LP68" i="14" s="1"/>
  <c r="DL68" i="14"/>
  <c r="J69" i="18" s="1"/>
  <c r="B69" i="18" s="1"/>
  <c r="AT69" i="18" s="1"/>
  <c r="DP68" i="14"/>
  <c r="DM59" i="14"/>
  <c r="AY91" i="18"/>
  <c r="C91" i="18"/>
  <c r="AU91" i="18" s="1"/>
  <c r="DQ55" i="11"/>
  <c r="DL127" i="14"/>
  <c r="J124" i="18" s="1"/>
  <c r="LN127" i="14"/>
  <c r="LQ127" i="14" s="1"/>
  <c r="DO127" i="14"/>
  <c r="M124" i="18" s="1"/>
  <c r="E124" i="18" s="1"/>
  <c r="AW124" i="18" s="1"/>
  <c r="K124" i="18"/>
  <c r="C124" i="18" s="1"/>
  <c r="AU124" i="18" s="1"/>
  <c r="E22" i="11"/>
  <c r="E21" i="11" s="1"/>
  <c r="F21" i="11"/>
  <c r="G21" i="11" s="1"/>
  <c r="DO69" i="14"/>
  <c r="M96" i="18" s="1"/>
  <c r="K96" i="18"/>
  <c r="DQ41" i="11"/>
  <c r="LN69" i="14"/>
  <c r="LQ69" i="14" s="1"/>
  <c r="DL69" i="14"/>
  <c r="J96" i="18" s="1"/>
  <c r="B96" i="18" s="1"/>
  <c r="AT96" i="18" s="1"/>
  <c r="CM91" i="11"/>
  <c r="CM79" i="11"/>
  <c r="K123" i="18"/>
  <c r="C123" i="18" s="1"/>
  <c r="AU123" i="18" s="1"/>
  <c r="LN126" i="14"/>
  <c r="LP126" i="14" s="1"/>
  <c r="DL126" i="14"/>
  <c r="J123" i="18" s="1"/>
  <c r="B123" i="18" s="1"/>
  <c r="AT123" i="18" s="1"/>
  <c r="DN126" i="14"/>
  <c r="L123" i="18" s="1"/>
  <c r="DQ42" i="11"/>
  <c r="LN70" i="14"/>
  <c r="LQ70" i="14" s="1"/>
  <c r="K97" i="18"/>
  <c r="C97" i="18" s="1"/>
  <c r="AU97" i="18" s="1"/>
  <c r="DO70" i="14"/>
  <c r="M97" i="18" s="1"/>
  <c r="DL70" i="14"/>
  <c r="J97" i="18" s="1"/>
  <c r="B97" i="18" s="1"/>
  <c r="AT97" i="18" s="1"/>
  <c r="G71" i="18"/>
  <c r="AY71" i="18" s="1"/>
  <c r="BX75" i="14"/>
  <c r="H71" i="18" s="1"/>
  <c r="AZ71" i="18" s="1"/>
  <c r="BA91" i="18"/>
  <c r="E91" i="18"/>
  <c r="AW91" i="18" s="1"/>
  <c r="CQ81" i="11"/>
  <c r="AX91" i="18"/>
  <c r="B91" i="18"/>
  <c r="AT91" i="18" s="1"/>
  <c r="JB139" i="14"/>
  <c r="KT139" i="14"/>
  <c r="JC139" i="14"/>
  <c r="IV139" i="14"/>
  <c r="JA139" i="14"/>
  <c r="BW141" i="18" s="1"/>
  <c r="JD139" i="14"/>
  <c r="LD139" i="14"/>
  <c r="MH139" i="14"/>
  <c r="LX139" i="14"/>
  <c r="KJ139" i="14"/>
  <c r="BV141" i="18"/>
  <c r="CA141" i="18" s="1"/>
  <c r="CB141" i="18" s="1"/>
  <c r="NR139" i="14"/>
  <c r="NS139" i="14"/>
  <c r="NQ139" i="14"/>
  <c r="CU84" i="11"/>
  <c r="CQ84" i="11" s="1"/>
  <c r="FO67" i="11"/>
  <c r="LS107" i="14"/>
  <c r="DX107" i="14"/>
  <c r="BF132" i="18" s="1"/>
  <c r="DY107" i="14"/>
  <c r="BG132" i="18" s="1"/>
  <c r="DW107" i="14"/>
  <c r="DS107" i="14"/>
  <c r="AX96" i="18"/>
  <c r="AY83" i="18"/>
  <c r="CA135" i="18"/>
  <c r="CB135" i="18" s="1"/>
  <c r="BB135" i="18"/>
  <c r="BY135" i="18" s="1"/>
  <c r="BZ135" i="18" s="1"/>
  <c r="DP107" i="14"/>
  <c r="DQ107" i="14"/>
  <c r="LN107" i="14"/>
  <c r="DL107" i="14"/>
  <c r="DR107" i="14"/>
  <c r="AO105" i="18"/>
  <c r="CU83" i="11"/>
  <c r="AZ69" i="18"/>
  <c r="DP62" i="11"/>
  <c r="DN62" i="11" s="1"/>
  <c r="DP91" i="11"/>
  <c r="DP77" i="11"/>
  <c r="DP89" i="11"/>
  <c r="DP81" i="11"/>
  <c r="DP87" i="11"/>
  <c r="DP79" i="11"/>
  <c r="DP75" i="11"/>
  <c r="AX69" i="18"/>
  <c r="CS75" i="11"/>
  <c r="K63" i="18"/>
  <c r="LN44" i="14"/>
  <c r="LP44" i="14" s="1"/>
  <c r="DN44" i="14"/>
  <c r="L63" i="18" s="1"/>
  <c r="D63" i="18" s="1"/>
  <c r="AV63" i="18" s="1"/>
  <c r="DO44" i="14"/>
  <c r="M63" i="18" s="1"/>
  <c r="E63" i="18" s="1"/>
  <c r="AW63" i="18" s="1"/>
  <c r="DL44" i="14"/>
  <c r="J63" i="18" s="1"/>
  <c r="B63" i="18" s="1"/>
  <c r="AT63" i="18" s="1"/>
  <c r="CS89" i="11"/>
  <c r="FA77" i="11"/>
  <c r="AX83" i="18"/>
  <c r="CS87" i="11"/>
  <c r="K83" i="18"/>
  <c r="C83" i="18" s="1"/>
  <c r="AU83" i="18" s="1"/>
  <c r="DQ35" i="11"/>
  <c r="DL45" i="14"/>
  <c r="J83" i="18" s="1"/>
  <c r="B83" i="18" s="1"/>
  <c r="AT83" i="18" s="1"/>
  <c r="DO45" i="14"/>
  <c r="M83" i="18" s="1"/>
  <c r="E83" i="18" s="1"/>
  <c r="AW83" i="18" s="1"/>
  <c r="LN45" i="14"/>
  <c r="LQ45" i="14" s="1"/>
  <c r="LR139" i="14"/>
  <c r="LO139" i="14"/>
  <c r="NE139" i="14" s="1"/>
  <c r="NF139" i="14" s="1"/>
  <c r="CU65" i="11"/>
  <c r="CQ65" i="11" s="1"/>
  <c r="CU64" i="11"/>
  <c r="DO108" i="14"/>
  <c r="DQ53" i="11"/>
  <c r="DL108" i="14"/>
  <c r="LN108" i="14"/>
  <c r="LQ108" i="14" s="1"/>
  <c r="CS77" i="11"/>
  <c r="CQ75" i="11"/>
  <c r="BB134" i="18"/>
  <c r="BY134" i="18" s="1"/>
  <c r="BZ134" i="18" s="1"/>
  <c r="CA134" i="18"/>
  <c r="CB134" i="18" s="1"/>
  <c r="AY124" i="18"/>
  <c r="BA124" i="18"/>
  <c r="CS81" i="11"/>
  <c r="FA79" i="11"/>
  <c r="FD70" i="11"/>
  <c r="FD71" i="11"/>
  <c r="FD67" i="11" s="1"/>
  <c r="FD72" i="11"/>
  <c r="FD73" i="11"/>
  <c r="FD68" i="11" s="1"/>
  <c r="FA81" i="11"/>
  <c r="BB142" i="18"/>
  <c r="DZ87" i="11"/>
  <c r="DZ89" i="11"/>
  <c r="DZ79" i="11"/>
  <c r="DZ77" i="11"/>
  <c r="DZ75" i="11"/>
  <c r="DZ91" i="11"/>
  <c r="DZ81" i="11"/>
  <c r="DF112" i="14"/>
  <c r="KO113" i="14"/>
  <c r="KR113" i="14" s="1"/>
  <c r="CD113" i="14"/>
  <c r="CD112" i="14"/>
  <c r="CR112" i="14"/>
  <c r="BA96" i="18"/>
  <c r="E96" i="18"/>
  <c r="AW96" i="18" s="1"/>
  <c r="AX124" i="18"/>
  <c r="B124" i="18"/>
  <c r="AT124" i="18" s="1"/>
  <c r="AX123" i="18"/>
  <c r="FM113" i="14"/>
  <c r="GO112" i="14"/>
  <c r="GA112" i="14"/>
  <c r="FM112" i="14"/>
  <c r="CQ87" i="11"/>
  <c r="BA97" i="18"/>
  <c r="E97" i="18"/>
  <c r="AW97" i="18" s="1"/>
  <c r="LS108" i="14"/>
  <c r="LV108" i="14" s="1"/>
  <c r="DT108" i="14"/>
  <c r="EV107" i="14"/>
  <c r="EH107" i="14"/>
  <c r="AX63" i="18"/>
  <c r="AY97" i="18"/>
  <c r="ES62" i="11"/>
  <c r="FA75" i="11"/>
  <c r="ES65" i="11"/>
  <c r="KK107" i="14"/>
  <c r="MS107" i="14" s="1"/>
  <c r="MT107" i="14" s="1"/>
  <c r="KN107" i="14"/>
  <c r="AZ63" i="18"/>
  <c r="FA87" i="11"/>
  <c r="AY123" i="18"/>
  <c r="AJ112" i="14"/>
  <c r="AF112" i="14"/>
  <c r="AH112" i="14"/>
  <c r="CR107" i="14"/>
  <c r="CD108" i="14"/>
  <c r="KO108" i="14"/>
  <c r="KR108" i="14" s="1"/>
  <c r="DF107" i="14"/>
  <c r="CD107" i="14"/>
  <c r="AL103" i="18"/>
  <c r="AY63" i="18"/>
  <c r="C63" i="18"/>
  <c r="AU63" i="18" s="1"/>
  <c r="AZ123" i="18"/>
  <c r="D123" i="18"/>
  <c r="AV123" i="18" s="1"/>
  <c r="AX97" i="18"/>
  <c r="ES84" i="11"/>
  <c r="FA89" i="11"/>
  <c r="FG84" i="11"/>
  <c r="FH84" i="11"/>
  <c r="AX78" i="18"/>
  <c r="BA83" i="18"/>
  <c r="AY78" i="18"/>
  <c r="BA63" i="18"/>
  <c r="BB113" i="14"/>
  <c r="FM108" i="14"/>
  <c r="GA107" i="14"/>
  <c r="GO107" i="14"/>
  <c r="FM107" i="14"/>
  <c r="CU66" i="11"/>
  <c r="AY69" i="18"/>
  <c r="C69" i="18"/>
  <c r="AU69" i="18" s="1"/>
  <c r="AZ78" i="18"/>
  <c r="DN46" i="14"/>
  <c r="L78" i="18" s="1"/>
  <c r="D78" i="18" s="1"/>
  <c r="AV78" i="18" s="1"/>
  <c r="K78" i="18"/>
  <c r="C78" i="18" s="1"/>
  <c r="AU78" i="18" s="1"/>
  <c r="DL46" i="14"/>
  <c r="J78" i="18" s="1"/>
  <c r="B78" i="18" s="1"/>
  <c r="AT78" i="18" s="1"/>
  <c r="FA91" i="11"/>
  <c r="AJ107" i="14"/>
  <c r="AH107" i="14"/>
  <c r="AF107" i="14"/>
  <c r="AY96" i="18"/>
  <c r="C96" i="18"/>
  <c r="AU96" i="18" s="1"/>
  <c r="D42" i="48"/>
  <c r="AY35" i="48"/>
  <c r="CU83" i="51"/>
  <c r="BX154" i="50"/>
  <c r="H128" i="48" s="1"/>
  <c r="AZ128" i="48" s="1"/>
  <c r="KJ154" i="50"/>
  <c r="BV154" i="50"/>
  <c r="F128" i="48" s="1"/>
  <c r="AX128" i="48" s="1"/>
  <c r="G128" i="48"/>
  <c r="AY128" i="48" s="1"/>
  <c r="G127" i="48"/>
  <c r="AY127" i="48" s="1"/>
  <c r="KJ153" i="50"/>
  <c r="BV153" i="50"/>
  <c r="F127" i="48" s="1"/>
  <c r="AX127" i="48" s="1"/>
  <c r="CQ89" i="51"/>
  <c r="G129" i="48"/>
  <c r="AY129" i="48" s="1"/>
  <c r="BY155" i="50"/>
  <c r="I129" i="48" s="1"/>
  <c r="BA129" i="48" s="1"/>
  <c r="BV155" i="50"/>
  <c r="F129" i="48" s="1"/>
  <c r="AX129" i="48" s="1"/>
  <c r="DP50" i="51"/>
  <c r="KJ155" i="50"/>
  <c r="KM155" i="50" s="1"/>
  <c r="LX145" i="50"/>
  <c r="MH145" i="50"/>
  <c r="JD145" i="50"/>
  <c r="IV145" i="50"/>
  <c r="JA145" i="50"/>
  <c r="BW142" i="48" s="1"/>
  <c r="JB145" i="50"/>
  <c r="JC145" i="50"/>
  <c r="LN145" i="50"/>
  <c r="T18" i="42"/>
  <c r="AB18" i="42" s="1"/>
  <c r="T18" i="43"/>
  <c r="AB18" i="43" s="1"/>
  <c r="T19" i="40"/>
  <c r="AB19" i="40" s="1"/>
  <c r="T18" i="41"/>
  <c r="AB18" i="41" s="1"/>
  <c r="LN153" i="50"/>
  <c r="DL153" i="50"/>
  <c r="J127" i="48" s="1"/>
  <c r="K127" i="48"/>
  <c r="DO155" i="50"/>
  <c r="M129" i="48" s="1"/>
  <c r="DL155" i="50"/>
  <c r="J129" i="48" s="1"/>
  <c r="LN155" i="50"/>
  <c r="LQ155" i="50" s="1"/>
  <c r="K129" i="48"/>
  <c r="DQ50" i="51"/>
  <c r="DL154" i="50"/>
  <c r="J128" i="48" s="1"/>
  <c r="K128" i="48"/>
  <c r="DN154" i="50"/>
  <c r="L128" i="48" s="1"/>
  <c r="LN154" i="50"/>
  <c r="CQ62" i="51"/>
  <c r="CU64" i="51"/>
  <c r="C88" i="48"/>
  <c r="AU88" i="48" s="1"/>
  <c r="T17" i="37"/>
  <c r="AX123" i="48"/>
  <c r="C72" i="48"/>
  <c r="AU72" i="48" s="1"/>
  <c r="KT153" i="50"/>
  <c r="CJ153" i="50"/>
  <c r="R127" i="48" s="1"/>
  <c r="N127" i="48" s="1"/>
  <c r="S127" i="48"/>
  <c r="O127" i="48" s="1"/>
  <c r="CJ155" i="50"/>
  <c r="R129" i="48" s="1"/>
  <c r="N129" i="48" s="1"/>
  <c r="KT155" i="50"/>
  <c r="KW155" i="50" s="1"/>
  <c r="CM155" i="50"/>
  <c r="U129" i="48" s="1"/>
  <c r="Q129" i="48" s="1"/>
  <c r="S129" i="48"/>
  <c r="O129" i="48" s="1"/>
  <c r="CJ154" i="50"/>
  <c r="R128" i="48" s="1"/>
  <c r="N128" i="48" s="1"/>
  <c r="S128" i="48"/>
  <c r="O128" i="48" s="1"/>
  <c r="CL154" i="50"/>
  <c r="T128" i="48" s="1"/>
  <c r="P128" i="48" s="1"/>
  <c r="KT154" i="50"/>
  <c r="AY76" i="48"/>
  <c r="C91" i="48"/>
  <c r="AU91" i="48" s="1"/>
  <c r="AY91" i="48"/>
  <c r="E91" i="48"/>
  <c r="AW91" i="48" s="1"/>
  <c r="BA91" i="48"/>
  <c r="AX76" i="48"/>
  <c r="B76" i="48"/>
  <c r="AT76" i="48" s="1"/>
  <c r="AX91" i="48"/>
  <c r="B91" i="48"/>
  <c r="AT91" i="48" s="1"/>
  <c r="D76" i="48"/>
  <c r="AV76" i="48" s="1"/>
  <c r="AZ76" i="48"/>
  <c r="CX117" i="50"/>
  <c r="DD117" i="50"/>
  <c r="BQ134" i="48" s="1"/>
  <c r="BO134" i="48" s="1"/>
  <c r="LD117" i="50"/>
  <c r="DC117" i="50"/>
  <c r="BP134" i="48" s="1"/>
  <c r="BN134" i="48" s="1"/>
  <c r="DB117" i="50"/>
  <c r="DB63" i="50"/>
  <c r="AE68" i="48"/>
  <c r="AA68" i="48" s="1"/>
  <c r="CZ63" i="50"/>
  <c r="AF68" i="48" s="1"/>
  <c r="AB68" i="48" s="1"/>
  <c r="CX63" i="50"/>
  <c r="AD68" i="48" s="1"/>
  <c r="Z68" i="48" s="1"/>
  <c r="LD63" i="50"/>
  <c r="LF63" i="50" s="1"/>
  <c r="CX64" i="50"/>
  <c r="AD95" i="48" s="1"/>
  <c r="Z95" i="48" s="1"/>
  <c r="AE95" i="48"/>
  <c r="AA95" i="48" s="1"/>
  <c r="LD64" i="50"/>
  <c r="LG64" i="50" s="1"/>
  <c r="DA64" i="50"/>
  <c r="AG95" i="48" s="1"/>
  <c r="AC95" i="48" s="1"/>
  <c r="DB93" i="50"/>
  <c r="CZ93" i="50"/>
  <c r="AF76" i="48" s="1"/>
  <c r="AB76" i="48" s="1"/>
  <c r="CX93" i="50"/>
  <c r="AD76" i="48" s="1"/>
  <c r="Z76" i="48" s="1"/>
  <c r="AE76" i="48"/>
  <c r="AA76" i="48" s="1"/>
  <c r="LD93" i="50"/>
  <c r="LF93" i="50" s="1"/>
  <c r="DA94" i="50"/>
  <c r="AG91" i="48" s="1"/>
  <c r="AC91" i="48" s="1"/>
  <c r="LD94" i="50"/>
  <c r="LG94" i="50" s="1"/>
  <c r="AE91" i="48"/>
  <c r="AA91" i="48" s="1"/>
  <c r="CX94" i="50"/>
  <c r="AD91" i="48" s="1"/>
  <c r="Z91" i="48" s="1"/>
  <c r="M41" i="44"/>
  <c r="BF41" i="44" s="1"/>
  <c r="Y41" i="44"/>
  <c r="BR41" i="44" s="1"/>
  <c r="P41" i="44"/>
  <c r="BI41" i="44" s="1"/>
  <c r="V41" i="44"/>
  <c r="BO41" i="44" s="1"/>
  <c r="S41" i="44"/>
  <c r="BL41" i="44" s="1"/>
  <c r="CZ79" i="50"/>
  <c r="AF72" i="48" s="1"/>
  <c r="AB72" i="48" s="1"/>
  <c r="DB79" i="50"/>
  <c r="DB134" i="50" s="1"/>
  <c r="CY134" i="50" s="1"/>
  <c r="AE72" i="48"/>
  <c r="AA72" i="48" s="1"/>
  <c r="LD79" i="50"/>
  <c r="LF79" i="50" s="1"/>
  <c r="CX79" i="50"/>
  <c r="AD72" i="48" s="1"/>
  <c r="Z72" i="48" s="1"/>
  <c r="DA80" i="50"/>
  <c r="AG88" i="48" s="1"/>
  <c r="AC88" i="48" s="1"/>
  <c r="CX80" i="50"/>
  <c r="AD88" i="48" s="1"/>
  <c r="Z88" i="48" s="1"/>
  <c r="LD80" i="50"/>
  <c r="LG80" i="50" s="1"/>
  <c r="AE88" i="48"/>
  <c r="AA88" i="48" s="1"/>
  <c r="LD54" i="50"/>
  <c r="LF54" i="50" s="1"/>
  <c r="CX54" i="50"/>
  <c r="AD65" i="48" s="1"/>
  <c r="Z65" i="48" s="1"/>
  <c r="AE65" i="48"/>
  <c r="AA65" i="48" s="1"/>
  <c r="DA54" i="50"/>
  <c r="AG65" i="48" s="1"/>
  <c r="AC65" i="48" s="1"/>
  <c r="CZ54" i="50"/>
  <c r="AF65" i="48" s="1"/>
  <c r="AB65" i="48" s="1"/>
  <c r="LD113" i="50"/>
  <c r="LG113" i="50" s="1"/>
  <c r="CX113" i="50"/>
  <c r="DA113" i="50"/>
  <c r="DA55" i="50"/>
  <c r="AG85" i="48" s="1"/>
  <c r="AC85" i="48" s="1"/>
  <c r="CX55" i="50"/>
  <c r="AD85" i="48" s="1"/>
  <c r="Z85" i="48" s="1"/>
  <c r="LD55" i="50"/>
  <c r="LG55" i="50" s="1"/>
  <c r="AE85" i="48"/>
  <c r="AA85" i="48" s="1"/>
  <c r="DC112" i="50"/>
  <c r="DD112" i="50"/>
  <c r="DB112" i="50"/>
  <c r="CX112" i="50"/>
  <c r="LD112" i="50"/>
  <c r="BA62" i="51"/>
  <c r="AX62" i="51" s="1"/>
  <c r="AX75" i="51"/>
  <c r="DQ112" i="50"/>
  <c r="DL112" i="50"/>
  <c r="DP112" i="50"/>
  <c r="DR112" i="50"/>
  <c r="LN112" i="50"/>
  <c r="DO54" i="50"/>
  <c r="M65" i="48" s="1"/>
  <c r="E65" i="48" s="1"/>
  <c r="AW65" i="48" s="1"/>
  <c r="LN54" i="50"/>
  <c r="LP54" i="50" s="1"/>
  <c r="DN54" i="50"/>
  <c r="L65" i="48" s="1"/>
  <c r="D65" i="48" s="1"/>
  <c r="AV65" i="48" s="1"/>
  <c r="K65" i="48"/>
  <c r="C65" i="48" s="1"/>
  <c r="AU65" i="48" s="1"/>
  <c r="DL54" i="50"/>
  <c r="J65" i="48" s="1"/>
  <c r="B65" i="48" s="1"/>
  <c r="AT65" i="48" s="1"/>
  <c r="LN55" i="50"/>
  <c r="LQ55" i="50" s="1"/>
  <c r="DO55" i="50"/>
  <c r="M85" i="48" s="1"/>
  <c r="E85" i="48" s="1"/>
  <c r="AW85" i="48" s="1"/>
  <c r="DQ37" i="51"/>
  <c r="K85" i="48"/>
  <c r="C85" i="48" s="1"/>
  <c r="AU85" i="48" s="1"/>
  <c r="DL55" i="50"/>
  <c r="J85" i="48" s="1"/>
  <c r="B85" i="48" s="1"/>
  <c r="AT85" i="48" s="1"/>
  <c r="DO113" i="50"/>
  <c r="DL113" i="50"/>
  <c r="LN113" i="50"/>
  <c r="LQ113" i="50" s="1"/>
  <c r="DQ54" i="51"/>
  <c r="CQ81" i="51"/>
  <c r="CS83" i="51"/>
  <c r="DQ134" i="50"/>
  <c r="BF140" i="48" s="1"/>
  <c r="BB140" i="48" s="1"/>
  <c r="DR134" i="50"/>
  <c r="BG140" i="48" s="1"/>
  <c r="BC140" i="48" s="1"/>
  <c r="DL134" i="50"/>
  <c r="CS65" i="51"/>
  <c r="EE65" i="51"/>
  <c r="EE64" i="51" s="1"/>
  <c r="EE62" i="51"/>
  <c r="CS64" i="51"/>
  <c r="CS66" i="51"/>
  <c r="CS84" i="51"/>
  <c r="AY64" i="48"/>
  <c r="AX64" i="48"/>
  <c r="C92" i="48"/>
  <c r="AU92" i="48" s="1"/>
  <c r="BB108" i="50"/>
  <c r="AJ107" i="50"/>
  <c r="AH107" i="50"/>
  <c r="AF107" i="50"/>
  <c r="FM108" i="50"/>
  <c r="FM107" i="50"/>
  <c r="GO107" i="50"/>
  <c r="GA107" i="50"/>
  <c r="HZ112" i="50"/>
  <c r="HX112" i="50"/>
  <c r="HY112" i="50"/>
  <c r="HT112" i="50"/>
  <c r="LN50" i="50"/>
  <c r="LQ50" i="50" s="1"/>
  <c r="DL50" i="50"/>
  <c r="J84" i="48" s="1"/>
  <c r="B84" i="48" s="1"/>
  <c r="AT84" i="48" s="1"/>
  <c r="DQ36" i="51"/>
  <c r="DO50" i="50"/>
  <c r="M84" i="48" s="1"/>
  <c r="E84" i="48" s="1"/>
  <c r="AW84" i="48" s="1"/>
  <c r="K84" i="48"/>
  <c r="C84" i="48" s="1"/>
  <c r="AU84" i="48" s="1"/>
  <c r="C68" i="48"/>
  <c r="AU68" i="48" s="1"/>
  <c r="IL112" i="50"/>
  <c r="IH112" i="50"/>
  <c r="IN112" i="50"/>
  <c r="IM112" i="50"/>
  <c r="DN49" i="50"/>
  <c r="L64" i="48" s="1"/>
  <c r="D64" i="48" s="1"/>
  <c r="AV64" i="48" s="1"/>
  <c r="LN49" i="50"/>
  <c r="LP49" i="50" s="1"/>
  <c r="DO49" i="50"/>
  <c r="M64" i="48" s="1"/>
  <c r="E64" i="48" s="1"/>
  <c r="AW64" i="48" s="1"/>
  <c r="K64" i="48"/>
  <c r="C64" i="48" s="1"/>
  <c r="AU64" i="48" s="1"/>
  <c r="DL49" i="50"/>
  <c r="J64" i="48" s="1"/>
  <c r="B64" i="48" s="1"/>
  <c r="AT64" i="48" s="1"/>
  <c r="HF113" i="50"/>
  <c r="AL137" i="48" s="1"/>
  <c r="HI113" i="50"/>
  <c r="AO137" i="48" s="1"/>
  <c r="AM137" i="48"/>
  <c r="EH81" i="51"/>
  <c r="AN112" i="48" s="1"/>
  <c r="EI81" i="51"/>
  <c r="AO112" i="48" s="1"/>
  <c r="EH72" i="51"/>
  <c r="AN110" i="48" s="1"/>
  <c r="EF81" i="51"/>
  <c r="EF73" i="51"/>
  <c r="EF68" i="51" s="1"/>
  <c r="EG68" i="51" s="1"/>
  <c r="AM104" i="48" s="1"/>
  <c r="EF72" i="51"/>
  <c r="EH73" i="51"/>
  <c r="EH68" i="51" s="1"/>
  <c r="AN104" i="48" s="1"/>
  <c r="EI72" i="51"/>
  <c r="AO110" i="48" s="1"/>
  <c r="EI73" i="51"/>
  <c r="EI68" i="51" s="1"/>
  <c r="AO104" i="48" s="1"/>
  <c r="AX84" i="48"/>
  <c r="HJ112" i="50"/>
  <c r="HL112" i="50"/>
  <c r="BU133" i="48" s="1"/>
  <c r="HK112" i="50"/>
  <c r="BT133" i="48" s="1"/>
  <c r="HF112" i="50"/>
  <c r="BB113" i="50"/>
  <c r="AJ112" i="50"/>
  <c r="AH112" i="50"/>
  <c r="AF112" i="50"/>
  <c r="B92" i="48"/>
  <c r="AT92" i="48" s="1"/>
  <c r="AY84" i="48"/>
  <c r="HJ107" i="50"/>
  <c r="HF107" i="50"/>
  <c r="HL107" i="50"/>
  <c r="BU132" i="48" s="1"/>
  <c r="HK107" i="50"/>
  <c r="BT132" i="48" s="1"/>
  <c r="GA112" i="50"/>
  <c r="FM113" i="50"/>
  <c r="GO112" i="50"/>
  <c r="FM112" i="50"/>
  <c r="KS63" i="49"/>
  <c r="KQ61" i="49"/>
  <c r="KQ17" i="49" s="1"/>
  <c r="HY107" i="50"/>
  <c r="HX107" i="50"/>
  <c r="HZ107" i="50"/>
  <c r="HT107" i="50"/>
  <c r="BA84" i="48"/>
  <c r="M22" i="37"/>
  <c r="S20" i="37"/>
  <c r="IH107" i="50"/>
  <c r="IN107" i="50"/>
  <c r="IL107" i="50"/>
  <c r="IM107" i="50"/>
  <c r="AM136" i="48"/>
  <c r="HF108" i="50"/>
  <c r="AL136" i="48" s="1"/>
  <c r="HI108" i="50"/>
  <c r="AO136" i="48" s="1"/>
  <c r="LB63" i="49"/>
  <c r="KZ61" i="49"/>
  <c r="KZ17" i="49" s="1"/>
  <c r="AH15" i="44"/>
  <c r="AB15" i="44"/>
  <c r="AE15" i="44"/>
  <c r="AN15" i="44"/>
  <c r="AK15" i="44"/>
  <c r="AZ64" i="48"/>
  <c r="I35" i="44"/>
  <c r="B77" i="48"/>
  <c r="AT77" i="48" s="1"/>
  <c r="BA64" i="48"/>
  <c r="C77" i="48"/>
  <c r="AU77" i="48" s="1"/>
  <c r="T21" i="37"/>
  <c r="U21" i="37"/>
  <c r="KJ68" i="50"/>
  <c r="KL68" i="50" s="1"/>
  <c r="BX68" i="50"/>
  <c r="H69" i="48" s="1"/>
  <c r="BZ68" i="50"/>
  <c r="G69" i="48"/>
  <c r="BV68" i="50"/>
  <c r="F69" i="48" s="1"/>
  <c r="BW59" i="50"/>
  <c r="BX59" i="50" s="1"/>
  <c r="H67" i="48" s="1"/>
  <c r="M21" i="44"/>
  <c r="BF21" i="44" s="1"/>
  <c r="P21" i="44"/>
  <c r="BI21" i="44" s="1"/>
  <c r="Y21" i="44"/>
  <c r="BR21" i="44" s="1"/>
  <c r="S21" i="44"/>
  <c r="BL21" i="44" s="1"/>
  <c r="V21" i="44"/>
  <c r="BO21" i="44" s="1"/>
  <c r="U22" i="43"/>
  <c r="Z22" i="43"/>
  <c r="BV69" i="50"/>
  <c r="F96" i="48" s="1"/>
  <c r="BY69" i="50"/>
  <c r="I96" i="48" s="1"/>
  <c r="DP41" i="51"/>
  <c r="G96" i="48"/>
  <c r="KJ69" i="50"/>
  <c r="KM69" i="50" s="1"/>
  <c r="KO113" i="50"/>
  <c r="KR113" i="50" s="1"/>
  <c r="CD113" i="50"/>
  <c r="DF112" i="50"/>
  <c r="CR112" i="50"/>
  <c r="CD112" i="50"/>
  <c r="AY75" i="48"/>
  <c r="C75" i="48"/>
  <c r="AU75" i="48" s="1"/>
  <c r="S12" i="37"/>
  <c r="T10" i="37"/>
  <c r="T12" i="37" s="1"/>
  <c r="U10" i="37"/>
  <c r="AZ75" i="48"/>
  <c r="D75" i="48"/>
  <c r="AV75" i="48" s="1"/>
  <c r="AN26" i="44"/>
  <c r="AK26" i="44"/>
  <c r="AH26" i="44"/>
  <c r="AE26" i="44"/>
  <c r="AB26" i="44"/>
  <c r="KT139" i="50"/>
  <c r="CD108" i="50"/>
  <c r="KO108" i="50"/>
  <c r="KR108" i="50" s="1"/>
  <c r="CR107" i="50"/>
  <c r="DF107" i="50"/>
  <c r="CD107" i="50"/>
  <c r="AN17" i="44"/>
  <c r="AH17" i="44"/>
  <c r="AK17" i="44"/>
  <c r="AB17" i="44"/>
  <c r="AE17" i="44"/>
  <c r="Z22" i="42"/>
  <c r="U22" i="42"/>
  <c r="KJ83" i="50"/>
  <c r="KL83" i="50" s="1"/>
  <c r="BV83" i="50"/>
  <c r="G73" i="48"/>
  <c r="BX83" i="50"/>
  <c r="H73" i="48" s="1"/>
  <c r="BZ83" i="50"/>
  <c r="BZ139" i="50" s="1"/>
  <c r="BW139" i="50" s="1"/>
  <c r="BW75" i="50"/>
  <c r="EN75" i="51"/>
  <c r="ES65" i="51"/>
  <c r="FA75" i="51"/>
  <c r="ES62" i="51"/>
  <c r="T18" i="40"/>
  <c r="AB18" i="40" s="1"/>
  <c r="T19" i="43"/>
  <c r="AB19" i="43" s="1"/>
  <c r="T19" i="41"/>
  <c r="AB19" i="41" s="1"/>
  <c r="T19" i="42"/>
  <c r="AB19" i="42" s="1"/>
  <c r="KJ84" i="50"/>
  <c r="G74" i="48"/>
  <c r="BX84" i="50"/>
  <c r="H74" i="48" s="1"/>
  <c r="BV84" i="50"/>
  <c r="F74" i="48" s="1"/>
  <c r="S36" i="37"/>
  <c r="D15" i="35"/>
  <c r="B16" i="36"/>
  <c r="BV145" i="50"/>
  <c r="CA145" i="50"/>
  <c r="BD142" i="48" s="1"/>
  <c r="CB145" i="50"/>
  <c r="BE142" i="48" s="1"/>
  <c r="KJ145" i="50"/>
  <c r="AL109" i="48"/>
  <c r="EG70" i="51"/>
  <c r="AM109" i="48" s="1"/>
  <c r="FF67" i="51"/>
  <c r="T43" i="37"/>
  <c r="U43" i="37"/>
  <c r="EF67" i="51"/>
  <c r="T20" i="41"/>
  <c r="AB20" i="41" s="1"/>
  <c r="T20" i="43"/>
  <c r="AB20" i="43" s="1"/>
  <c r="T21" i="40"/>
  <c r="AB21" i="40" s="1"/>
  <c r="T20" i="42"/>
  <c r="AB20" i="42" s="1"/>
  <c r="EN89" i="51"/>
  <c r="FA89" i="51"/>
  <c r="ES84" i="51"/>
  <c r="FI70" i="51"/>
  <c r="FA79" i="51"/>
  <c r="FD71" i="51"/>
  <c r="FD67" i="51" s="1"/>
  <c r="FD70" i="51"/>
  <c r="EN79" i="51"/>
  <c r="G89" i="48"/>
  <c r="BY85" i="50"/>
  <c r="I89" i="48" s="1"/>
  <c r="KJ85" i="50"/>
  <c r="KM85" i="50" s="1"/>
  <c r="DP46" i="51"/>
  <c r="BV85" i="50"/>
  <c r="F89" i="48" s="1"/>
  <c r="B90" i="48"/>
  <c r="AT90" i="48" s="1"/>
  <c r="AX90" i="48"/>
  <c r="T21" i="43"/>
  <c r="AB21" i="43" s="1"/>
  <c r="T20" i="40"/>
  <c r="AB20" i="40" s="1"/>
  <c r="T21" i="41"/>
  <c r="AB21" i="41" s="1"/>
  <c r="T21" i="42"/>
  <c r="AB21" i="42" s="1"/>
  <c r="FA87" i="51"/>
  <c r="EN87" i="51"/>
  <c r="BA90" i="48"/>
  <c r="E90" i="48"/>
  <c r="AW90" i="48" s="1"/>
  <c r="EI67" i="51"/>
  <c r="AO103" i="48" s="1"/>
  <c r="FD72" i="51"/>
  <c r="FI72" i="51"/>
  <c r="EN81" i="51"/>
  <c r="FD73" i="51"/>
  <c r="FD68" i="51" s="1"/>
  <c r="FA81" i="51"/>
  <c r="JC139" i="50"/>
  <c r="JD139" i="50"/>
  <c r="JA139" i="50"/>
  <c r="BW141" i="48" s="1"/>
  <c r="JB139" i="50"/>
  <c r="IV139" i="50"/>
  <c r="LX139" i="50"/>
  <c r="MH139" i="50"/>
  <c r="LD139" i="50"/>
  <c r="AX75" i="48"/>
  <c r="V34" i="44"/>
  <c r="BO34" i="44" s="1"/>
  <c r="M34" i="44"/>
  <c r="BF34" i="44" s="1"/>
  <c r="P34" i="44"/>
  <c r="BI34" i="44" s="1"/>
  <c r="Y34" i="44"/>
  <c r="BR34" i="44" s="1"/>
  <c r="S34" i="44"/>
  <c r="BL34" i="44" s="1"/>
  <c r="M44" i="37"/>
  <c r="S42" i="37"/>
  <c r="FE139" i="50"/>
  <c r="FJ139" i="50" s="1"/>
  <c r="FK139" i="50"/>
  <c r="EH67" i="51"/>
  <c r="AN103" i="48" s="1"/>
  <c r="J8" i="44" s="1"/>
  <c r="T39" i="37"/>
  <c r="U39" i="37"/>
  <c r="KU145" i="50"/>
  <c r="MW145" i="50" s="1"/>
  <c r="MX145" i="50" s="1"/>
  <c r="KX145" i="50"/>
  <c r="EG89" i="51"/>
  <c r="AM116" i="48" s="1"/>
  <c r="AL116" i="48"/>
  <c r="FI67" i="51"/>
  <c r="AO105" i="48"/>
  <c r="R17" i="43"/>
  <c r="R17" i="41"/>
  <c r="R17" i="42"/>
  <c r="R17" i="40"/>
  <c r="DN84" i="50"/>
  <c r="L74" i="48" s="1"/>
  <c r="DL84" i="50"/>
  <c r="J74" i="48" s="1"/>
  <c r="LN84" i="50"/>
  <c r="K74" i="48"/>
  <c r="LN68" i="50"/>
  <c r="LP68" i="50" s="1"/>
  <c r="DL68" i="50"/>
  <c r="J69" i="48" s="1"/>
  <c r="DN68" i="50"/>
  <c r="L69" i="48" s="1"/>
  <c r="DP68" i="50"/>
  <c r="K69" i="48"/>
  <c r="EG79" i="51"/>
  <c r="AM111" i="48" s="1"/>
  <c r="AL111" i="48"/>
  <c r="AH16" i="44"/>
  <c r="AB16" i="44"/>
  <c r="AN16" i="44"/>
  <c r="AK16" i="44"/>
  <c r="AE16" i="44"/>
  <c r="IW134" i="50"/>
  <c r="JL133" i="50"/>
  <c r="IZ134" i="50" s="1"/>
  <c r="BV140" i="48" s="1"/>
  <c r="CA140" i="48" s="1"/>
  <c r="JP133" i="50"/>
  <c r="DZ91" i="51"/>
  <c r="DZ75" i="51"/>
  <c r="DZ77" i="51"/>
  <c r="DZ87" i="51"/>
  <c r="DZ79" i="51"/>
  <c r="DZ89" i="51"/>
  <c r="DZ81" i="51"/>
  <c r="DO69" i="50"/>
  <c r="M96" i="48" s="1"/>
  <c r="LN69" i="50"/>
  <c r="LQ69" i="50" s="1"/>
  <c r="DQ41" i="51"/>
  <c r="DL69" i="50"/>
  <c r="J96" i="48" s="1"/>
  <c r="K96" i="48"/>
  <c r="EN77" i="51"/>
  <c r="FA77" i="51"/>
  <c r="K97" i="48"/>
  <c r="LN70" i="50"/>
  <c r="LQ70" i="50" s="1"/>
  <c r="DL70" i="50"/>
  <c r="J97" i="48" s="1"/>
  <c r="DQ42" i="51"/>
  <c r="DO70" i="50"/>
  <c r="M97" i="48" s="1"/>
  <c r="U17" i="39"/>
  <c r="Z22" i="41"/>
  <c r="U22" i="41"/>
  <c r="K89" i="48"/>
  <c r="DL85" i="50"/>
  <c r="J89" i="48" s="1"/>
  <c r="DO85" i="50"/>
  <c r="M89" i="48" s="1"/>
  <c r="DQ46" i="51"/>
  <c r="LN85" i="50"/>
  <c r="LQ85" i="50" s="1"/>
  <c r="AL105" i="48"/>
  <c r="EG75" i="51"/>
  <c r="AM105" i="48" s="1"/>
  <c r="LH145" i="50"/>
  <c r="LE145" i="50"/>
  <c r="NA145" i="50" s="1"/>
  <c r="NB145" i="50" s="1"/>
  <c r="LN83" i="50"/>
  <c r="LP83" i="50" s="1"/>
  <c r="DN83" i="50"/>
  <c r="L73" i="48" s="1"/>
  <c r="DL83" i="50"/>
  <c r="K73" i="48"/>
  <c r="DP83" i="50"/>
  <c r="DP139" i="50" s="1"/>
  <c r="DM139" i="50" s="1"/>
  <c r="DM75" i="50"/>
  <c r="EN91" i="51"/>
  <c r="FA91" i="51"/>
  <c r="CB134" i="48"/>
  <c r="Y44" i="44"/>
  <c r="BR44" i="44" s="1"/>
  <c r="S44" i="44"/>
  <c r="BL44" i="44" s="1"/>
  <c r="P44" i="44"/>
  <c r="BI44" i="44" s="1"/>
  <c r="V44" i="44"/>
  <c r="BO44" i="44" s="1"/>
  <c r="M44" i="44"/>
  <c r="BF44" i="44" s="1"/>
  <c r="BB134" i="48"/>
  <c r="BY134" i="48" s="1"/>
  <c r="BZ134" i="48" s="1"/>
  <c r="AH12" i="44"/>
  <c r="AK12" i="44"/>
  <c r="AN12" i="44"/>
  <c r="AE12" i="44"/>
  <c r="AB12" i="44"/>
  <c r="G97" i="48"/>
  <c r="DP42" i="51"/>
  <c r="BV70" i="50"/>
  <c r="F97" i="48" s="1"/>
  <c r="KJ70" i="50"/>
  <c r="KM70" i="50" s="1"/>
  <c r="BY70" i="50"/>
  <c r="I97" i="48" s="1"/>
  <c r="C90" i="48"/>
  <c r="AU90" i="48" s="1"/>
  <c r="AY90" i="48"/>
  <c r="S51" i="39"/>
  <c r="O51" i="39" s="1"/>
  <c r="Q51" i="39" s="1"/>
  <c r="Q52" i="39" s="1"/>
  <c r="Y52" i="39" s="1"/>
  <c r="EG91" i="51"/>
  <c r="AM117" i="48" s="1"/>
  <c r="AL117" i="48"/>
  <c r="FG84" i="51"/>
  <c r="FH84" i="51"/>
  <c r="LO117" i="50"/>
  <c r="NE117" i="50" s="1"/>
  <c r="NF117" i="50" s="1"/>
  <c r="LR117" i="50"/>
  <c r="DM59" i="50"/>
  <c r="Z22" i="40"/>
  <c r="U22" i="40"/>
  <c r="B72" i="48"/>
  <c r="AT72" i="48" s="1"/>
  <c r="AX72" i="48"/>
  <c r="AL106" i="48"/>
  <c r="EG77" i="51"/>
  <c r="AM106" i="48" s="1"/>
  <c r="AL111" i="18" l="1"/>
  <c r="EH68" i="11"/>
  <c r="EG87" i="51"/>
  <c r="AM115" i="48" s="1"/>
  <c r="DR145" i="50"/>
  <c r="BG142" i="48" s="1"/>
  <c r="BC142" i="48" s="1"/>
  <c r="DL145" i="50"/>
  <c r="DQ145" i="50"/>
  <c r="BF142" i="48" s="1"/>
  <c r="BB142" i="48" s="1"/>
  <c r="BY142" i="48" s="1"/>
  <c r="BZ142" i="48" s="1"/>
  <c r="EI68" i="11"/>
  <c r="AO104" i="18" s="1"/>
  <c r="CQ62" i="11"/>
  <c r="EG87" i="11"/>
  <c r="AL115" i="18"/>
  <c r="ER68" i="11"/>
  <c r="ER62" i="11"/>
  <c r="EQ62" i="11"/>
  <c r="EQ67" i="11"/>
  <c r="AL116" i="18"/>
  <c r="K71" i="18"/>
  <c r="C71" i="18" s="1"/>
  <c r="AU71" i="18" s="1"/>
  <c r="DN75" i="14"/>
  <c r="L71" i="18" s="1"/>
  <c r="EO67" i="11"/>
  <c r="EP67" i="11" s="1"/>
  <c r="EE65" i="11"/>
  <c r="EE62" i="11"/>
  <c r="J77" i="18"/>
  <c r="B77" i="18" s="1"/>
  <c r="AT77" i="18" s="1"/>
  <c r="DL75" i="14"/>
  <c r="J71" i="18" s="1"/>
  <c r="B71" i="18" s="1"/>
  <c r="AT71" i="18" s="1"/>
  <c r="AL117" i="18"/>
  <c r="EQ66" i="11"/>
  <c r="ER66" i="11"/>
  <c r="EQ68" i="11"/>
  <c r="AR104" i="18" s="1"/>
  <c r="EI62" i="11"/>
  <c r="ER83" i="11"/>
  <c r="EO83" i="11"/>
  <c r="EE66" i="11"/>
  <c r="AL112" i="18"/>
  <c r="ER67" i="11"/>
  <c r="EO84" i="11"/>
  <c r="ER84" i="11"/>
  <c r="EN64" i="11"/>
  <c r="ER65" i="11"/>
  <c r="EQ65" i="11"/>
  <c r="AL110" i="18"/>
  <c r="AL109" i="18"/>
  <c r="EH67" i="11"/>
  <c r="AN103" i="18" s="1"/>
  <c r="DU91" i="11"/>
  <c r="DT91" i="11"/>
  <c r="DR91" i="11"/>
  <c r="DS91" i="11" s="1"/>
  <c r="DU77" i="11"/>
  <c r="DT77" i="11"/>
  <c r="DR77" i="11"/>
  <c r="DS77" i="11" s="1"/>
  <c r="DR75" i="11"/>
  <c r="DS75" i="11" s="1"/>
  <c r="DT75" i="11"/>
  <c r="DU75" i="11"/>
  <c r="DU79" i="11"/>
  <c r="DT79" i="11"/>
  <c r="DU71" i="11"/>
  <c r="DT71" i="11"/>
  <c r="DT67" i="11" s="1"/>
  <c r="DR79" i="11"/>
  <c r="DS79" i="11" s="1"/>
  <c r="DR71" i="11"/>
  <c r="DR67" i="11" s="1"/>
  <c r="DS67" i="11" s="1"/>
  <c r="DU70" i="11"/>
  <c r="DT70" i="11"/>
  <c r="DR70" i="11"/>
  <c r="DS70" i="11" s="1"/>
  <c r="AO106" i="18"/>
  <c r="DU87" i="11"/>
  <c r="DT87" i="11"/>
  <c r="DR87" i="11"/>
  <c r="DS87" i="11" s="1"/>
  <c r="AN104" i="18"/>
  <c r="AN106" i="18"/>
  <c r="DU73" i="11"/>
  <c r="DU68" i="11" s="1"/>
  <c r="DT73" i="11"/>
  <c r="DR73" i="11"/>
  <c r="DU81" i="11"/>
  <c r="DU72" i="11"/>
  <c r="I110" i="18" s="1"/>
  <c r="DT81" i="11"/>
  <c r="DT72" i="11"/>
  <c r="H110" i="18" s="1"/>
  <c r="DR81" i="11"/>
  <c r="DS81" i="11" s="1"/>
  <c r="DR72" i="11"/>
  <c r="DS72" i="11" s="1"/>
  <c r="AO103" i="18"/>
  <c r="AL104" i="18"/>
  <c r="AL106" i="18"/>
  <c r="DR89" i="11"/>
  <c r="DS89" i="11" s="1"/>
  <c r="DT89" i="11"/>
  <c r="DU89" i="11"/>
  <c r="CQ66" i="11"/>
  <c r="V53" i="44"/>
  <c r="BO53" i="44" s="1"/>
  <c r="M53" i="44"/>
  <c r="BF53" i="44" s="1"/>
  <c r="Y53" i="44"/>
  <c r="BR53" i="44" s="1"/>
  <c r="P53" i="44"/>
  <c r="BI53" i="44" s="1"/>
  <c r="D128" i="48"/>
  <c r="AV128" i="48" s="1"/>
  <c r="KJ134" i="14"/>
  <c r="LX134" i="14"/>
  <c r="MH134" i="14"/>
  <c r="LD134" i="14"/>
  <c r="JA134" i="14"/>
  <c r="BW140" i="18" s="1"/>
  <c r="JC134" i="14"/>
  <c r="JD134" i="14"/>
  <c r="JB134" i="14"/>
  <c r="IV134" i="14"/>
  <c r="KT134" i="14"/>
  <c r="LN134" i="14"/>
  <c r="BV140" i="18"/>
  <c r="NQ134" i="14"/>
  <c r="NS134" i="14"/>
  <c r="NR134" i="14"/>
  <c r="KX139" i="14"/>
  <c r="KU139" i="14"/>
  <c r="MW139" i="14" s="1"/>
  <c r="MX139" i="14" s="1"/>
  <c r="CS79" i="11"/>
  <c r="CS66" i="11" s="1"/>
  <c r="K67" i="18"/>
  <c r="C67" i="18" s="1"/>
  <c r="DN59" i="14"/>
  <c r="L67" i="18" s="1"/>
  <c r="D67" i="18" s="1"/>
  <c r="CS91" i="11"/>
  <c r="CS83" i="11" s="1"/>
  <c r="KK139" i="14"/>
  <c r="MS139" i="14" s="1"/>
  <c r="MT139" i="14" s="1"/>
  <c r="KN139" i="14"/>
  <c r="MB139" i="14"/>
  <c r="LY139" i="14"/>
  <c r="NI139" i="14" s="1"/>
  <c r="NJ139" i="14" s="1"/>
  <c r="D71" i="18"/>
  <c r="AV71" i="18" s="1"/>
  <c r="MI139" i="14"/>
  <c r="NM139" i="14" s="1"/>
  <c r="NN139" i="14" s="1"/>
  <c r="ML139" i="14"/>
  <c r="BY141" i="18"/>
  <c r="BZ141" i="18" s="1"/>
  <c r="LH139" i="14"/>
  <c r="LE139" i="14"/>
  <c r="NA139" i="14" s="1"/>
  <c r="NB139" i="14" s="1"/>
  <c r="B76" i="18"/>
  <c r="AT76" i="18" s="1"/>
  <c r="AX76" i="18"/>
  <c r="BV142" i="18"/>
  <c r="CA142" i="18" s="1"/>
  <c r="CB142" i="18" s="1"/>
  <c r="NS145" i="14"/>
  <c r="NQ145" i="14"/>
  <c r="NR145" i="14"/>
  <c r="AX75" i="11"/>
  <c r="BA62" i="11"/>
  <c r="AX62" i="11" s="1"/>
  <c r="JC145" i="14"/>
  <c r="JD145" i="14"/>
  <c r="IV145" i="14"/>
  <c r="JB145" i="14"/>
  <c r="JA145" i="14"/>
  <c r="BW142" i="18" s="1"/>
  <c r="LD145" i="14"/>
  <c r="LX145" i="14"/>
  <c r="MH145" i="14"/>
  <c r="KT145" i="14"/>
  <c r="KJ145" i="14"/>
  <c r="LN145" i="14"/>
  <c r="GN107" i="14"/>
  <c r="GS107" i="14" s="1"/>
  <c r="GR107" i="14"/>
  <c r="GT107" i="14"/>
  <c r="FC75" i="11"/>
  <c r="FA62" i="11"/>
  <c r="FB75" i="11"/>
  <c r="CC113" i="14"/>
  <c r="F137" i="18" s="1"/>
  <c r="CF113" i="14"/>
  <c r="I137" i="18" s="1"/>
  <c r="G137" i="18"/>
  <c r="FL108" i="14"/>
  <c r="FO108" i="14"/>
  <c r="AP109" i="18"/>
  <c r="AR109" i="18"/>
  <c r="AS109" i="18"/>
  <c r="LO107" i="14"/>
  <c r="NE107" i="14" s="1"/>
  <c r="NF107" i="14" s="1"/>
  <c r="LR107" i="14"/>
  <c r="DT113" i="14"/>
  <c r="LS113" i="14"/>
  <c r="LV113" i="14" s="1"/>
  <c r="EV112" i="14"/>
  <c r="EH112" i="14"/>
  <c r="DT112" i="14"/>
  <c r="CF108" i="14"/>
  <c r="I136" i="18" s="1"/>
  <c r="G136" i="18"/>
  <c r="CC108" i="14"/>
  <c r="F136" i="18" s="1"/>
  <c r="DK112" i="14"/>
  <c r="DE112" i="14"/>
  <c r="LI112" i="14"/>
  <c r="DI112" i="14"/>
  <c r="DJ112" i="14"/>
  <c r="DN75" i="11"/>
  <c r="DI107" i="14"/>
  <c r="DJ107" i="14"/>
  <c r="LI107" i="14"/>
  <c r="DK107" i="14"/>
  <c r="DE107" i="14"/>
  <c r="CV107" i="14"/>
  <c r="KY107" i="14"/>
  <c r="CQ107" i="14"/>
  <c r="CU107" i="14"/>
  <c r="CW107" i="14"/>
  <c r="EC81" i="11"/>
  <c r="EB81" i="11"/>
  <c r="EA81" i="11"/>
  <c r="FC77" i="11"/>
  <c r="FB77" i="11"/>
  <c r="I109" i="18"/>
  <c r="DN79" i="11"/>
  <c r="H109" i="18"/>
  <c r="FL112" i="14"/>
  <c r="FQ112" i="14" s="1"/>
  <c r="FR112" i="14"/>
  <c r="FP112" i="14"/>
  <c r="EC91" i="11"/>
  <c r="EA91" i="11"/>
  <c r="EB91" i="11"/>
  <c r="FB79" i="11"/>
  <c r="FC79" i="11"/>
  <c r="DN87" i="11"/>
  <c r="FC91" i="11"/>
  <c r="FB91" i="11"/>
  <c r="GD112" i="14"/>
  <c r="GF112" i="14"/>
  <c r="FZ112" i="14"/>
  <c r="GE112" i="14" s="1"/>
  <c r="EA75" i="11"/>
  <c r="EC75" i="11"/>
  <c r="EB75" i="11"/>
  <c r="DN81" i="11"/>
  <c r="FD84" i="11"/>
  <c r="FA84" i="11"/>
  <c r="FE84" i="11"/>
  <c r="GR112" i="14"/>
  <c r="GN112" i="14"/>
  <c r="GS112" i="14" s="1"/>
  <c r="GT112" i="14"/>
  <c r="EA77" i="11"/>
  <c r="EC77" i="11"/>
  <c r="EB77" i="11"/>
  <c r="DN89" i="11"/>
  <c r="FO113" i="14"/>
  <c r="FL113" i="14"/>
  <c r="EB79" i="11"/>
  <c r="EA79" i="11"/>
  <c r="EC79" i="11"/>
  <c r="DN77" i="11"/>
  <c r="DV108" i="14"/>
  <c r="M136" i="18" s="1"/>
  <c r="K136" i="18"/>
  <c r="DS108" i="14"/>
  <c r="J136" i="18" s="1"/>
  <c r="EA89" i="11"/>
  <c r="EB89" i="11"/>
  <c r="EC89" i="11"/>
  <c r="DN91" i="11"/>
  <c r="EB87" i="11"/>
  <c r="EA87" i="11"/>
  <c r="EC87" i="11"/>
  <c r="CS65" i="11"/>
  <c r="CS64" i="11"/>
  <c r="GD107" i="14"/>
  <c r="GF107" i="14"/>
  <c r="FZ107" i="14"/>
  <c r="GE107" i="14" s="1"/>
  <c r="FB87" i="11"/>
  <c r="FA83" i="11"/>
  <c r="FC87" i="11"/>
  <c r="DQ81" i="11"/>
  <c r="DQ62" i="11"/>
  <c r="DQ79" i="11"/>
  <c r="DQ91" i="11"/>
  <c r="DQ75" i="11"/>
  <c r="DQ89" i="11"/>
  <c r="DQ77" i="11"/>
  <c r="DQ87" i="11"/>
  <c r="CC112" i="14"/>
  <c r="CI112" i="14"/>
  <c r="BE133" i="18" s="1"/>
  <c r="CH112" i="14"/>
  <c r="BD133" i="18" s="1"/>
  <c r="KO112" i="14"/>
  <c r="CG112" i="14"/>
  <c r="FB89" i="11"/>
  <c r="FC89" i="11"/>
  <c r="EL107" i="14"/>
  <c r="EM107" i="14"/>
  <c r="EG107" i="14"/>
  <c r="EK107" i="14"/>
  <c r="MC107" i="14"/>
  <c r="AR110" i="18"/>
  <c r="AP110" i="18"/>
  <c r="AS110" i="18"/>
  <c r="AP104" i="18"/>
  <c r="CC107" i="14"/>
  <c r="KO107" i="14"/>
  <c r="CH107" i="14"/>
  <c r="BD132" i="18" s="1"/>
  <c r="CI107" i="14"/>
  <c r="BE132" i="18" s="1"/>
  <c r="BC132" i="18" s="1"/>
  <c r="CG107" i="14"/>
  <c r="FR107" i="14"/>
  <c r="FP107" i="14"/>
  <c r="FL107" i="14"/>
  <c r="FQ107" i="14" s="1"/>
  <c r="EZ107" i="14"/>
  <c r="EY107" i="14"/>
  <c r="FA107" i="14"/>
  <c r="EU107" i="14"/>
  <c r="MM107" i="14"/>
  <c r="CW112" i="14"/>
  <c r="CQ112" i="14"/>
  <c r="CV112" i="14"/>
  <c r="CU112" i="14"/>
  <c r="KY112" i="14"/>
  <c r="FB81" i="11"/>
  <c r="FC81" i="11"/>
  <c r="LT107" i="14"/>
  <c r="NG107" i="14" s="1"/>
  <c r="NH107" i="14" s="1"/>
  <c r="LW107" i="14"/>
  <c r="E129" i="48"/>
  <c r="AW129" i="48" s="1"/>
  <c r="LR145" i="50"/>
  <c r="LO145" i="50"/>
  <c r="NE145" i="50" s="1"/>
  <c r="NF145" i="50" s="1"/>
  <c r="ML145" i="50"/>
  <c r="MI145" i="50"/>
  <c r="NM145" i="50" s="1"/>
  <c r="NN145" i="50" s="1"/>
  <c r="MB145" i="50"/>
  <c r="LY145" i="50"/>
  <c r="NI145" i="50" s="1"/>
  <c r="NJ145" i="50" s="1"/>
  <c r="C128" i="48"/>
  <c r="AU128" i="48" s="1"/>
  <c r="B128" i="48"/>
  <c r="AT128" i="48" s="1"/>
  <c r="C129" i="48"/>
  <c r="AU129" i="48" s="1"/>
  <c r="B129" i="48"/>
  <c r="AT129" i="48" s="1"/>
  <c r="C127" i="48"/>
  <c r="AU127" i="48" s="1"/>
  <c r="B127" i="48"/>
  <c r="AT127" i="48" s="1"/>
  <c r="EI62" i="51"/>
  <c r="LH117" i="50"/>
  <c r="LE117" i="50"/>
  <c r="NA117" i="50" s="1"/>
  <c r="NB117" i="50" s="1"/>
  <c r="LH112" i="50"/>
  <c r="LE112" i="50"/>
  <c r="NA112" i="50" s="1"/>
  <c r="NB112" i="50" s="1"/>
  <c r="DC134" i="50"/>
  <c r="BP140" i="48" s="1"/>
  <c r="BN140" i="48" s="1"/>
  <c r="CX134" i="50"/>
  <c r="DD134" i="50"/>
  <c r="BQ140" i="48" s="1"/>
  <c r="BO140" i="48" s="1"/>
  <c r="LO112" i="50"/>
  <c r="NE112" i="50" s="1"/>
  <c r="NF112" i="50" s="1"/>
  <c r="LR112" i="50"/>
  <c r="DQ81" i="51"/>
  <c r="DO81" i="51" s="1"/>
  <c r="AL104" i="48"/>
  <c r="DQ89" i="51"/>
  <c r="DX89" i="51" s="1"/>
  <c r="GD107" i="50"/>
  <c r="GF107" i="50"/>
  <c r="FZ107" i="50"/>
  <c r="GE107" i="50" s="1"/>
  <c r="GT107" i="50"/>
  <c r="GN107" i="50"/>
  <c r="GS107" i="50" s="1"/>
  <c r="GR107" i="50"/>
  <c r="FP107" i="50"/>
  <c r="FL107" i="50"/>
  <c r="FQ107" i="50" s="1"/>
  <c r="FR107" i="50"/>
  <c r="AL110" i="48"/>
  <c r="EG72" i="51"/>
  <c r="AM110" i="48" s="1"/>
  <c r="FL108" i="50"/>
  <c r="FO108" i="50"/>
  <c r="AL112" i="48"/>
  <c r="EG81" i="51"/>
  <c r="AM112" i="48" s="1"/>
  <c r="T17" i="39"/>
  <c r="FP112" i="50"/>
  <c r="FL112" i="50"/>
  <c r="FQ112" i="50" s="1"/>
  <c r="FR112" i="50"/>
  <c r="LS108" i="50"/>
  <c r="LV108" i="50" s="1"/>
  <c r="EH107" i="50"/>
  <c r="EV107" i="50"/>
  <c r="DT107" i="50"/>
  <c r="DT108" i="50"/>
  <c r="GR112" i="50"/>
  <c r="GT112" i="50"/>
  <c r="GN112" i="50"/>
  <c r="GS112" i="50" s="1"/>
  <c r="EV112" i="50"/>
  <c r="DT112" i="50"/>
  <c r="DT113" i="50"/>
  <c r="LS113" i="50"/>
  <c r="LV113" i="50" s="1"/>
  <c r="EH112" i="50"/>
  <c r="FL113" i="50"/>
  <c r="FO113" i="50"/>
  <c r="GF112" i="50"/>
  <c r="GD112" i="50"/>
  <c r="FZ112" i="50"/>
  <c r="GE112" i="50" s="1"/>
  <c r="S20" i="40"/>
  <c r="AA20" i="40" s="1"/>
  <c r="S21" i="41"/>
  <c r="AA21" i="41" s="1"/>
  <c r="S21" i="42"/>
  <c r="AA21" i="42" s="1"/>
  <c r="S21" i="43"/>
  <c r="AA21" i="43" s="1"/>
  <c r="P35" i="44"/>
  <c r="BI35" i="44" s="1"/>
  <c r="M35" i="44"/>
  <c r="BF35" i="44" s="1"/>
  <c r="Y35" i="44"/>
  <c r="BR35" i="44" s="1"/>
  <c r="S35" i="44"/>
  <c r="BL35" i="44" s="1"/>
  <c r="V35" i="44"/>
  <c r="BO35" i="44" s="1"/>
  <c r="S20" i="43"/>
  <c r="AA20" i="43" s="1"/>
  <c r="S21" i="40"/>
  <c r="AA21" i="40" s="1"/>
  <c r="S20" i="41"/>
  <c r="AA20" i="41" s="1"/>
  <c r="S20" i="42"/>
  <c r="AA20" i="42" s="1"/>
  <c r="T20" i="37"/>
  <c r="T22" i="37" s="1"/>
  <c r="U20" i="37"/>
  <c r="S22" i="37"/>
  <c r="MB139" i="50"/>
  <c r="LY139" i="50"/>
  <c r="NI139" i="50" s="1"/>
  <c r="NJ139" i="50" s="1"/>
  <c r="AX97" i="48"/>
  <c r="B97" i="48"/>
  <c r="AT97" i="48" s="1"/>
  <c r="EB77" i="51"/>
  <c r="EA77" i="51"/>
  <c r="EC77" i="51"/>
  <c r="MI139" i="50"/>
  <c r="NM139" i="50" s="1"/>
  <c r="NN139" i="50" s="1"/>
  <c r="ML139" i="50"/>
  <c r="FA84" i="51"/>
  <c r="FE84" i="51"/>
  <c r="FD84" i="51"/>
  <c r="KK145" i="50"/>
  <c r="MS145" i="50" s="1"/>
  <c r="MT145" i="50" s="1"/>
  <c r="KN145" i="50"/>
  <c r="AC22" i="42"/>
  <c r="AG22" i="42"/>
  <c r="AC22" i="43"/>
  <c r="AG22" i="43"/>
  <c r="FC77" i="51"/>
  <c r="FB77" i="51"/>
  <c r="EA91" i="51"/>
  <c r="EC91" i="51"/>
  <c r="EB91" i="51"/>
  <c r="FB87" i="51"/>
  <c r="FA83" i="51"/>
  <c r="FC87" i="51"/>
  <c r="EO89" i="51"/>
  <c r="EQ89" i="51"/>
  <c r="AR116" i="48" s="1"/>
  <c r="K16" i="44" s="1"/>
  <c r="ER89" i="51"/>
  <c r="AS116" i="48" s="1"/>
  <c r="EN84" i="51"/>
  <c r="R18" i="42"/>
  <c r="R18" i="41"/>
  <c r="R18" i="43"/>
  <c r="CA142" i="48"/>
  <c r="R19" i="40"/>
  <c r="CG112" i="50"/>
  <c r="CC112" i="50"/>
  <c r="CH112" i="50"/>
  <c r="BD133" i="48" s="1"/>
  <c r="KO112" i="50"/>
  <c r="CI112" i="50"/>
  <c r="BE133" i="48" s="1"/>
  <c r="EQ87" i="51"/>
  <c r="AR115" i="48" s="1"/>
  <c r="K15" i="44" s="1"/>
  <c r="EO87" i="51"/>
  <c r="EN83" i="51"/>
  <c r="ER87" i="51"/>
  <c r="AS115" i="48" s="1"/>
  <c r="T17" i="41"/>
  <c r="AB17" i="41" s="1"/>
  <c r="T17" i="43"/>
  <c r="AB17" i="43" s="1"/>
  <c r="T17" i="40"/>
  <c r="AB17" i="40" s="1"/>
  <c r="T17" i="42"/>
  <c r="AB17" i="42" s="1"/>
  <c r="E89" i="48"/>
  <c r="AW89" i="48" s="1"/>
  <c r="BA89" i="48"/>
  <c r="CQ112" i="50"/>
  <c r="CU112" i="50"/>
  <c r="KY112" i="50"/>
  <c r="CW112" i="50"/>
  <c r="CV112" i="50"/>
  <c r="C97" i="48"/>
  <c r="AU97" i="48" s="1"/>
  <c r="AY97" i="48"/>
  <c r="JB134" i="50"/>
  <c r="JA134" i="50"/>
  <c r="BW140" i="48" s="1"/>
  <c r="IV134" i="50"/>
  <c r="JD134" i="50"/>
  <c r="JC134" i="50"/>
  <c r="MH134" i="50"/>
  <c r="LX134" i="50"/>
  <c r="LN134" i="50"/>
  <c r="LD134" i="50"/>
  <c r="KJ134" i="50"/>
  <c r="KT134" i="50"/>
  <c r="AY89" i="48"/>
  <c r="C89" i="48"/>
  <c r="AU89" i="48" s="1"/>
  <c r="DJ112" i="50"/>
  <c r="DE112" i="50"/>
  <c r="LI112" i="50"/>
  <c r="DI112" i="50"/>
  <c r="DK112" i="50"/>
  <c r="EB75" i="51"/>
  <c r="EC75" i="51"/>
  <c r="EA75" i="51"/>
  <c r="B89" i="48"/>
  <c r="AT89" i="48" s="1"/>
  <c r="AX89" i="48"/>
  <c r="EO77" i="51"/>
  <c r="ER77" i="51"/>
  <c r="EQ77" i="51"/>
  <c r="DQ75" i="51"/>
  <c r="DQ79" i="51"/>
  <c r="DQ77" i="51"/>
  <c r="DQ87" i="51"/>
  <c r="Z17" i="40"/>
  <c r="EO71" i="51"/>
  <c r="EO70" i="51"/>
  <c r="EN66" i="51"/>
  <c r="ER71" i="51"/>
  <c r="EQ71" i="51"/>
  <c r="EQ79" i="51"/>
  <c r="EQ70" i="51"/>
  <c r="AR109" i="48" s="1"/>
  <c r="ER79" i="51"/>
  <c r="EO79" i="51"/>
  <c r="ER70" i="51"/>
  <c r="AS109" i="48" s="1"/>
  <c r="FC75" i="51"/>
  <c r="FB75" i="51"/>
  <c r="FA62" i="51"/>
  <c r="KO107" i="50"/>
  <c r="CG107" i="50"/>
  <c r="CC107" i="50"/>
  <c r="CH107" i="50"/>
  <c r="BD132" i="48" s="1"/>
  <c r="CI107" i="50"/>
  <c r="BE132" i="48" s="1"/>
  <c r="G137" i="48"/>
  <c r="CC113" i="50"/>
  <c r="F137" i="48" s="1"/>
  <c r="CF113" i="50"/>
  <c r="I137" i="48" s="1"/>
  <c r="BY140" i="48"/>
  <c r="BZ140" i="48" s="1"/>
  <c r="AB8" i="44"/>
  <c r="AK8" i="44"/>
  <c r="AH8" i="44"/>
  <c r="AE8" i="44"/>
  <c r="AN8" i="44"/>
  <c r="FB81" i="51"/>
  <c r="FC81" i="51"/>
  <c r="AX74" i="48"/>
  <c r="B74" i="48"/>
  <c r="AT74" i="48" s="1"/>
  <c r="LI107" i="50"/>
  <c r="DE107" i="50"/>
  <c r="DI107" i="50"/>
  <c r="DK107" i="50"/>
  <c r="DJ107" i="50"/>
  <c r="I51" i="44"/>
  <c r="AL103" i="48"/>
  <c r="EG67" i="51"/>
  <c r="AM103" i="48" s="1"/>
  <c r="DQ91" i="51"/>
  <c r="AZ74" i="48"/>
  <c r="D74" i="48"/>
  <c r="AV74" i="48" s="1"/>
  <c r="ER75" i="51"/>
  <c r="EN65" i="51"/>
  <c r="EN62" i="51"/>
  <c r="EO75" i="51"/>
  <c r="EQ75" i="51"/>
  <c r="KY107" i="50"/>
  <c r="CQ107" i="50"/>
  <c r="CU107" i="50"/>
  <c r="CV107" i="50"/>
  <c r="CW107" i="50"/>
  <c r="B69" i="48"/>
  <c r="AT69" i="48" s="1"/>
  <c r="AX69" i="48"/>
  <c r="Z17" i="42"/>
  <c r="Z17" i="41"/>
  <c r="ER72" i="51"/>
  <c r="AS110" i="48" s="1"/>
  <c r="EO73" i="51"/>
  <c r="ER73" i="51"/>
  <c r="EQ81" i="51"/>
  <c r="ER81" i="51"/>
  <c r="EO81" i="51"/>
  <c r="EQ72" i="51"/>
  <c r="AR110" i="48" s="1"/>
  <c r="EO72" i="51"/>
  <c r="EQ73" i="51"/>
  <c r="FC79" i="51"/>
  <c r="FB79" i="51"/>
  <c r="AY74" i="48"/>
  <c r="C74" i="48"/>
  <c r="AU74" i="48" s="1"/>
  <c r="BX75" i="50"/>
  <c r="H71" i="48" s="1"/>
  <c r="G71" i="48"/>
  <c r="AY69" i="48"/>
  <c r="C69" i="48"/>
  <c r="AU69" i="48" s="1"/>
  <c r="FC91" i="51"/>
  <c r="FB91" i="51"/>
  <c r="BV139" i="50"/>
  <c r="CA139" i="50"/>
  <c r="BD141" i="48" s="1"/>
  <c r="KJ139" i="50"/>
  <c r="CB139" i="50"/>
  <c r="BE141" i="48" s="1"/>
  <c r="CC108" i="50"/>
  <c r="F136" i="48" s="1"/>
  <c r="CF108" i="50"/>
  <c r="I136" i="48" s="1"/>
  <c r="G136" i="48"/>
  <c r="EQ91" i="51"/>
  <c r="AR117" i="48" s="1"/>
  <c r="K17" i="44" s="1"/>
  <c r="EO91" i="51"/>
  <c r="ER91" i="51"/>
  <c r="AS117" i="48" s="1"/>
  <c r="Z17" i="43"/>
  <c r="AZ73" i="48"/>
  <c r="D73" i="48"/>
  <c r="AV73" i="48" s="1"/>
  <c r="AZ69" i="48"/>
  <c r="D69" i="48"/>
  <c r="AV69" i="48" s="1"/>
  <c r="EC81" i="51"/>
  <c r="EB81" i="51"/>
  <c r="EA81" i="51"/>
  <c r="CB140" i="48"/>
  <c r="AY73" i="48"/>
  <c r="C73" i="48"/>
  <c r="AU73" i="48" s="1"/>
  <c r="AY96" i="48"/>
  <c r="C96" i="48"/>
  <c r="AU96" i="48" s="1"/>
  <c r="AC22" i="40"/>
  <c r="AG22" i="40"/>
  <c r="DN75" i="50"/>
  <c r="L71" i="48" s="1"/>
  <c r="K71" i="48"/>
  <c r="DN59" i="50"/>
  <c r="L67" i="48" s="1"/>
  <c r="D67" i="48" s="1"/>
  <c r="K67" i="48"/>
  <c r="C67" i="48" s="1"/>
  <c r="DL139" i="50"/>
  <c r="DQ139" i="50"/>
  <c r="BF141" i="48" s="1"/>
  <c r="LN139" i="50"/>
  <c r="DR139" i="50"/>
  <c r="BG141" i="48" s="1"/>
  <c r="EB89" i="51"/>
  <c r="EA89" i="51"/>
  <c r="EC89" i="51"/>
  <c r="F73" i="48"/>
  <c r="BV75" i="50"/>
  <c r="F71" i="48" s="1"/>
  <c r="KX139" i="50"/>
  <c r="KU139" i="50"/>
  <c r="MW139" i="50" s="1"/>
  <c r="MX139" i="50" s="1"/>
  <c r="DP81" i="51"/>
  <c r="DP62" i="51"/>
  <c r="DP87" i="51"/>
  <c r="DP91" i="51"/>
  <c r="DP75" i="51"/>
  <c r="DP89" i="51"/>
  <c r="DP77" i="51"/>
  <c r="DP79" i="51"/>
  <c r="EC79" i="51"/>
  <c r="EA79" i="51"/>
  <c r="EB79" i="51"/>
  <c r="U42" i="37"/>
  <c r="T42" i="37"/>
  <c r="T44" i="37" s="1"/>
  <c r="S44" i="37"/>
  <c r="E96" i="48"/>
  <c r="AW96" i="48" s="1"/>
  <c r="BA96" i="48"/>
  <c r="FB89" i="51"/>
  <c r="FC89" i="51"/>
  <c r="AA52" i="39"/>
  <c r="Z52" i="39"/>
  <c r="BA97" i="48"/>
  <c r="E97" i="48"/>
  <c r="AW97" i="48" s="1"/>
  <c r="AC22" i="41"/>
  <c r="AG22" i="41"/>
  <c r="J73" i="48"/>
  <c r="DL75" i="50"/>
  <c r="J71" i="48" s="1"/>
  <c r="J17" i="39"/>
  <c r="P17" i="39" s="1"/>
  <c r="EB87" i="51"/>
  <c r="EC87" i="51"/>
  <c r="EA87" i="51"/>
  <c r="LE139" i="50"/>
  <c r="NA139" i="50" s="1"/>
  <c r="NB139" i="50" s="1"/>
  <c r="LH139" i="50"/>
  <c r="AX96" i="48"/>
  <c r="B96" i="48"/>
  <c r="AT96" i="48" s="1"/>
  <c r="DQ62" i="51"/>
  <c r="DT68" i="11" l="1"/>
  <c r="EE64" i="11"/>
  <c r="DR68" i="11"/>
  <c r="DS68" i="11" s="1"/>
  <c r="DY87" i="11"/>
  <c r="DX87" i="11"/>
  <c r="DV87" i="11"/>
  <c r="DW87" i="11" s="1"/>
  <c r="DY77" i="11"/>
  <c r="DX77" i="11"/>
  <c r="DV77" i="11"/>
  <c r="DW77" i="11" s="1"/>
  <c r="DY89" i="11"/>
  <c r="DX89" i="11"/>
  <c r="DV89" i="11"/>
  <c r="DW89" i="11" s="1"/>
  <c r="DU67" i="11"/>
  <c r="DY75" i="11"/>
  <c r="DX75" i="11"/>
  <c r="DV75" i="11"/>
  <c r="DW75" i="11" s="1"/>
  <c r="DY91" i="11"/>
  <c r="DX91" i="11"/>
  <c r="DV91" i="11"/>
  <c r="DW91" i="11" s="1"/>
  <c r="DX79" i="11"/>
  <c r="DV71" i="11"/>
  <c r="DV79" i="11"/>
  <c r="DW79" i="11" s="1"/>
  <c r="DY70" i="11"/>
  <c r="DX70" i="11"/>
  <c r="DV70" i="11"/>
  <c r="DW70" i="11" s="1"/>
  <c r="DY71" i="11"/>
  <c r="DY79" i="11"/>
  <c r="DX71" i="11"/>
  <c r="DV81" i="11"/>
  <c r="DW81" i="11" s="1"/>
  <c r="DY73" i="11"/>
  <c r="DY81" i="11"/>
  <c r="DX72" i="11"/>
  <c r="DX81" i="11"/>
  <c r="DV72" i="11"/>
  <c r="DW72" i="11" s="1"/>
  <c r="L110" i="18" s="1"/>
  <c r="D110" i="18" s="1"/>
  <c r="AV110" i="18" s="1"/>
  <c r="DX73" i="11"/>
  <c r="DV73" i="11"/>
  <c r="DY72" i="11"/>
  <c r="M110" i="18" s="1"/>
  <c r="E110" i="18" s="1"/>
  <c r="AW110" i="18" s="1"/>
  <c r="F109" i="18"/>
  <c r="AX109" i="18" s="1"/>
  <c r="F110" i="18"/>
  <c r="AX110" i="18" s="1"/>
  <c r="CA140" i="18"/>
  <c r="CB140" i="18" s="1"/>
  <c r="BY140" i="18"/>
  <c r="BZ140" i="18" s="1"/>
  <c r="LO134" i="14"/>
  <c r="NE134" i="14" s="1"/>
  <c r="NF134" i="14" s="1"/>
  <c r="LR134" i="14"/>
  <c r="KU134" i="14"/>
  <c r="MW134" i="14" s="1"/>
  <c r="MX134" i="14" s="1"/>
  <c r="KX134" i="14"/>
  <c r="CS84" i="11"/>
  <c r="LH134" i="14"/>
  <c r="LE134" i="14"/>
  <c r="NA134" i="14" s="1"/>
  <c r="NB134" i="14" s="1"/>
  <c r="MI134" i="14"/>
  <c r="NM134" i="14" s="1"/>
  <c r="NN134" i="14" s="1"/>
  <c r="ML134" i="14"/>
  <c r="MB134" i="14"/>
  <c r="LY134" i="14"/>
  <c r="NI134" i="14" s="1"/>
  <c r="NJ134" i="14" s="1"/>
  <c r="AS104" i="18"/>
  <c r="KN134" i="14"/>
  <c r="KK134" i="14"/>
  <c r="MS134" i="14" s="1"/>
  <c r="MT134" i="14" s="1"/>
  <c r="AS103" i="18"/>
  <c r="LR145" i="14"/>
  <c r="LO145" i="14"/>
  <c r="NE145" i="14" s="1"/>
  <c r="NF145" i="14" s="1"/>
  <c r="KN145" i="14"/>
  <c r="KK145" i="14"/>
  <c r="MS145" i="14" s="1"/>
  <c r="MT145" i="14" s="1"/>
  <c r="KU145" i="14"/>
  <c r="MW145" i="14" s="1"/>
  <c r="MX145" i="14" s="1"/>
  <c r="KX145" i="14"/>
  <c r="MI145" i="14"/>
  <c r="NM145" i="14" s="1"/>
  <c r="NN145" i="14" s="1"/>
  <c r="ML145" i="14"/>
  <c r="MB145" i="14"/>
  <c r="LY145" i="14"/>
  <c r="NI145" i="14" s="1"/>
  <c r="NJ145" i="14" s="1"/>
  <c r="LH145" i="14"/>
  <c r="LE145" i="14"/>
  <c r="NA145" i="14" s="1"/>
  <c r="NB145" i="14" s="1"/>
  <c r="BY142" i="18"/>
  <c r="BZ142" i="18" s="1"/>
  <c r="I104" i="18"/>
  <c r="DO79" i="11"/>
  <c r="M109" i="18"/>
  <c r="E109" i="18" s="1"/>
  <c r="AW109" i="18" s="1"/>
  <c r="J109" i="18"/>
  <c r="L109" i="18"/>
  <c r="D109" i="18" s="1"/>
  <c r="AV109" i="18" s="1"/>
  <c r="AR111" i="18"/>
  <c r="AP115" i="18"/>
  <c r="I117" i="18"/>
  <c r="GC91" i="11"/>
  <c r="GA75" i="11"/>
  <c r="F105" i="18"/>
  <c r="C136" i="18"/>
  <c r="AU136" i="18" s="1"/>
  <c r="AY136" i="18"/>
  <c r="AP111" i="18"/>
  <c r="BB132" i="18"/>
  <c r="BY132" i="18" s="1"/>
  <c r="BZ132" i="18" s="1"/>
  <c r="CA132" i="18"/>
  <c r="CB132" i="18" s="1"/>
  <c r="H117" i="18"/>
  <c r="GB91" i="11"/>
  <c r="BA136" i="18"/>
  <c r="E136" i="18"/>
  <c r="AW136" i="18" s="1"/>
  <c r="KS107" i="14"/>
  <c r="KP107" i="14"/>
  <c r="MU107" i="14" s="1"/>
  <c r="MV107" i="14" s="1"/>
  <c r="FC84" i="11"/>
  <c r="FB84" i="11"/>
  <c r="AS117" i="18"/>
  <c r="AP106" i="18"/>
  <c r="DW112" i="14"/>
  <c r="DS112" i="14"/>
  <c r="DY112" i="14"/>
  <c r="BG133" i="18" s="1"/>
  <c r="BC133" i="18" s="1"/>
  <c r="DX112" i="14"/>
  <c r="BF133" i="18" s="1"/>
  <c r="BB133" i="18" s="1"/>
  <c r="BY133" i="18" s="1"/>
  <c r="BZ133" i="18" s="1"/>
  <c r="LS112" i="14"/>
  <c r="AS111" i="18"/>
  <c r="H105" i="18"/>
  <c r="GB75" i="11"/>
  <c r="MQ107" i="14"/>
  <c r="MN107" i="14"/>
  <c r="NO107" i="14" s="1"/>
  <c r="NP107" i="14" s="1"/>
  <c r="GA91" i="11"/>
  <c r="F117" i="18"/>
  <c r="AP117" i="18"/>
  <c r="AR106" i="18"/>
  <c r="EL112" i="14"/>
  <c r="EM112" i="14"/>
  <c r="EK112" i="14"/>
  <c r="MC112" i="14"/>
  <c r="EG112" i="14"/>
  <c r="GB81" i="11"/>
  <c r="H112" i="18"/>
  <c r="AR117" i="18"/>
  <c r="AS106" i="18"/>
  <c r="MM112" i="14"/>
  <c r="EU112" i="14"/>
  <c r="FA112" i="14"/>
  <c r="EY112" i="14"/>
  <c r="EZ112" i="14"/>
  <c r="BA109" i="18"/>
  <c r="KS112" i="14"/>
  <c r="KP112" i="14"/>
  <c r="MU112" i="14" s="1"/>
  <c r="MV112" i="14" s="1"/>
  <c r="F116" i="18"/>
  <c r="GA89" i="11"/>
  <c r="H104" i="18"/>
  <c r="I111" i="18"/>
  <c r="GC79" i="11"/>
  <c r="AY137" i="18"/>
  <c r="CA133" i="18"/>
  <c r="CB133" i="18" s="1"/>
  <c r="BA110" i="18"/>
  <c r="H115" i="18"/>
  <c r="GB87" i="11"/>
  <c r="I103" i="18"/>
  <c r="DV113" i="14"/>
  <c r="M137" i="18" s="1"/>
  <c r="E137" i="18" s="1"/>
  <c r="AW137" i="18" s="1"/>
  <c r="K137" i="18"/>
  <c r="C137" i="18" s="1"/>
  <c r="AU137" i="18" s="1"/>
  <c r="DS113" i="14"/>
  <c r="J137" i="18" s="1"/>
  <c r="B137" i="18" s="1"/>
  <c r="AT137" i="18" s="1"/>
  <c r="BA137" i="18"/>
  <c r="B136" i="18"/>
  <c r="AT136" i="18" s="1"/>
  <c r="AX136" i="18"/>
  <c r="I116" i="18"/>
  <c r="GC89" i="11"/>
  <c r="F115" i="18"/>
  <c r="GA87" i="11"/>
  <c r="GA79" i="11"/>
  <c r="F111" i="18"/>
  <c r="KZ107" i="14"/>
  <c r="MY107" i="14" s="1"/>
  <c r="MZ107" i="14" s="1"/>
  <c r="LC107" i="14"/>
  <c r="LJ112" i="14"/>
  <c r="NC112" i="14" s="1"/>
  <c r="ND112" i="14" s="1"/>
  <c r="LM112" i="14"/>
  <c r="AX137" i="18"/>
  <c r="GB77" i="11"/>
  <c r="H106" i="18"/>
  <c r="DO81" i="11"/>
  <c r="AR116" i="18"/>
  <c r="AR112" i="18"/>
  <c r="H116" i="18"/>
  <c r="GB89" i="11"/>
  <c r="GA81" i="11"/>
  <c r="F112" i="18"/>
  <c r="AR115" i="18"/>
  <c r="AP105" i="18"/>
  <c r="DO87" i="11"/>
  <c r="GC87" i="11"/>
  <c r="I115" i="18"/>
  <c r="H111" i="18"/>
  <c r="GB79" i="11"/>
  <c r="AP103" i="18"/>
  <c r="LC112" i="14"/>
  <c r="KZ112" i="14"/>
  <c r="MY112" i="14" s="1"/>
  <c r="MZ112" i="14" s="1"/>
  <c r="AS116" i="18"/>
  <c r="DO77" i="11"/>
  <c r="AR105" i="18"/>
  <c r="AR103" i="18"/>
  <c r="GC75" i="11"/>
  <c r="I105" i="18"/>
  <c r="AP116" i="18"/>
  <c r="AP112" i="18"/>
  <c r="DO89" i="11"/>
  <c r="AZ110" i="18"/>
  <c r="AZ109" i="18"/>
  <c r="LM107" i="14"/>
  <c r="LJ107" i="14"/>
  <c r="NC107" i="14" s="1"/>
  <c r="ND107" i="14" s="1"/>
  <c r="GA77" i="11"/>
  <c r="F106" i="18"/>
  <c r="AS112" i="18"/>
  <c r="DO75" i="11"/>
  <c r="GC77" i="11"/>
  <c r="I106" i="18"/>
  <c r="AS105" i="18"/>
  <c r="MG107" i="14"/>
  <c r="MD107" i="14"/>
  <c r="NK107" i="14" s="1"/>
  <c r="NL107" i="14" s="1"/>
  <c r="DO91" i="11"/>
  <c r="AS115" i="18"/>
  <c r="I112" i="18"/>
  <c r="GC81" i="11"/>
  <c r="H103" i="18"/>
  <c r="EO68" i="51"/>
  <c r="EP68" i="51" s="1"/>
  <c r="AQ104" i="48" s="1"/>
  <c r="DX73" i="51"/>
  <c r="DX81" i="51"/>
  <c r="L112" i="48" s="1"/>
  <c r="DV72" i="51"/>
  <c r="J110" i="48" s="1"/>
  <c r="DV81" i="51"/>
  <c r="J112" i="48" s="1"/>
  <c r="DY73" i="51"/>
  <c r="DV73" i="51"/>
  <c r="DX72" i="51"/>
  <c r="L110" i="48" s="1"/>
  <c r="DY72" i="51"/>
  <c r="M110" i="48" s="1"/>
  <c r="DY81" i="51"/>
  <c r="M112" i="48" s="1"/>
  <c r="DO89" i="51"/>
  <c r="DV89" i="51"/>
  <c r="GD89" i="51" s="1"/>
  <c r="AC17" i="41"/>
  <c r="AE17" i="41" s="1"/>
  <c r="U17" i="41"/>
  <c r="DY89" i="51"/>
  <c r="M116" i="48" s="1"/>
  <c r="U17" i="42"/>
  <c r="AC17" i="42"/>
  <c r="AE17" i="42" s="1"/>
  <c r="EU112" i="50"/>
  <c r="EZ112" i="50"/>
  <c r="FA112" i="50"/>
  <c r="EY112" i="50"/>
  <c r="MM112" i="50"/>
  <c r="DS108" i="50"/>
  <c r="J136" i="48" s="1"/>
  <c r="B136" i="48" s="1"/>
  <c r="AT136" i="48" s="1"/>
  <c r="DV108" i="50"/>
  <c r="M136" i="48" s="1"/>
  <c r="E136" i="48" s="1"/>
  <c r="AW136" i="48" s="1"/>
  <c r="K136" i="48"/>
  <c r="EQ67" i="51"/>
  <c r="AR103" i="48" s="1"/>
  <c r="K8" i="44" s="1"/>
  <c r="BC8" i="44" s="1"/>
  <c r="DY107" i="50"/>
  <c r="BG132" i="48" s="1"/>
  <c r="BC132" i="48" s="1"/>
  <c r="DS107" i="50"/>
  <c r="LS107" i="50"/>
  <c r="DX107" i="50"/>
  <c r="BF132" i="48" s="1"/>
  <c r="DW107" i="50"/>
  <c r="DS112" i="50"/>
  <c r="LS112" i="50"/>
  <c r="DX112" i="50"/>
  <c r="BF133" i="48" s="1"/>
  <c r="DW112" i="50"/>
  <c r="DY112" i="50"/>
  <c r="BG133" i="48" s="1"/>
  <c r="BC133" i="48" s="1"/>
  <c r="ER67" i="51"/>
  <c r="AS103" i="48" s="1"/>
  <c r="EZ107" i="50"/>
  <c r="MM107" i="50"/>
  <c r="FA107" i="50"/>
  <c r="EY107" i="50"/>
  <c r="EU107" i="50"/>
  <c r="EL107" i="50"/>
  <c r="MC107" i="50"/>
  <c r="EK107" i="50"/>
  <c r="EM107" i="50"/>
  <c r="EG107" i="50"/>
  <c r="U17" i="43"/>
  <c r="AC17" i="40"/>
  <c r="AE17" i="40" s="1"/>
  <c r="AC17" i="43"/>
  <c r="AE17" i="43" s="1"/>
  <c r="ER68" i="51"/>
  <c r="AS104" i="48" s="1"/>
  <c r="U17" i="40"/>
  <c r="EG112" i="50"/>
  <c r="EM112" i="50"/>
  <c r="MC112" i="50"/>
  <c r="EK112" i="50"/>
  <c r="EL112" i="50"/>
  <c r="DS113" i="50"/>
  <c r="J137" i="48" s="1"/>
  <c r="B137" i="48" s="1"/>
  <c r="AT137" i="48" s="1"/>
  <c r="DV113" i="50"/>
  <c r="M137" i="48" s="1"/>
  <c r="E137" i="48" s="1"/>
  <c r="AW137" i="48" s="1"/>
  <c r="K137" i="48"/>
  <c r="DV91" i="51"/>
  <c r="DY91" i="51"/>
  <c r="DX91" i="51"/>
  <c r="DO91" i="51"/>
  <c r="DT77" i="51"/>
  <c r="DU77" i="51"/>
  <c r="DR77" i="51"/>
  <c r="AS112" i="48"/>
  <c r="BA137" i="48"/>
  <c r="AS111" i="48"/>
  <c r="AR106" i="48"/>
  <c r="K12" i="44" s="1"/>
  <c r="CB142" i="48"/>
  <c r="DT89" i="51"/>
  <c r="DU89" i="51"/>
  <c r="DR89" i="51"/>
  <c r="AR112" i="48"/>
  <c r="N10" i="38"/>
  <c r="N36" i="38"/>
  <c r="N13" i="38"/>
  <c r="N20" i="38"/>
  <c r="N23" i="38"/>
  <c r="N32" i="38"/>
  <c r="N38" i="38" s="1"/>
  <c r="N28" i="38"/>
  <c r="N17" i="38"/>
  <c r="AX137" i="48"/>
  <c r="AS106" i="48"/>
  <c r="U18" i="43"/>
  <c r="Z18" i="43"/>
  <c r="DT75" i="51"/>
  <c r="DR75" i="51"/>
  <c r="DU75" i="51"/>
  <c r="AY137" i="48"/>
  <c r="AR111" i="48"/>
  <c r="K26" i="44" s="1"/>
  <c r="EP77" i="51"/>
  <c r="AQ106" i="48" s="1"/>
  <c r="AP106" i="48"/>
  <c r="Z18" i="41"/>
  <c r="U18" i="41"/>
  <c r="DU91" i="51"/>
  <c r="DR91" i="51"/>
  <c r="DT91" i="51"/>
  <c r="AH22" i="43"/>
  <c r="AI22" i="43"/>
  <c r="LO139" i="50"/>
  <c r="NE139" i="50" s="1"/>
  <c r="NF139" i="50" s="1"/>
  <c r="LR139" i="50"/>
  <c r="S51" i="44"/>
  <c r="BL51" i="44" s="1"/>
  <c r="Y51" i="44"/>
  <c r="BR51" i="44" s="1"/>
  <c r="V51" i="44"/>
  <c r="BO51" i="44" s="1"/>
  <c r="M51" i="44"/>
  <c r="BF51" i="44" s="1"/>
  <c r="P51" i="44"/>
  <c r="BI51" i="44" s="1"/>
  <c r="AG17" i="42"/>
  <c r="EO83" i="51"/>
  <c r="ER83" i="51"/>
  <c r="Z18" i="42"/>
  <c r="U18" i="42"/>
  <c r="AE22" i="43"/>
  <c r="Z19" i="40"/>
  <c r="U19" i="40"/>
  <c r="EP91" i="51"/>
  <c r="AQ117" i="48" s="1"/>
  <c r="AP117" i="48"/>
  <c r="I31" i="44"/>
  <c r="AZ71" i="48"/>
  <c r="D71" i="48"/>
  <c r="AV71" i="48" s="1"/>
  <c r="EQ66" i="51"/>
  <c r="ER66" i="51"/>
  <c r="AG17" i="40"/>
  <c r="EP87" i="51"/>
  <c r="AQ115" i="48" s="1"/>
  <c r="AP115" i="48"/>
  <c r="AI22" i="42"/>
  <c r="AH22" i="42"/>
  <c r="AP112" i="48"/>
  <c r="EP81" i="51"/>
  <c r="AQ112" i="48" s="1"/>
  <c r="EP79" i="51"/>
  <c r="AQ111" i="48" s="1"/>
  <c r="AP111" i="48"/>
  <c r="DT87" i="51"/>
  <c r="DU87" i="51"/>
  <c r="DR87" i="51"/>
  <c r="AY71" i="48"/>
  <c r="C71" i="48"/>
  <c r="AU71" i="48" s="1"/>
  <c r="DU81" i="51"/>
  <c r="DT81" i="51"/>
  <c r="DR72" i="51"/>
  <c r="DR73" i="51"/>
  <c r="DT73" i="51"/>
  <c r="DU73" i="51"/>
  <c r="DU72" i="51"/>
  <c r="I110" i="48" s="1"/>
  <c r="DR81" i="51"/>
  <c r="DT72" i="51"/>
  <c r="H110" i="48" s="1"/>
  <c r="BC17" i="44"/>
  <c r="AT17" i="44"/>
  <c r="AZ17" i="44"/>
  <c r="AW17" i="44"/>
  <c r="AQ17" i="44"/>
  <c r="AN59" i="44"/>
  <c r="AO8" i="44" s="1"/>
  <c r="R21" i="40"/>
  <c r="R20" i="42"/>
  <c r="R20" i="43"/>
  <c r="CA132" i="48"/>
  <c r="R20" i="41"/>
  <c r="AP109" i="48"/>
  <c r="EP70" i="51"/>
  <c r="AQ109" i="48" s="1"/>
  <c r="AG17" i="43"/>
  <c r="AW15" i="44"/>
  <c r="AT15" i="44"/>
  <c r="BC15" i="44"/>
  <c r="AZ15" i="44"/>
  <c r="AQ15" i="44"/>
  <c r="AE22" i="42"/>
  <c r="AY136" i="48"/>
  <c r="S17" i="39"/>
  <c r="O17" i="39" s="1"/>
  <c r="Q17" i="39" s="1"/>
  <c r="KZ107" i="50"/>
  <c r="MY107" i="50" s="1"/>
  <c r="MZ107" i="50" s="1"/>
  <c r="LC107" i="50"/>
  <c r="AE59" i="44"/>
  <c r="AF8" i="44" s="1"/>
  <c r="EO67" i="51"/>
  <c r="EO84" i="51"/>
  <c r="ER84" i="51"/>
  <c r="DT71" i="51"/>
  <c r="DT70" i="51"/>
  <c r="H109" i="48" s="1"/>
  <c r="DR71" i="51"/>
  <c r="DU71" i="51"/>
  <c r="DU79" i="51"/>
  <c r="DU70" i="51"/>
  <c r="I109" i="48" s="1"/>
  <c r="DT79" i="51"/>
  <c r="DR70" i="51"/>
  <c r="DR79" i="51"/>
  <c r="MI134" i="50"/>
  <c r="NM134" i="50" s="1"/>
  <c r="NN134" i="50" s="1"/>
  <c r="ML134" i="50"/>
  <c r="BA136" i="48"/>
  <c r="AR105" i="48"/>
  <c r="AH59" i="44"/>
  <c r="AI8" i="44" s="1"/>
  <c r="AG17" i="41"/>
  <c r="KS112" i="50"/>
  <c r="KP112" i="50"/>
  <c r="MU112" i="50" s="1"/>
  <c r="MV112" i="50" s="1"/>
  <c r="AX71" i="48"/>
  <c r="B71" i="48"/>
  <c r="AT71" i="48" s="1"/>
  <c r="AX136" i="48"/>
  <c r="EP75" i="51"/>
  <c r="AQ105" i="48" s="1"/>
  <c r="AP105" i="48"/>
  <c r="LM107" i="50"/>
  <c r="LJ107" i="50"/>
  <c r="NC107" i="50" s="1"/>
  <c r="ND107" i="50" s="1"/>
  <c r="AK59" i="44"/>
  <c r="AL8" i="44" s="1"/>
  <c r="KS107" i="50"/>
  <c r="KP107" i="50"/>
  <c r="MU107" i="50" s="1"/>
  <c r="MV107" i="50" s="1"/>
  <c r="KU134" i="50"/>
  <c r="MW134" i="50" s="1"/>
  <c r="MX134" i="50" s="1"/>
  <c r="KX134" i="50"/>
  <c r="KZ112" i="50"/>
  <c r="MY112" i="50" s="1"/>
  <c r="MZ112" i="50" s="1"/>
  <c r="LC112" i="50"/>
  <c r="CA133" i="48"/>
  <c r="R20" i="40"/>
  <c r="R21" i="41"/>
  <c r="R21" i="42"/>
  <c r="R21" i="43"/>
  <c r="AZ16" i="44"/>
  <c r="AQ16" i="44"/>
  <c r="AW16" i="44"/>
  <c r="BC16" i="44"/>
  <c r="AT16" i="44"/>
  <c r="DV75" i="51"/>
  <c r="DY75" i="51"/>
  <c r="DX75" i="51"/>
  <c r="DO75" i="51"/>
  <c r="AI22" i="41"/>
  <c r="AH22" i="41"/>
  <c r="BC141" i="48"/>
  <c r="EQ62" i="51"/>
  <c r="ER62" i="51"/>
  <c r="AB59" i="44"/>
  <c r="AC8" i="44" s="1"/>
  <c r="KK134" i="50"/>
  <c r="MS134" i="50" s="1"/>
  <c r="MT134" i="50" s="1"/>
  <c r="KN134" i="50"/>
  <c r="AP116" i="48"/>
  <c r="EP89" i="51"/>
  <c r="AQ116" i="48" s="1"/>
  <c r="L116" i="48"/>
  <c r="GE89" i="51"/>
  <c r="KK139" i="50"/>
  <c r="MS139" i="50" s="1"/>
  <c r="MT139" i="50" s="1"/>
  <c r="KN139" i="50"/>
  <c r="ER65" i="51"/>
  <c r="EN64" i="51"/>
  <c r="EQ65" i="51"/>
  <c r="FB84" i="51"/>
  <c r="FC84" i="51"/>
  <c r="B73" i="48"/>
  <c r="AT73" i="48" s="1"/>
  <c r="AX73" i="48"/>
  <c r="AE22" i="41"/>
  <c r="AI22" i="40"/>
  <c r="AH22" i="40"/>
  <c r="AE22" i="40"/>
  <c r="R19" i="42"/>
  <c r="CA141" i="48"/>
  <c r="R18" i="40"/>
  <c r="R19" i="41"/>
  <c r="R19" i="43"/>
  <c r="BB141" i="48"/>
  <c r="BY141" i="48" s="1"/>
  <c r="BZ141" i="48" s="1"/>
  <c r="EQ68" i="51"/>
  <c r="AR104" i="48" s="1"/>
  <c r="AS105" i="48"/>
  <c r="DV87" i="51"/>
  <c r="DO87" i="51"/>
  <c r="DY87" i="51"/>
  <c r="DX87" i="51"/>
  <c r="LH134" i="50"/>
  <c r="LE134" i="50"/>
  <c r="NA134" i="50" s="1"/>
  <c r="NB134" i="50" s="1"/>
  <c r="J116" i="48"/>
  <c r="DW89" i="51"/>
  <c r="K116" i="48" s="1"/>
  <c r="EP72" i="51"/>
  <c r="AQ110" i="48" s="1"/>
  <c r="AP110" i="48"/>
  <c r="DY77" i="51"/>
  <c r="DX77" i="51"/>
  <c r="DV77" i="51"/>
  <c r="DO77" i="51"/>
  <c r="LR134" i="50"/>
  <c r="LO134" i="50"/>
  <c r="NE134" i="50" s="1"/>
  <c r="NF134" i="50" s="1"/>
  <c r="DO79" i="51"/>
  <c r="DV70" i="51"/>
  <c r="DX79" i="51"/>
  <c r="DY71" i="51"/>
  <c r="DX71" i="51"/>
  <c r="DX70" i="51"/>
  <c r="L109" i="48" s="1"/>
  <c r="DV79" i="51"/>
  <c r="DY79" i="51"/>
  <c r="DV71" i="51"/>
  <c r="DY70" i="51"/>
  <c r="M109" i="48" s="1"/>
  <c r="LM112" i="50"/>
  <c r="LJ112" i="50"/>
  <c r="NC112" i="50" s="1"/>
  <c r="ND112" i="50" s="1"/>
  <c r="MB134" i="50"/>
  <c r="LY134" i="50"/>
  <c r="NI134" i="50" s="1"/>
  <c r="NJ134" i="50" s="1"/>
  <c r="DY68" i="11" l="1"/>
  <c r="DX68" i="11"/>
  <c r="GF81" i="51"/>
  <c r="B109" i="18"/>
  <c r="AT109" i="18" s="1"/>
  <c r="J110" i="18"/>
  <c r="B110" i="18" s="1"/>
  <c r="AT110" i="18" s="1"/>
  <c r="DX67" i="11"/>
  <c r="DY67" i="11"/>
  <c r="M103" i="18" s="1"/>
  <c r="E103" i="18" s="1"/>
  <c r="AW103" i="18" s="1"/>
  <c r="DV67" i="11"/>
  <c r="DW67" i="11" s="1"/>
  <c r="L103" i="18" s="1"/>
  <c r="D103" i="18" s="1"/>
  <c r="AV103" i="18" s="1"/>
  <c r="DV68" i="11"/>
  <c r="DW68" i="11" s="1"/>
  <c r="F104" i="18"/>
  <c r="AX104" i="18" s="1"/>
  <c r="F103" i="18"/>
  <c r="DV68" i="51"/>
  <c r="AP104" i="48"/>
  <c r="GD81" i="51"/>
  <c r="DW81" i="51"/>
  <c r="K112" i="48" s="1"/>
  <c r="DW72" i="51"/>
  <c r="K110" i="48" s="1"/>
  <c r="BA104" i="18"/>
  <c r="DX68" i="51"/>
  <c r="L104" i="48" s="1"/>
  <c r="GE81" i="51"/>
  <c r="BA117" i="18"/>
  <c r="AZ116" i="18"/>
  <c r="AZ103" i="18"/>
  <c r="GF87" i="11"/>
  <c r="M115" i="18"/>
  <c r="E115" i="18" s="1"/>
  <c r="AW115" i="18" s="1"/>
  <c r="BA111" i="18"/>
  <c r="AZ104" i="18"/>
  <c r="AZ112" i="18"/>
  <c r="AZ105" i="18"/>
  <c r="BA112" i="18"/>
  <c r="GE75" i="11"/>
  <c r="L105" i="18"/>
  <c r="D105" i="18" s="1"/>
  <c r="AV105" i="18" s="1"/>
  <c r="GF77" i="11"/>
  <c r="M106" i="18"/>
  <c r="E106" i="18" s="1"/>
  <c r="AW106" i="18" s="1"/>
  <c r="GD87" i="11"/>
  <c r="J115" i="18"/>
  <c r="B115" i="18" s="1"/>
  <c r="AT115" i="18" s="1"/>
  <c r="GD75" i="11"/>
  <c r="J105" i="18"/>
  <c r="B105" i="18" s="1"/>
  <c r="AT105" i="18" s="1"/>
  <c r="L116" i="18"/>
  <c r="D116" i="18" s="1"/>
  <c r="AV116" i="18" s="1"/>
  <c r="GE89" i="11"/>
  <c r="L106" i="18"/>
  <c r="D106" i="18" s="1"/>
  <c r="AV106" i="18" s="1"/>
  <c r="GE77" i="11"/>
  <c r="L115" i="18"/>
  <c r="D115" i="18" s="1"/>
  <c r="AV115" i="18" s="1"/>
  <c r="GE87" i="11"/>
  <c r="AX116" i="18"/>
  <c r="L111" i="18"/>
  <c r="D111" i="18" s="1"/>
  <c r="AV111" i="18" s="1"/>
  <c r="GE79" i="11"/>
  <c r="AX103" i="18"/>
  <c r="GF75" i="11"/>
  <c r="M105" i="18"/>
  <c r="E105" i="18" s="1"/>
  <c r="AW105" i="18" s="1"/>
  <c r="M116" i="18"/>
  <c r="E116" i="18" s="1"/>
  <c r="AW116" i="18" s="1"/>
  <c r="GF89" i="11"/>
  <c r="MD112" i="14"/>
  <c r="NK112" i="14" s="1"/>
  <c r="NL112" i="14" s="1"/>
  <c r="MG112" i="14"/>
  <c r="LW112" i="14"/>
  <c r="LT112" i="14"/>
  <c r="NG112" i="14" s="1"/>
  <c r="NH112" i="14" s="1"/>
  <c r="AZ117" i="18"/>
  <c r="J116" i="18"/>
  <c r="B116" i="18" s="1"/>
  <c r="AT116" i="18" s="1"/>
  <c r="GD89" i="11"/>
  <c r="GD77" i="11"/>
  <c r="J106" i="18"/>
  <c r="B106" i="18" s="1"/>
  <c r="AT106" i="18" s="1"/>
  <c r="L104" i="18"/>
  <c r="D104" i="18" s="1"/>
  <c r="AV104" i="18" s="1"/>
  <c r="BA116" i="18"/>
  <c r="L117" i="18"/>
  <c r="D117" i="18" s="1"/>
  <c r="AV117" i="18" s="1"/>
  <c r="GE91" i="11"/>
  <c r="M112" i="18"/>
  <c r="E112" i="18" s="1"/>
  <c r="AW112" i="18" s="1"/>
  <c r="GF81" i="11"/>
  <c r="AX111" i="18"/>
  <c r="BA103" i="18"/>
  <c r="J117" i="18"/>
  <c r="B117" i="18" s="1"/>
  <c r="AT117" i="18" s="1"/>
  <c r="GD91" i="11"/>
  <c r="GF91" i="11"/>
  <c r="M117" i="18"/>
  <c r="E117" i="18" s="1"/>
  <c r="AW117" i="18" s="1"/>
  <c r="AX106" i="18"/>
  <c r="GE81" i="11"/>
  <c r="L112" i="18"/>
  <c r="D112" i="18" s="1"/>
  <c r="AV112" i="18" s="1"/>
  <c r="BA106" i="18"/>
  <c r="AZ115" i="18"/>
  <c r="J111" i="18"/>
  <c r="B111" i="18" s="1"/>
  <c r="AT111" i="18" s="1"/>
  <c r="GD79" i="11"/>
  <c r="J104" i="18"/>
  <c r="AX115" i="18"/>
  <c r="BA115" i="18"/>
  <c r="BA105" i="18"/>
  <c r="M104" i="18"/>
  <c r="E104" i="18" s="1"/>
  <c r="AW104" i="18" s="1"/>
  <c r="M111" i="18"/>
  <c r="E111" i="18" s="1"/>
  <c r="AW111" i="18" s="1"/>
  <c r="GF79" i="11"/>
  <c r="AX105" i="18"/>
  <c r="AZ106" i="18"/>
  <c r="AZ111" i="18"/>
  <c r="AX112" i="18"/>
  <c r="GD81" i="11"/>
  <c r="J112" i="18"/>
  <c r="B112" i="18" s="1"/>
  <c r="AT112" i="18" s="1"/>
  <c r="MQ112" i="14"/>
  <c r="MN112" i="14"/>
  <c r="NO112" i="14" s="1"/>
  <c r="NP112" i="14" s="1"/>
  <c r="AX117" i="18"/>
  <c r="C136" i="48"/>
  <c r="AU136" i="48" s="1"/>
  <c r="GF89" i="51"/>
  <c r="BB133" i="48"/>
  <c r="BY133" i="48" s="1"/>
  <c r="BZ133" i="48" s="1"/>
  <c r="DY67" i="51"/>
  <c r="M103" i="48" s="1"/>
  <c r="DX67" i="51"/>
  <c r="L103" i="48" s="1"/>
  <c r="AQ8" i="44"/>
  <c r="DR67" i="51"/>
  <c r="DS67" i="51" s="1"/>
  <c r="G103" i="48" s="1"/>
  <c r="AZ8" i="44"/>
  <c r="AT8" i="44"/>
  <c r="AW8" i="44"/>
  <c r="BB132" i="48"/>
  <c r="BY132" i="48" s="1"/>
  <c r="BZ132" i="48" s="1"/>
  <c r="C137" i="48"/>
  <c r="AU137" i="48" s="1"/>
  <c r="DT68" i="51"/>
  <c r="H104" i="48" s="1"/>
  <c r="DT67" i="51"/>
  <c r="H103" i="48" s="1"/>
  <c r="I8" i="44" s="1"/>
  <c r="MG112" i="50"/>
  <c r="MD112" i="50"/>
  <c r="NK112" i="50" s="1"/>
  <c r="NL112" i="50" s="1"/>
  <c r="LW107" i="50"/>
  <c r="LT107" i="50"/>
  <c r="NG107" i="50" s="1"/>
  <c r="NH107" i="50" s="1"/>
  <c r="MQ107" i="50"/>
  <c r="MN107" i="50"/>
  <c r="NO107" i="50" s="1"/>
  <c r="NP107" i="50" s="1"/>
  <c r="MG107" i="50"/>
  <c r="MD107" i="50"/>
  <c r="NK107" i="50" s="1"/>
  <c r="NL107" i="50" s="1"/>
  <c r="MN112" i="50"/>
  <c r="NO112" i="50" s="1"/>
  <c r="NP112" i="50" s="1"/>
  <c r="MQ112" i="50"/>
  <c r="LT112" i="50"/>
  <c r="NG112" i="50" s="1"/>
  <c r="NH112" i="50" s="1"/>
  <c r="LW112" i="50"/>
  <c r="DU67" i="51"/>
  <c r="I103" i="48" s="1"/>
  <c r="DU68" i="51"/>
  <c r="I104" i="48" s="1"/>
  <c r="BA104" i="48" s="1"/>
  <c r="DR68" i="51"/>
  <c r="J104" i="48"/>
  <c r="DW68" i="51"/>
  <c r="K104" i="48" s="1"/>
  <c r="U21" i="43"/>
  <c r="Z21" i="43"/>
  <c r="AI17" i="41"/>
  <c r="AH17" i="41"/>
  <c r="U21" i="40"/>
  <c r="Z21" i="40"/>
  <c r="I112" i="48"/>
  <c r="GC81" i="51"/>
  <c r="AI17" i="40"/>
  <c r="AH17" i="40"/>
  <c r="AH17" i="42"/>
  <c r="AI17" i="42"/>
  <c r="M106" i="48"/>
  <c r="GF77" i="51"/>
  <c r="U21" i="42"/>
  <c r="Z21" i="42"/>
  <c r="D109" i="48"/>
  <c r="AV109" i="48" s="1"/>
  <c r="AZ109" i="48"/>
  <c r="GB91" i="51"/>
  <c r="H117" i="48"/>
  <c r="AZ12" i="44"/>
  <c r="AQ12" i="44"/>
  <c r="AW12" i="44"/>
  <c r="AT12" i="44"/>
  <c r="BC12" i="44"/>
  <c r="U21" i="41"/>
  <c r="Z21" i="41"/>
  <c r="AO15" i="44"/>
  <c r="AO31" i="44"/>
  <c r="AO46" i="44"/>
  <c r="AO53" i="44"/>
  <c r="AO44" i="44"/>
  <c r="AO35" i="44"/>
  <c r="AO21" i="44"/>
  <c r="AO51" i="44"/>
  <c r="AO34" i="44"/>
  <c r="AO12" i="44"/>
  <c r="AO41" i="44"/>
  <c r="AO16" i="44"/>
  <c r="AO26" i="44"/>
  <c r="AO17" i="44"/>
  <c r="F117" i="48"/>
  <c r="DS91" i="51"/>
  <c r="G117" i="48" s="1"/>
  <c r="GA91" i="51"/>
  <c r="GC75" i="51"/>
  <c r="I105" i="48"/>
  <c r="U20" i="42"/>
  <c r="Z20" i="42"/>
  <c r="DW70" i="51"/>
  <c r="K109" i="48" s="1"/>
  <c r="J109" i="48"/>
  <c r="U20" i="40"/>
  <c r="Z20" i="40"/>
  <c r="AI53" i="44"/>
  <c r="AI17" i="44"/>
  <c r="AI15" i="44"/>
  <c r="AI35" i="44"/>
  <c r="AI46" i="44"/>
  <c r="AI16" i="44"/>
  <c r="AI51" i="44"/>
  <c r="AI26" i="44"/>
  <c r="AI31" i="44"/>
  <c r="AI41" i="44"/>
  <c r="AI21" i="44"/>
  <c r="AI34" i="44"/>
  <c r="AI44" i="44"/>
  <c r="AI12" i="44"/>
  <c r="F115" i="48"/>
  <c r="GA87" i="51"/>
  <c r="DS87" i="51"/>
  <c r="G115" i="48" s="1"/>
  <c r="I117" i="48"/>
  <c r="GC91" i="51"/>
  <c r="F105" i="48"/>
  <c r="DS75" i="51"/>
  <c r="G105" i="48" s="1"/>
  <c r="GA75" i="51"/>
  <c r="Z19" i="43"/>
  <c r="U19" i="43"/>
  <c r="CB133" i="48"/>
  <c r="I115" i="48"/>
  <c r="GC87" i="51"/>
  <c r="DY68" i="51"/>
  <c r="M104" i="48" s="1"/>
  <c r="H105" i="48"/>
  <c r="GB75" i="51"/>
  <c r="L111" i="48"/>
  <c r="GE79" i="51"/>
  <c r="U19" i="41"/>
  <c r="Z19" i="41"/>
  <c r="L105" i="48"/>
  <c r="GE75" i="51"/>
  <c r="AP103" i="48"/>
  <c r="EP67" i="51"/>
  <c r="AQ103" i="48" s="1"/>
  <c r="H115" i="48"/>
  <c r="GB87" i="51"/>
  <c r="Y31" i="44"/>
  <c r="BR31" i="44" s="1"/>
  <c r="V31" i="44"/>
  <c r="BO31" i="44" s="1"/>
  <c r="M31" i="44"/>
  <c r="BF31" i="44" s="1"/>
  <c r="S31" i="44"/>
  <c r="BL31" i="44" s="1"/>
  <c r="P31" i="44"/>
  <c r="BI31" i="44" s="1"/>
  <c r="AC18" i="43"/>
  <c r="AE18" i="43" s="1"/>
  <c r="AG18" i="43"/>
  <c r="U18" i="40"/>
  <c r="Z18" i="40"/>
  <c r="M105" i="48"/>
  <c r="GF75" i="51"/>
  <c r="AC18" i="41"/>
  <c r="AE18" i="41" s="1"/>
  <c r="AG18" i="41"/>
  <c r="DW75" i="51"/>
  <c r="K105" i="48" s="1"/>
  <c r="J105" i="48"/>
  <c r="GD75" i="51"/>
  <c r="AF34" i="44"/>
  <c r="AF21" i="44"/>
  <c r="AF41" i="44"/>
  <c r="AF46" i="44"/>
  <c r="AF53" i="44"/>
  <c r="AF15" i="44"/>
  <c r="AF51" i="44"/>
  <c r="AF35" i="44"/>
  <c r="AF31" i="44"/>
  <c r="AF44" i="44"/>
  <c r="AF12" i="44"/>
  <c r="AF16" i="44"/>
  <c r="AF26" i="44"/>
  <c r="AF17" i="44"/>
  <c r="AI17" i="43"/>
  <c r="AH17" i="43"/>
  <c r="CB141" i="48"/>
  <c r="D110" i="48"/>
  <c r="AV110" i="48" s="1"/>
  <c r="AZ110" i="48"/>
  <c r="GA77" i="51"/>
  <c r="DS77" i="51"/>
  <c r="G106" i="48" s="1"/>
  <c r="F106" i="48"/>
  <c r="U19" i="42"/>
  <c r="Z19" i="42"/>
  <c r="F112" i="48"/>
  <c r="GA81" i="51"/>
  <c r="DS81" i="51"/>
  <c r="G112" i="48" s="1"/>
  <c r="AC19" i="40"/>
  <c r="AE19" i="40" s="1"/>
  <c r="AG19" i="40"/>
  <c r="I106" i="48"/>
  <c r="GC77" i="51"/>
  <c r="DS79" i="51"/>
  <c r="G111" i="48" s="1"/>
  <c r="GA79" i="51"/>
  <c r="F111" i="48"/>
  <c r="U20" i="41"/>
  <c r="Z20" i="41"/>
  <c r="BA110" i="48"/>
  <c r="E110" i="48"/>
  <c r="AW110" i="48" s="1"/>
  <c r="GB77" i="51"/>
  <c r="H106" i="48"/>
  <c r="F109" i="48"/>
  <c r="DS70" i="51"/>
  <c r="G109" i="48" s="1"/>
  <c r="Q18" i="39"/>
  <c r="Y18" i="39" s="1"/>
  <c r="C15" i="36"/>
  <c r="E14" i="35"/>
  <c r="F116" i="48"/>
  <c r="GA89" i="51"/>
  <c r="DS89" i="51"/>
  <c r="G116" i="48" s="1"/>
  <c r="H112" i="48"/>
  <c r="GB81" i="51"/>
  <c r="L115" i="48"/>
  <c r="GE87" i="51"/>
  <c r="DV67" i="51"/>
  <c r="M115" i="48"/>
  <c r="GF87" i="51"/>
  <c r="GB79" i="51"/>
  <c r="H111" i="48"/>
  <c r="CB132" i="48"/>
  <c r="GC89" i="51"/>
  <c r="I116" i="48"/>
  <c r="L117" i="48"/>
  <c r="GE91" i="51"/>
  <c r="AL44" i="44"/>
  <c r="AL41" i="44"/>
  <c r="AL51" i="44"/>
  <c r="AL17" i="44"/>
  <c r="AL53" i="44"/>
  <c r="AL21" i="44"/>
  <c r="AL46" i="44"/>
  <c r="AL35" i="44"/>
  <c r="AL15" i="44"/>
  <c r="AL26" i="44"/>
  <c r="AL34" i="44"/>
  <c r="AL16" i="44"/>
  <c r="AL31" i="44"/>
  <c r="AL12" i="44"/>
  <c r="BA109" i="48"/>
  <c r="E109" i="48"/>
  <c r="AW109" i="48" s="1"/>
  <c r="AC18" i="42"/>
  <c r="AE18" i="42" s="1"/>
  <c r="AG18" i="42"/>
  <c r="BC26" i="44"/>
  <c r="AW26" i="44"/>
  <c r="AZ26" i="44"/>
  <c r="AQ26" i="44"/>
  <c r="AT26" i="44"/>
  <c r="GB89" i="51"/>
  <c r="H116" i="48"/>
  <c r="M117" i="48"/>
  <c r="GF91" i="51"/>
  <c r="M111" i="48"/>
  <c r="GF79" i="51"/>
  <c r="J106" i="48"/>
  <c r="DW77" i="51"/>
  <c r="K106" i="48" s="1"/>
  <c r="GD77" i="51"/>
  <c r="AC16" i="44"/>
  <c r="AC35" i="44"/>
  <c r="AC34" i="44"/>
  <c r="AC31" i="44"/>
  <c r="AC41" i="44"/>
  <c r="AC46" i="44"/>
  <c r="AC17" i="44"/>
  <c r="AC51" i="44"/>
  <c r="AC15" i="44"/>
  <c r="AC53" i="44"/>
  <c r="AC26" i="44"/>
  <c r="AC21" i="44"/>
  <c r="AC44" i="44"/>
  <c r="AC12" i="44"/>
  <c r="J111" i="48"/>
  <c r="DW79" i="51"/>
  <c r="K111" i="48" s="1"/>
  <c r="GD79" i="51"/>
  <c r="L106" i="48"/>
  <c r="GE77" i="51"/>
  <c r="J115" i="48"/>
  <c r="DW87" i="51"/>
  <c r="K115" i="48" s="1"/>
  <c r="GD87" i="51"/>
  <c r="GC79" i="51"/>
  <c r="I111" i="48"/>
  <c r="Z20" i="43"/>
  <c r="U20" i="43"/>
  <c r="F110" i="48"/>
  <c r="DS72" i="51"/>
  <c r="G110" i="48" s="1"/>
  <c r="DW91" i="51"/>
  <c r="K117" i="48" s="1"/>
  <c r="J117" i="48"/>
  <c r="GD91" i="51"/>
  <c r="J103" i="18" l="1"/>
  <c r="B103" i="18" s="1"/>
  <c r="AT103" i="18" s="1"/>
  <c r="B104" i="18"/>
  <c r="AT104" i="18" s="1"/>
  <c r="D104" i="48"/>
  <c r="AV104" i="48" s="1"/>
  <c r="E103" i="48"/>
  <c r="AW103" i="48" s="1"/>
  <c r="F103" i="48"/>
  <c r="M32" i="38" s="1"/>
  <c r="AZ59" i="44"/>
  <c r="BA16" i="44" s="1"/>
  <c r="D103" i="48"/>
  <c r="AV103" i="48" s="1"/>
  <c r="AZ103" i="48"/>
  <c r="AY103" i="48"/>
  <c r="E104" i="48"/>
  <c r="AW104" i="48" s="1"/>
  <c r="AZ104" i="48"/>
  <c r="BA103" i="48"/>
  <c r="AQ59" i="44"/>
  <c r="AR17" i="44" s="1"/>
  <c r="BC59" i="44"/>
  <c r="BD16" i="44" s="1"/>
  <c r="F104" i="48"/>
  <c r="DS68" i="51"/>
  <c r="G104" i="48" s="1"/>
  <c r="AX115" i="48"/>
  <c r="B115" i="48"/>
  <c r="AT115" i="48" s="1"/>
  <c r="D105" i="48"/>
  <c r="AV105" i="48" s="1"/>
  <c r="AZ105" i="48"/>
  <c r="AY109" i="48"/>
  <c r="C109" i="48"/>
  <c r="AU109" i="48" s="1"/>
  <c r="AH19" i="40"/>
  <c r="AI19" i="40"/>
  <c r="AC20" i="40"/>
  <c r="AE20" i="40" s="1"/>
  <c r="AG20" i="40"/>
  <c r="B109" i="48"/>
  <c r="AT109" i="48" s="1"/>
  <c r="AX109" i="48"/>
  <c r="BA115" i="48"/>
  <c r="E115" i="48"/>
  <c r="AW115" i="48" s="1"/>
  <c r="AC20" i="43"/>
  <c r="AE20" i="43" s="1"/>
  <c r="AG20" i="43"/>
  <c r="I12" i="44"/>
  <c r="AZ106" i="48"/>
  <c r="D106" i="48"/>
  <c r="AV106" i="48" s="1"/>
  <c r="AY112" i="48"/>
  <c r="C112" i="48"/>
  <c r="AU112" i="48" s="1"/>
  <c r="AZ115" i="48"/>
  <c r="I15" i="44"/>
  <c r="D115" i="48"/>
  <c r="AV115" i="48" s="1"/>
  <c r="BA12" i="44"/>
  <c r="E112" i="48"/>
  <c r="AW112" i="48" s="1"/>
  <c r="BA112" i="48"/>
  <c r="AZ116" i="48"/>
  <c r="D116" i="48"/>
  <c r="AV116" i="48" s="1"/>
  <c r="I16" i="44"/>
  <c r="E116" i="48"/>
  <c r="AW116" i="48" s="1"/>
  <c r="BA116" i="48"/>
  <c r="B112" i="48"/>
  <c r="AT112" i="48" s="1"/>
  <c r="AX112" i="48"/>
  <c r="AC18" i="40"/>
  <c r="AE18" i="40" s="1"/>
  <c r="AG18" i="40"/>
  <c r="AC20" i="42"/>
  <c r="AE20" i="42" s="1"/>
  <c r="AG20" i="42"/>
  <c r="I17" i="44"/>
  <c r="AZ117" i="48"/>
  <c r="D117" i="48"/>
  <c r="AV117" i="48" s="1"/>
  <c r="AC21" i="40"/>
  <c r="AE21" i="40" s="1"/>
  <c r="AG21" i="40"/>
  <c r="BA111" i="48"/>
  <c r="E111" i="48"/>
  <c r="AW111" i="48" s="1"/>
  <c r="BA53" i="44"/>
  <c r="BA51" i="44"/>
  <c r="BA41" i="44"/>
  <c r="BA35" i="44"/>
  <c r="BA46" i="44"/>
  <c r="BA31" i="44"/>
  <c r="BA21" i="44"/>
  <c r="AZ112" i="48"/>
  <c r="D112" i="48"/>
  <c r="AV112" i="48" s="1"/>
  <c r="Z18" i="39"/>
  <c r="AA18" i="39"/>
  <c r="O23" i="38"/>
  <c r="K23" i="38" s="1"/>
  <c r="C5" i="35" s="1"/>
  <c r="O20" i="38"/>
  <c r="K20" i="38" s="1"/>
  <c r="C6" i="35" s="1"/>
  <c r="O13" i="38"/>
  <c r="K13" i="38" s="1"/>
  <c r="C8" i="35" s="1"/>
  <c r="O17" i="38"/>
  <c r="K17" i="38" s="1"/>
  <c r="C7" i="35" s="1"/>
  <c r="O36" i="38"/>
  <c r="K36" i="38" s="1"/>
  <c r="O10" i="38"/>
  <c r="K10" i="38" s="1"/>
  <c r="C9" i="35" s="1"/>
  <c r="O28" i="38"/>
  <c r="K28" i="38" s="1"/>
  <c r="O32" i="38"/>
  <c r="BA105" i="48"/>
  <c r="E105" i="48"/>
  <c r="AW105" i="48" s="1"/>
  <c r="C116" i="48"/>
  <c r="AU116" i="48" s="1"/>
  <c r="AY116" i="48"/>
  <c r="BA26" i="44"/>
  <c r="AC19" i="43"/>
  <c r="AE19" i="43" s="1"/>
  <c r="AG19" i="43"/>
  <c r="AX116" i="48"/>
  <c r="B116" i="48"/>
  <c r="AT116" i="48" s="1"/>
  <c r="AC20" i="41"/>
  <c r="AE20" i="41" s="1"/>
  <c r="AG20" i="41"/>
  <c r="AC21" i="42"/>
  <c r="AE21" i="42" s="1"/>
  <c r="AG21" i="42"/>
  <c r="AC21" i="43"/>
  <c r="AE21" i="43" s="1"/>
  <c r="AG21" i="43"/>
  <c r="AC19" i="41"/>
  <c r="AE19" i="41" s="1"/>
  <c r="AG19" i="41"/>
  <c r="AY105" i="48"/>
  <c r="C105" i="48"/>
  <c r="AU105" i="48" s="1"/>
  <c r="AY117" i="48"/>
  <c r="C117" i="48"/>
  <c r="AU117" i="48" s="1"/>
  <c r="C110" i="48"/>
  <c r="AU110" i="48" s="1"/>
  <c r="AY110" i="48"/>
  <c r="DW67" i="51"/>
  <c r="K103" i="48" s="1"/>
  <c r="J103" i="48"/>
  <c r="AX111" i="48"/>
  <c r="B111" i="48"/>
  <c r="AT111" i="48" s="1"/>
  <c r="AC19" i="42"/>
  <c r="AE19" i="42" s="1"/>
  <c r="AG19" i="42"/>
  <c r="AH18" i="41"/>
  <c r="AI18" i="41"/>
  <c r="AI18" i="43"/>
  <c r="AH18" i="43"/>
  <c r="B105" i="48"/>
  <c r="AT105" i="48" s="1"/>
  <c r="AX105" i="48"/>
  <c r="AX117" i="48"/>
  <c r="B117" i="48"/>
  <c r="AT117" i="48" s="1"/>
  <c r="AW59" i="44"/>
  <c r="AX12" i="44" s="1"/>
  <c r="AT59" i="44"/>
  <c r="AU26" i="44" s="1"/>
  <c r="I26" i="44"/>
  <c r="AZ111" i="48"/>
  <c r="D111" i="48"/>
  <c r="AV111" i="48" s="1"/>
  <c r="BA106" i="48"/>
  <c r="E106" i="48"/>
  <c r="AW106" i="48" s="1"/>
  <c r="AX110" i="48"/>
  <c r="B110" i="48"/>
  <c r="AT110" i="48" s="1"/>
  <c r="AH18" i="42"/>
  <c r="AI18" i="42"/>
  <c r="C111" i="48"/>
  <c r="AU111" i="48" s="1"/>
  <c r="AY111" i="48"/>
  <c r="AX106" i="48"/>
  <c r="B106" i="48"/>
  <c r="AT106" i="48" s="1"/>
  <c r="BA117" i="48"/>
  <c r="E117" i="48"/>
  <c r="AW117" i="48" s="1"/>
  <c r="Y8" i="44"/>
  <c r="BR8" i="44" s="1"/>
  <c r="P8" i="44"/>
  <c r="BI8" i="44" s="1"/>
  <c r="M8" i="44"/>
  <c r="BF8" i="44" s="1"/>
  <c r="S8" i="44"/>
  <c r="BL8" i="44" s="1"/>
  <c r="V8" i="44"/>
  <c r="BO8" i="44" s="1"/>
  <c r="C106" i="48"/>
  <c r="AU106" i="48" s="1"/>
  <c r="AY106" i="48"/>
  <c r="C115" i="48"/>
  <c r="AU115" i="48" s="1"/>
  <c r="AY115" i="48"/>
  <c r="AC21" i="41"/>
  <c r="AE21" i="41" s="1"/>
  <c r="AG21" i="41"/>
  <c r="M38" i="38"/>
  <c r="J32" i="38"/>
  <c r="BD34" i="44" l="1"/>
  <c r="BA34" i="44"/>
  <c r="M23" i="38"/>
  <c r="J23" i="38" s="1"/>
  <c r="B5" i="35" s="1"/>
  <c r="AX103" i="48"/>
  <c r="M20" i="38"/>
  <c r="J20" i="38" s="1"/>
  <c r="B6" i="35" s="1"/>
  <c r="M10" i="38"/>
  <c r="J10" i="38" s="1"/>
  <c r="B9" i="35" s="1"/>
  <c r="M28" i="38"/>
  <c r="J28" i="38" s="1"/>
  <c r="L28" i="38" s="1"/>
  <c r="R28" i="38" s="1"/>
  <c r="M17" i="38"/>
  <c r="J17" i="38" s="1"/>
  <c r="B7" i="35" s="1"/>
  <c r="BA8" i="44"/>
  <c r="BA17" i="44"/>
  <c r="BA44" i="44"/>
  <c r="BA15" i="44"/>
  <c r="M36" i="38"/>
  <c r="J36" i="38" s="1"/>
  <c r="L36" i="38" s="1"/>
  <c r="R36" i="38" s="1"/>
  <c r="S36" i="38" s="1"/>
  <c r="M13" i="38"/>
  <c r="J13" i="38" s="1"/>
  <c r="B8" i="35" s="1"/>
  <c r="BD41" i="44"/>
  <c r="BD53" i="44"/>
  <c r="BD35" i="44"/>
  <c r="BD26" i="44"/>
  <c r="AR8" i="44"/>
  <c r="AR15" i="44"/>
  <c r="AR31" i="44"/>
  <c r="AR21" i="44"/>
  <c r="AR26" i="44"/>
  <c r="AR44" i="44"/>
  <c r="AR46" i="44"/>
  <c r="BD51" i="44"/>
  <c r="AR12" i="44"/>
  <c r="AR41" i="44"/>
  <c r="AR35" i="44"/>
  <c r="AR34" i="44"/>
  <c r="BD12" i="44"/>
  <c r="AR51" i="44"/>
  <c r="AR53" i="44"/>
  <c r="BD8" i="44"/>
  <c r="BD21" i="44"/>
  <c r="BD31" i="44"/>
  <c r="L23" i="38"/>
  <c r="R23" i="38" s="1"/>
  <c r="AR16" i="44"/>
  <c r="BD44" i="44"/>
  <c r="BD46" i="44"/>
  <c r="BD17" i="44"/>
  <c r="BD15" i="44"/>
  <c r="C104" i="48"/>
  <c r="AU104" i="48" s="1"/>
  <c r="AY104" i="48"/>
  <c r="AX104" i="48"/>
  <c r="B104" i="48"/>
  <c r="AT104" i="48" s="1"/>
  <c r="AU12" i="44"/>
  <c r="AH20" i="40"/>
  <c r="AI20" i="40"/>
  <c r="Y16" i="44"/>
  <c r="BR16" i="44" s="1"/>
  <c r="P16" i="44"/>
  <c r="BI16" i="44" s="1"/>
  <c r="S16" i="44"/>
  <c r="BL16" i="44" s="1"/>
  <c r="M16" i="44"/>
  <c r="BF16" i="44" s="1"/>
  <c r="V16" i="44"/>
  <c r="BO16" i="44" s="1"/>
  <c r="S12" i="44"/>
  <c r="V12" i="44"/>
  <c r="Y12" i="44"/>
  <c r="M12" i="44"/>
  <c r="BF12" i="44" s="1"/>
  <c r="P12" i="44"/>
  <c r="BI12" i="44" s="1"/>
  <c r="AH20" i="43"/>
  <c r="AI20" i="43"/>
  <c r="V26" i="44"/>
  <c r="BO26" i="44" s="1"/>
  <c r="M26" i="44"/>
  <c r="BF26" i="44" s="1"/>
  <c r="P26" i="44"/>
  <c r="BI26" i="44" s="1"/>
  <c r="S26" i="44"/>
  <c r="BL26" i="44" s="1"/>
  <c r="Y26" i="44"/>
  <c r="BR26" i="44" s="1"/>
  <c r="AI19" i="42"/>
  <c r="AH19" i="42"/>
  <c r="AH19" i="41"/>
  <c r="AI19" i="41"/>
  <c r="AX26" i="44"/>
  <c r="AI21" i="40"/>
  <c r="AH21" i="40"/>
  <c r="AU53" i="44"/>
  <c r="AU34" i="44"/>
  <c r="AU51" i="44"/>
  <c r="AU41" i="44"/>
  <c r="AU35" i="44"/>
  <c r="AU46" i="44"/>
  <c r="AU44" i="44"/>
  <c r="AU31" i="44"/>
  <c r="AU21" i="44"/>
  <c r="AU16" i="44"/>
  <c r="AU8" i="44"/>
  <c r="AU15" i="44"/>
  <c r="AU17" i="44"/>
  <c r="AI21" i="41"/>
  <c r="AH21" i="41"/>
  <c r="AX34" i="44"/>
  <c r="AX53" i="44"/>
  <c r="AX51" i="44"/>
  <c r="AX35" i="44"/>
  <c r="AX41" i="44"/>
  <c r="AX46" i="44"/>
  <c r="AX21" i="44"/>
  <c r="AX31" i="44"/>
  <c r="AX44" i="44"/>
  <c r="AX16" i="44"/>
  <c r="AX8" i="44"/>
  <c r="AX15" i="44"/>
  <c r="AX17" i="44"/>
  <c r="AH21" i="43"/>
  <c r="AI21" i="43"/>
  <c r="AH19" i="43"/>
  <c r="AI19" i="43"/>
  <c r="K32" i="38"/>
  <c r="C17" i="35" s="1"/>
  <c r="O38" i="38"/>
  <c r="B103" i="48"/>
  <c r="AT103" i="48" s="1"/>
  <c r="M17" i="44"/>
  <c r="BF17" i="44" s="1"/>
  <c r="P17" i="44"/>
  <c r="BI17" i="44" s="1"/>
  <c r="S17" i="44"/>
  <c r="BL17" i="44" s="1"/>
  <c r="V17" i="44"/>
  <c r="BO17" i="44" s="1"/>
  <c r="Y17" i="44"/>
  <c r="BR17" i="44" s="1"/>
  <c r="C103" i="48"/>
  <c r="AU103" i="48" s="1"/>
  <c r="AH20" i="42"/>
  <c r="AI20" i="42"/>
  <c r="AI21" i="42"/>
  <c r="AH21" i="42"/>
  <c r="AH20" i="41"/>
  <c r="AI20" i="41"/>
  <c r="AI18" i="40"/>
  <c r="AH18" i="40"/>
  <c r="P15" i="44"/>
  <c r="BI15" i="44" s="1"/>
  <c r="S15" i="44"/>
  <c r="BL15" i="44" s="1"/>
  <c r="Y15" i="44"/>
  <c r="BR15" i="44" s="1"/>
  <c r="V15" i="44"/>
  <c r="BO15" i="44" s="1"/>
  <c r="M15" i="44"/>
  <c r="BF15" i="44" s="1"/>
  <c r="B17" i="35"/>
  <c r="S28" i="38" l="1"/>
  <c r="T28" i="38"/>
  <c r="L20" i="38"/>
  <c r="L13" i="38"/>
  <c r="B9" i="36" s="1"/>
  <c r="L10" i="38"/>
  <c r="B10" i="36" s="1"/>
  <c r="L17" i="38"/>
  <c r="R17" i="38" s="1"/>
  <c r="T17" i="38" s="1"/>
  <c r="T36" i="38"/>
  <c r="D7" i="35"/>
  <c r="D5" i="35"/>
  <c r="L14" i="38"/>
  <c r="L21" i="38"/>
  <c r="L18" i="38"/>
  <c r="L24" i="38"/>
  <c r="L32" i="38"/>
  <c r="D17" i="35" s="1"/>
  <c r="D6" i="35"/>
  <c r="BI59" i="44"/>
  <c r="BJ15" i="44" s="1"/>
  <c r="R20" i="38"/>
  <c r="S20" i="38" s="1"/>
  <c r="P59" i="44"/>
  <c r="Q46" i="44" s="1"/>
  <c r="M59" i="44"/>
  <c r="N17" i="44" s="1"/>
  <c r="S59" i="44"/>
  <c r="BL12" i="44"/>
  <c r="BF59" i="44"/>
  <c r="Y59" i="44"/>
  <c r="BR12" i="44"/>
  <c r="BR59" i="44" s="1"/>
  <c r="BS34" i="44" s="1"/>
  <c r="V59" i="44"/>
  <c r="W16" i="44" s="1"/>
  <c r="BO12" i="44"/>
  <c r="BO59" i="44" s="1"/>
  <c r="BP41" i="44" s="1"/>
  <c r="T23" i="38"/>
  <c r="S23" i="38"/>
  <c r="S17" i="38" l="1"/>
  <c r="R10" i="38"/>
  <c r="D9" i="35"/>
  <c r="D8" i="35"/>
  <c r="R13" i="38"/>
  <c r="S13" i="38" s="1"/>
  <c r="T10" i="38"/>
  <c r="B8" i="36"/>
  <c r="R14" i="38"/>
  <c r="R21" i="38"/>
  <c r="BJ53" i="44"/>
  <c r="BJ12" i="44"/>
  <c r="BJ31" i="44"/>
  <c r="BJ35" i="44"/>
  <c r="BJ41" i="44"/>
  <c r="BJ26" i="44"/>
  <c r="T20" i="38"/>
  <c r="BJ21" i="44"/>
  <c r="Q21" i="44"/>
  <c r="Q31" i="44"/>
  <c r="R32" i="38"/>
  <c r="T32" i="38" s="1"/>
  <c r="Q41" i="44"/>
  <c r="Q17" i="44"/>
  <c r="N34" i="44"/>
  <c r="N46" i="44"/>
  <c r="N8" i="44"/>
  <c r="N35" i="44"/>
  <c r="BJ46" i="44"/>
  <c r="BJ8" i="44"/>
  <c r="BJ51" i="44"/>
  <c r="BJ34" i="44"/>
  <c r="BJ44" i="44"/>
  <c r="BJ17" i="44"/>
  <c r="BJ16" i="44"/>
  <c r="Q8" i="44"/>
  <c r="N31" i="44"/>
  <c r="N21" i="44"/>
  <c r="Q35" i="44"/>
  <c r="N15" i="44"/>
  <c r="BP12" i="44"/>
  <c r="BP26" i="44"/>
  <c r="BO60" i="44"/>
  <c r="BP46" i="44"/>
  <c r="Q16" i="44"/>
  <c r="N41" i="44"/>
  <c r="N26" i="44"/>
  <c r="BS35" i="44"/>
  <c r="N51" i="44"/>
  <c r="Q12" i="44"/>
  <c r="Q51" i="44"/>
  <c r="BS46" i="44"/>
  <c r="BP51" i="44"/>
  <c r="Q53" i="44"/>
  <c r="Q34" i="44"/>
  <c r="Q15" i="44"/>
  <c r="BS53" i="44"/>
  <c r="BP16" i="44"/>
  <c r="BP17" i="44"/>
  <c r="N16" i="44"/>
  <c r="Q44" i="44"/>
  <c r="BP35" i="44"/>
  <c r="BP8" i="44"/>
  <c r="Q26" i="44"/>
  <c r="N53" i="44"/>
  <c r="BP44" i="44"/>
  <c r="BP31" i="44"/>
  <c r="N44" i="44"/>
  <c r="N12" i="44"/>
  <c r="Z17" i="44"/>
  <c r="Z46" i="44"/>
  <c r="Z41" i="44"/>
  <c r="Z53" i="44"/>
  <c r="Z35" i="44"/>
  <c r="Z34" i="44"/>
  <c r="Z51" i="44"/>
  <c r="Z15" i="44"/>
  <c r="Z8" i="44"/>
  <c r="Z21" i="44"/>
  <c r="Z31" i="44"/>
  <c r="Z12" i="44"/>
  <c r="Z44" i="44"/>
  <c r="BS8" i="44"/>
  <c r="BG51" i="44"/>
  <c r="BG21" i="44"/>
  <c r="BG46" i="44"/>
  <c r="BG26" i="44"/>
  <c r="BG16" i="44"/>
  <c r="BG34" i="44"/>
  <c r="BG41" i="44"/>
  <c r="BG17" i="44"/>
  <c r="BG15" i="44"/>
  <c r="BG53" i="44"/>
  <c r="BG31" i="44"/>
  <c r="BG35" i="44"/>
  <c r="BG12" i="44"/>
  <c r="BG8" i="44"/>
  <c r="BG44" i="44"/>
  <c r="BS51" i="44"/>
  <c r="W8" i="44"/>
  <c r="W53" i="44"/>
  <c r="W34" i="44"/>
  <c r="W12" i="44"/>
  <c r="W26" i="44"/>
  <c r="W35" i="44"/>
  <c r="W46" i="44"/>
  <c r="W51" i="44"/>
  <c r="W41" i="44"/>
  <c r="W31" i="44"/>
  <c r="W21" i="44"/>
  <c r="W44" i="44"/>
  <c r="W15" i="44"/>
  <c r="BL59" i="44"/>
  <c r="BM12" i="44" s="1"/>
  <c r="BS41" i="44"/>
  <c r="Z16" i="44"/>
  <c r="T12" i="44"/>
  <c r="T21" i="44"/>
  <c r="T34" i="44"/>
  <c r="T35" i="44"/>
  <c r="T46" i="44"/>
  <c r="T15" i="44"/>
  <c r="T8" i="44"/>
  <c r="T53" i="44"/>
  <c r="T51" i="44"/>
  <c r="T16" i="44"/>
  <c r="T41" i="44"/>
  <c r="T44" i="44"/>
  <c r="T17" i="44"/>
  <c r="T31" i="44"/>
  <c r="BS15" i="44"/>
  <c r="BS44" i="44"/>
  <c r="BP53" i="44"/>
  <c r="BS16" i="44"/>
  <c r="W17" i="44"/>
  <c r="Z26" i="44"/>
  <c r="BS17" i="44"/>
  <c r="BS26" i="44"/>
  <c r="BS21" i="44"/>
  <c r="BS12" i="44"/>
  <c r="BS31" i="44"/>
  <c r="BP34" i="44"/>
  <c r="BP15" i="44"/>
  <c r="BP21" i="44"/>
  <c r="T26" i="44"/>
  <c r="R18" i="38" l="1"/>
  <c r="R24" i="38"/>
  <c r="S10" i="38"/>
  <c r="T13" i="38"/>
  <c r="S32" i="38"/>
  <c r="BM17" i="44"/>
  <c r="BM53" i="44"/>
  <c r="BM51" i="44"/>
  <c r="BM35" i="44"/>
  <c r="BM46" i="44"/>
  <c r="BM31" i="44"/>
  <c r="BM44" i="44"/>
  <c r="BM26" i="44"/>
  <c r="BM8" i="44"/>
  <c r="BM34" i="44"/>
  <c r="BM16" i="44"/>
  <c r="BM21" i="44"/>
  <c r="BM41" i="44"/>
  <c r="BM15" i="44"/>
  <c r="S21" i="38" l="1"/>
  <c r="S18" i="38"/>
  <c r="S14" i="38"/>
  <c r="S24" i="3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Stefan Wirsenius</author>
  </authors>
  <commentList>
    <comment ref="A1" authorId="0" shapeId="0" xr:uid="{00000000-0006-0000-0200-000001000000}">
      <text>
        <r>
          <rPr>
            <sz val="9"/>
            <color indexed="81"/>
            <rFont val="Tahoma"/>
            <family val="2"/>
          </rPr>
          <t>Based on Anderson-Teixeira and DeLucia 2011</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Stefan Wirsenius</author>
  </authors>
  <commentList>
    <comment ref="B71" authorId="0" shapeId="0" xr:uid="{00000000-0006-0000-0300-000001000000}">
      <text>
        <r>
          <rPr>
            <sz val="9"/>
            <color indexed="81"/>
            <rFont val="Tahoma"/>
            <family val="2"/>
          </rPr>
          <t>Average does not include maize oil</t>
        </r>
      </text>
    </comment>
    <comment ref="C71" authorId="0" shapeId="0" xr:uid="{00000000-0006-0000-0300-000002000000}">
      <text>
        <r>
          <rPr>
            <sz val="9"/>
            <color indexed="81"/>
            <rFont val="Tahoma"/>
            <family val="2"/>
          </rPr>
          <t>Average does not include maize oil</t>
        </r>
      </text>
    </comment>
    <comment ref="D71" authorId="0" shapeId="0" xr:uid="{00000000-0006-0000-0300-000003000000}">
      <text>
        <r>
          <rPr>
            <sz val="9"/>
            <color indexed="81"/>
            <rFont val="Tahoma"/>
            <family val="2"/>
          </rPr>
          <t>Average does not include maize oil</t>
        </r>
      </text>
    </comment>
    <comment ref="G71" authorId="0" shapeId="0" xr:uid="{00000000-0006-0000-0300-000004000000}">
      <text>
        <r>
          <rPr>
            <sz val="9"/>
            <color indexed="81"/>
            <rFont val="Tahoma"/>
            <family val="2"/>
          </rPr>
          <t>Average does not include maize oil</t>
        </r>
      </text>
    </comment>
    <comment ref="H71" authorId="0" shapeId="0" xr:uid="{00000000-0006-0000-0300-000005000000}">
      <text>
        <r>
          <rPr>
            <sz val="9"/>
            <color indexed="81"/>
            <rFont val="Tahoma"/>
            <family val="2"/>
          </rPr>
          <t>Average does not include maize oil</t>
        </r>
      </text>
    </comment>
    <comment ref="J71" authorId="0" shapeId="0" xr:uid="{00000000-0006-0000-0300-000006000000}">
      <text>
        <r>
          <rPr>
            <sz val="9"/>
            <color indexed="81"/>
            <rFont val="Tahoma"/>
            <family val="2"/>
          </rPr>
          <t>Average does not include maize oil</t>
        </r>
      </text>
    </comment>
    <comment ref="K71" authorId="0" shapeId="0" xr:uid="{00000000-0006-0000-0300-000007000000}">
      <text>
        <r>
          <rPr>
            <sz val="9"/>
            <color indexed="81"/>
            <rFont val="Tahoma"/>
            <family val="2"/>
          </rPr>
          <t>Average does not include maize oil</t>
        </r>
      </text>
    </comment>
    <comment ref="L71" authorId="0" shapeId="0" xr:uid="{00000000-0006-0000-0300-000008000000}">
      <text>
        <r>
          <rPr>
            <sz val="9"/>
            <color indexed="81"/>
            <rFont val="Tahoma"/>
            <family val="2"/>
          </rPr>
          <t>Average does not include maize oil</t>
        </r>
      </text>
    </comment>
    <comment ref="AL71" authorId="0" shapeId="0" xr:uid="{00000000-0006-0000-0300-000009000000}">
      <text>
        <r>
          <rPr>
            <sz val="9"/>
            <color indexed="81"/>
            <rFont val="Tahoma"/>
            <family val="2"/>
          </rPr>
          <t>Average does not include maize oil</t>
        </r>
      </text>
    </comment>
    <comment ref="AN71" authorId="0" shapeId="0" xr:uid="{00000000-0006-0000-0300-00000A000000}">
      <text>
        <r>
          <rPr>
            <sz val="9"/>
            <color indexed="81"/>
            <rFont val="Tahoma"/>
            <family val="2"/>
          </rPr>
          <t>Average does not include maize oil</t>
        </r>
      </text>
    </comment>
    <comment ref="AP71" authorId="0" shapeId="0" xr:uid="{00000000-0006-0000-0300-00000B000000}">
      <text>
        <r>
          <rPr>
            <sz val="9"/>
            <color indexed="81"/>
            <rFont val="Tahoma"/>
            <family val="2"/>
          </rPr>
          <t>Average does not include maize oil</t>
        </r>
      </text>
    </comment>
    <comment ref="AR71" authorId="0" shapeId="0" xr:uid="{00000000-0006-0000-0300-00000C000000}">
      <text>
        <r>
          <rPr>
            <sz val="9"/>
            <color indexed="81"/>
            <rFont val="Tahoma"/>
            <family val="2"/>
          </rPr>
          <t>Average does not include maize oil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Stefan Wirsenius</author>
  </authors>
  <commentList>
    <comment ref="B71" authorId="0" shapeId="0" xr:uid="{00000000-0006-0000-0400-000001000000}">
      <text>
        <r>
          <rPr>
            <sz val="9"/>
            <color indexed="81"/>
            <rFont val="Tahoma"/>
            <family val="2"/>
          </rPr>
          <t>Average does not include maize oil</t>
        </r>
      </text>
    </comment>
    <comment ref="C71" authorId="0" shapeId="0" xr:uid="{00000000-0006-0000-0400-000002000000}">
      <text>
        <r>
          <rPr>
            <sz val="9"/>
            <color indexed="81"/>
            <rFont val="Tahoma"/>
            <family val="2"/>
          </rPr>
          <t>Average does not include maize oil</t>
        </r>
      </text>
    </comment>
    <comment ref="D71" authorId="0" shapeId="0" xr:uid="{00000000-0006-0000-0400-000003000000}">
      <text>
        <r>
          <rPr>
            <sz val="9"/>
            <color indexed="81"/>
            <rFont val="Tahoma"/>
            <family val="2"/>
          </rPr>
          <t>Average does not include maize oil</t>
        </r>
      </text>
    </comment>
    <comment ref="G71" authorId="0" shapeId="0" xr:uid="{00000000-0006-0000-0400-000004000000}">
      <text>
        <r>
          <rPr>
            <sz val="9"/>
            <color indexed="81"/>
            <rFont val="Tahoma"/>
            <family val="2"/>
          </rPr>
          <t>Average does not include maize oil</t>
        </r>
      </text>
    </comment>
    <comment ref="H71" authorId="0" shapeId="0" xr:uid="{00000000-0006-0000-0400-000005000000}">
      <text>
        <r>
          <rPr>
            <sz val="9"/>
            <color indexed="81"/>
            <rFont val="Tahoma"/>
            <family val="2"/>
          </rPr>
          <t>Average does not include maize oil</t>
        </r>
      </text>
    </comment>
    <comment ref="J71" authorId="0" shapeId="0" xr:uid="{00000000-0006-0000-0400-000006000000}">
      <text>
        <r>
          <rPr>
            <sz val="9"/>
            <color indexed="81"/>
            <rFont val="Tahoma"/>
            <family val="2"/>
          </rPr>
          <t>Average does not include maize oil</t>
        </r>
      </text>
    </comment>
    <comment ref="K71" authorId="0" shapeId="0" xr:uid="{00000000-0006-0000-0400-000007000000}">
      <text>
        <r>
          <rPr>
            <sz val="9"/>
            <color indexed="81"/>
            <rFont val="Tahoma"/>
            <family val="2"/>
          </rPr>
          <t>Average does not include maize oil</t>
        </r>
      </text>
    </comment>
    <comment ref="L71" authorId="0" shapeId="0" xr:uid="{00000000-0006-0000-0400-000008000000}">
      <text>
        <r>
          <rPr>
            <sz val="9"/>
            <color indexed="81"/>
            <rFont val="Tahoma"/>
            <family val="2"/>
          </rPr>
          <t>Average does not include maize oil</t>
        </r>
      </text>
    </comment>
    <comment ref="AL71" authorId="0" shapeId="0" xr:uid="{00000000-0006-0000-0400-000009000000}">
      <text>
        <r>
          <rPr>
            <sz val="9"/>
            <color indexed="81"/>
            <rFont val="Tahoma"/>
            <family val="2"/>
          </rPr>
          <t>Average does not include maize oil</t>
        </r>
      </text>
    </comment>
    <comment ref="AN71" authorId="0" shapeId="0" xr:uid="{00000000-0006-0000-0400-00000A000000}">
      <text>
        <r>
          <rPr>
            <sz val="9"/>
            <color indexed="81"/>
            <rFont val="Tahoma"/>
            <family val="2"/>
          </rPr>
          <t>Average does not include maize oil</t>
        </r>
      </text>
    </comment>
    <comment ref="AP71" authorId="0" shapeId="0" xr:uid="{00000000-0006-0000-0400-00000B000000}">
      <text>
        <r>
          <rPr>
            <sz val="9"/>
            <color indexed="81"/>
            <rFont val="Tahoma"/>
            <family val="2"/>
          </rPr>
          <t>Average does not include maize oil</t>
        </r>
      </text>
    </comment>
    <comment ref="AR71" authorId="0" shapeId="0" xr:uid="{00000000-0006-0000-0400-00000C000000}">
      <text>
        <r>
          <rPr>
            <sz val="9"/>
            <color indexed="81"/>
            <rFont val="Tahoma"/>
            <family val="2"/>
          </rPr>
          <t>Average does not include maize oil</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Stefan Wirsenius</author>
  </authors>
  <commentList>
    <comment ref="IP2" authorId="0" shapeId="0" xr:uid="{00000000-0006-0000-0500-000001000000}">
      <text>
        <r>
          <rPr>
            <sz val="9"/>
            <color indexed="81"/>
            <rFont val="Tahoma"/>
            <family val="2"/>
          </rPr>
          <t>Areas from Yu et al 2010. EFs from rom IPCC 2013 Supplement to the 2006 IPPC guidelines; calculated into crop-specific EF by overlaying biome extent and SPAM crop extent.</t>
        </r>
      </text>
    </comment>
    <comment ref="JS2" authorId="0" shapeId="0" xr:uid="{00000000-0006-0000-0500-000002000000}">
      <text>
        <r>
          <rPr>
            <sz val="9"/>
            <color indexed="81"/>
            <rFont val="Tahoma"/>
            <family val="2"/>
          </rPr>
          <t>From GlobAgri model runs</t>
        </r>
      </text>
    </comment>
    <comment ref="LI2" authorId="0" shapeId="0" xr:uid="{00000000-0006-0000-0500-000003000000}">
      <text>
        <r>
          <rPr>
            <sz val="9"/>
            <color indexed="81"/>
            <rFont val="Tahoma"/>
            <family val="2"/>
          </rPr>
          <t xml:space="preserve">Based on Wirsenius 2000, FAOSTAT FBS (implicit nutriotinal value), SLV Food Composition Table, USDA Nutrient Database.
Coconut data from: http://www.slideshare.net/leonardorico399/coconut-presentation-14354483
Cocoa bean data from www.icco.org
</t>
        </r>
      </text>
    </comment>
    <comment ref="CZ3" authorId="0" shapeId="0" xr:uid="{00000000-0006-0000-0500-000004000000}">
      <text>
        <r>
          <rPr>
            <sz val="9"/>
            <color indexed="81"/>
            <rFont val="Tahoma"/>
            <family val="2"/>
          </rPr>
          <t>Plant C stocks of annual crops and grasses/legumes scaled according to yield assuming a whole-plant (yield+residues) multiplier of 2.5, and that the annual average C stock is 25% of peak value (i.e. yield). Data for perennial crops excl grass/legumes from Gibbs et al 2008 ERL.</t>
        </r>
      </text>
    </comment>
    <comment ref="JJ3" authorId="0" shapeId="0" xr:uid="{00000000-0006-0000-0500-000005000000}">
      <text>
        <r>
          <rPr>
            <sz val="9"/>
            <color indexed="81"/>
            <rFont val="Tahoma"/>
            <family val="2"/>
          </rPr>
          <t xml:space="preserve">From IPCC 2013 Supplement to the 2006 IPPC guidelines, except for CO2 from oil palm, which is based on personal communication with Aljosja Hooijer. </t>
        </r>
      </text>
    </comment>
    <comment ref="A11" authorId="0" shapeId="0" xr:uid="{00000000-0006-0000-0500-000006000000}">
      <text>
        <r>
          <rPr>
            <sz val="9"/>
            <color indexed="81"/>
            <rFont val="Tahoma"/>
            <family val="2"/>
          </rPr>
          <t>SPAM2005 cropland maps</t>
        </r>
      </text>
    </comment>
    <comment ref="GD11" authorId="0" shapeId="0" xr:uid="{00000000-0006-0000-0500-000007000000}">
      <text>
        <r>
          <rPr>
            <sz val="9"/>
            <color indexed="81"/>
            <rFont val="Tahoma"/>
            <family val="2"/>
          </rPr>
          <t xml:space="preserve">Poorter et al 2016. To their number 3.1, which includes only above-ground, is added below-ground by using a factor 0.25 based Martin et al 2013. </t>
        </r>
      </text>
    </comment>
    <comment ref="A12" authorId="0" shapeId="0" xr:uid="{00000000-0006-0000-0500-000008000000}">
      <text>
        <r>
          <rPr>
            <sz val="9"/>
            <color indexed="81"/>
            <rFont val="Tahoma"/>
            <family val="2"/>
          </rPr>
          <t xml:space="preserve">Averages for Hyde and LPJ pasture maps
</t>
        </r>
      </text>
    </comment>
    <comment ref="GD12" authorId="0" shapeId="0" xr:uid="{00000000-0006-0000-0500-000009000000}">
      <text>
        <r>
          <rPr>
            <sz val="9"/>
            <color indexed="81"/>
            <rFont val="Tahoma"/>
            <family val="2"/>
          </rPr>
          <t xml:space="preserve">Poorter et al 2016. To their number 3, which includes only above-ground, is added below-ground by using a factor 0.2 based Martin et al 2013. </t>
        </r>
      </text>
    </comment>
    <comment ref="KH34" authorId="0" shapeId="0" xr:uid="{00000000-0006-0000-0500-00000A000000}">
      <text>
        <r>
          <rPr>
            <sz val="9"/>
            <color indexed="81"/>
            <rFont val="Tahoma"/>
            <family val="2"/>
          </rPr>
          <t xml:space="preserve">From JEC WTW vers 4a (JRC 2014)
</t>
        </r>
      </text>
    </comment>
    <comment ref="DH39" authorId="0" shapeId="0" xr:uid="{00000000-0006-0000-0500-00000B000000}">
      <text>
        <r>
          <rPr>
            <sz val="9"/>
            <color indexed="81"/>
            <rFont val="Tahoma"/>
            <family val="2"/>
          </rPr>
          <t>Hensen 2004 cited in Schmidt 2007</t>
        </r>
      </text>
    </comment>
    <comment ref="DO39" authorId="0" shapeId="0" xr:uid="{00000000-0006-0000-0500-00000C000000}">
      <text>
        <r>
          <rPr>
            <sz val="9"/>
            <color indexed="81"/>
            <rFont val="Tahoma"/>
            <family val="2"/>
          </rPr>
          <t>Hensen 2004 cited in Schmidt 2007</t>
        </r>
      </text>
    </comment>
    <comment ref="JJ39" authorId="0" shapeId="0" xr:uid="{00000000-0006-0000-0500-00000D000000}">
      <text>
        <r>
          <rPr>
            <sz val="9"/>
            <color indexed="81"/>
            <rFont val="Tahoma"/>
            <family val="2"/>
          </rPr>
          <t>Personal communication Aljosja Hooijer</t>
        </r>
      </text>
    </comment>
    <comment ref="KI46" authorId="0" shapeId="0" xr:uid="{00000000-0006-0000-0500-00000E000000}">
      <text>
        <r>
          <rPr>
            <sz val="9"/>
            <color indexed="81"/>
            <rFont val="Tahoma"/>
            <family val="2"/>
          </rPr>
          <t>Data for peas</t>
        </r>
      </text>
    </comment>
    <comment ref="KK46" authorId="0" shapeId="0" xr:uid="{00000000-0006-0000-0500-00000F000000}">
      <text>
        <r>
          <rPr>
            <sz val="9"/>
            <color indexed="81"/>
            <rFont val="Tahoma"/>
            <family val="2"/>
          </rPr>
          <t>Data for peas</t>
        </r>
      </text>
    </comment>
    <comment ref="KO46" authorId="0" shapeId="0" xr:uid="{00000000-0006-0000-0500-000010000000}">
      <text>
        <r>
          <rPr>
            <sz val="9"/>
            <color indexed="81"/>
            <rFont val="Tahoma"/>
            <family val="2"/>
          </rPr>
          <t>Data for peas</t>
        </r>
      </text>
    </comment>
    <comment ref="KI47" authorId="0" shapeId="0" xr:uid="{00000000-0006-0000-0500-000011000000}">
      <text>
        <r>
          <rPr>
            <sz val="9"/>
            <color indexed="81"/>
            <rFont val="Tahoma"/>
            <family val="2"/>
          </rPr>
          <t>Data for peas</t>
        </r>
      </text>
    </comment>
    <comment ref="KK47" authorId="0" shapeId="0" xr:uid="{00000000-0006-0000-0500-000012000000}">
      <text>
        <r>
          <rPr>
            <sz val="9"/>
            <color indexed="81"/>
            <rFont val="Tahoma"/>
            <family val="2"/>
          </rPr>
          <t>Data for peas</t>
        </r>
      </text>
    </comment>
    <comment ref="KM47" authorId="0" shapeId="0" xr:uid="{00000000-0006-0000-0500-000013000000}">
      <text>
        <r>
          <rPr>
            <sz val="9"/>
            <color indexed="81"/>
            <rFont val="Tahoma"/>
            <family val="2"/>
          </rPr>
          <t>Data for peas</t>
        </r>
      </text>
    </comment>
    <comment ref="KO47" authorId="0" shapeId="0" xr:uid="{00000000-0006-0000-0500-000014000000}">
      <text>
        <r>
          <rPr>
            <sz val="9"/>
            <color indexed="81"/>
            <rFont val="Tahoma"/>
            <family val="2"/>
          </rPr>
          <t>Data for peas</t>
        </r>
      </text>
    </comment>
    <comment ref="KI55" authorId="0" shapeId="0" xr:uid="{00000000-0006-0000-0500-000015000000}">
      <text>
        <r>
          <rPr>
            <sz val="9"/>
            <color indexed="81"/>
            <rFont val="Tahoma"/>
            <family val="2"/>
          </rPr>
          <t>Average for apples and oranges</t>
        </r>
      </text>
    </comment>
    <comment ref="KK55" authorId="0" shapeId="0" xr:uid="{00000000-0006-0000-0500-000016000000}">
      <text>
        <r>
          <rPr>
            <sz val="9"/>
            <color indexed="81"/>
            <rFont val="Tahoma"/>
            <family val="2"/>
          </rPr>
          <t>Average for apples and oranges</t>
        </r>
      </text>
    </comment>
    <comment ref="KM55" authorId="0" shapeId="0" xr:uid="{00000000-0006-0000-0500-000017000000}">
      <text>
        <r>
          <rPr>
            <sz val="9"/>
            <color indexed="81"/>
            <rFont val="Tahoma"/>
            <family val="2"/>
          </rPr>
          <t>Average for apples and oranges</t>
        </r>
      </text>
    </comment>
    <comment ref="KO55" authorId="0" shapeId="0" xr:uid="{00000000-0006-0000-0500-000018000000}">
      <text>
        <r>
          <rPr>
            <sz val="9"/>
            <color indexed="81"/>
            <rFont val="Tahoma"/>
            <family val="2"/>
          </rPr>
          <t>Average for apples and oranges</t>
        </r>
      </text>
    </comment>
    <comment ref="KI56" authorId="0" shapeId="0" xr:uid="{00000000-0006-0000-0500-000019000000}">
      <text>
        <r>
          <rPr>
            <sz val="9"/>
            <color indexed="81"/>
            <rFont val="Tahoma"/>
            <family val="2"/>
          </rPr>
          <t>Data for pineapple</t>
        </r>
      </text>
    </comment>
    <comment ref="KK56" authorId="0" shapeId="0" xr:uid="{00000000-0006-0000-0500-00001A000000}">
      <text>
        <r>
          <rPr>
            <sz val="9"/>
            <color indexed="81"/>
            <rFont val="Tahoma"/>
            <family val="2"/>
          </rPr>
          <t>Data for pineapple</t>
        </r>
      </text>
    </comment>
    <comment ref="KM56" authorId="0" shapeId="0" xr:uid="{00000000-0006-0000-0500-00001B000000}">
      <text>
        <r>
          <rPr>
            <sz val="9"/>
            <color indexed="81"/>
            <rFont val="Tahoma"/>
            <family val="2"/>
          </rPr>
          <t>Data for pineapple</t>
        </r>
      </text>
    </comment>
    <comment ref="KO56" authorId="0" shapeId="0" xr:uid="{00000000-0006-0000-0500-00001C000000}">
      <text>
        <r>
          <rPr>
            <sz val="9"/>
            <color indexed="81"/>
            <rFont val="Tahoma"/>
            <family val="2"/>
          </rPr>
          <t>Data for pineapple</t>
        </r>
      </text>
    </comment>
    <comment ref="A62" authorId="0" shapeId="0" xr:uid="{00000000-0006-0000-0500-00001D000000}">
      <text>
        <r>
          <rPr>
            <sz val="9"/>
            <color indexed="81"/>
            <rFont val="Tahoma"/>
            <family val="2"/>
          </rPr>
          <t>Area (harvested), NPP and native C stocks from MIRCA 2000. Avg yield from FAOSTAT; estimates for rainfed and irrigated assuming double yield on irrigated (compare average 2.1 for all crops in this dataset)</t>
        </r>
      </text>
    </comment>
    <comment ref="A63" authorId="0" shapeId="0" xr:uid="{00000000-0006-0000-0500-00001E000000}">
      <text>
        <r>
          <rPr>
            <sz val="9"/>
            <color indexed="81"/>
            <rFont val="Tahoma"/>
            <family val="2"/>
          </rPr>
          <t xml:space="preserve">Area (harvested) and yield (avg) from FAOSTAT; estimates for rainfed and irrigated yields assuming double yield on irrigated (compare average 2.1 for all crops in this dataset). NPP and C stocks as for maize </t>
        </r>
        <r>
          <rPr>
            <b/>
            <sz val="9"/>
            <color indexed="81"/>
            <rFont val="Tahoma"/>
            <family val="2"/>
          </rPr>
          <t>grains</t>
        </r>
        <r>
          <rPr>
            <sz val="9"/>
            <color indexed="81"/>
            <rFont val="Tahoma"/>
            <family val="2"/>
          </rPr>
          <t xml:space="preserve"> above.</t>
        </r>
      </text>
    </comment>
    <comment ref="KJ63" authorId="0" shapeId="0" xr:uid="{00000000-0006-0000-0500-00001F000000}">
      <text>
        <r>
          <rPr>
            <sz val="9"/>
            <color indexed="81"/>
            <rFont val="Tahoma"/>
            <family val="2"/>
          </rPr>
          <t>Half of the number for maize grains, assuming a harvest index of about 0.5.</t>
        </r>
      </text>
    </comment>
    <comment ref="KL63" authorId="0" shapeId="0" xr:uid="{00000000-0006-0000-0500-000020000000}">
      <text>
        <r>
          <rPr>
            <sz val="9"/>
            <color indexed="81"/>
            <rFont val="Tahoma"/>
            <family val="2"/>
          </rPr>
          <t>Half of the number for maize grains, assuming a harvest index of about 0.5.</t>
        </r>
      </text>
    </comment>
    <comment ref="KN63" authorId="0" shapeId="0" xr:uid="{00000000-0006-0000-0500-000021000000}">
      <text>
        <r>
          <rPr>
            <sz val="9"/>
            <color indexed="81"/>
            <rFont val="Tahoma"/>
            <family val="2"/>
          </rPr>
          <t>Half of the number for maize grains, assuming a harvest index of about 0.5.</t>
        </r>
      </text>
    </comment>
    <comment ref="KP63" authorId="0" shapeId="0" xr:uid="{00000000-0006-0000-0500-000022000000}">
      <text>
        <r>
          <rPr>
            <sz val="9"/>
            <color indexed="81"/>
            <rFont val="Tahoma"/>
            <family val="2"/>
          </rPr>
          <t>Half of the number for maize grains, assuming a harvest index of about 0.5.</t>
        </r>
      </text>
    </comment>
    <comment ref="KJ75" authorId="0" shapeId="0" xr:uid="{00000000-0006-0000-0500-000023000000}">
      <text>
        <r>
          <rPr>
            <sz val="9"/>
            <color indexed="81"/>
            <rFont val="Tahoma"/>
            <family val="2"/>
          </rPr>
          <t>From Globagri data on fertilizer input on grass/forages INCLUDING ON CROPLAND, 10.5 Tg N/yr. N2O estimated using EF 1.45%, i.e. including indirect emissions.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Stefan Wirsenius</author>
  </authors>
  <commentList>
    <comment ref="EI2" authorId="0" shapeId="0" xr:uid="{00000000-0006-0000-0600-000001000000}">
      <text>
        <r>
          <rPr>
            <sz val="9"/>
            <color indexed="81"/>
            <rFont val="Tahoma"/>
            <family val="2"/>
          </rPr>
          <t>Areas from Yu et al 2010. EFs from rom IPCC 2013 Supplement to the 2006 IPPC guidelines; calculated into crop-specific EF by overlaying biome extent and SPAM crop extent.</t>
        </r>
      </text>
    </comment>
    <comment ref="FL2" authorId="0" shapeId="0" xr:uid="{00000000-0006-0000-0600-000002000000}">
      <text>
        <r>
          <rPr>
            <sz val="9"/>
            <color indexed="81"/>
            <rFont val="Tahoma"/>
            <family val="2"/>
          </rPr>
          <t>From GlobAgri model runs</t>
        </r>
      </text>
    </comment>
    <comment ref="HB2" authorId="0" shapeId="0" xr:uid="{00000000-0006-0000-0600-000003000000}">
      <text>
        <r>
          <rPr>
            <sz val="9"/>
            <color indexed="81"/>
            <rFont val="Tahoma"/>
            <family val="2"/>
          </rPr>
          <t xml:space="preserve">Based on Wirsenius 2000, FAOSTAT FBS (implicit nutriotinal value), SLV Food Composition Table, USDA Nutrient Database.
Coconut data from: http://www.slideshare.net/leonardorico399/coconut-presentation-14354483
Cocoa bean data from www.icco.org
</t>
        </r>
      </text>
    </comment>
    <comment ref="BJ3" authorId="0" shapeId="0" xr:uid="{00000000-0006-0000-0600-000004000000}">
      <text>
        <r>
          <rPr>
            <sz val="9"/>
            <color indexed="81"/>
            <rFont val="Tahoma"/>
            <family val="2"/>
          </rPr>
          <t>Plant C stocks of annual crops and grasses/legumes scaled according to yield assuming a whole-plant (yield+residues) multiplier of 2.5, and that the annual average C stock is 25% of peak value (i.e. yield). Data for perennial crops excl grass/legumes from Gibbs et al 2008 ERL.</t>
        </r>
      </text>
    </comment>
    <comment ref="FC3" authorId="0" shapeId="0" xr:uid="{00000000-0006-0000-0600-000005000000}">
      <text>
        <r>
          <rPr>
            <sz val="9"/>
            <color indexed="81"/>
            <rFont val="Tahoma"/>
            <family val="2"/>
          </rPr>
          <t xml:space="preserve">From IPCC 2013 Supplement to the 2006 IPPC guidelines, except for CO2 from oil palm, which is based on personal communication with Aljosja Hooijer. </t>
        </r>
      </text>
    </comment>
    <comment ref="A11" authorId="0" shapeId="0" xr:uid="{00000000-0006-0000-0600-000006000000}">
      <text>
        <r>
          <rPr>
            <sz val="9"/>
            <color indexed="81"/>
            <rFont val="Tahoma"/>
            <family val="2"/>
          </rPr>
          <t>SPAM2005 cropland maps</t>
        </r>
      </text>
    </comment>
    <comment ref="CQ11" authorId="0" shapeId="0" xr:uid="{00000000-0006-0000-0600-000007000000}">
      <text>
        <r>
          <rPr>
            <sz val="9"/>
            <color indexed="81"/>
            <rFont val="Tahoma"/>
            <family val="2"/>
          </rPr>
          <t xml:space="preserve">Poorter et al 2016. To their number 3.1, which includes only above-ground, is added below-ground by using a factor 0.25 based Martin et al 2013. </t>
        </r>
      </text>
    </comment>
    <comment ref="A12" authorId="0" shapeId="0" xr:uid="{00000000-0006-0000-0600-000008000000}">
      <text>
        <r>
          <rPr>
            <sz val="9"/>
            <color indexed="81"/>
            <rFont val="Tahoma"/>
            <family val="2"/>
          </rPr>
          <t xml:space="preserve">Averages for Hyde and LPJ pasture maps
</t>
        </r>
      </text>
    </comment>
    <comment ref="CQ12" authorId="0" shapeId="0" xr:uid="{00000000-0006-0000-0600-000009000000}">
      <text>
        <r>
          <rPr>
            <sz val="9"/>
            <color indexed="81"/>
            <rFont val="Tahoma"/>
            <family val="2"/>
          </rPr>
          <t xml:space="preserve">Poorter et al 2016. To their number 3, which includes only above-ground, is added below-ground by using a factor 0.2 based Martin et al 2013. </t>
        </r>
      </text>
    </comment>
    <comment ref="GA34" authorId="0" shapeId="0" xr:uid="{00000000-0006-0000-0600-00000A000000}">
      <text>
        <r>
          <rPr>
            <sz val="9"/>
            <color indexed="81"/>
            <rFont val="Tahoma"/>
            <family val="2"/>
          </rPr>
          <t xml:space="preserve">From JEC WTW vers 4a (JRC 2014)
</t>
        </r>
      </text>
    </comment>
    <comment ref="BR39" authorId="0" shapeId="0" xr:uid="{00000000-0006-0000-0600-00000B000000}">
      <text>
        <r>
          <rPr>
            <sz val="9"/>
            <color indexed="81"/>
            <rFont val="Tahoma"/>
            <family val="2"/>
          </rPr>
          <t>Hensen 2004 cited in Schmidt 2007</t>
        </r>
      </text>
    </comment>
    <comment ref="BW39" authorId="0" shapeId="0" xr:uid="{00000000-0006-0000-0600-00000C000000}">
      <text>
        <r>
          <rPr>
            <sz val="9"/>
            <color indexed="81"/>
            <rFont val="Tahoma"/>
            <family val="2"/>
          </rPr>
          <t>Hensen 2004 cited in Schmidt 2007</t>
        </r>
      </text>
    </comment>
    <comment ref="FC39" authorId="0" shapeId="0" xr:uid="{00000000-0006-0000-0600-00000D000000}">
      <text>
        <r>
          <rPr>
            <sz val="9"/>
            <color indexed="81"/>
            <rFont val="Tahoma"/>
            <family val="2"/>
          </rPr>
          <t>Personal communication Aljosja Hooijer</t>
        </r>
      </text>
    </comment>
    <comment ref="GB46" authorId="0" shapeId="0" xr:uid="{00000000-0006-0000-0600-00000E000000}">
      <text>
        <r>
          <rPr>
            <sz val="9"/>
            <color indexed="81"/>
            <rFont val="Tahoma"/>
            <family val="2"/>
          </rPr>
          <t>Data for peas</t>
        </r>
      </text>
    </comment>
    <comment ref="GD46" authorId="0" shapeId="0" xr:uid="{00000000-0006-0000-0600-00000F000000}">
      <text>
        <r>
          <rPr>
            <sz val="9"/>
            <color indexed="81"/>
            <rFont val="Tahoma"/>
            <family val="2"/>
          </rPr>
          <t>Data for peas</t>
        </r>
      </text>
    </comment>
    <comment ref="GH46" authorId="0" shapeId="0" xr:uid="{00000000-0006-0000-0600-000010000000}">
      <text>
        <r>
          <rPr>
            <sz val="9"/>
            <color indexed="81"/>
            <rFont val="Tahoma"/>
            <family val="2"/>
          </rPr>
          <t>Data for peas</t>
        </r>
      </text>
    </comment>
    <comment ref="GB47" authorId="0" shapeId="0" xr:uid="{00000000-0006-0000-0600-000011000000}">
      <text>
        <r>
          <rPr>
            <sz val="9"/>
            <color indexed="81"/>
            <rFont val="Tahoma"/>
            <family val="2"/>
          </rPr>
          <t>Data for peas</t>
        </r>
      </text>
    </comment>
    <comment ref="GD47" authorId="0" shapeId="0" xr:uid="{00000000-0006-0000-0600-000012000000}">
      <text>
        <r>
          <rPr>
            <sz val="9"/>
            <color indexed="81"/>
            <rFont val="Tahoma"/>
            <family val="2"/>
          </rPr>
          <t>Data for peas</t>
        </r>
      </text>
    </comment>
    <comment ref="GF47" authorId="0" shapeId="0" xr:uid="{00000000-0006-0000-0600-000013000000}">
      <text>
        <r>
          <rPr>
            <sz val="9"/>
            <color indexed="81"/>
            <rFont val="Tahoma"/>
            <family val="2"/>
          </rPr>
          <t>Data for peas</t>
        </r>
      </text>
    </comment>
    <comment ref="GH47" authorId="0" shapeId="0" xr:uid="{00000000-0006-0000-0600-000014000000}">
      <text>
        <r>
          <rPr>
            <sz val="9"/>
            <color indexed="81"/>
            <rFont val="Tahoma"/>
            <family val="2"/>
          </rPr>
          <t>Data for peas</t>
        </r>
      </text>
    </comment>
    <comment ref="GB55" authorId="0" shapeId="0" xr:uid="{00000000-0006-0000-0600-000015000000}">
      <text>
        <r>
          <rPr>
            <sz val="9"/>
            <color indexed="81"/>
            <rFont val="Tahoma"/>
            <family val="2"/>
          </rPr>
          <t>Average for apples and oranges</t>
        </r>
      </text>
    </comment>
    <comment ref="GD55" authorId="0" shapeId="0" xr:uid="{00000000-0006-0000-0600-000016000000}">
      <text>
        <r>
          <rPr>
            <sz val="9"/>
            <color indexed="81"/>
            <rFont val="Tahoma"/>
            <family val="2"/>
          </rPr>
          <t>Average for apples and oranges</t>
        </r>
      </text>
    </comment>
    <comment ref="GF55" authorId="0" shapeId="0" xr:uid="{00000000-0006-0000-0600-000017000000}">
      <text>
        <r>
          <rPr>
            <sz val="9"/>
            <color indexed="81"/>
            <rFont val="Tahoma"/>
            <family val="2"/>
          </rPr>
          <t>Average for apples and oranges</t>
        </r>
      </text>
    </comment>
    <comment ref="GH55" authorId="0" shapeId="0" xr:uid="{00000000-0006-0000-0600-000018000000}">
      <text>
        <r>
          <rPr>
            <sz val="9"/>
            <color indexed="81"/>
            <rFont val="Tahoma"/>
            <family val="2"/>
          </rPr>
          <t>Average for apples and oranges</t>
        </r>
      </text>
    </comment>
    <comment ref="GB56" authorId="0" shapeId="0" xr:uid="{00000000-0006-0000-0600-000019000000}">
      <text>
        <r>
          <rPr>
            <sz val="9"/>
            <color indexed="81"/>
            <rFont val="Tahoma"/>
            <family val="2"/>
          </rPr>
          <t>Data for pineapple</t>
        </r>
      </text>
    </comment>
    <comment ref="GD56" authorId="0" shapeId="0" xr:uid="{00000000-0006-0000-0600-00001A000000}">
      <text>
        <r>
          <rPr>
            <sz val="9"/>
            <color indexed="81"/>
            <rFont val="Tahoma"/>
            <family val="2"/>
          </rPr>
          <t>Data for pineapple</t>
        </r>
      </text>
    </comment>
    <comment ref="GF56" authorId="0" shapeId="0" xr:uid="{00000000-0006-0000-0600-00001B000000}">
      <text>
        <r>
          <rPr>
            <sz val="9"/>
            <color indexed="81"/>
            <rFont val="Tahoma"/>
            <family val="2"/>
          </rPr>
          <t>Data for pineapple</t>
        </r>
      </text>
    </comment>
    <comment ref="GH56" authorId="0" shapeId="0" xr:uid="{00000000-0006-0000-0600-00001C000000}">
      <text>
        <r>
          <rPr>
            <sz val="9"/>
            <color indexed="81"/>
            <rFont val="Tahoma"/>
            <family val="2"/>
          </rPr>
          <t>Data for pineapple</t>
        </r>
      </text>
    </comment>
    <comment ref="A62" authorId="0" shapeId="0" xr:uid="{00000000-0006-0000-0600-00001D000000}">
      <text>
        <r>
          <rPr>
            <sz val="9"/>
            <color indexed="81"/>
            <rFont val="Tahoma"/>
            <family val="2"/>
          </rPr>
          <t>Area (harvested), NPP and native C stocks from MIRCA 2000. Avg yield from FAOSTAT; estimates for rainfed and irrigated assuming double yield on irrigated (compare average 2.1 for all crops in this dataset)</t>
        </r>
      </text>
    </comment>
    <comment ref="A63" authorId="0" shapeId="0" xr:uid="{00000000-0006-0000-0600-00001E000000}">
      <text>
        <r>
          <rPr>
            <sz val="9"/>
            <color indexed="81"/>
            <rFont val="Tahoma"/>
            <family val="2"/>
          </rPr>
          <t xml:space="preserve">Area (harvested) and yield (avg) from FAOSTAT; estimates for rainfed and irrigated yields assuming double yield on irrigated (compare average 2.1 for all crops in this dataset). NPP and C stocks as for maize </t>
        </r>
        <r>
          <rPr>
            <b/>
            <sz val="9"/>
            <color indexed="81"/>
            <rFont val="Tahoma"/>
            <family val="2"/>
          </rPr>
          <t>grains</t>
        </r>
        <r>
          <rPr>
            <sz val="9"/>
            <color indexed="81"/>
            <rFont val="Tahoma"/>
            <family val="2"/>
          </rPr>
          <t xml:space="preserve"> above.</t>
        </r>
      </text>
    </comment>
    <comment ref="GC63" authorId="0" shapeId="0" xr:uid="{00000000-0006-0000-0600-00001F000000}">
      <text>
        <r>
          <rPr>
            <sz val="9"/>
            <color indexed="81"/>
            <rFont val="Tahoma"/>
            <family val="2"/>
          </rPr>
          <t>Half of the number for maize grains, assuming a harvest index of about 0.5.</t>
        </r>
      </text>
    </comment>
    <comment ref="GE63" authorId="0" shapeId="0" xr:uid="{00000000-0006-0000-0600-000020000000}">
      <text>
        <r>
          <rPr>
            <sz val="9"/>
            <color indexed="81"/>
            <rFont val="Tahoma"/>
            <family val="2"/>
          </rPr>
          <t>Half of the number for maize grains, assuming a harvest index of about 0.5.</t>
        </r>
      </text>
    </comment>
    <comment ref="GG63" authorId="0" shapeId="0" xr:uid="{00000000-0006-0000-0600-000021000000}">
      <text>
        <r>
          <rPr>
            <sz val="9"/>
            <color indexed="81"/>
            <rFont val="Tahoma"/>
            <family val="2"/>
          </rPr>
          <t>Half of the number for maize grains, assuming a harvest index of about 0.5.</t>
        </r>
      </text>
    </comment>
    <comment ref="GI63" authorId="0" shapeId="0" xr:uid="{00000000-0006-0000-0600-000022000000}">
      <text>
        <r>
          <rPr>
            <sz val="9"/>
            <color indexed="81"/>
            <rFont val="Tahoma"/>
            <family val="2"/>
          </rPr>
          <t>Half of the number for maize grains, assuming a harvest index of about 0.5.</t>
        </r>
      </text>
    </comment>
    <comment ref="GC75" authorId="0" shapeId="0" xr:uid="{00000000-0006-0000-0600-000023000000}">
      <text>
        <r>
          <rPr>
            <sz val="9"/>
            <color indexed="81"/>
            <rFont val="Tahoma"/>
            <family val="2"/>
          </rPr>
          <t>From Globagri data on fertilizer input on grass/forages INCLUDING ON CROPLAND, 10.5 Tg N/yr. N2O estimated using EF 1.45%, i.e. including indirect emissions.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Stefan Wirsenius</author>
  </authors>
  <commentList>
    <comment ref="NT2" authorId="0" shapeId="0" xr:uid="{00000000-0006-0000-0700-000001000000}">
      <text>
        <r>
          <rPr>
            <sz val="9"/>
            <color indexed="81"/>
            <rFont val="Tahoma"/>
            <family val="2"/>
          </rPr>
          <t xml:space="preserve">Biofuel data from Edwards et al (JRC WTW vers 4a)
</t>
        </r>
      </text>
    </comment>
    <comment ref="JQ3" authorId="0" shapeId="0" xr:uid="{00000000-0006-0000-0700-000002000000}">
      <text>
        <r>
          <rPr>
            <sz val="9"/>
            <color indexed="81"/>
            <rFont val="Tahoma"/>
            <family val="2"/>
          </rPr>
          <t xml:space="preserve">Calculated from GlobAgri data in sheet "Crop/ pasture areas and products" 
</t>
        </r>
      </text>
    </comment>
    <comment ref="JZ3" authorId="0" shapeId="0" xr:uid="{00000000-0006-0000-0700-000003000000}">
      <text>
        <r>
          <rPr>
            <sz val="9"/>
            <color indexed="81"/>
            <rFont val="Tahoma"/>
            <family val="2"/>
          </rPr>
          <t xml:space="preserve">Emission and energy data from JEC WTW vers 4a (JRC 2014)
</t>
        </r>
      </text>
    </comment>
    <comment ref="AO4" authorId="0" shapeId="0" xr:uid="{00000000-0006-0000-0700-000004000000}">
      <text>
        <r>
          <rPr>
            <sz val="9"/>
            <color indexed="81"/>
            <rFont val="Tahoma"/>
            <family val="2"/>
          </rPr>
          <t xml:space="preserve">From ICCT 2012, Table 16
</t>
        </r>
      </text>
    </comment>
    <comment ref="AL7" authorId="0" shapeId="0" xr:uid="{00000000-0006-0000-0700-000005000000}">
      <text>
        <r>
          <rPr>
            <sz val="9"/>
            <color indexed="81"/>
            <rFont val="Tahoma"/>
            <family val="2"/>
          </rPr>
          <t>Oilseed outputs (incl cotton) prices refer to avg US export prices for 2005-2015 (US Census Bureau Trade Data).</t>
        </r>
      </text>
    </comment>
    <comment ref="A40" authorId="0" shapeId="0" xr:uid="{00000000-0006-0000-0700-000006000000}">
      <text>
        <r>
          <rPr>
            <sz val="9"/>
            <color indexed="81"/>
            <rFont val="Tahoma"/>
            <family val="2"/>
          </rPr>
          <t>Process yields based on Wirsenius 2000, combined with calibration against FAOSTAT data on brans production.</t>
        </r>
      </text>
    </comment>
    <comment ref="W44" authorId="0" shapeId="0" xr:uid="{00000000-0006-0000-0700-000007000000}">
      <text>
        <r>
          <rPr>
            <sz val="9"/>
            <color indexed="81"/>
            <rFont val="Tahoma"/>
            <family val="2"/>
          </rPr>
          <t>Estimated from FAOSTAT by calibrating "food supply" in FAOSTAT against feedstock amount here (see lins 21-22 above).</t>
        </r>
      </text>
    </comment>
    <comment ref="W49" authorId="0" shapeId="0" xr:uid="{00000000-0006-0000-0700-000008000000}">
      <text>
        <r>
          <rPr>
            <sz val="9"/>
            <color indexed="81"/>
            <rFont val="Tahoma"/>
            <family val="2"/>
          </rPr>
          <t>Estimated from FAOSTAT by calibrating "food supply" in FAOSTAT against feedstock amount here (see lins 21-22 above).</t>
        </r>
      </text>
    </comment>
    <comment ref="W54" authorId="0" shapeId="0" xr:uid="{00000000-0006-0000-0700-000009000000}">
      <text>
        <r>
          <rPr>
            <sz val="9"/>
            <color indexed="81"/>
            <rFont val="Tahoma"/>
            <family val="2"/>
          </rPr>
          <t>Estimated from FAOSTAT by calibrating "food supply" in FAOSTAT against feedstock amount here (see lins 21-22 above).</t>
        </r>
      </text>
    </comment>
    <comment ref="A58" authorId="0" shapeId="0" xr:uid="{00000000-0006-0000-0700-00000A000000}">
      <text>
        <r>
          <rPr>
            <sz val="9"/>
            <color indexed="81"/>
            <rFont val="Tahoma"/>
            <family val="2"/>
          </rPr>
          <t>Process yields based on Wirsenius 2000, combined with calibration against FAOSTAT data on molasses production.</t>
        </r>
      </text>
    </comment>
    <comment ref="W63" authorId="0" shapeId="0" xr:uid="{00000000-0006-0000-0700-00000B000000}">
      <text>
        <r>
          <rPr>
            <sz val="9"/>
            <color indexed="81"/>
            <rFont val="Tahoma"/>
            <family val="2"/>
          </rPr>
          <t>Estimated from FAOSTAT by calibrating "processed" in FAOSTAT against feedstock amount here (see lins 21-22 above).</t>
        </r>
      </text>
    </comment>
    <comment ref="W68" authorId="0" shapeId="0" xr:uid="{00000000-0006-0000-0700-00000C000000}">
      <text>
        <r>
          <rPr>
            <sz val="9"/>
            <color indexed="81"/>
            <rFont val="Tahoma"/>
            <family val="2"/>
          </rPr>
          <t>Estimated from FAOSTAT by calibrating "processed" in FAOSTAT against feedstock amount here (see lins 21-22 above).</t>
        </r>
      </text>
    </comment>
    <comment ref="A74" authorId="0" shapeId="0" xr:uid="{00000000-0006-0000-0700-00000D000000}">
      <text>
        <r>
          <rPr>
            <sz val="9"/>
            <color indexed="81"/>
            <rFont val="Tahoma"/>
            <family val="2"/>
          </rPr>
          <t>Veg oil production from FAOSTAT. Process yields based on Wirsenius 2000, combined with calibration against FAOSTAT data on meals production.</t>
        </r>
      </text>
    </comment>
    <comment ref="KI82" authorId="0" shapeId="0" xr:uid="{00000000-0006-0000-0700-00000E000000}">
      <text>
        <r>
          <rPr>
            <sz val="9"/>
            <color indexed="81"/>
            <rFont val="Tahoma"/>
            <family val="2"/>
          </rPr>
          <t xml:space="preserve">Based on Schmidt 2007 in FLysjö et al 2008
</t>
        </r>
      </text>
    </comment>
    <comment ref="KC96" authorId="0" shapeId="0" xr:uid="{00000000-0006-0000-0700-00000F000000}">
      <text>
        <r>
          <rPr>
            <sz val="9"/>
            <color indexed="81"/>
            <rFont val="Tahoma"/>
            <family val="2"/>
          </rPr>
          <t>Assumed same data as for sunflower oil</t>
        </r>
      </text>
    </comment>
    <comment ref="KI96" authorId="0" shapeId="0" xr:uid="{00000000-0006-0000-0700-000010000000}">
      <text>
        <r>
          <rPr>
            <sz val="9"/>
            <color indexed="81"/>
            <rFont val="Tahoma"/>
            <family val="2"/>
          </rPr>
          <t>Assumed same data as for sunflower oil</t>
        </r>
      </text>
    </comment>
    <comment ref="A102" authorId="0" shapeId="0" xr:uid="{00000000-0006-0000-0700-000011000000}">
      <text>
        <r>
          <rPr>
            <sz val="9"/>
            <color indexed="81"/>
            <rFont val="Tahoma"/>
            <family val="2"/>
          </rPr>
          <t xml:space="preserve">Ethanol production from World Ethanol and Biofuels Report, vol. 4, no. 17 (9 May 2006)
</t>
        </r>
      </text>
    </comment>
    <comment ref="A106" authorId="0" shapeId="0" xr:uid="{00000000-0006-0000-0700-000012000000}">
      <text>
        <r>
          <rPr>
            <sz val="9"/>
            <color indexed="81"/>
            <rFont val="Tahoma"/>
            <family val="2"/>
          </rPr>
          <t xml:space="preserve">Process yields from JRC WTW vers 4a (JRC 2014)
</t>
        </r>
      </text>
    </comment>
    <comment ref="A111" authorId="0" shapeId="0" xr:uid="{00000000-0006-0000-0700-000013000000}">
      <text>
        <r>
          <rPr>
            <sz val="9"/>
            <color indexed="81"/>
            <rFont val="Tahoma"/>
            <family val="2"/>
          </rPr>
          <t xml:space="preserve">Process yields from JRC WTW vers 4a (JRC 2014)
</t>
        </r>
      </text>
    </comment>
    <comment ref="A116" authorId="0" shapeId="0" xr:uid="{00000000-0006-0000-0700-000014000000}">
      <text>
        <r>
          <rPr>
            <sz val="9"/>
            <color indexed="81"/>
            <rFont val="Tahoma"/>
            <family val="2"/>
          </rPr>
          <t xml:space="preserve">Process yields from JRC WTW vers 4a (JRC 2014)
</t>
        </r>
      </text>
    </comment>
    <comment ref="AL118" authorId="0" shapeId="0" xr:uid="{00000000-0006-0000-0700-000015000000}">
      <text>
        <r>
          <rPr>
            <sz val="9"/>
            <color indexed="81"/>
            <rFont val="Tahoma"/>
            <family val="2"/>
          </rPr>
          <t>USD per MJ electricity.</t>
        </r>
      </text>
    </comment>
    <comment ref="A121" authorId="0" shapeId="0" xr:uid="{00000000-0006-0000-0700-000016000000}">
      <text>
        <r>
          <rPr>
            <sz val="9"/>
            <color indexed="81"/>
            <rFont val="Tahoma"/>
            <family val="2"/>
          </rPr>
          <t xml:space="preserve">Based on Evans et al 2015 who assumed 375 liter per ton DM yield for Miscanthus ethanol and switchgrass ethanol. </t>
        </r>
      </text>
    </comment>
    <comment ref="A125" authorId="0" shapeId="0" xr:uid="{00000000-0006-0000-0700-000017000000}">
      <text>
        <r>
          <rPr>
            <sz val="9"/>
            <color indexed="81"/>
            <rFont val="Tahoma"/>
            <family val="2"/>
          </rPr>
          <t>Process yields based on Wirsenius 2000.</t>
        </r>
      </text>
    </comment>
    <comment ref="KC125" authorId="0" shapeId="0" xr:uid="{00000000-0006-0000-0700-000018000000}">
      <text>
        <r>
          <rPr>
            <sz val="9"/>
            <color indexed="81"/>
            <rFont val="Tahoma"/>
            <family val="2"/>
          </rPr>
          <t>Assumed same data as for wheat ethanol</t>
        </r>
      </text>
    </comment>
    <comment ref="KG125" authorId="0" shapeId="0" xr:uid="{00000000-0006-0000-0700-000019000000}">
      <text>
        <r>
          <rPr>
            <sz val="9"/>
            <color indexed="81"/>
            <rFont val="Tahoma"/>
            <family val="2"/>
          </rPr>
          <t>Assumed same data as for wheat ethanol</t>
        </r>
      </text>
    </comment>
    <comment ref="KI125" authorId="0" shapeId="0" xr:uid="{00000000-0006-0000-0700-00001A000000}">
      <text>
        <r>
          <rPr>
            <sz val="9"/>
            <color indexed="81"/>
            <rFont val="Tahoma"/>
            <family val="2"/>
          </rPr>
          <t>Assumed same data as for wheat ethanol</t>
        </r>
      </text>
    </comment>
    <comment ref="W126" authorId="0" shapeId="0" xr:uid="{00000000-0006-0000-0700-00001B000000}">
      <text>
        <r>
          <rPr>
            <sz val="9"/>
            <color indexed="81"/>
            <rFont val="Tahoma"/>
            <family val="2"/>
          </rPr>
          <t>Estimated from alocohol per-capita consumption in 2005 of 4.4 liters ("recorded" consumption) (from WHO 2011, Global status report on alcohol)</t>
        </r>
      </text>
    </comment>
    <comment ref="A152" authorId="0" shapeId="0" xr:uid="{00000000-0006-0000-0700-00001C000000}">
      <text>
        <r>
          <rPr>
            <sz val="9"/>
            <color indexed="81"/>
            <rFont val="Tahoma"/>
            <family val="2"/>
          </rPr>
          <t>Process yields based on Wirsenius 2000, combined with calibration against SPAM data on seedcotton production and FAOSTAT data on oil and meals production.</t>
        </r>
      </text>
    </comment>
    <comment ref="W153" authorId="0" shapeId="0" xr:uid="{00000000-0006-0000-0700-00001D000000}">
      <text>
        <r>
          <rPr>
            <sz val="9"/>
            <color indexed="81"/>
            <rFont val="Tahoma"/>
            <family val="2"/>
          </rPr>
          <t>From FAOSTAT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Stefan Wirsenius</author>
  </authors>
  <commentList>
    <comment ref="NT2" authorId="0" shapeId="0" xr:uid="{00000000-0006-0000-0800-000001000000}">
      <text>
        <r>
          <rPr>
            <sz val="9"/>
            <color indexed="81"/>
            <rFont val="Tahoma"/>
            <family val="2"/>
          </rPr>
          <t xml:space="preserve">Biofuel data from Edwards et al (JRC WTW vers 4a)
</t>
        </r>
      </text>
    </comment>
    <comment ref="JQ3" authorId="0" shapeId="0" xr:uid="{00000000-0006-0000-0800-000002000000}">
      <text>
        <r>
          <rPr>
            <sz val="9"/>
            <color indexed="81"/>
            <rFont val="Tahoma"/>
            <family val="2"/>
          </rPr>
          <t xml:space="preserve">Calculated from GlobAgri data in sheet "Crop/ pasture areas and products" 
</t>
        </r>
      </text>
    </comment>
    <comment ref="JZ3" authorId="0" shapeId="0" xr:uid="{00000000-0006-0000-0800-000003000000}">
      <text>
        <r>
          <rPr>
            <sz val="9"/>
            <color indexed="81"/>
            <rFont val="Tahoma"/>
            <family val="2"/>
          </rPr>
          <t xml:space="preserve">Emission and energy data from JEC WTW vers 4a (JRC 2014)
</t>
        </r>
      </text>
    </comment>
    <comment ref="AO4" authorId="0" shapeId="0" xr:uid="{00000000-0006-0000-0800-000004000000}">
      <text>
        <r>
          <rPr>
            <sz val="9"/>
            <color indexed="81"/>
            <rFont val="Tahoma"/>
            <family val="2"/>
          </rPr>
          <t xml:space="preserve">From ICCT 2012, Table 16
</t>
        </r>
      </text>
    </comment>
    <comment ref="AL7" authorId="0" shapeId="0" xr:uid="{00000000-0006-0000-0800-000005000000}">
      <text>
        <r>
          <rPr>
            <sz val="9"/>
            <color indexed="81"/>
            <rFont val="Tahoma"/>
            <family val="2"/>
          </rPr>
          <t>Oilseed outputs (incl cotton) prices refer to avg US export prices for 2005-2015 (US Census Bureau Trade Data).</t>
        </r>
      </text>
    </comment>
    <comment ref="A40" authorId="0" shapeId="0" xr:uid="{00000000-0006-0000-0800-000006000000}">
      <text>
        <r>
          <rPr>
            <sz val="9"/>
            <color indexed="81"/>
            <rFont val="Tahoma"/>
            <family val="2"/>
          </rPr>
          <t>Process yields based on Wirsenius 2000, combined with calibration against FAOSTAT data on brans production.</t>
        </r>
      </text>
    </comment>
    <comment ref="W44" authorId="0" shapeId="0" xr:uid="{00000000-0006-0000-0800-000007000000}">
      <text>
        <r>
          <rPr>
            <sz val="9"/>
            <color indexed="81"/>
            <rFont val="Tahoma"/>
            <family val="2"/>
          </rPr>
          <t>Estimated from FAOSTAT by calibrating "food supply" in FAOSTAT against feedstock amount here (see lins 21-22 above).</t>
        </r>
      </text>
    </comment>
    <comment ref="W49" authorId="0" shapeId="0" xr:uid="{00000000-0006-0000-0800-000008000000}">
      <text>
        <r>
          <rPr>
            <sz val="9"/>
            <color indexed="81"/>
            <rFont val="Tahoma"/>
            <family val="2"/>
          </rPr>
          <t>Estimated from FAOSTAT by calibrating "food supply" in FAOSTAT against feedstock amount here (see lins 21-22 above).</t>
        </r>
      </text>
    </comment>
    <comment ref="W54" authorId="0" shapeId="0" xr:uid="{00000000-0006-0000-0800-000009000000}">
      <text>
        <r>
          <rPr>
            <sz val="9"/>
            <color indexed="81"/>
            <rFont val="Tahoma"/>
            <family val="2"/>
          </rPr>
          <t>Estimated from FAOSTAT by calibrating "food supply" in FAOSTAT against feedstock amount here (see lins 21-22 above).</t>
        </r>
      </text>
    </comment>
    <comment ref="A58" authorId="0" shapeId="0" xr:uid="{00000000-0006-0000-0800-00000A000000}">
      <text>
        <r>
          <rPr>
            <sz val="9"/>
            <color indexed="81"/>
            <rFont val="Tahoma"/>
            <family val="2"/>
          </rPr>
          <t>Process yields based on Wirsenius 2000, combined with calibration against FAOSTAT data on molasses production.</t>
        </r>
      </text>
    </comment>
    <comment ref="W63" authorId="0" shapeId="0" xr:uid="{00000000-0006-0000-0800-00000B000000}">
      <text>
        <r>
          <rPr>
            <sz val="9"/>
            <color indexed="81"/>
            <rFont val="Tahoma"/>
            <family val="2"/>
          </rPr>
          <t>Estimated from FAOSTAT by calibrating "processed" in FAOSTAT against feedstock amount here (see lins 21-22 above).</t>
        </r>
      </text>
    </comment>
    <comment ref="W68" authorId="0" shapeId="0" xr:uid="{00000000-0006-0000-0800-00000C000000}">
      <text>
        <r>
          <rPr>
            <sz val="9"/>
            <color indexed="81"/>
            <rFont val="Tahoma"/>
            <family val="2"/>
          </rPr>
          <t>Estimated from FAOSTAT by calibrating "processed" in FAOSTAT against feedstock amount here (see lins 21-22 above).</t>
        </r>
      </text>
    </comment>
    <comment ref="A74" authorId="0" shapeId="0" xr:uid="{00000000-0006-0000-0800-00000D000000}">
      <text>
        <r>
          <rPr>
            <sz val="9"/>
            <color indexed="81"/>
            <rFont val="Tahoma"/>
            <family val="2"/>
          </rPr>
          <t>Veg oil production from FAOSTAT. Process yields based on Wirsenius 2000, combined with calibration against FAOSTAT data on meals production.</t>
        </r>
      </text>
    </comment>
    <comment ref="KI82" authorId="0" shapeId="0" xr:uid="{00000000-0006-0000-0800-00000E000000}">
      <text>
        <r>
          <rPr>
            <sz val="9"/>
            <color indexed="81"/>
            <rFont val="Tahoma"/>
            <family val="2"/>
          </rPr>
          <t xml:space="preserve">Based on Schmidt 2007 in FLysjö et al 2008
</t>
        </r>
      </text>
    </comment>
    <comment ref="KC96" authorId="0" shapeId="0" xr:uid="{00000000-0006-0000-0800-00000F000000}">
      <text>
        <r>
          <rPr>
            <sz val="9"/>
            <color indexed="81"/>
            <rFont val="Tahoma"/>
            <family val="2"/>
          </rPr>
          <t>Assumed same data as for sunflower oil</t>
        </r>
      </text>
    </comment>
    <comment ref="KI96" authorId="0" shapeId="0" xr:uid="{00000000-0006-0000-0800-000010000000}">
      <text>
        <r>
          <rPr>
            <sz val="9"/>
            <color indexed="81"/>
            <rFont val="Tahoma"/>
            <family val="2"/>
          </rPr>
          <t>Assumed same data as for sunflower oil</t>
        </r>
      </text>
    </comment>
    <comment ref="A102" authorId="0" shapeId="0" xr:uid="{00000000-0006-0000-0800-000011000000}">
      <text>
        <r>
          <rPr>
            <sz val="9"/>
            <color indexed="81"/>
            <rFont val="Tahoma"/>
            <family val="2"/>
          </rPr>
          <t xml:space="preserve">Ethanol production from World Ethanol and Biofuels Report, vol. 4, no. 17 (9 May 2006)
</t>
        </r>
      </text>
    </comment>
    <comment ref="A106" authorId="0" shapeId="0" xr:uid="{00000000-0006-0000-0800-000012000000}">
      <text>
        <r>
          <rPr>
            <sz val="9"/>
            <color indexed="81"/>
            <rFont val="Tahoma"/>
            <family val="2"/>
          </rPr>
          <t xml:space="preserve">Process yields from JRC WTW vers 4a (JRC 2014)
</t>
        </r>
      </text>
    </comment>
    <comment ref="A111" authorId="0" shapeId="0" xr:uid="{00000000-0006-0000-0800-000013000000}">
      <text>
        <r>
          <rPr>
            <sz val="9"/>
            <color indexed="81"/>
            <rFont val="Tahoma"/>
            <family val="2"/>
          </rPr>
          <t xml:space="preserve">Process yields from JRC WTW vers 4a (JRC 2014)
</t>
        </r>
      </text>
    </comment>
    <comment ref="A116" authorId="0" shapeId="0" xr:uid="{00000000-0006-0000-0800-000014000000}">
      <text>
        <r>
          <rPr>
            <sz val="9"/>
            <color indexed="81"/>
            <rFont val="Tahoma"/>
            <family val="2"/>
          </rPr>
          <t xml:space="preserve">Process yields from JRC WTW vers 4a (JRC 2014)
</t>
        </r>
      </text>
    </comment>
    <comment ref="AL118" authorId="0" shapeId="0" xr:uid="{00000000-0006-0000-0800-000015000000}">
      <text>
        <r>
          <rPr>
            <sz val="9"/>
            <color indexed="81"/>
            <rFont val="Tahoma"/>
            <family val="2"/>
          </rPr>
          <t>USD per MJ electricity.</t>
        </r>
      </text>
    </comment>
    <comment ref="A121" authorId="0" shapeId="0" xr:uid="{00000000-0006-0000-0800-000016000000}">
      <text>
        <r>
          <rPr>
            <sz val="9"/>
            <color indexed="81"/>
            <rFont val="Tahoma"/>
            <family val="2"/>
          </rPr>
          <t xml:space="preserve">Based on Evans et al 2015 who assumed 375 liter per ton DM yield for Miscanthus ethanol and switchgrass ethanol. </t>
        </r>
      </text>
    </comment>
    <comment ref="A125" authorId="0" shapeId="0" xr:uid="{00000000-0006-0000-0800-000017000000}">
      <text>
        <r>
          <rPr>
            <sz val="9"/>
            <color indexed="81"/>
            <rFont val="Tahoma"/>
            <family val="2"/>
          </rPr>
          <t>Process yields based on Wirsenius 2000.</t>
        </r>
      </text>
    </comment>
    <comment ref="KC125" authorId="0" shapeId="0" xr:uid="{00000000-0006-0000-0800-000018000000}">
      <text>
        <r>
          <rPr>
            <sz val="9"/>
            <color indexed="81"/>
            <rFont val="Tahoma"/>
            <family val="2"/>
          </rPr>
          <t>Assumed same data as for wheat ethanol</t>
        </r>
      </text>
    </comment>
    <comment ref="KG125" authorId="0" shapeId="0" xr:uid="{00000000-0006-0000-0800-000019000000}">
      <text>
        <r>
          <rPr>
            <sz val="9"/>
            <color indexed="81"/>
            <rFont val="Tahoma"/>
            <family val="2"/>
          </rPr>
          <t>Assumed same data as for wheat ethanol</t>
        </r>
      </text>
    </comment>
    <comment ref="KI125" authorId="0" shapeId="0" xr:uid="{00000000-0006-0000-0800-00001A000000}">
      <text>
        <r>
          <rPr>
            <sz val="9"/>
            <color indexed="81"/>
            <rFont val="Tahoma"/>
            <family val="2"/>
          </rPr>
          <t>Assumed same data as for wheat ethanol</t>
        </r>
      </text>
    </comment>
    <comment ref="W126" authorId="0" shapeId="0" xr:uid="{00000000-0006-0000-0800-00001B000000}">
      <text>
        <r>
          <rPr>
            <sz val="9"/>
            <color indexed="81"/>
            <rFont val="Tahoma"/>
            <family val="2"/>
          </rPr>
          <t>Estimated from alocohol per-capita consumption in 2005 of 4.4 liters ("recorded" consumption) (from WHO 2011, Global status report on alcohol)</t>
        </r>
      </text>
    </comment>
    <comment ref="A152" authorId="0" shapeId="0" xr:uid="{00000000-0006-0000-0800-00001C000000}">
      <text>
        <r>
          <rPr>
            <sz val="9"/>
            <color indexed="81"/>
            <rFont val="Tahoma"/>
            <family val="2"/>
          </rPr>
          <t>Process yields based on Wirsenius 2000, combined with calibration against SPAM data on seedcotton production and FAOSTAT data on oil and meals production.</t>
        </r>
      </text>
    </comment>
    <comment ref="W153" authorId="0" shapeId="0" xr:uid="{00000000-0006-0000-0800-00001D000000}">
      <text>
        <r>
          <rPr>
            <sz val="9"/>
            <color indexed="81"/>
            <rFont val="Tahoma"/>
            <family val="2"/>
          </rPr>
          <t>From FAOSTAT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Stefan Wirsenius</author>
  </authors>
  <commentList>
    <comment ref="H2" authorId="0" shapeId="0" xr:uid="{00000000-0006-0000-0900-000001000000}">
      <text>
        <r>
          <rPr>
            <sz val="9"/>
            <color indexed="81"/>
            <rFont val="Tahoma"/>
            <family val="2"/>
          </rPr>
          <t>Rough estimate based on Herrero et al 2013, Wirsenius 2000 and Bouwman et al 2005 under the constraint of FAOSTAT data on forage production and on feed use for the categories cereals, starchy roots, oil crops/pulses, brans, molasses and oil meals. Share permanent pasture mainly based on Herrero et al 2013, and "other by-products" on Wirsenius 2000. Total feed use is above Herrero et al (4.6 Pg DM/yr) but well below Gerber et al 2013 (6.1 Pg DM/yr)</t>
        </r>
      </text>
    </comment>
    <comment ref="EN2" authorId="0" shapeId="0" xr:uid="{00000000-0006-0000-0900-000002000000}">
      <text>
        <r>
          <rPr>
            <sz val="9"/>
            <color indexed="81"/>
            <rFont val="Tahoma"/>
            <family val="2"/>
          </rPr>
          <t xml:space="preserve">Based mainly on Opio et al 2013, McLeod et al 2013a-b, and Gerber et al 2013.
</t>
        </r>
      </text>
    </comment>
    <comment ref="DB3" authorId="0" shapeId="0" xr:uid="{00000000-0006-0000-0900-000003000000}">
      <text>
        <r>
          <rPr>
            <sz val="9"/>
            <color indexed="81"/>
            <rFont val="Tahoma"/>
            <family val="2"/>
          </rPr>
          <t>Production from FAOSTAT (for year 2005). Ruminant meat production in dairy and meat sub-systems estimated using same proportions as in Herrero et al 2013.</t>
        </r>
      </text>
    </comment>
    <comment ref="DF3" authorId="0" shapeId="0" xr:uid="{00000000-0006-0000-0900-000004000000}">
      <text>
        <r>
          <rPr>
            <sz val="9"/>
            <color indexed="81"/>
            <rFont val="Tahoma"/>
            <family val="2"/>
          </rPr>
          <t xml:space="preserve">Production from FAOSTAT
</t>
        </r>
      </text>
    </comment>
    <comment ref="FA3" authorId="0" shapeId="0" xr:uid="{00000000-0006-0000-0900-000005000000}">
      <text>
        <r>
          <rPr>
            <sz val="9"/>
            <color indexed="81"/>
            <rFont val="Tahoma"/>
            <family val="2"/>
          </rPr>
          <t>Calculated from GlobAgri data in sheet "Crop/pasture areas and products"</t>
        </r>
      </text>
    </comment>
    <comment ref="FO4" authorId="0" shapeId="0" xr:uid="{00000000-0006-0000-0900-000006000000}">
      <text>
        <r>
          <rPr>
            <sz val="9"/>
            <color indexed="81"/>
            <rFont val="Tahoma"/>
            <family val="2"/>
          </rPr>
          <t xml:space="preserve">Calculated as a fraction of feed intake. Methane factor from IPCC 2006
</t>
        </r>
      </text>
    </comment>
    <comment ref="K5" authorId="0" shapeId="0" xr:uid="{00000000-0006-0000-0900-000007000000}">
      <text>
        <r>
          <rPr>
            <sz val="9"/>
            <color indexed="81"/>
            <rFont val="Tahoma"/>
            <family val="2"/>
          </rPr>
          <t xml:space="preserve">Share within category as in FAOSTAT
</t>
        </r>
      </text>
    </comment>
    <comment ref="O5" authorId="0" shapeId="0" xr:uid="{00000000-0006-0000-0900-000008000000}">
      <text>
        <r>
          <rPr>
            <sz val="9"/>
            <color indexed="81"/>
            <rFont val="Tahoma"/>
            <family val="2"/>
          </rPr>
          <t xml:space="preserve">Share within category as in FAOSTAT
</t>
        </r>
      </text>
    </comment>
    <comment ref="AV5" authorId="0" shapeId="0" xr:uid="{00000000-0006-0000-0900-000009000000}">
      <text>
        <r>
          <rPr>
            <sz val="9"/>
            <color indexed="81"/>
            <rFont val="Tahoma"/>
            <family val="2"/>
          </rPr>
          <t xml:space="preserve">Based on McLeod et al 2013 (monogastrics), and Herrero et al 2013 and Wirsenius et al 2010 (ruminants)
</t>
        </r>
      </text>
    </comment>
    <comment ref="DL7" authorId="0" shapeId="0" xr:uid="{00000000-0006-0000-0900-00000A000000}">
      <text>
        <r>
          <rPr>
            <sz val="9"/>
            <color indexed="81"/>
            <rFont val="Tahoma"/>
            <family val="2"/>
          </rPr>
          <t xml:space="preserve">Calculated assuming that the value of meat protein is three times that of milk protein (based on price data in ALBIO)
</t>
        </r>
      </text>
    </comment>
    <comment ref="A25" authorId="0" shapeId="0" xr:uid="{00000000-0006-0000-0900-00000B000000}">
      <text>
        <r>
          <rPr>
            <sz val="9"/>
            <color indexed="81"/>
            <rFont val="Tahoma"/>
            <family val="2"/>
          </rPr>
          <t xml:space="preserve">Losses in forage conservation based on Wirsenius 2000.
</t>
        </r>
      </text>
    </comment>
    <comment ref="AU87" authorId="0" shapeId="0" xr:uid="{00000000-0006-0000-0900-00000C000000}">
      <text>
        <r>
          <rPr>
            <sz val="9"/>
            <color indexed="81"/>
            <rFont val="Tahoma"/>
            <family val="2"/>
          </rPr>
          <t xml:space="preserve">Food residues etc. Compare Wirsenius 2000 estimate at 13% (in 1993) for food residues only.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Stefan Wirsenius</author>
  </authors>
  <commentList>
    <comment ref="H2" authorId="0" shapeId="0" xr:uid="{00000000-0006-0000-0A00-000001000000}">
      <text>
        <r>
          <rPr>
            <sz val="9"/>
            <color indexed="81"/>
            <rFont val="Tahoma"/>
            <family val="2"/>
          </rPr>
          <t>Rough estimate based on Herrero et al 2013, Wirsenius 2000 and Bouwman et al 2005 under the constraint of FAOSTAT data on forage production and on feed use for the categories cereals, starchy roots, oil crops/pulses, brans, molasses and oil meals. Share permanent pasture mainly based on Herrero et al 2013, and "other by-products" on Wirsenius 2000. Total feed use is above Herrero et al (4.6 Pg DM/yr) but well below Gerber et al 2013 (6.1 Pg DM/yr)</t>
        </r>
      </text>
    </comment>
    <comment ref="EN2" authorId="0" shapeId="0" xr:uid="{00000000-0006-0000-0A00-000002000000}">
      <text>
        <r>
          <rPr>
            <sz val="9"/>
            <color indexed="81"/>
            <rFont val="Tahoma"/>
            <family val="2"/>
          </rPr>
          <t xml:space="preserve">Based mainly on Opio et al 2013, McLeod et al 2013a-b, and Gerber et al 2013.
</t>
        </r>
      </text>
    </comment>
    <comment ref="DB3" authorId="0" shapeId="0" xr:uid="{00000000-0006-0000-0A00-000003000000}">
      <text>
        <r>
          <rPr>
            <sz val="9"/>
            <color indexed="81"/>
            <rFont val="Tahoma"/>
            <family val="2"/>
          </rPr>
          <t>Production from FAOSTAT (for year 2005). Ruminant meat production in dairy and meat sub-systems estimated using same proportions as in Herrero et al 2013.</t>
        </r>
      </text>
    </comment>
    <comment ref="DF3" authorId="0" shapeId="0" xr:uid="{00000000-0006-0000-0A00-000004000000}">
      <text>
        <r>
          <rPr>
            <sz val="9"/>
            <color indexed="81"/>
            <rFont val="Tahoma"/>
            <family val="2"/>
          </rPr>
          <t xml:space="preserve">Production from FAOSTAT
</t>
        </r>
      </text>
    </comment>
    <comment ref="FA3" authorId="0" shapeId="0" xr:uid="{00000000-0006-0000-0A00-000005000000}">
      <text>
        <r>
          <rPr>
            <sz val="9"/>
            <color indexed="81"/>
            <rFont val="Tahoma"/>
            <family val="2"/>
          </rPr>
          <t>Calculated from GlobAgri data in sheet "Crop/pasture areas and products"</t>
        </r>
      </text>
    </comment>
    <comment ref="FO4" authorId="0" shapeId="0" xr:uid="{00000000-0006-0000-0A00-000006000000}">
      <text>
        <r>
          <rPr>
            <sz val="9"/>
            <color indexed="81"/>
            <rFont val="Tahoma"/>
            <family val="2"/>
          </rPr>
          <t xml:space="preserve">Calculated as a fraction of feed intake. Methane factor from IPCC 2006
</t>
        </r>
      </text>
    </comment>
    <comment ref="K5" authorId="0" shapeId="0" xr:uid="{00000000-0006-0000-0A00-000007000000}">
      <text>
        <r>
          <rPr>
            <sz val="9"/>
            <color indexed="81"/>
            <rFont val="Tahoma"/>
            <family val="2"/>
          </rPr>
          <t xml:space="preserve">Share within category as in FAOSTAT
</t>
        </r>
      </text>
    </comment>
    <comment ref="O5" authorId="0" shapeId="0" xr:uid="{00000000-0006-0000-0A00-000008000000}">
      <text>
        <r>
          <rPr>
            <sz val="9"/>
            <color indexed="81"/>
            <rFont val="Tahoma"/>
            <family val="2"/>
          </rPr>
          <t xml:space="preserve">Share within category as in FAOSTAT
</t>
        </r>
      </text>
    </comment>
    <comment ref="AV5" authorId="0" shapeId="0" xr:uid="{00000000-0006-0000-0A00-000009000000}">
      <text>
        <r>
          <rPr>
            <sz val="9"/>
            <color indexed="81"/>
            <rFont val="Tahoma"/>
            <family val="2"/>
          </rPr>
          <t xml:space="preserve">Based on McLeod et al 2013 (monogastrics), and Herrero et al 2013 and Wirsenius et al 2010 (ruminants)
</t>
        </r>
      </text>
    </comment>
    <comment ref="DL7" authorId="0" shapeId="0" xr:uid="{00000000-0006-0000-0A00-00000A000000}">
      <text>
        <r>
          <rPr>
            <sz val="9"/>
            <color indexed="81"/>
            <rFont val="Tahoma"/>
            <family val="2"/>
          </rPr>
          <t xml:space="preserve">Calculated assuming that the value of meat protein is three times that of milk protein (based on price data in ALBIO)
</t>
        </r>
      </text>
    </comment>
    <comment ref="A25" authorId="0" shapeId="0" xr:uid="{00000000-0006-0000-0A00-00000B000000}">
      <text>
        <r>
          <rPr>
            <sz val="9"/>
            <color indexed="81"/>
            <rFont val="Tahoma"/>
            <family val="2"/>
          </rPr>
          <t xml:space="preserve">Losses in forage conservation based on Wirsenius 2000.
</t>
        </r>
      </text>
    </comment>
    <comment ref="AU87" authorId="0" shapeId="0" xr:uid="{00000000-0006-0000-0A00-00000C000000}">
      <text>
        <r>
          <rPr>
            <sz val="9"/>
            <color indexed="81"/>
            <rFont val="Tahoma"/>
            <family val="2"/>
          </rPr>
          <t xml:space="preserve">Food residues etc. Compare Wirsenius 2000 estimate at 13% (in 1993) for food residues only.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Stefan Wirsenius</author>
  </authors>
  <commentList>
    <comment ref="B10" authorId="0" shapeId="0" xr:uid="{00000000-0006-0000-0D00-000001000000}">
      <text>
        <r>
          <rPr>
            <sz val="9"/>
            <color indexed="81"/>
            <rFont val="Tahoma"/>
            <family val="2"/>
          </rPr>
          <t>USDA NASS</t>
        </r>
      </text>
    </comment>
    <comment ref="D10" authorId="0" shapeId="0" xr:uid="{00000000-0006-0000-0D00-000002000000}">
      <text>
        <r>
          <rPr>
            <sz val="9"/>
            <color indexed="81"/>
            <rFont val="Tahoma"/>
            <family val="2"/>
          </rPr>
          <t xml:space="preserve">From JRC WTW vers 4a (JRC 2014)
</t>
        </r>
      </text>
    </comment>
    <comment ref="E10" authorId="0" shapeId="0" xr:uid="{00000000-0006-0000-0D00-000003000000}">
      <text>
        <r>
          <rPr>
            <sz val="9"/>
            <color indexed="81"/>
            <rFont val="Tahoma"/>
            <family val="2"/>
          </rPr>
          <t xml:space="preserve">Estimated from JRC WTW vers 4a (JRC 2014)
</t>
        </r>
      </text>
    </comment>
    <comment ref="F11" authorId="0" shapeId="0" xr:uid="{00000000-0006-0000-0D00-000004000000}">
      <text>
        <r>
          <rPr>
            <sz val="9"/>
            <color indexed="81"/>
            <rFont val="Tahoma"/>
            <family val="2"/>
          </rPr>
          <t xml:space="preserve">Assuming a marginal N fertilizer requirement of 0.125 kg N per kg of maize (Searchinger 20xx), 1.45% N2O-N EF for fertilizer application including "indirect" emissions (IPCC 2006), and fertilizer production emissions of 5 kg CO2 eq per kg of N (Bryngelsson et al 2016).
</t>
        </r>
      </text>
    </comment>
    <comment ref="B15" authorId="0" shapeId="0" xr:uid="{00000000-0006-0000-0D00-000005000000}">
      <text>
        <r>
          <rPr>
            <sz val="9"/>
            <color indexed="81"/>
            <rFont val="Tahoma"/>
            <family val="2"/>
          </rPr>
          <t>Fischer et al 2014 p 216</t>
        </r>
      </text>
    </comment>
    <comment ref="D15" authorId="0" shapeId="0" xr:uid="{00000000-0006-0000-0D00-000006000000}">
      <text>
        <r>
          <rPr>
            <sz val="9"/>
            <color indexed="81"/>
            <rFont val="Tahoma"/>
            <family val="2"/>
          </rPr>
          <t>ALBIO model data (Bryngelsson et al  2016)</t>
        </r>
      </text>
    </comment>
    <comment ref="B16" authorId="0" shapeId="0" xr:uid="{00000000-0006-0000-0D00-000007000000}">
      <text>
        <r>
          <rPr>
            <sz val="9"/>
            <color indexed="81"/>
            <rFont val="Tahoma"/>
            <family val="2"/>
          </rPr>
          <t>Fischer et al 2014 p 221</t>
        </r>
      </text>
    </comment>
    <comment ref="D16" authorId="0" shapeId="0" xr:uid="{00000000-0006-0000-0D00-000008000000}">
      <text>
        <r>
          <rPr>
            <sz val="9"/>
            <color indexed="81"/>
            <rFont val="Tahoma"/>
            <family val="2"/>
          </rPr>
          <t>ALBIO model data (Bryngelsson et al  2016)</t>
        </r>
      </text>
    </comment>
    <comment ref="B20" authorId="0" shapeId="0" xr:uid="{00000000-0006-0000-0D00-000009000000}">
      <text>
        <r>
          <rPr>
            <sz val="9"/>
            <color indexed="81"/>
            <rFont val="Tahoma"/>
            <family val="2"/>
          </rPr>
          <t>Global average for "rainfed" in main data set</t>
        </r>
      </text>
    </comment>
    <comment ref="D20" authorId="0" shapeId="0" xr:uid="{00000000-0006-0000-0D00-00000A000000}">
      <text>
        <r>
          <rPr>
            <sz val="9"/>
            <color indexed="81"/>
            <rFont val="Tahoma"/>
            <family val="2"/>
          </rPr>
          <t>Estimated from Bryngelsson et al 2016</t>
        </r>
      </text>
    </comment>
    <comment ref="Q20" authorId="0" shapeId="0" xr:uid="{00000000-0006-0000-0D00-00000B000000}">
      <text>
        <r>
          <rPr>
            <sz val="9"/>
            <color indexed="81"/>
            <rFont val="Tahoma"/>
            <family val="2"/>
          </rPr>
          <t>Global average in main data set</t>
        </r>
      </text>
    </comment>
    <comment ref="B21" authorId="0" shapeId="0" xr:uid="{00000000-0006-0000-0D00-00000C000000}">
      <text>
        <r>
          <rPr>
            <sz val="9"/>
            <color indexed="81"/>
            <rFont val="Tahoma"/>
            <family val="2"/>
          </rPr>
          <t>Global average for "irrigated" in main data set</t>
        </r>
      </text>
    </comment>
    <comment ref="D21" authorId="0" shapeId="0" xr:uid="{00000000-0006-0000-0D00-00000D000000}">
      <text>
        <r>
          <rPr>
            <sz val="9"/>
            <color indexed="81"/>
            <rFont val="Tahoma"/>
            <family val="2"/>
          </rPr>
          <t>Estimated from Bryngelsson et al 2016</t>
        </r>
      </text>
    </comment>
    <comment ref="Q21" authorId="0" shapeId="0" xr:uid="{00000000-0006-0000-0D00-00000E000000}">
      <text>
        <r>
          <rPr>
            <sz val="9"/>
            <color indexed="81"/>
            <rFont val="Tahoma"/>
            <family val="2"/>
          </rPr>
          <t>Global average in main data set</t>
        </r>
      </text>
    </comment>
    <comment ref="B25" authorId="0" shapeId="0" xr:uid="{00000000-0006-0000-0D00-00000F000000}">
      <text>
        <r>
          <rPr>
            <sz val="9"/>
            <color indexed="81"/>
            <rFont val="Tahoma"/>
            <family val="2"/>
          </rPr>
          <t>Swedish Board of Agriculture (2016), JO 14 SM 1601.</t>
        </r>
      </text>
    </comment>
    <comment ref="D25" authorId="0" shapeId="0" xr:uid="{00000000-0006-0000-0D00-000010000000}">
      <text>
        <r>
          <rPr>
            <sz val="9"/>
            <color indexed="81"/>
            <rFont val="Tahoma"/>
            <family val="2"/>
          </rPr>
          <t>From Flysjö et al 2008.</t>
        </r>
      </text>
    </comment>
    <comment ref="Q25" authorId="0" shapeId="0" xr:uid="{00000000-0006-0000-0D00-000011000000}">
      <text>
        <r>
          <rPr>
            <sz val="9"/>
            <color indexed="81"/>
            <rFont val="Tahoma"/>
            <family val="2"/>
          </rPr>
          <t xml:space="preserve">Refers to C seq in </t>
        </r>
        <r>
          <rPr>
            <u/>
            <sz val="9"/>
            <color indexed="81"/>
            <rFont val="Tahoma"/>
            <family val="2"/>
          </rPr>
          <t>tree biomass</t>
        </r>
        <r>
          <rPr>
            <sz val="9"/>
            <color indexed="81"/>
            <rFont val="Tahoma"/>
            <family val="2"/>
          </rPr>
          <t xml:space="preserve"> for average forest land in Southern Sweden. Additional C seq in soils not accounted for. Calculated using a C content of 0.21 tC/m3 (Swedish Forest Agency 2014), and stem- to-whole-tree biomass ratio of 0.55 (Lind 2001), and a forest stand productivity of 7.4 m3 (avg for Götaland adn Svealand; Swedish Forest Agency 2014 Table 3.6c). </t>
        </r>
      </text>
    </comment>
    <comment ref="B26" authorId="0" shapeId="0" xr:uid="{00000000-0006-0000-0D00-000012000000}">
      <text>
        <r>
          <rPr>
            <sz val="9"/>
            <color indexed="81"/>
            <rFont val="Tahoma"/>
            <family val="2"/>
          </rPr>
          <t>Swedish Board of Agriculture (2016), JO 14 SM 1601.</t>
        </r>
      </text>
    </comment>
    <comment ref="D26" authorId="0" shapeId="0" xr:uid="{00000000-0006-0000-0D00-000013000000}">
      <text>
        <r>
          <rPr>
            <sz val="9"/>
            <color indexed="81"/>
            <rFont val="Tahoma"/>
            <family val="2"/>
          </rPr>
          <t>Assuming N input by manure instead of fertilizer. ALBIO model data (Bryngelsson et al  2016)</t>
        </r>
      </text>
    </comment>
    <comment ref="B33" authorId="0" shapeId="0" xr:uid="{00000000-0006-0000-0D00-000014000000}">
      <text>
        <r>
          <rPr>
            <sz val="9"/>
            <color indexed="81"/>
            <rFont val="Tahoma"/>
            <family val="2"/>
          </rPr>
          <t>USDA NASS</t>
        </r>
      </text>
    </comment>
    <comment ref="D33" authorId="0" shapeId="0" xr:uid="{00000000-0006-0000-0D00-000015000000}">
      <text>
        <r>
          <rPr>
            <sz val="9"/>
            <color indexed="81"/>
            <rFont val="Tahoma"/>
            <family val="2"/>
          </rPr>
          <t xml:space="preserve">From JRC WTW vers 4a (JRC 2014)
</t>
        </r>
      </text>
    </comment>
    <comment ref="B39" authorId="0" shapeId="0" xr:uid="{00000000-0006-0000-0D00-000016000000}">
      <text>
        <r>
          <rPr>
            <sz val="9"/>
            <color indexed="81"/>
            <rFont val="Tahoma"/>
            <family val="2"/>
          </rPr>
          <t>FAOSTAT</t>
        </r>
      </text>
    </comment>
    <comment ref="D39" authorId="0" shapeId="0" xr:uid="{00000000-0006-0000-0D00-000017000000}">
      <text>
        <r>
          <rPr>
            <sz val="9"/>
            <color indexed="81"/>
            <rFont val="Tahoma"/>
            <family val="2"/>
          </rPr>
          <t>From Flysjö et al 2008. Stated number on CO2 from "land transformation" deducted.</t>
        </r>
      </text>
    </comment>
    <comment ref="B42" authorId="0" shapeId="0" xr:uid="{00000000-0006-0000-0D00-000018000000}">
      <text>
        <r>
          <rPr>
            <sz val="9"/>
            <color indexed="81"/>
            <rFont val="Tahoma"/>
            <family val="2"/>
          </rPr>
          <t>Swedish Board of Agriculture (2016), JO 14 SM 1601.</t>
        </r>
      </text>
    </comment>
    <comment ref="D42" authorId="0" shapeId="0" xr:uid="{00000000-0006-0000-0D00-000019000000}">
      <text>
        <r>
          <rPr>
            <sz val="9"/>
            <color indexed="81"/>
            <rFont val="Tahoma"/>
            <family val="2"/>
          </rPr>
          <t>From Flysjö et al 2008.</t>
        </r>
      </text>
    </comment>
    <comment ref="Q42" authorId="0" shapeId="0" xr:uid="{00000000-0006-0000-0D00-00001A000000}">
      <text>
        <r>
          <rPr>
            <sz val="9"/>
            <color indexed="81"/>
            <rFont val="Tahoma"/>
            <family val="2"/>
          </rPr>
          <t xml:space="preserve">Refers to C seq in </t>
        </r>
        <r>
          <rPr>
            <u/>
            <sz val="9"/>
            <color indexed="81"/>
            <rFont val="Tahoma"/>
            <family val="2"/>
          </rPr>
          <t>tree biomass</t>
        </r>
        <r>
          <rPr>
            <sz val="9"/>
            <color indexed="81"/>
            <rFont val="Tahoma"/>
            <family val="2"/>
          </rPr>
          <t xml:space="preserve"> for average forest land in Southern Sweden. Additional C seq in soils not accounted for. Calculated using a C content of 0.21 tC/m3 (Swedish Forest Agency 2014), and stem- to-whole-tree biomass ratio of 0.55 (Lind 2001), and a forest stand productivity of 7.4 m3 (avg for Götaland adn Svealand; Swedish Forest Agency 2014 Table 3.6c). </t>
        </r>
      </text>
    </comment>
    <comment ref="B43" authorId="0" shapeId="0" xr:uid="{00000000-0006-0000-0D00-00001B000000}">
      <text>
        <r>
          <rPr>
            <sz val="9"/>
            <color indexed="81"/>
            <rFont val="Tahoma"/>
            <family val="2"/>
          </rPr>
          <t>Swedish Board of Agriculture (2016), JO 14 SM 1601.</t>
        </r>
      </text>
    </comment>
    <comment ref="D43" authorId="0" shapeId="0" xr:uid="{00000000-0006-0000-0D00-00001C000000}">
      <text>
        <r>
          <rPr>
            <sz val="9"/>
            <color indexed="81"/>
            <rFont val="Tahoma"/>
            <family val="2"/>
          </rPr>
          <t>No data available. Same number as for conventional (Flysjö et al 2008) assumed, since no N fertilizer is used in conventional production.</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Stefan Wirsenius</author>
  </authors>
  <commentList>
    <comment ref="B28" authorId="0" shapeId="0" xr:uid="{00000000-0006-0000-0E00-000001000000}">
      <text>
        <r>
          <rPr>
            <sz val="9"/>
            <color indexed="81"/>
            <rFont val="Tahoma"/>
            <family val="2"/>
          </rPr>
          <t>Assuming Cardoso et al "Scenario 1" performance</t>
        </r>
      </text>
    </comment>
    <comment ref="E28" authorId="0" shapeId="0" xr:uid="{00000000-0006-0000-0E00-000002000000}">
      <text>
        <r>
          <rPr>
            <sz val="9"/>
            <color indexed="81"/>
            <rFont val="Tahoma"/>
            <family val="2"/>
          </rPr>
          <t>Assuming Cardoso et al "Scenario 1" performance</t>
        </r>
      </text>
    </comment>
    <comment ref="P28" authorId="0" shapeId="0" xr:uid="{00000000-0006-0000-0E00-000003000000}">
      <text>
        <r>
          <rPr>
            <sz val="9"/>
            <color indexed="81"/>
            <rFont val="Tahoma"/>
            <family val="2"/>
          </rPr>
          <t>Based on Poorter et al 2016</t>
        </r>
      </text>
    </comment>
    <comment ref="P36" authorId="0" shapeId="0" xr:uid="{00000000-0006-0000-0E00-000004000000}">
      <text>
        <r>
          <rPr>
            <sz val="9"/>
            <color indexed="81"/>
            <rFont val="Tahoma"/>
            <family val="2"/>
          </rPr>
          <t xml:space="preserve">Refers to C seq in </t>
        </r>
        <r>
          <rPr>
            <u/>
            <sz val="9"/>
            <color indexed="81"/>
            <rFont val="Tahoma"/>
            <family val="2"/>
          </rPr>
          <t>tree biomass</t>
        </r>
        <r>
          <rPr>
            <sz val="9"/>
            <color indexed="81"/>
            <rFont val="Tahoma"/>
            <family val="2"/>
          </rPr>
          <t xml:space="preserve"> for average forest land in Southern Sweden. Additional C seq in soils not accounted for. Calculated using a C content of 0.21 tC/m3 (Swedish Forest Agency 2014), and stem- to-whole-tree biomass ratio of 0.55 (Lind 2001), and a forest stand productivity of 7.4 m3 (avg for Götaland adn Svealand; Swedish Forest Agency 2014 Table 3.6c).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Stefan Wirsenius</author>
  </authors>
  <commentList>
    <comment ref="B10" authorId="0" shapeId="0" xr:uid="{00000000-0006-0000-0F00-000001000000}">
      <text>
        <r>
          <rPr>
            <sz val="9"/>
            <color indexed="81"/>
            <rFont val="Tahoma"/>
            <family val="2"/>
          </rPr>
          <t>FAOSTAT</t>
        </r>
      </text>
    </comment>
    <comment ref="B15" authorId="0" shapeId="0" xr:uid="{00000000-0006-0000-0F00-000002000000}">
      <text>
        <r>
          <rPr>
            <sz val="9"/>
            <color indexed="81"/>
            <rFont val="Tahoma"/>
            <family val="2"/>
          </rPr>
          <t>USDA NASS</t>
        </r>
      </text>
    </comment>
    <comment ref="AC16" authorId="0" shapeId="0" xr:uid="{00000000-0006-0000-0F00-000003000000}">
      <text>
        <r>
          <rPr>
            <sz val="9"/>
            <color indexed="81"/>
            <rFont val="Tahoma"/>
            <family val="2"/>
          </rPr>
          <t>Economic allocation. From main global data set.</t>
        </r>
      </text>
    </comment>
    <comment ref="B31" authorId="0" shapeId="0" xr:uid="{00000000-0006-0000-0F00-000004000000}">
      <text>
        <r>
          <rPr>
            <sz val="9"/>
            <color indexed="81"/>
            <rFont val="Tahoma"/>
            <family val="2"/>
          </rPr>
          <t>Based on Hudiburg et al (2014)</t>
        </r>
      </text>
    </comment>
    <comment ref="B36" authorId="0" shapeId="0" xr:uid="{00000000-0006-0000-0F00-000005000000}">
      <text>
        <r>
          <rPr>
            <sz val="9"/>
            <color indexed="81"/>
            <rFont val="Tahoma"/>
            <family val="2"/>
          </rPr>
          <t>Based on Hudiburg et al (2014)</t>
        </r>
      </text>
    </comment>
    <comment ref="B41" authorId="0" shapeId="0" xr:uid="{00000000-0006-0000-0F00-000006000000}">
      <text>
        <r>
          <rPr>
            <sz val="9"/>
            <color indexed="81"/>
            <rFont val="Tahoma"/>
            <family val="2"/>
          </rPr>
          <t>Yield for parity on net carbon benefit with maize-soybean Iowa</t>
        </r>
      </text>
    </comment>
    <comment ref="B49" authorId="0" shapeId="0" xr:uid="{00000000-0006-0000-0F00-000007000000}">
      <text>
        <r>
          <rPr>
            <sz val="9"/>
            <color indexed="81"/>
            <rFont val="Tahoma"/>
            <family val="2"/>
          </rPr>
          <t>FAOSTAT</t>
        </r>
      </text>
    </comment>
    <comment ref="AC50" authorId="0" shapeId="0" xr:uid="{00000000-0006-0000-0F00-000008000000}">
      <text>
        <r>
          <rPr>
            <sz val="9"/>
            <color indexed="81"/>
            <rFont val="Tahoma"/>
            <family val="2"/>
          </rPr>
          <t>Economic allocation. From main global data set.</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Stefan Wirsenius</author>
  </authors>
  <commentList>
    <comment ref="V2" authorId="0" shapeId="0" xr:uid="{00000000-0006-0000-1000-000001000000}">
      <text>
        <r>
          <rPr>
            <sz val="9"/>
            <color indexed="81"/>
            <rFont val="Tahoma"/>
            <family val="2"/>
          </rPr>
          <t>Based on Swedish Energy Agency (STEM 2016)</t>
        </r>
      </text>
    </comment>
    <comment ref="Q4" authorId="0" shapeId="0" xr:uid="{00000000-0006-0000-1000-000002000000}">
      <text>
        <r>
          <rPr>
            <sz val="9"/>
            <color indexed="81"/>
            <rFont val="Tahoma"/>
            <family val="2"/>
          </rPr>
          <t>550 g CO2/kWh was EU28 avg carbon intensity of electricity in 2013.</t>
        </r>
      </text>
    </comment>
    <comment ref="C9" authorId="0" shapeId="0" xr:uid="{00000000-0006-0000-1000-000003000000}">
      <text>
        <r>
          <rPr>
            <sz val="9"/>
            <color indexed="81"/>
            <rFont val="Tahoma"/>
            <family val="2"/>
          </rPr>
          <t>Add ref (from Tim S)</t>
        </r>
      </text>
    </comment>
    <comment ref="D9" authorId="0" shapeId="0" xr:uid="{00000000-0006-0000-1000-000004000000}">
      <text>
        <r>
          <rPr>
            <sz val="9"/>
            <color indexed="81"/>
            <rFont val="Tahoma"/>
            <family val="2"/>
          </rPr>
          <t>NREL 2012 fact sheet</t>
        </r>
      </text>
    </comment>
    <comment ref="F9" authorId="0" shapeId="0" xr:uid="{00000000-0006-0000-1000-000005000000}">
      <text>
        <r>
          <rPr>
            <sz val="9"/>
            <color indexed="81"/>
            <rFont val="Tahoma"/>
            <family val="2"/>
          </rPr>
          <t xml:space="preserve">Refers to C seq in </t>
        </r>
        <r>
          <rPr>
            <u/>
            <sz val="9"/>
            <color indexed="81"/>
            <rFont val="Tahoma"/>
            <family val="2"/>
          </rPr>
          <t>tree biomass</t>
        </r>
        <r>
          <rPr>
            <sz val="9"/>
            <color indexed="81"/>
            <rFont val="Tahoma"/>
            <family val="2"/>
          </rPr>
          <t xml:space="preserve"> for average forest land in Southern Sweden. Additional C seq in soils not accounted for. Calculated using a C content of 0.21 tC/m3 (Swedish Forest Agency 2014), and stem- to-whole-tree biomass ratio of 0.55 (Lind 2001), and a forest stand productivity of 7.4 m3 (avg for Götaland adn Svealand; Swedish Forest Agency 2014 Table 3.6c). </t>
        </r>
      </text>
    </comment>
    <comment ref="H9" authorId="0" shapeId="0" xr:uid="{00000000-0006-0000-1000-000006000000}">
      <text>
        <r>
          <rPr>
            <sz val="9"/>
            <color indexed="81"/>
            <rFont val="Tahoma"/>
            <family val="2"/>
          </rPr>
          <t>Louwen et al 2016 give a range of about 20-40 for current (2012-2013) performance</t>
        </r>
      </text>
    </comment>
    <comment ref="L9" authorId="0" shapeId="0" xr:uid="{00000000-0006-0000-1000-000007000000}">
      <text>
        <r>
          <rPr>
            <sz val="9"/>
            <color indexed="81"/>
            <rFont val="Tahoma"/>
            <family val="2"/>
          </rPr>
          <t>2017 Chevrolet Bolt specs</t>
        </r>
      </text>
    </comment>
    <comment ref="M9" authorId="0" shapeId="0" xr:uid="{00000000-0006-0000-1000-000008000000}">
      <text>
        <r>
          <rPr>
            <sz val="9"/>
            <color indexed="81"/>
            <rFont val="Tahoma"/>
            <family val="2"/>
          </rPr>
          <t>2017 Chevrolet Bolt specs</t>
        </r>
      </text>
    </comment>
    <comment ref="N9" authorId="0" shapeId="0" xr:uid="{00000000-0006-0000-1000-000009000000}">
      <text>
        <r>
          <rPr>
            <sz val="9"/>
            <color indexed="81"/>
            <rFont val="Tahoma"/>
            <family val="2"/>
          </rPr>
          <t>Dunn et al 2012</t>
        </r>
      </text>
    </comment>
    <comment ref="P9" authorId="0" shapeId="0" xr:uid="{00000000-0006-0000-1000-00000A000000}">
      <text>
        <r>
          <rPr>
            <sz val="9"/>
            <color indexed="81"/>
            <rFont val="Tahoma"/>
            <family val="2"/>
          </rPr>
          <t>Average for large numbers of LCAs, from Peters et al 2017</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Stefan Wirsenius</author>
  </authors>
  <commentList>
    <comment ref="V2" authorId="0" shapeId="0" xr:uid="{00000000-0006-0000-1100-000001000000}">
      <text>
        <r>
          <rPr>
            <sz val="9"/>
            <color indexed="81"/>
            <rFont val="Tahoma"/>
            <family val="2"/>
          </rPr>
          <t>Based on Swedish Energy Agency (STEM 2016)</t>
        </r>
      </text>
    </comment>
    <comment ref="Q4" authorId="0" shapeId="0" xr:uid="{00000000-0006-0000-1100-000002000000}">
      <text>
        <r>
          <rPr>
            <sz val="9"/>
            <color indexed="81"/>
            <rFont val="Tahoma"/>
            <family val="2"/>
          </rPr>
          <t>550 g CO2/kWh was EU28 avg carbon intensity of electricity in 2013.</t>
        </r>
      </text>
    </comment>
    <comment ref="C9" authorId="0" shapeId="0" xr:uid="{00000000-0006-0000-1100-000003000000}">
      <text>
        <r>
          <rPr>
            <sz val="9"/>
            <color indexed="81"/>
            <rFont val="Tahoma"/>
            <family val="2"/>
          </rPr>
          <t>Add ref (from Tim S)</t>
        </r>
      </text>
    </comment>
    <comment ref="D9" authorId="0" shapeId="0" xr:uid="{00000000-0006-0000-1100-000004000000}">
      <text>
        <r>
          <rPr>
            <sz val="9"/>
            <color indexed="81"/>
            <rFont val="Tahoma"/>
            <family val="2"/>
          </rPr>
          <t>NREL 2012 fact sheet</t>
        </r>
      </text>
    </comment>
    <comment ref="F9" authorId="0" shapeId="0" xr:uid="{00000000-0006-0000-1100-000005000000}">
      <text>
        <r>
          <rPr>
            <sz val="9"/>
            <color indexed="81"/>
            <rFont val="Tahoma"/>
            <family val="2"/>
          </rPr>
          <t xml:space="preserve">Refers to C seq in </t>
        </r>
        <r>
          <rPr>
            <u/>
            <sz val="9"/>
            <color indexed="81"/>
            <rFont val="Tahoma"/>
            <family val="2"/>
          </rPr>
          <t>tree biomass</t>
        </r>
        <r>
          <rPr>
            <sz val="9"/>
            <color indexed="81"/>
            <rFont val="Tahoma"/>
            <family val="2"/>
          </rPr>
          <t xml:space="preserve"> for average forest land in Southern Sweden. Additional C seq in soils not accounted for. Calculated using a C content of 0.21 tC/m3 (Swedish Forest Agency 2014), and stem- to-whole-tree biomass ratio of 0.55 (Lind 2001), and a forest stand productivity of 7.4 m3 (avg for Götaland adn Svealand; Swedish Forest Agency 2014 Table 3.6c). </t>
        </r>
      </text>
    </comment>
    <comment ref="H9" authorId="0" shapeId="0" xr:uid="{00000000-0006-0000-1100-000006000000}">
      <text>
        <r>
          <rPr>
            <sz val="9"/>
            <color indexed="81"/>
            <rFont val="Tahoma"/>
            <family val="2"/>
          </rPr>
          <t>Louwen et al 2016 give a range of about 20-40 for current (2012-2013) performance</t>
        </r>
      </text>
    </comment>
    <comment ref="L9" authorId="0" shapeId="0" xr:uid="{00000000-0006-0000-1100-000007000000}">
      <text>
        <r>
          <rPr>
            <sz val="9"/>
            <color indexed="81"/>
            <rFont val="Tahoma"/>
            <family val="2"/>
          </rPr>
          <t>2017 Chevrolet Bolt specs</t>
        </r>
      </text>
    </comment>
    <comment ref="M9" authorId="0" shapeId="0" xr:uid="{00000000-0006-0000-1100-000008000000}">
      <text>
        <r>
          <rPr>
            <sz val="9"/>
            <color indexed="81"/>
            <rFont val="Tahoma"/>
            <family val="2"/>
          </rPr>
          <t>2017 Chevrolet Bolt specs</t>
        </r>
      </text>
    </comment>
    <comment ref="N9" authorId="0" shapeId="0" xr:uid="{00000000-0006-0000-1100-000009000000}">
      <text>
        <r>
          <rPr>
            <sz val="9"/>
            <color indexed="81"/>
            <rFont val="Tahoma"/>
            <family val="2"/>
          </rPr>
          <t>Dunn et al 2012</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Stefan Wirsenius</author>
  </authors>
  <commentList>
    <comment ref="V2" authorId="0" shapeId="0" xr:uid="{00000000-0006-0000-1200-000001000000}">
      <text>
        <r>
          <rPr>
            <sz val="9"/>
            <color indexed="81"/>
            <rFont val="Tahoma"/>
            <family val="2"/>
          </rPr>
          <t>Based on Swedish Energy Agency (STEM 2016)</t>
        </r>
      </text>
    </comment>
    <comment ref="Q4" authorId="0" shapeId="0" xr:uid="{00000000-0006-0000-1200-000002000000}">
      <text>
        <r>
          <rPr>
            <sz val="9"/>
            <color indexed="81"/>
            <rFont val="Tahoma"/>
            <family val="2"/>
          </rPr>
          <t>550 g CO2/kWh was EU28 avg carbon intensity of electricity in 2013.</t>
        </r>
      </text>
    </comment>
    <comment ref="C9" authorId="0" shapeId="0" xr:uid="{00000000-0006-0000-1200-000003000000}">
      <text>
        <r>
          <rPr>
            <sz val="9"/>
            <color indexed="81"/>
            <rFont val="Tahoma"/>
            <family val="2"/>
          </rPr>
          <t>Add ref (from Tim S)</t>
        </r>
      </text>
    </comment>
    <comment ref="D9" authorId="0" shapeId="0" xr:uid="{00000000-0006-0000-1200-000004000000}">
      <text>
        <r>
          <rPr>
            <sz val="9"/>
            <color indexed="81"/>
            <rFont val="Tahoma"/>
            <family val="2"/>
          </rPr>
          <t>NREL 2012 fact sheet</t>
        </r>
      </text>
    </comment>
    <comment ref="F9" authorId="0" shapeId="0" xr:uid="{00000000-0006-0000-1200-000005000000}">
      <text>
        <r>
          <rPr>
            <sz val="9"/>
            <color indexed="81"/>
            <rFont val="Tahoma"/>
            <family val="2"/>
          </rPr>
          <t xml:space="preserve">Refers to C seq in </t>
        </r>
        <r>
          <rPr>
            <u/>
            <sz val="9"/>
            <color indexed="81"/>
            <rFont val="Tahoma"/>
            <family val="2"/>
          </rPr>
          <t>tree biomass</t>
        </r>
        <r>
          <rPr>
            <sz val="9"/>
            <color indexed="81"/>
            <rFont val="Tahoma"/>
            <family val="2"/>
          </rPr>
          <t xml:space="preserve"> for average forest land in Southern Sweden. Additional C seq in soils not accounted for. Calculated using a C content of 0.21 tC/m3 (Swedish Forest Agency 2014), and stem- to-whole-tree biomass ratio of 0.55 (Lind 2001), and a forest stand productivity of 7.4 m3 (avg for Götaland adn Svealand; Swedish Forest Agency 2014 Table 3.6c). </t>
        </r>
      </text>
    </comment>
    <comment ref="H9" authorId="0" shapeId="0" xr:uid="{00000000-0006-0000-1200-000006000000}">
      <text>
        <r>
          <rPr>
            <sz val="9"/>
            <color indexed="81"/>
            <rFont val="Tahoma"/>
            <family val="2"/>
          </rPr>
          <t>Louwen et al 2016 give a range of about 20-40 for current (2012-2013) performance</t>
        </r>
      </text>
    </comment>
    <comment ref="L9" authorId="0" shapeId="0" xr:uid="{00000000-0006-0000-1200-000007000000}">
      <text>
        <r>
          <rPr>
            <sz val="9"/>
            <color indexed="81"/>
            <rFont val="Tahoma"/>
            <family val="2"/>
          </rPr>
          <t>2017 Chevrolet Bolt specs</t>
        </r>
      </text>
    </comment>
    <comment ref="M9" authorId="0" shapeId="0" xr:uid="{00000000-0006-0000-1200-000008000000}">
      <text>
        <r>
          <rPr>
            <sz val="9"/>
            <color indexed="81"/>
            <rFont val="Tahoma"/>
            <family val="2"/>
          </rPr>
          <t>2017 Chevrolet Bolt specs</t>
        </r>
      </text>
    </comment>
    <comment ref="N9" authorId="0" shapeId="0" xr:uid="{00000000-0006-0000-1200-000009000000}">
      <text>
        <r>
          <rPr>
            <sz val="9"/>
            <color indexed="81"/>
            <rFont val="Tahoma"/>
            <family val="2"/>
          </rPr>
          <t>Dunn et al 2012</t>
        </r>
      </text>
    </comment>
    <comment ref="P9" authorId="0" shapeId="0" xr:uid="{00000000-0006-0000-1200-00000A000000}">
      <text>
        <r>
          <rPr>
            <sz val="9"/>
            <color indexed="81"/>
            <rFont val="Tahoma"/>
            <family val="2"/>
          </rPr>
          <t>Average for large numbers of LCAs, from Peters et al 2017</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Stefan Wirsenius</author>
  </authors>
  <commentList>
    <comment ref="V2" authorId="0" shapeId="0" xr:uid="{00000000-0006-0000-1300-000001000000}">
      <text>
        <r>
          <rPr>
            <sz val="9"/>
            <color indexed="81"/>
            <rFont val="Tahoma"/>
            <family val="2"/>
          </rPr>
          <t>Based on Swedish Energy Agency (STEM 2016)</t>
        </r>
      </text>
    </comment>
    <comment ref="Q4" authorId="0" shapeId="0" xr:uid="{00000000-0006-0000-1300-000002000000}">
      <text>
        <r>
          <rPr>
            <sz val="9"/>
            <color indexed="81"/>
            <rFont val="Tahoma"/>
            <family val="2"/>
          </rPr>
          <t>550 g CO2/kWh was EU28 avg carbon intensity of electricity in 2013.</t>
        </r>
      </text>
    </comment>
    <comment ref="C9" authorId="0" shapeId="0" xr:uid="{00000000-0006-0000-1300-000003000000}">
      <text>
        <r>
          <rPr>
            <sz val="9"/>
            <color indexed="81"/>
            <rFont val="Tahoma"/>
            <family val="2"/>
          </rPr>
          <t>Add ref (from Tim S)</t>
        </r>
      </text>
    </comment>
    <comment ref="D9" authorId="0" shapeId="0" xr:uid="{00000000-0006-0000-1300-000004000000}">
      <text>
        <r>
          <rPr>
            <sz val="9"/>
            <color indexed="81"/>
            <rFont val="Tahoma"/>
            <family val="2"/>
          </rPr>
          <t>NREL 2012 fact sheet</t>
        </r>
      </text>
    </comment>
    <comment ref="F9" authorId="0" shapeId="0" xr:uid="{00000000-0006-0000-1300-000005000000}">
      <text>
        <r>
          <rPr>
            <sz val="9"/>
            <color indexed="81"/>
            <rFont val="Tahoma"/>
            <family val="2"/>
          </rPr>
          <t xml:space="preserve">Refers to C seq in </t>
        </r>
        <r>
          <rPr>
            <u/>
            <sz val="9"/>
            <color indexed="81"/>
            <rFont val="Tahoma"/>
            <family val="2"/>
          </rPr>
          <t>tree biomass</t>
        </r>
        <r>
          <rPr>
            <sz val="9"/>
            <color indexed="81"/>
            <rFont val="Tahoma"/>
            <family val="2"/>
          </rPr>
          <t xml:space="preserve"> for average forest land in Southern Sweden. Additional C seq in soils not accounted for. Calculated using a C content of 0.21 tC/m3 (Swedish Forest Agency 2014), and stem- to-whole-tree biomass ratio of 0.55 (Lind 2001), and a forest stand productivity of 7.4 m3 (avg for Götaland adn Svealand; Swedish Forest Agency 2014 Table 3.6c). </t>
        </r>
      </text>
    </comment>
    <comment ref="H9" authorId="0" shapeId="0" xr:uid="{00000000-0006-0000-1300-000006000000}">
      <text>
        <r>
          <rPr>
            <sz val="9"/>
            <color indexed="81"/>
            <rFont val="Tahoma"/>
            <family val="2"/>
          </rPr>
          <t>Louwen et al 2016 give a range of about 20-40 for current (2012-2013) performance</t>
        </r>
      </text>
    </comment>
    <comment ref="L9" authorId="0" shapeId="0" xr:uid="{00000000-0006-0000-1300-000007000000}">
      <text>
        <r>
          <rPr>
            <sz val="9"/>
            <color indexed="81"/>
            <rFont val="Tahoma"/>
            <family val="2"/>
          </rPr>
          <t>2017 Chevrolet Bolt specs</t>
        </r>
      </text>
    </comment>
    <comment ref="M9" authorId="0" shapeId="0" xr:uid="{00000000-0006-0000-1300-000008000000}">
      <text>
        <r>
          <rPr>
            <sz val="9"/>
            <color indexed="81"/>
            <rFont val="Tahoma"/>
            <family val="2"/>
          </rPr>
          <t>2017 Chevrolet Bolt specs</t>
        </r>
      </text>
    </comment>
    <comment ref="N9" authorId="0" shapeId="0" xr:uid="{00000000-0006-0000-1300-000009000000}">
      <text>
        <r>
          <rPr>
            <sz val="9"/>
            <color indexed="81"/>
            <rFont val="Tahoma"/>
            <family val="2"/>
          </rPr>
          <t>Dunn et al 2012</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Stefan Wirsenius</author>
  </authors>
  <commentList>
    <comment ref="K51" authorId="0" shapeId="0" xr:uid="{00000000-0006-0000-1400-000001000000}">
      <text>
        <r>
          <rPr>
            <sz val="9"/>
            <color indexed="81"/>
            <rFont val="Tahoma"/>
            <family val="2"/>
          </rPr>
          <t>From Bryngelsson et al 2016</t>
        </r>
      </text>
    </comment>
    <comment ref="K53" authorId="0" shapeId="0" xr:uid="{00000000-0006-0000-1400-000002000000}">
      <text>
        <r>
          <rPr>
            <sz val="9"/>
            <color indexed="81"/>
            <rFont val="Tahoma"/>
            <family val="2"/>
          </rPr>
          <t>From Bryngelsson et al 2016</t>
        </r>
      </text>
    </comment>
  </commentList>
</comments>
</file>

<file path=xl/sharedStrings.xml><?xml version="1.0" encoding="utf-8"?>
<sst xmlns="http://schemas.openxmlformats.org/spreadsheetml/2006/main" count="4853" uniqueCount="1004">
  <si>
    <t>All livestock</t>
  </si>
  <si>
    <t>Ruminants</t>
  </si>
  <si>
    <t>All</t>
  </si>
  <si>
    <t>Pigs</t>
  </si>
  <si>
    <t>Poultry</t>
  </si>
  <si>
    <t>Pigs and poultry</t>
  </si>
  <si>
    <t>Total</t>
  </si>
  <si>
    <t>Of all agric.</t>
  </si>
  <si>
    <t>All agric.</t>
  </si>
  <si>
    <t>All species</t>
  </si>
  <si>
    <t>Of livest.</t>
  </si>
  <si>
    <t>Of rum.</t>
  </si>
  <si>
    <t>Large dairy</t>
  </si>
  <si>
    <t>Small meat (lamb)</t>
  </si>
  <si>
    <t>Small dairy</t>
  </si>
  <si>
    <t>Per fresh</t>
  </si>
  <si>
    <t>Protein</t>
  </si>
  <si>
    <t>Eggs</t>
  </si>
  <si>
    <t>Of DM</t>
  </si>
  <si>
    <t>Draft anim.</t>
  </si>
  <si>
    <t>Of total</t>
  </si>
  <si>
    <t>Pork carcass</t>
  </si>
  <si>
    <t>Poultry carcass</t>
  </si>
  <si>
    <t>Small ruminant carcass</t>
  </si>
  <si>
    <t>Large ruminant carcass</t>
  </si>
  <si>
    <t>Meat</t>
  </si>
  <si>
    <t>Milk/eggs</t>
  </si>
  <si>
    <t>Large ruminant milk</t>
  </si>
  <si>
    <t>Small ruminant milk</t>
  </si>
  <si>
    <t>Of livest</t>
  </si>
  <si>
    <t>Feed efficiency</t>
  </si>
  <si>
    <t>All meat</t>
  </si>
  <si>
    <t>All dairy</t>
  </si>
  <si>
    <t>DM</t>
  </si>
  <si>
    <t>Of fresh</t>
  </si>
  <si>
    <t>All veg.</t>
  </si>
  <si>
    <t>Processed</t>
  </si>
  <si>
    <t>Non-processed</t>
  </si>
  <si>
    <t>Land area</t>
  </si>
  <si>
    <t>Rainfed</t>
  </si>
  <si>
    <t>Irrigated</t>
  </si>
  <si>
    <t>Mg C/ ha</t>
  </si>
  <si>
    <t>Mg DM/ ha/ yr</t>
  </si>
  <si>
    <t>Average</t>
  </si>
  <si>
    <t>Soil (1 m)</t>
  </si>
  <si>
    <t>NATIVE VEGETATION</t>
  </si>
  <si>
    <t>Avg</t>
  </si>
  <si>
    <t>AGRICULTURAL VEGETATION</t>
  </si>
  <si>
    <t>Tg as-is/ yr</t>
  </si>
  <si>
    <t>Mg as-is/ ha/ yr</t>
  </si>
  <si>
    <t>Tg DM/ yr</t>
  </si>
  <si>
    <t>Plant</t>
  </si>
  <si>
    <t>Maize grains</t>
  </si>
  <si>
    <t>Mha</t>
  </si>
  <si>
    <t>Rainfed crops</t>
  </si>
  <si>
    <t>Irrigated crops</t>
  </si>
  <si>
    <t>Rainf.</t>
  </si>
  <si>
    <t>Irrig.</t>
  </si>
  <si>
    <t>Irrig. crops</t>
  </si>
  <si>
    <t>Rainf. crops</t>
  </si>
  <si>
    <t>Avg.</t>
  </si>
  <si>
    <t>Amort. period (yrs)</t>
  </si>
  <si>
    <t>NPP opportunity cost</t>
  </si>
  <si>
    <t>Permanent/semi-perm. pastures</t>
  </si>
  <si>
    <r>
      <t>Flux</t>
    </r>
    <r>
      <rPr>
        <b/>
        <sz val="9"/>
        <rFont val="Calibri"/>
        <family val="2"/>
        <scheme val="minor"/>
      </rPr>
      <t xml:space="preserve"> (harvest/intake per land area per yr)</t>
    </r>
  </si>
  <si>
    <t>Wheat grains</t>
  </si>
  <si>
    <t>Rice grains (rough)</t>
  </si>
  <si>
    <t>Barley grains</t>
  </si>
  <si>
    <t>Cassava tubers</t>
  </si>
  <si>
    <t>White potato tubers</t>
  </si>
  <si>
    <t>Sweet potato tubers</t>
  </si>
  <si>
    <t>Banana</t>
  </si>
  <si>
    <t>Sugar cane stems</t>
  </si>
  <si>
    <t>Sugar beet roots</t>
  </si>
  <si>
    <t>Cereals</t>
  </si>
  <si>
    <t>Starchy roots</t>
  </si>
  <si>
    <t>Sugar crops</t>
  </si>
  <si>
    <t>Soybean seeds</t>
  </si>
  <si>
    <t>Oil crops (excl cotton)</t>
  </si>
  <si>
    <t>Pulses</t>
  </si>
  <si>
    <t>Canola seeds</t>
  </si>
  <si>
    <t>Fruits</t>
  </si>
  <si>
    <t>Common beans</t>
  </si>
  <si>
    <t>Vegetables</t>
  </si>
  <si>
    <t>Whole-maize</t>
  </si>
  <si>
    <t>kg C/ GJ ME</t>
  </si>
  <si>
    <t>Forage crops</t>
  </si>
  <si>
    <t>Product</t>
  </si>
  <si>
    <t>Chemical composition</t>
  </si>
  <si>
    <t>Conserved forages</t>
  </si>
  <si>
    <t>Soybean meal</t>
  </si>
  <si>
    <t>Canola meal</t>
  </si>
  <si>
    <t>Sunflower meal</t>
  </si>
  <si>
    <t>Supply</t>
  </si>
  <si>
    <t>Whole-maize silage</t>
  </si>
  <si>
    <t>Grasses/legumes hay/silage</t>
  </si>
  <si>
    <t>Share of entire ration</t>
  </si>
  <si>
    <t>Oil crops and pulses</t>
  </si>
  <si>
    <t xml:space="preserve">C opp. cost FEED </t>
  </si>
  <si>
    <t>Grass/ leg-ume</t>
  </si>
  <si>
    <t>Who-le maize</t>
  </si>
  <si>
    <t>By-products &amp; residues</t>
  </si>
  <si>
    <t>Soy-bean meal</t>
  </si>
  <si>
    <t xml:space="preserve">Maize </t>
  </si>
  <si>
    <t xml:space="preserve">Whe-at </t>
  </si>
  <si>
    <t xml:space="preserve">Bar-ley </t>
  </si>
  <si>
    <t>Soybean</t>
  </si>
  <si>
    <t>Share in categ.</t>
  </si>
  <si>
    <t>Perm. pasture</t>
  </si>
  <si>
    <t>Livestock systems</t>
  </si>
  <si>
    <t>Tg edib-le pro-tein/ yr</t>
  </si>
  <si>
    <t>Feed per output</t>
  </si>
  <si>
    <t>Livestock products</t>
  </si>
  <si>
    <t>Meat-type poultry</t>
  </si>
  <si>
    <t>Pork</t>
  </si>
  <si>
    <t>Egg-type poultry</t>
  </si>
  <si>
    <t>Small-ruminant meat</t>
  </si>
  <si>
    <t>All current</t>
  </si>
  <si>
    <t>Monogastrics</t>
  </si>
  <si>
    <t>Feed ration (DM basis)</t>
  </si>
  <si>
    <t xml:space="preserve">Cas-sava </t>
  </si>
  <si>
    <t>Ca-nola meal</t>
  </si>
  <si>
    <t>Feedstock</t>
  </si>
  <si>
    <t>Feedstuff</t>
  </si>
  <si>
    <t>Soybean oil</t>
  </si>
  <si>
    <t>Wheat milling</t>
  </si>
  <si>
    <t>Soybean oil extraction</t>
  </si>
  <si>
    <t>Gross energy</t>
  </si>
  <si>
    <t>MJ GE/kg fresh</t>
  </si>
  <si>
    <t>MJ GE/kg DM</t>
  </si>
  <si>
    <t>Metab. energy</t>
  </si>
  <si>
    <t>MJ ME/kg fresh</t>
  </si>
  <si>
    <t>MJ ME/kg DM</t>
  </si>
  <si>
    <t>Dry matter basis</t>
  </si>
  <si>
    <r>
      <t xml:space="preserve">Oil palm fruit </t>
    </r>
    <r>
      <rPr>
        <b/>
        <i/>
        <sz val="9"/>
        <rFont val="Calibri"/>
        <family val="2"/>
        <scheme val="minor"/>
      </rPr>
      <t>bunches</t>
    </r>
  </si>
  <si>
    <r>
      <t xml:space="preserve">Groundnut </t>
    </r>
    <r>
      <rPr>
        <b/>
        <i/>
        <sz val="9"/>
        <rFont val="Calibri"/>
        <family val="2"/>
        <scheme val="minor"/>
      </rPr>
      <t>pods</t>
    </r>
  </si>
  <si>
    <r>
      <t xml:space="preserve">Sunflower </t>
    </r>
    <r>
      <rPr>
        <b/>
        <i/>
        <sz val="9"/>
        <rFont val="Calibri"/>
        <family val="2"/>
        <scheme val="minor"/>
      </rPr>
      <t>kernels</t>
    </r>
  </si>
  <si>
    <t>Palm oil extraction</t>
  </si>
  <si>
    <t>Palm oil</t>
  </si>
  <si>
    <t>Palm kernel oil</t>
  </si>
  <si>
    <t>Canola oil extraction</t>
  </si>
  <si>
    <t>Canola oil</t>
  </si>
  <si>
    <t>Palm kernel meal</t>
  </si>
  <si>
    <t>Sunflower oil extraction</t>
  </si>
  <si>
    <t>Sunflower oil</t>
  </si>
  <si>
    <t>Groundnut oil extraction</t>
  </si>
  <si>
    <t>Groundnut oil</t>
  </si>
  <si>
    <t>Groundnut meal</t>
  </si>
  <si>
    <t>CEREAL PRODUCTS</t>
  </si>
  <si>
    <t>Produced</t>
  </si>
  <si>
    <t>EJ ME/ yr</t>
  </si>
  <si>
    <t>Economic</t>
  </si>
  <si>
    <t>Gross energy alloc. fract-ions</t>
  </si>
  <si>
    <t>Eco-nomic alloc. fract-ions</t>
  </si>
  <si>
    <t>kg C/ kg DM</t>
  </si>
  <si>
    <t>kg C/ kg prot.</t>
  </si>
  <si>
    <t>Allocation over output</t>
  </si>
  <si>
    <t>By-products and residues</t>
  </si>
  <si>
    <t>VEGETABLE OILS</t>
  </si>
  <si>
    <t>All cereal brans</t>
  </si>
  <si>
    <t>Wheat mill run</t>
  </si>
  <si>
    <t>Wheat straight flour</t>
  </si>
  <si>
    <t>Rice milling</t>
  </si>
  <si>
    <t>White rice</t>
  </si>
  <si>
    <t>Maize grits, meal &amp; flour</t>
  </si>
  <si>
    <t>Maize hominy feed</t>
  </si>
  <si>
    <t>Maize oil</t>
  </si>
  <si>
    <t>Rice bran (incl. germ)</t>
  </si>
  <si>
    <t>Feedstock balance</t>
  </si>
  <si>
    <t>Food</t>
  </si>
  <si>
    <t>Of total sup-ply</t>
  </si>
  <si>
    <t>Use of crop feedstocks</t>
  </si>
  <si>
    <t>SUGARS</t>
  </si>
  <si>
    <t>All cereals - rice in dehulled equiv.</t>
  </si>
  <si>
    <t>Cane sugar production</t>
  </si>
  <si>
    <t>Cane white sugar</t>
  </si>
  <si>
    <t>Cane molasses</t>
  </si>
  <si>
    <t>Beet sugar production</t>
  </si>
  <si>
    <t>Beet white sugar</t>
  </si>
  <si>
    <t>Beet molasses</t>
  </si>
  <si>
    <t>Beet pulp (dried)</t>
  </si>
  <si>
    <t>All molasses/pulp</t>
  </si>
  <si>
    <t>Gro-und-nut meal</t>
  </si>
  <si>
    <t>Palm ker-nel meal</t>
  </si>
  <si>
    <t>Rice bran</t>
  </si>
  <si>
    <t>Whe-at mill run</t>
  </si>
  <si>
    <t>Cane mo-lass-es</t>
  </si>
  <si>
    <t>Beet mo-lass-es</t>
  </si>
  <si>
    <t>Beet pulp</t>
  </si>
  <si>
    <t>Ma-ize homi-ny feed</t>
  </si>
  <si>
    <t>Sun-flow-er meal</t>
  </si>
  <si>
    <t>Feedstuff balance</t>
  </si>
  <si>
    <t>Oil crops</t>
  </si>
  <si>
    <t>Who-le ma-ize</t>
  </si>
  <si>
    <t>Gra-ss/ leg-ume</t>
  </si>
  <si>
    <t>Soy-bean seeds</t>
  </si>
  <si>
    <t>Soy-bean se-eds</t>
  </si>
  <si>
    <t>Swe-et po-tato</t>
  </si>
  <si>
    <t>Whi-te po-tato</t>
  </si>
  <si>
    <t xml:space="preserve">Mai-ze </t>
  </si>
  <si>
    <t>Mai-ze homi-ny feed</t>
  </si>
  <si>
    <t>Perm. past.</t>
  </si>
  <si>
    <t>Oil crops/pulses</t>
  </si>
  <si>
    <t>Unspec. (food/other)</t>
  </si>
  <si>
    <t>Total sup-ply (Tg DM/ yr)</t>
  </si>
  <si>
    <t>Frac-tion of categ. in reg-ion</t>
  </si>
  <si>
    <t>Cereal brans</t>
  </si>
  <si>
    <t>Brans</t>
  </si>
  <si>
    <t>Meals</t>
  </si>
  <si>
    <t>Sugar molasses</t>
  </si>
  <si>
    <t>Molasses</t>
  </si>
  <si>
    <t>Use (Tg DM/yr)</t>
  </si>
  <si>
    <t>Com-mon be-ans</t>
  </si>
  <si>
    <t>All edi-ble type</t>
  </si>
  <si>
    <t>All bra-ns</t>
  </si>
  <si>
    <t>All mo-las-ses, pulp</t>
  </si>
  <si>
    <t>All oil me-als</t>
  </si>
  <si>
    <t>kg C/ kg fresh</t>
  </si>
  <si>
    <t>Other</t>
  </si>
  <si>
    <t>Other (bagasse etc)</t>
  </si>
  <si>
    <t>Other (hulls)</t>
  </si>
  <si>
    <t>Other (fiber, bunch refuse etc)</t>
  </si>
  <si>
    <t>Other (husks)</t>
  </si>
  <si>
    <t>ETHANOL PRODUCTS</t>
  </si>
  <si>
    <t>Land use</t>
  </si>
  <si>
    <t>Land area per output (m2/ kg DM)</t>
  </si>
  <si>
    <t>Maize (wet) milling</t>
  </si>
  <si>
    <t>MJ GE/ liter</t>
  </si>
  <si>
    <t>By feed and avg for ration</t>
  </si>
  <si>
    <t>Avg for crop-land pro-ducts</t>
  </si>
  <si>
    <t>Avg for by-pro-ducts</t>
  </si>
  <si>
    <t>Avg for perm. pas-ture</t>
  </si>
  <si>
    <t>Crop-land pro-ducts</t>
  </si>
  <si>
    <t>Other (heat/CO2)</t>
  </si>
  <si>
    <t>Hydrous ethanol</t>
  </si>
  <si>
    <t>Barley beer/spirits production</t>
  </si>
  <si>
    <t>Density'</t>
  </si>
  <si>
    <t>kg/ liter</t>
  </si>
  <si>
    <t>Bil-lion lit.</t>
  </si>
  <si>
    <t>Anhydrous fuel ethanol (maize-based)</t>
  </si>
  <si>
    <t>Anhydrous fuel ethanol (wheat-based)</t>
  </si>
  <si>
    <t>Maize fuel-ethanol production (dry milling)</t>
  </si>
  <si>
    <t>Wheat fuel-ethanol production</t>
  </si>
  <si>
    <t>Sugarcane fuel-ethanol production</t>
  </si>
  <si>
    <t>Anhydrous fuel ethanol (cane-based)</t>
  </si>
  <si>
    <t>All fuel ethanol</t>
  </si>
  <si>
    <t>All cereals</t>
  </si>
  <si>
    <t>Feed balance</t>
  </si>
  <si>
    <t>Use as feed</t>
  </si>
  <si>
    <t>Yield</t>
  </si>
  <si>
    <t>Processing</t>
  </si>
  <si>
    <t>Proces.</t>
  </si>
  <si>
    <t>All sugar crops</t>
  </si>
  <si>
    <t>All oil crops</t>
  </si>
  <si>
    <t>All white sugar</t>
  </si>
  <si>
    <t>Dist./brew. grains</t>
  </si>
  <si>
    <t>Dist. gra-ins (ma-ize)</t>
  </si>
  <si>
    <t>Dist. gra-ins (whe-at)</t>
  </si>
  <si>
    <t>Brew./ dist. gra-ins (barl-ey)</t>
  </si>
  <si>
    <t>All edib. + conc. by-prod.</t>
  </si>
  <si>
    <r>
      <t xml:space="preserve">By-pro-ducts </t>
    </r>
    <r>
      <rPr>
        <b/>
        <sz val="9"/>
        <rFont val="Calibri"/>
        <family val="2"/>
        <scheme val="minor"/>
      </rPr>
      <t>(of cropl. pro-ducts)</t>
    </r>
  </si>
  <si>
    <t>kg C/ kg as-is (car-cass, milk, egg)</t>
  </si>
  <si>
    <t>BIODIESEL PRODUCTS</t>
  </si>
  <si>
    <t>Soybean biodiesel production</t>
  </si>
  <si>
    <t>Canola biodiesel production</t>
  </si>
  <si>
    <t>Oil-palm biodiesel production</t>
  </si>
  <si>
    <t>Methane</t>
  </si>
  <si>
    <t>Nitrous oxide</t>
  </si>
  <si>
    <t>GWP 100</t>
  </si>
  <si>
    <t>CH4</t>
  </si>
  <si>
    <t>Unspecified</t>
  </si>
  <si>
    <t>Animals</t>
  </si>
  <si>
    <t>Feed</t>
  </si>
  <si>
    <t>All gases</t>
  </si>
  <si>
    <t>All sources</t>
  </si>
  <si>
    <t>Total (Tg CO2 eq/ yr)</t>
  </si>
  <si>
    <t>kg CO2 eq/ kg pro-tein</t>
  </si>
  <si>
    <t>kg CO2/ kg pro-tein</t>
  </si>
  <si>
    <t>CH4 prod. as share of intake (GE basis)</t>
  </si>
  <si>
    <t>Per ALL pro-tein (kg CO2 eq/ kg prot.)</t>
  </si>
  <si>
    <t>kg CO2 eq/ kg as-is (car-cass, milk, egg)</t>
  </si>
  <si>
    <t>kg CO2 eq/ GJ ME</t>
  </si>
  <si>
    <t>kg CO2 eq/ kg prot.</t>
  </si>
  <si>
    <t>Per ALL ME (kg CO2 eq/ GJ ME)</t>
  </si>
  <si>
    <t>Amortization foregone C stocks</t>
  </si>
  <si>
    <t>Carbon dioxide</t>
  </si>
  <si>
    <t>kg CO2 eq/ kg DM</t>
  </si>
  <si>
    <t>kg CO2/ kg DM</t>
  </si>
  <si>
    <t>kg CO2 eq/ GJ GE LHV</t>
  </si>
  <si>
    <t>kg CO2/ GJ GE LHV</t>
  </si>
  <si>
    <t>EJ GE HHV/ yr</t>
  </si>
  <si>
    <t>kg C/ GJ GE HHV</t>
  </si>
  <si>
    <t>Process energy</t>
  </si>
  <si>
    <t>Glycerine</t>
  </si>
  <si>
    <t>Yield (of main feedstock)</t>
  </si>
  <si>
    <t>Energy use (MJ per MJ GE main outp.)</t>
  </si>
  <si>
    <t>Feedstock production</t>
  </si>
  <si>
    <t>Total GHG balance incl. foregone C stocks/sequestration</t>
  </si>
  <si>
    <t>Processed products</t>
  </si>
  <si>
    <t>All brewers/distillers grains</t>
  </si>
  <si>
    <t>Distillers grains (maize-ethanol)</t>
  </si>
  <si>
    <t>Distillers grains (wheat-ethanol)</t>
  </si>
  <si>
    <t>Brewers/distillers grains</t>
  </si>
  <si>
    <t>All dist./ bre-wers gra-ins</t>
  </si>
  <si>
    <t>Payback time</t>
  </si>
  <si>
    <t>Crop-land feed per protein outp. (kg DM/ kg)</t>
  </si>
  <si>
    <t>ALL perm. pas-ture</t>
  </si>
  <si>
    <t>Sorghum grains</t>
  </si>
  <si>
    <t>Millet grains</t>
  </si>
  <si>
    <t>Other crops</t>
  </si>
  <si>
    <t>Coconuts</t>
  </si>
  <si>
    <t>Yam tubers</t>
  </si>
  <si>
    <t>Plantains</t>
  </si>
  <si>
    <t>Pigeon peas</t>
  </si>
  <si>
    <t>Lentils</t>
  </si>
  <si>
    <t>Regrowth C sequestration (Mg C/ha/yr)</t>
  </si>
  <si>
    <t>Mg NPP-C/ ha/ yr</t>
  </si>
  <si>
    <t>kg NPP-C/ kg prot.</t>
  </si>
  <si>
    <t>kg NPP-C/ kg DM</t>
  </si>
  <si>
    <t>As-is (fresh) weight basis</t>
  </si>
  <si>
    <t>Allocation over all outputs</t>
  </si>
  <si>
    <t>Land credit</t>
  </si>
  <si>
    <t xml:space="preserve">Allocation </t>
  </si>
  <si>
    <t>Total GHG balance</t>
  </si>
  <si>
    <t>Cowpeas</t>
  </si>
  <si>
    <t>Chickpeas</t>
  </si>
  <si>
    <t>Prices (US$/ kg)</t>
  </si>
  <si>
    <t>OTHER PRODUCTS</t>
  </si>
  <si>
    <t>Soy-bean meal (m2/ kg DM)</t>
  </si>
  <si>
    <t>Inverted flux</t>
  </si>
  <si>
    <t>Outputs</t>
  </si>
  <si>
    <t>Substitution</t>
  </si>
  <si>
    <t>Total (m2/ kg DM)</t>
  </si>
  <si>
    <t>Alloc.</t>
  </si>
  <si>
    <t>Substit.</t>
  </si>
  <si>
    <t>Total (kg CO2 eq/ kg DM)</t>
  </si>
  <si>
    <t>m2/ kg DM</t>
  </si>
  <si>
    <t>Invert. flux</t>
  </si>
  <si>
    <t>Share of outp. on arable land (DM basis)</t>
  </si>
  <si>
    <t>Share irri-gated land</t>
  </si>
  <si>
    <t>Share irrig. pro-duct-ion</t>
  </si>
  <si>
    <t>Fract-ion soil C loss of native</t>
  </si>
  <si>
    <t>Rate of regrowth</t>
  </si>
  <si>
    <t>Soil</t>
  </si>
  <si>
    <t xml:space="preserve"> </t>
  </si>
  <si>
    <t>C opp. cost PROCESSED output</t>
  </si>
  <si>
    <t>Time horizon (yrs)</t>
  </si>
  <si>
    <t>Seed cotton</t>
  </si>
  <si>
    <t>Cotton lint</t>
  </si>
  <si>
    <t>Cotton oil</t>
  </si>
  <si>
    <t>Cotton meal</t>
  </si>
  <si>
    <t>Other (hulls, linters, etc)</t>
  </si>
  <si>
    <t>All meals (incl cotton)</t>
  </si>
  <si>
    <t>All oils (incl maize oil and cotton oil)</t>
  </si>
  <si>
    <t>Cotton lint and oil production</t>
  </si>
  <si>
    <r>
      <t xml:space="preserve">Fraction regrown native veg. </t>
    </r>
    <r>
      <rPr>
        <b/>
        <sz val="9"/>
        <rFont val="Calibri"/>
        <family val="2"/>
        <scheme val="minor"/>
      </rPr>
      <t>soil</t>
    </r>
    <r>
      <rPr>
        <sz val="9"/>
        <rFont val="Calibri"/>
        <family val="2"/>
        <scheme val="minor"/>
      </rPr>
      <t xml:space="preserve"> C stock</t>
    </r>
  </si>
  <si>
    <r>
      <t xml:space="preserve">Fraction regrown native veg. </t>
    </r>
    <r>
      <rPr>
        <b/>
        <sz val="9"/>
        <rFont val="Calibri"/>
        <family val="2"/>
        <scheme val="minor"/>
      </rPr>
      <t>plant</t>
    </r>
    <r>
      <rPr>
        <sz val="9"/>
        <rFont val="Calibri"/>
        <family val="2"/>
        <scheme val="minor"/>
      </rPr>
      <t xml:space="preserve"> C stock</t>
    </r>
  </si>
  <si>
    <t>Other fruit - temperate</t>
  </si>
  <si>
    <t>Other fruit - tropical</t>
  </si>
  <si>
    <t>Carbon opportunity cost</t>
  </si>
  <si>
    <t>kg NPP-C/ GJ ME</t>
  </si>
  <si>
    <t xml:space="preserve">CO2  </t>
  </si>
  <si>
    <t xml:space="preserve">N2O  </t>
  </si>
  <si>
    <t>Per output</t>
  </si>
  <si>
    <t>Per main output</t>
  </si>
  <si>
    <t>Electricity to grid</t>
  </si>
  <si>
    <t>Generic</t>
  </si>
  <si>
    <t>Other (vinasses, heat/CO2)</t>
  </si>
  <si>
    <t>Gross energy basis (HHV)</t>
  </si>
  <si>
    <t>Specific processes</t>
  </si>
  <si>
    <t>Liter per feed-stock (l/ kg as-is)</t>
  </si>
  <si>
    <t>Ethanol/biodiesel</t>
  </si>
  <si>
    <t>Oil meals</t>
  </si>
  <si>
    <t>Cot-ton meal</t>
  </si>
  <si>
    <r>
      <t xml:space="preserve">Other by-pr. &amp; res. </t>
    </r>
    <r>
      <rPr>
        <b/>
        <sz val="9"/>
        <rFont val="Calibri"/>
        <family val="2"/>
        <scheme val="minor"/>
      </rPr>
      <t>of all by-pr. &amp; res.</t>
    </r>
  </si>
  <si>
    <r>
      <t xml:space="preserve">Other by-pr. &amp; res. </t>
    </r>
    <r>
      <rPr>
        <b/>
        <sz val="9"/>
        <rFont val="Calibri"/>
        <family val="2"/>
        <scheme val="minor"/>
      </rPr>
      <t>of entire ration</t>
    </r>
  </si>
  <si>
    <t>Per feed (m2/kg DM)</t>
  </si>
  <si>
    <t>Co-products credited by allocation</t>
  </si>
  <si>
    <t>C opportunity cost LIVESTOCK products</t>
  </si>
  <si>
    <r>
      <t xml:space="preserve">Large-rum. meat </t>
    </r>
    <r>
      <rPr>
        <b/>
        <i/>
        <sz val="9"/>
        <rFont val="Calibri"/>
        <family val="2"/>
        <scheme val="minor"/>
      </rPr>
      <t>(incl. dairy bulls)</t>
    </r>
  </si>
  <si>
    <t>Sum of starch/sugar conc.</t>
  </si>
  <si>
    <t>Sum of pro-tein conc.</t>
  </si>
  <si>
    <t>Total area (Mha)</t>
  </si>
  <si>
    <t xml:space="preserve">Feed </t>
  </si>
  <si>
    <t>kg NPP-C/ kg as-is (car-cass, milk, egg)</t>
  </si>
  <si>
    <t>CO2 em. substi-tuted fuel (kg CO2/ GJ GE LHV)</t>
  </si>
  <si>
    <t>Grasses/legumes</t>
  </si>
  <si>
    <t>Lipid</t>
  </si>
  <si>
    <t>Originally forest</t>
  </si>
  <si>
    <t>Originally grassland</t>
  </si>
  <si>
    <t>Net Primary Productivity</t>
  </si>
  <si>
    <t>Tropical forest</t>
  </si>
  <si>
    <t>Cropland</t>
  </si>
  <si>
    <t>kg C seq/ kg NPP-C</t>
  </si>
  <si>
    <t>Native veg. exploited for crops and pasture</t>
  </si>
  <si>
    <t>Originally savannah (10-30% tree cover)</t>
  </si>
  <si>
    <t>Originally woody savannah (30-60% tree cover)</t>
  </si>
  <si>
    <t>Fract-ion veg C loss of native</t>
  </si>
  <si>
    <t>MOSAIC AGR.-NAT. VEG.</t>
  </si>
  <si>
    <t>Used allo-cation</t>
  </si>
  <si>
    <t>Bre-wers' grai-ns</t>
  </si>
  <si>
    <t>Ma-ize grai-ns</t>
  </si>
  <si>
    <t>Ma-ize grai-ns (kg CO2 eq/ kg DM)</t>
  </si>
  <si>
    <t>Mai-ze grai-ns (m2/ kg DM)</t>
  </si>
  <si>
    <t>Whe-at grai-ns</t>
  </si>
  <si>
    <t>Whe-at grai-ns (m2/ kg DM)</t>
  </si>
  <si>
    <t>Ca-nola meal (m2/ kg DM)</t>
  </si>
  <si>
    <t>Brew. grai-ns (m2/ kg DM)</t>
  </si>
  <si>
    <t>Whe-at grai-ns (kg CO2 eq/ kg DM)</t>
  </si>
  <si>
    <t>Ca-nola meal (kg CO2 eq/ kg DM)</t>
  </si>
  <si>
    <t>Brew. grai-ns (kg CO2 eq/ kg DM)</t>
  </si>
  <si>
    <t>Allocation</t>
  </si>
  <si>
    <t>NATIVE VEG.</t>
  </si>
  <si>
    <t>kg CO2 eq/ kg as-is</t>
  </si>
  <si>
    <t>N2O fert. applic.</t>
  </si>
  <si>
    <t>N2O crop res.</t>
  </si>
  <si>
    <t>All CH4</t>
  </si>
  <si>
    <t>All N2O</t>
  </si>
  <si>
    <t>All CO2</t>
  </si>
  <si>
    <t>kg CO2/ kg as-is</t>
  </si>
  <si>
    <t>Foregone C seq. p. area</t>
  </si>
  <si>
    <t>II.</t>
  </si>
  <si>
    <t>Vegetable food products and co-products</t>
  </si>
  <si>
    <t>kg C/ kg as-is</t>
  </si>
  <si>
    <t>Crop products</t>
  </si>
  <si>
    <t>Oil palm fruit bunches</t>
  </si>
  <si>
    <t>Sunflower kernels</t>
  </si>
  <si>
    <t>Groundnut pods</t>
  </si>
  <si>
    <t>kg CO2/ kg fresh weight</t>
  </si>
  <si>
    <r>
      <t xml:space="preserve">kg CO2/ GJ GE </t>
    </r>
    <r>
      <rPr>
        <b/>
        <sz val="9"/>
        <rFont val="Calibri"/>
        <family val="2"/>
        <scheme val="minor"/>
      </rPr>
      <t>LHV</t>
    </r>
  </si>
  <si>
    <t xml:space="preserve">Recurring GHG emissions </t>
  </si>
  <si>
    <t>kg NPP-C/ kg as-is</t>
  </si>
  <si>
    <t>kg CO2/ GJ human ME</t>
  </si>
  <si>
    <t>Cereal products</t>
  </si>
  <si>
    <t>Sugars</t>
  </si>
  <si>
    <t>Vegetable oils</t>
  </si>
  <si>
    <t>All gases and sources</t>
  </si>
  <si>
    <t xml:space="preserve">All CO2  </t>
  </si>
  <si>
    <r>
      <t xml:space="preserve">kg CO2/ GJ GE </t>
    </r>
    <r>
      <rPr>
        <b/>
        <sz val="9"/>
        <rFont val="Calibri"/>
        <family val="2"/>
        <scheme val="minor"/>
      </rPr>
      <t>HHV</t>
    </r>
  </si>
  <si>
    <r>
      <t xml:space="preserve">kg CO2 eq/ GJ GE </t>
    </r>
    <r>
      <rPr>
        <b/>
        <sz val="9"/>
        <rFont val="Calibri"/>
        <family val="2"/>
        <scheme val="minor"/>
      </rPr>
      <t>LHV</t>
    </r>
  </si>
  <si>
    <r>
      <t xml:space="preserve">kg C/ GJ GE </t>
    </r>
    <r>
      <rPr>
        <b/>
        <sz val="9"/>
        <rFont val="Calibri"/>
        <family val="2"/>
        <scheme val="minor"/>
      </rPr>
      <t>LHV</t>
    </r>
  </si>
  <si>
    <r>
      <t xml:space="preserve">kg C/ GJ GE </t>
    </r>
    <r>
      <rPr>
        <b/>
        <sz val="9"/>
        <rFont val="Calibri"/>
        <family val="2"/>
        <scheme val="minor"/>
      </rPr>
      <t>HHV</t>
    </r>
  </si>
  <si>
    <r>
      <t xml:space="preserve">kg NPP-C/ GJ GE </t>
    </r>
    <r>
      <rPr>
        <b/>
        <sz val="9"/>
        <rFont val="Calibri"/>
        <family val="2"/>
        <scheme val="minor"/>
      </rPr>
      <t>LHV</t>
    </r>
  </si>
  <si>
    <r>
      <t xml:space="preserve">kg NPP-C/ GJ GE </t>
    </r>
    <r>
      <rPr>
        <b/>
        <sz val="9"/>
        <rFont val="Calibri"/>
        <family val="2"/>
        <scheme val="minor"/>
      </rPr>
      <t>HHV</t>
    </r>
  </si>
  <si>
    <t>kg CO2 eq/ GJ human ME</t>
  </si>
  <si>
    <t>kg CO2 eq/ kg fresh weight</t>
  </si>
  <si>
    <t>EDIBLE PRODUCTS and CO-PRODUCTS</t>
  </si>
  <si>
    <t>INEDIBLE CO-PRODUCTS</t>
  </si>
  <si>
    <t>Molassess</t>
  </si>
  <si>
    <t>Monogastric products</t>
  </si>
  <si>
    <t>Ruminant meat</t>
  </si>
  <si>
    <t>Dairy</t>
  </si>
  <si>
    <t>Hydrous ethanol (barley-based)</t>
  </si>
  <si>
    <t>Fuel ethanol</t>
  </si>
  <si>
    <t>Biodiesel</t>
  </si>
  <si>
    <t>Beverage ethanol</t>
  </si>
  <si>
    <t>P. feedst.</t>
  </si>
  <si>
    <t>Impli-ed CO2 int. (kg CO2/ GJ GE LHV)</t>
  </si>
  <si>
    <t>Soy meal (kg CO2 eq/ kg DM)</t>
  </si>
  <si>
    <t>C opp. cost FEEDSTOCK</t>
  </si>
  <si>
    <t>C opp. cost credit</t>
  </si>
  <si>
    <t>Total (kg C/ kg DM)</t>
  </si>
  <si>
    <t>Per amount of by-pr.</t>
  </si>
  <si>
    <t>Per amount of by-product</t>
  </si>
  <si>
    <t>Ib</t>
  </si>
  <si>
    <t>II</t>
  </si>
  <si>
    <t>Total (kg NPP-C/ kg DM)</t>
  </si>
  <si>
    <t>NPP credit</t>
  </si>
  <si>
    <t>Subst. fract.</t>
  </si>
  <si>
    <t>Per by-pr.</t>
  </si>
  <si>
    <r>
      <t xml:space="preserve">Mg C/ ha/ </t>
    </r>
    <r>
      <rPr>
        <b/>
        <sz val="9"/>
        <rFont val="Calibri"/>
        <family val="2"/>
        <scheme val="minor"/>
      </rPr>
      <t>year</t>
    </r>
  </si>
  <si>
    <t>Coffee beans (green)</t>
  </si>
  <si>
    <t>Cocoa beans (dried)</t>
  </si>
  <si>
    <t>Tea leaves (dried)</t>
  </si>
  <si>
    <t>Grass fuel-ethanol production</t>
  </si>
  <si>
    <t>Anhydrous fuel ethanol (grass-based)</t>
  </si>
  <si>
    <t>Maize fuel ethanol</t>
  </si>
  <si>
    <t>Wheat fuel ethanol</t>
  </si>
  <si>
    <t>Sugarcane fuel ethanol</t>
  </si>
  <si>
    <t>Liter per feed-stock (l/ kg DM)</t>
  </si>
  <si>
    <t>Grass fuel ethanol</t>
  </si>
  <si>
    <t>Permanent/semi-perm. pasturelands</t>
  </si>
  <si>
    <t>Native/cultivated pastureland</t>
  </si>
  <si>
    <t>Crop harvest / forage intake</t>
  </si>
  <si>
    <t>All forage</t>
  </si>
  <si>
    <t>All crop products</t>
  </si>
  <si>
    <t>kg C/ liter</t>
  </si>
  <si>
    <t>kg NPP-C/ liter</t>
  </si>
  <si>
    <t>kg CO2 eq/ liter</t>
  </si>
  <si>
    <t>Net GHG balance after fossil fuel subst.</t>
  </si>
  <si>
    <t>Avg rainfed and irrigated</t>
  </si>
  <si>
    <t>Average rainfed and irrigated crops</t>
  </si>
  <si>
    <t>Herbage fr native/cultivated pastureland</t>
  </si>
  <si>
    <t>Na-tive/ culti-vated</t>
  </si>
  <si>
    <t>kg CO2/ liter</t>
  </si>
  <si>
    <t>Average estimate I and II</t>
  </si>
  <si>
    <t>Net GHG balance w. fossil fuels substitution</t>
  </si>
  <si>
    <t>CO2 savings gasoline/diesel substitution</t>
  </si>
  <si>
    <t>Small-ruminants meat (mutton, goat carcass)</t>
  </si>
  <si>
    <t>II. Carbon sequestration in tropical forest regrowth</t>
  </si>
  <si>
    <t>Tropical forests</t>
  </si>
  <si>
    <t>Regrowth C seq per NPP</t>
  </si>
  <si>
    <t>Total GHG balance including carbon opportunity cost</t>
  </si>
  <si>
    <t>II. C seq in trop. forest regrowth</t>
  </si>
  <si>
    <t>Avg rainfed &amp; irrigated</t>
  </si>
  <si>
    <t>Average rainfed and irrigated</t>
  </si>
  <si>
    <t>GHG pay-back time (years)</t>
  </si>
  <si>
    <t>Feedstocks</t>
  </si>
  <si>
    <t>Liter per ha and year</t>
  </si>
  <si>
    <t>Rain-fed</t>
  </si>
  <si>
    <t>Irri-gated</t>
  </si>
  <si>
    <t>Substitution value of by-products (for AVERAGE properties of rainfed and irrigated crops)</t>
  </si>
  <si>
    <t>II. C seq in trop. forest</t>
  </si>
  <si>
    <t>I. On-site native-vegetation carbon-stock loss by expansion</t>
  </si>
  <si>
    <t xml:space="preserve">I. On-site native-vegetation C-stock loss </t>
  </si>
  <si>
    <t>II. C seq. in tropical forest regrowth</t>
  </si>
  <si>
    <t>Fuels</t>
  </si>
  <si>
    <t>Fuels and other products and co-products</t>
  </si>
  <si>
    <t>Poultry meat</t>
  </si>
  <si>
    <t>Soy methylester (SYME)</t>
  </si>
  <si>
    <t>Palm oil methylester (POME)</t>
  </si>
  <si>
    <t>Canola methylester (RME)</t>
  </si>
  <si>
    <t>g CO2/ MJ GE (LHV)</t>
  </si>
  <si>
    <t>Organic soils GHG emissions</t>
  </si>
  <si>
    <t>Beef</t>
  </si>
  <si>
    <t>Org. soils em.</t>
  </si>
  <si>
    <t>All gases/sources</t>
  </si>
  <si>
    <t>Recurring GHG emissions  LIVESTOCK products</t>
  </si>
  <si>
    <t>N2O</t>
  </si>
  <si>
    <t>CO2</t>
  </si>
  <si>
    <t>Recurring GHG em. FEED</t>
  </si>
  <si>
    <t xml:space="preserve">CO2 energy farm </t>
  </si>
  <si>
    <t>CO2 energy inputs</t>
  </si>
  <si>
    <t>Avg rainf.+irrig.</t>
  </si>
  <si>
    <t>Organic soils emissions</t>
  </si>
  <si>
    <t>Maize-soybean rotation Iowa</t>
  </si>
  <si>
    <t>Maize ethanol Iowa</t>
  </si>
  <si>
    <t>Soybean Brazil</t>
  </si>
  <si>
    <t>Sugarcane ethanol Brazil</t>
  </si>
  <si>
    <t>Reforestation tropical
rainforest (5 ton C/ha/yr)</t>
  </si>
  <si>
    <t>Co-products</t>
  </si>
  <si>
    <t>Main product</t>
  </si>
  <si>
    <t>Net GHG benefit (Mg CO2eq/ ha/ yr)</t>
  </si>
  <si>
    <t>Difference (intensification benefit)</t>
  </si>
  <si>
    <t>Organic</t>
  </si>
  <si>
    <t>Conventional</t>
  </si>
  <si>
    <t>2012-14 average yield</t>
  </si>
  <si>
    <t>2013-15 average yields (see above)</t>
  </si>
  <si>
    <t>2013-15 average yield</t>
  </si>
  <si>
    <t>Soybean Iowa</t>
  </si>
  <si>
    <t>Organic and conventional winter wheat Sweden
- 2013-15 avg yields</t>
  </si>
  <si>
    <t>Lowland irrigated</t>
  </si>
  <si>
    <t>Upland rainfed</t>
  </si>
  <si>
    <t>Rice (rough) global averages</t>
  </si>
  <si>
    <t>Current (unfertilized)</t>
  </si>
  <si>
    <t xml:space="preserve">Maize West Africa </t>
  </si>
  <si>
    <t>2013-15 avg yield</t>
  </si>
  <si>
    <t>Maize Iowa</t>
  </si>
  <si>
    <r>
      <t>kg CO2 eq/ kg (</t>
    </r>
    <r>
      <rPr>
        <b/>
        <sz val="9"/>
        <rFont val="Calibri"/>
        <family val="2"/>
        <scheme val="minor"/>
      </rPr>
      <t>fresh</t>
    </r>
    <r>
      <rPr>
        <sz val="9"/>
        <rFont val="Calibri"/>
        <family val="2"/>
        <scheme val="minor"/>
      </rPr>
      <t xml:space="preserve"> weight)</t>
    </r>
  </si>
  <si>
    <t>Mg CO2eq/ ha/ yr</t>
  </si>
  <si>
    <t>Mg CO2/ ha/ yr</t>
  </si>
  <si>
    <t>Mg C / ha / year</t>
  </si>
  <si>
    <r>
      <t>kg COC-CO2/ kg (</t>
    </r>
    <r>
      <rPr>
        <b/>
        <sz val="9"/>
        <rFont val="Calibri"/>
        <family val="2"/>
        <scheme val="minor"/>
      </rPr>
      <t>fresh</t>
    </r>
    <r>
      <rPr>
        <sz val="9"/>
        <rFont val="Calibri"/>
        <family val="2"/>
        <scheme val="minor"/>
      </rPr>
      <t xml:space="preserve"> weight)</t>
    </r>
  </si>
  <si>
    <t>Mg CO2 eq/ ha/ yr</t>
  </si>
  <si>
    <t>Mg C/ ha/ yr</t>
  </si>
  <si>
    <t>Of which fertilizer prod. and application</t>
  </si>
  <si>
    <r>
      <t>Mg (</t>
    </r>
    <r>
      <rPr>
        <b/>
        <sz val="9"/>
        <rFont val="Calibri"/>
        <family val="2"/>
        <scheme val="minor"/>
      </rPr>
      <t>fresh</t>
    </r>
    <r>
      <rPr>
        <sz val="9"/>
        <rFont val="Calibri"/>
        <family val="2"/>
        <scheme val="minor"/>
      </rPr>
      <t xml:space="preserve"> weight)/ ha/ year</t>
    </r>
  </si>
  <si>
    <t>Ratio</t>
  </si>
  <si>
    <t>Per land area</t>
  </si>
  <si>
    <t>Foregone or potential carbon sequestration (carbon loss or carbon sequestration in regrowth)</t>
  </si>
  <si>
    <t>Recurring emissions</t>
  </si>
  <si>
    <t>Net GHG benefit</t>
  </si>
  <si>
    <t>Carbon benefit</t>
  </si>
  <si>
    <t>Net incl on-site COC</t>
  </si>
  <si>
    <t>On-site C oppor-tunity cost</t>
  </si>
  <si>
    <t>Soil carbon stock changes</t>
  </si>
  <si>
    <t xml:space="preserve">Marginal fertilizer-related em. for add. yield </t>
  </si>
  <si>
    <t>Crop yield</t>
  </si>
  <si>
    <t>Example system vs alt.  land use</t>
  </si>
  <si>
    <t>C benefit alt. land use</t>
  </si>
  <si>
    <t>Global average</t>
  </si>
  <si>
    <t>GHG benefit of example</t>
  </si>
  <si>
    <t>GHG emissions balance</t>
  </si>
  <si>
    <t>Land efficiency</t>
  </si>
  <si>
    <t>Comparison with alternative land use</t>
  </si>
  <si>
    <t>Reference system</t>
  </si>
  <si>
    <t>Example system</t>
  </si>
  <si>
    <t>Global average beef</t>
  </si>
  <si>
    <t>Bryngelsson et al - Suckler beef</t>
  </si>
  <si>
    <t>Beef Sweden</t>
  </si>
  <si>
    <t>Uruguayan Campos - Extensive</t>
  </si>
  <si>
    <t>Picasso et al "Native pasture" system</t>
  </si>
  <si>
    <t xml:space="preserve">Beef Native grassland Uruguay (Campos) </t>
  </si>
  <si>
    <t>Brazilian Amazon - Extensive</t>
  </si>
  <si>
    <t>Low-input grass-based beef</t>
  </si>
  <si>
    <t>Beef Amazon Brazil</t>
  </si>
  <si>
    <t>Brazilian Cerrado - Intensive</t>
  </si>
  <si>
    <t xml:space="preserve">Difference against scenario 1 </t>
  </si>
  <si>
    <t>Cardoso et al - Scenario 5</t>
  </si>
  <si>
    <t>Cardoso et al - Scenario 4</t>
  </si>
  <si>
    <t>Cardoso et al - Scenario 3</t>
  </si>
  <si>
    <t>Brazilian Cerrado - Semi-Intensive</t>
  </si>
  <si>
    <t>Cardoso et al - Scenario 2</t>
  </si>
  <si>
    <t>Brazilian Cerrado - Extensive</t>
  </si>
  <si>
    <t>Cardoso et al - Scenario 1</t>
  </si>
  <si>
    <t>Beef Brazil Center-West (Cerrado)</t>
  </si>
  <si>
    <t>kg CO2 eq/ kg carcass</t>
  </si>
  <si>
    <t>kg COC-CO2/ kg carcass</t>
  </si>
  <si>
    <t>kg CW/ ha/ year</t>
  </si>
  <si>
    <t>Share crop-land</t>
  </si>
  <si>
    <t>Meat/ milk yield</t>
  </si>
  <si>
    <t>TOTAL</t>
  </si>
  <si>
    <t>Rapeseed meal</t>
  </si>
  <si>
    <t>Rapeseed methylester (RME)</t>
  </si>
  <si>
    <t>Rapeseed (2012-14 avg yield)</t>
  </si>
  <si>
    <t>Rapeseed biodiesel EU</t>
  </si>
  <si>
    <t>Anhydrous fuel ethanol (grass based)</t>
  </si>
  <si>
    <t>Grass</t>
  </si>
  <si>
    <t>Distillers grains (maize ethanol)</t>
  </si>
  <si>
    <t>Anhydrous fuel ethanol (maize based)</t>
  </si>
  <si>
    <t>Maize grains (2013-15 avg yield)</t>
  </si>
  <si>
    <t>Anhydrous fuel ethanol (cane based)</t>
  </si>
  <si>
    <t>Sugarcane stems (2012-14 avg yield)</t>
  </si>
  <si>
    <t>Ethanol</t>
  </si>
  <si>
    <t>MJ GE (LHV)/ liter</t>
  </si>
  <si>
    <r>
      <t xml:space="preserve">kg CO2 eq/ liter </t>
    </r>
    <r>
      <rPr>
        <b/>
        <sz val="9"/>
        <rFont val="Calibri"/>
        <family val="2"/>
        <scheme val="minor"/>
      </rPr>
      <t>ethanol</t>
    </r>
  </si>
  <si>
    <t>g COC-CO2/ MJ GE (LHV)</t>
  </si>
  <si>
    <t>g CO2 eq/ MJ GE (LHV)</t>
  </si>
  <si>
    <t>kg DM/ ha/ year</t>
  </si>
  <si>
    <t>liter/ ha/ year</t>
  </si>
  <si>
    <t>kg DM/ kg DM feed-stock</t>
  </si>
  <si>
    <t>liter/ kg DM feed-stock</t>
  </si>
  <si>
    <t>Mg DM/ ha/ year</t>
  </si>
  <si>
    <t>Share allocated to output</t>
  </si>
  <si>
    <t>Energy content</t>
  </si>
  <si>
    <t xml:space="preserve">Avoided em. from fossil fuel substi-tution </t>
  </si>
  <si>
    <t>Recur-ring emis-sions</t>
  </si>
  <si>
    <t>On-site C opp. cost incl. avoided fossil CO2</t>
  </si>
  <si>
    <t>Fuel and co-product yield per land unit</t>
  </si>
  <si>
    <t>Fuel and co-product yield per feedstock unit</t>
  </si>
  <si>
    <t>Feed-stock yield</t>
  </si>
  <si>
    <t>Comp.</t>
  </si>
  <si>
    <t>Transportation fuels</t>
  </si>
  <si>
    <t>Gasoline/diesel avg</t>
  </si>
  <si>
    <t>Diesel</t>
  </si>
  <si>
    <t>Gasoline</t>
  </si>
  <si>
    <t>Gasoline/diesel</t>
  </si>
  <si>
    <t>Biofuel powertrains (100% blend)</t>
  </si>
  <si>
    <t>Electric powertrains</t>
  </si>
  <si>
    <t>Powertrains</t>
  </si>
  <si>
    <t>Solar cell electricity, Central Europe</t>
  </si>
  <si>
    <t>Electricty</t>
  </si>
  <si>
    <t>Energy carriers</t>
  </si>
  <si>
    <t>Ratio of improve-ment of current COC for parity</t>
  </si>
  <si>
    <t>Reduction of current COC for parity</t>
  </si>
  <si>
    <t>Fraction of current COC for parity</t>
  </si>
  <si>
    <t>g CO2-eq/ km</t>
  </si>
  <si>
    <t>g COC-CO2/ km</t>
  </si>
  <si>
    <t>Biofuel economy vs gaso-line / diesel (volume basis)</t>
  </si>
  <si>
    <t>liter/ 10 km</t>
  </si>
  <si>
    <t>MJ/ 10 km</t>
  </si>
  <si>
    <t>kWh/ 10 km</t>
  </si>
  <si>
    <t>g CO2-eq/ MJ LHV</t>
  </si>
  <si>
    <t>g COC-CO2/ MJ LHV</t>
  </si>
  <si>
    <t>Life-cycle energy use (for 200 000 km) (kWh/ 10 km)</t>
  </si>
  <si>
    <t>Energy use battery prod. (MJ/ kg battery)</t>
  </si>
  <si>
    <t>Specific energy (kWh/ kg battery)</t>
  </si>
  <si>
    <t>Capa-city (kWh)</t>
  </si>
  <si>
    <t>Emissions in produc-tion of solar panels (g CO2/ kWh)</t>
  </si>
  <si>
    <t>Mg COC-CO2/ ha/ year</t>
  </si>
  <si>
    <t>Mg COC-C/ ha/ year</t>
  </si>
  <si>
    <t>Power produc-tion (kWh/ m2/ yr)</t>
  </si>
  <si>
    <t>Perfor-mance ratio</t>
  </si>
  <si>
    <t xml:space="preserve">Mod-ule effi-ciency </t>
  </si>
  <si>
    <t>Solar irradi-ation (kWh/ m2/ yr)</t>
  </si>
  <si>
    <t>Incl. recurring em. but EXCL org. soils em.</t>
  </si>
  <si>
    <t>C opp. cost</t>
  </si>
  <si>
    <t>Mid-sized car</t>
  </si>
  <si>
    <t>Energy use</t>
  </si>
  <si>
    <t>Battery specs</t>
  </si>
  <si>
    <t>Recurring</t>
  </si>
  <si>
    <t>C opportunity cost</t>
  </si>
  <si>
    <t>Reduction of COC for parity with gasoline/diesel</t>
  </si>
  <si>
    <t>Emissions per distance (mid-sized car)</t>
  </si>
  <si>
    <t>Fuel economy</t>
  </si>
  <si>
    <t>Emissions per fuel unit</t>
  </si>
  <si>
    <t>Electric vehicle battery</t>
  </si>
  <si>
    <t>Solar cell modules</t>
  </si>
  <si>
    <t>Not included</t>
  </si>
  <si>
    <t>Included in COC calculation</t>
  </si>
  <si>
    <t>Soft drinks</t>
  </si>
  <si>
    <t>Sweets</t>
  </si>
  <si>
    <t>Snacks</t>
  </si>
  <si>
    <t>Alcohol</t>
  </si>
  <si>
    <t>Sugar</t>
  </si>
  <si>
    <t>Total sugar</t>
  </si>
  <si>
    <t>Luxury food</t>
  </si>
  <si>
    <t>Fruits domestic</t>
  </si>
  <si>
    <t>Fruits imported</t>
  </si>
  <si>
    <t>Root vegetables (tubers etc)</t>
  </si>
  <si>
    <t>Cabbage &amp; Onion</t>
  </si>
  <si>
    <t>Salad greens</t>
  </si>
  <si>
    <t>Green vegetables</t>
  </si>
  <si>
    <t>Pasta</t>
  </si>
  <si>
    <t>Bread</t>
  </si>
  <si>
    <t>Other grains, flour</t>
  </si>
  <si>
    <t>Rice</t>
  </si>
  <si>
    <t>Wheat</t>
  </si>
  <si>
    <t>Oil</t>
  </si>
  <si>
    <t>Butter</t>
  </si>
  <si>
    <t>Cheese</t>
  </si>
  <si>
    <t>Liquid milk</t>
  </si>
  <si>
    <t>Soy milk</t>
  </si>
  <si>
    <t>Nuts &amp; seeds</t>
  </si>
  <si>
    <t>Legumes</t>
  </si>
  <si>
    <t>Veg. protein</t>
  </si>
  <si>
    <t>Fish and sea food farmed</t>
  </si>
  <si>
    <t>Fish and sea food wild</t>
  </si>
  <si>
    <t>Egg</t>
  </si>
  <si>
    <t>Meat other</t>
  </si>
  <si>
    <t>Mutton</t>
  </si>
  <si>
    <t>Culled dairy cows</t>
  </si>
  <si>
    <t>Dairy calves</t>
  </si>
  <si>
    <t>Meat only system</t>
  </si>
  <si>
    <t>Share of total</t>
  </si>
  <si>
    <t>Mg CO2eq/ cap/ yr</t>
  </si>
  <si>
    <t>Mg CO2/ cap/ yr</t>
  </si>
  <si>
    <t>MJ ME/ cap/ yr</t>
  </si>
  <si>
    <t>Vegan</t>
  </si>
  <si>
    <t>Climate-friendly meat</t>
  </si>
  <si>
    <t>Vegetarian</t>
  </si>
  <si>
    <t>Less meat</t>
  </si>
  <si>
    <t xml:space="preserve">Baseline </t>
  </si>
  <si>
    <t>Less meat 
(-50%)</t>
  </si>
  <si>
    <t>Vege-tarian</t>
  </si>
  <si>
    <t>Base-line 2050</t>
  </si>
  <si>
    <t>Item</t>
  </si>
  <si>
    <t>Production emissions (for global average supply system)</t>
  </si>
  <si>
    <t>Carbon opportunity cost (for global average supply system)</t>
  </si>
  <si>
    <t>Global avg COC &amp; GHG</t>
  </si>
  <si>
    <t>End-use per capita and year</t>
  </si>
  <si>
    <t>Carbon opportunity cost human diets Northern Europe (diets from Bryngelsson et al 2016)</t>
  </si>
  <si>
    <t>Org. soils</t>
  </si>
  <si>
    <t>Org. soils emis-sions</t>
  </si>
  <si>
    <t>Organic soils emis-sions</t>
  </si>
  <si>
    <t xml:space="preserve">Organic soils emissions </t>
  </si>
  <si>
    <t>P. outp. (m2/kg prot.)</t>
  </si>
  <si>
    <r>
      <t>Cropland</t>
    </r>
    <r>
      <rPr>
        <b/>
        <sz val="9"/>
        <rFont val="Calibri"/>
        <family val="2"/>
        <scheme val="minor"/>
      </rPr>
      <t xml:space="preserve"> (excl. straw etc)</t>
    </r>
  </si>
  <si>
    <t>Native/ cultivated perma-nent pasture-land</t>
  </si>
  <si>
    <t xml:space="preserve">CO2 </t>
  </si>
  <si>
    <t>Production GHG em.</t>
  </si>
  <si>
    <t>Prod. em.</t>
  </si>
  <si>
    <t>GHG em.</t>
  </si>
  <si>
    <t>GHG emissions</t>
  </si>
  <si>
    <t xml:space="preserve"> data</t>
  </si>
  <si>
    <t>Land area percentages</t>
  </si>
  <si>
    <t xml:space="preserve">Fract-ion orga-nic soils </t>
  </si>
  <si>
    <r>
      <t xml:space="preserve">Fract-ion org. soils in </t>
    </r>
    <r>
      <rPr>
        <b/>
        <sz val="9"/>
        <rFont val="Calibri"/>
        <family val="2"/>
        <scheme val="minor"/>
      </rPr>
      <t>tempe-rate</t>
    </r>
    <r>
      <rPr>
        <sz val="9"/>
        <rFont val="Calibri"/>
        <family val="2"/>
        <scheme val="minor"/>
      </rPr>
      <t xml:space="preserve"> biome</t>
    </r>
  </si>
  <si>
    <r>
      <t xml:space="preserve">Fract-ion org. soils in </t>
    </r>
    <r>
      <rPr>
        <b/>
        <sz val="9"/>
        <rFont val="Calibri"/>
        <family val="2"/>
        <scheme val="minor"/>
      </rPr>
      <t>boreal</t>
    </r>
    <r>
      <rPr>
        <sz val="9"/>
        <rFont val="Calibri"/>
        <family val="2"/>
        <scheme val="minor"/>
      </rPr>
      <t xml:space="preserve"> biome</t>
    </r>
  </si>
  <si>
    <r>
      <t xml:space="preserve">Fract-ion org. soils in </t>
    </r>
    <r>
      <rPr>
        <b/>
        <sz val="9"/>
        <rFont val="Calibri"/>
        <family val="2"/>
        <scheme val="minor"/>
      </rPr>
      <t>tropical</t>
    </r>
    <r>
      <rPr>
        <sz val="9"/>
        <rFont val="Calibri"/>
        <family val="2"/>
        <scheme val="minor"/>
      </rPr>
      <t xml:space="preserve"> biome</t>
    </r>
  </si>
  <si>
    <t xml:space="preserve">Fraction organic soils </t>
  </si>
  <si>
    <t>EF avg</t>
  </si>
  <si>
    <t>Emissions per ha of organic soil</t>
  </si>
  <si>
    <t>Tempe-rate biome (Mg CO2/ ha/ yr)</t>
  </si>
  <si>
    <t>Boreal biome (Mg CO2/ ha/ yr)</t>
  </si>
  <si>
    <t>Tropi-cal biome (Mg CO2/ ha/ yr)</t>
  </si>
  <si>
    <r>
      <t>Tropi-cal biome (</t>
    </r>
    <r>
      <rPr>
        <b/>
        <sz val="9"/>
        <rFont val="Calibri"/>
        <family val="2"/>
        <scheme val="minor"/>
      </rPr>
      <t>kg</t>
    </r>
    <r>
      <rPr>
        <sz val="9"/>
        <rFont val="Calibri"/>
        <family val="2"/>
        <scheme val="minor"/>
      </rPr>
      <t xml:space="preserve"> N2O/ ha/ yr)</t>
    </r>
  </si>
  <si>
    <t>Diff. in em. + soil C stock changes</t>
  </si>
  <si>
    <t xml:space="preserve">Recurring emissions </t>
  </si>
  <si>
    <t>Solar power BEV
(Central Europe)</t>
  </si>
  <si>
    <t>Cane ethanol
(global avg)</t>
  </si>
  <si>
    <t>Wheat ethanol
(global avg)</t>
  </si>
  <si>
    <t>Maize ethanol
(global avg)</t>
  </si>
  <si>
    <t>Palm-oil biodiesel
(global avg)</t>
  </si>
  <si>
    <t>Rapeseed biodiesel
(global avg)</t>
  </si>
  <si>
    <t>Soybean biodiesel
(global avg)</t>
  </si>
  <si>
    <t>Organic soils emissions (for global average supply system)</t>
  </si>
  <si>
    <t>Carbon opportunity cost + organic soils emissions + production emissions</t>
  </si>
  <si>
    <t>Organic soils GHG em.</t>
  </si>
  <si>
    <t>Beef Brazil Cardoso et al Syst. 2
(75 kg CW/ha/yr)</t>
  </si>
  <si>
    <t>Beef Brazil Cardoso et al Syst. 3
(140 kg CW/ha/yr)</t>
  </si>
  <si>
    <t>Beef Brazil Cardoso et al Syst. 4
(200 kg CW/ha/yr)</t>
  </si>
  <si>
    <t>Beef Brazil Cardoso et al Syst. 5
(220 kg CW/ha/yr)</t>
  </si>
  <si>
    <t>Beef Brazil Cardoso et al Syst. 1
(30 kg CW/ha/yr)</t>
  </si>
  <si>
    <t>Fertilized
(100 kg N/ha/yr)</t>
  </si>
  <si>
    <t>Vegetarian
(ovo-lacto)</t>
  </si>
  <si>
    <t>Baseline
(year 2050)</t>
  </si>
  <si>
    <t>No beef or dairy
(pork &amp; poultry 
at baseline level)</t>
  </si>
  <si>
    <t>Less meat 
(- 50%)</t>
  </si>
  <si>
    <t>Higher yield
(+ 1 ton/ha/yr)</t>
  </si>
  <si>
    <t>Maize ethanol Iowa
(solid fill: ethanol; 
pattern fill: DDGS)</t>
  </si>
  <si>
    <t>Protein fraction</t>
  </si>
  <si>
    <t>ME fraction</t>
  </si>
  <si>
    <t>Allocation over dairy outputs</t>
  </si>
  <si>
    <r>
      <t>Large dairy (</t>
    </r>
    <r>
      <rPr>
        <b/>
        <sz val="9"/>
        <rFont val="Calibri"/>
        <family val="2"/>
        <scheme val="minor"/>
      </rPr>
      <t>unallocated</t>
    </r>
    <r>
      <rPr>
        <sz val="9"/>
        <rFont val="Calibri"/>
        <family val="2"/>
        <scheme val="minor"/>
      </rPr>
      <t>)</t>
    </r>
  </si>
  <si>
    <r>
      <t>Small dairy (</t>
    </r>
    <r>
      <rPr>
        <b/>
        <sz val="9"/>
        <rFont val="Calibri"/>
        <family val="2"/>
        <scheme val="minor"/>
      </rPr>
      <t>unallocated</t>
    </r>
    <r>
      <rPr>
        <sz val="9"/>
        <rFont val="Calibri"/>
        <family val="2"/>
        <scheme val="minor"/>
      </rPr>
      <t>)</t>
    </r>
  </si>
  <si>
    <t>Crediting multiple outputs</t>
  </si>
  <si>
    <t>Average meat systems</t>
  </si>
  <si>
    <t>Average dairy systems</t>
  </si>
  <si>
    <t>Allocated large dairy milk</t>
  </si>
  <si>
    <t>Allocated large dairy meat</t>
  </si>
  <si>
    <t>Allocated small dairy milk</t>
  </si>
  <si>
    <t>Allocated small dairy meat</t>
  </si>
  <si>
    <t>Large dairy (unallocated)</t>
  </si>
  <si>
    <t>Small dairy (unallocated)</t>
  </si>
  <si>
    <t>Large-rum. meat incl. dairy bulls (beef carcass)</t>
  </si>
  <si>
    <t>Average large-ruminants meat incl. all dairy meat</t>
  </si>
  <si>
    <t>Average small-ruminants meat incl. all dairy meat</t>
  </si>
  <si>
    <t>Eco-nomic fraction</t>
  </si>
  <si>
    <t>Food, feeds and fibers</t>
  </si>
  <si>
    <t>Share mosaic-veg. NPP of NPP-orig.</t>
  </si>
  <si>
    <t>Avg small-ruminants meat incl. all dairy meat</t>
  </si>
  <si>
    <t>Avg large-ruminants meat incl. all dairy meat</t>
  </si>
  <si>
    <t>CO2 emissions</t>
  </si>
  <si>
    <r>
      <t>Life-cycle emissions per distance</t>
    </r>
    <r>
      <rPr>
        <sz val="9"/>
        <rFont val="Calibri"/>
        <family val="2"/>
        <scheme val="minor"/>
      </rPr>
      <t xml:space="preserve"> (g CO2/ km)</t>
    </r>
  </si>
  <si>
    <t>CO2 intens-ity of energy use (kg CO2/ kWh)</t>
  </si>
  <si>
    <t>Grass ethanol
(grass yield 17 ton DM/ha/yr
soil C seq. 0.6 ton/yr)</t>
  </si>
  <si>
    <t>Beef Cerrado Cardoso Syst. 3
(140 kg CW/ha/yr)</t>
  </si>
  <si>
    <t>Beef Cerrado Cardoso Syst. 2
(75 kg CW/ha/yr)</t>
  </si>
  <si>
    <t>Beef Cerrado Cardoso Syst. 1
(30 kg CW/ha/yr)</t>
  </si>
  <si>
    <r>
      <t xml:space="preserve">Carbon oppor-tunity cost (C </t>
    </r>
    <r>
      <rPr>
        <b/>
        <sz val="9"/>
        <color theme="1"/>
        <rFont val="Calibri"/>
        <family val="2"/>
        <scheme val="minor"/>
      </rPr>
      <t>"loss"</t>
    </r>
    <r>
      <rPr>
        <sz val="9"/>
        <color theme="1"/>
        <rFont val="Calibri"/>
        <family val="2"/>
        <scheme val="minor"/>
      </rPr>
      <t>)</t>
    </r>
  </si>
  <si>
    <t>COC (C "loss")</t>
  </si>
  <si>
    <r>
      <t xml:space="preserve">Carbon opportunity cost (C </t>
    </r>
    <r>
      <rPr>
        <b/>
        <sz val="9"/>
        <rFont val="Calibri"/>
        <family val="2"/>
        <scheme val="minor"/>
      </rPr>
      <t>"loss"</t>
    </r>
    <r>
      <rPr>
        <sz val="9"/>
        <rFont val="Calibri"/>
        <family val="2"/>
        <scheme val="minor"/>
      </rPr>
      <t>)</t>
    </r>
  </si>
  <si>
    <t>Recurring emissions credit</t>
  </si>
  <si>
    <t>Organic soil emissions credit</t>
  </si>
  <si>
    <t>Fraction of gaso-line/ diesel</t>
  </si>
  <si>
    <t>Annual power balance</t>
  </si>
  <si>
    <t>Period with deficit and surplus (months)</t>
  </si>
  <si>
    <t>Diff. in CO2 int. of back-up v. re-placed (g CO2/ kWh)</t>
  </si>
  <si>
    <t>Annualized CO2 cost of balancing solar power output (g CO2/ kWh)</t>
  </si>
  <si>
    <t>Net GHG benefit - co-product</t>
  </si>
  <si>
    <t>Net GHG benefit - main product</t>
  </si>
  <si>
    <t>Grass ethanol
(grass yield 17 ton DM/ha/yr
soil C seq. 0.6 ton/ha/yr)</t>
  </si>
  <si>
    <t>Grass ethanol
(grass yield 10 ton DM/ha/yr
soil C seq. 0.6 ton/ha/yr)</t>
  </si>
  <si>
    <r>
      <t xml:space="preserve">Energy p. feed-stock (MJ </t>
    </r>
    <r>
      <rPr>
        <b/>
        <sz val="9"/>
        <rFont val="Calibri"/>
        <family val="2"/>
        <scheme val="minor"/>
      </rPr>
      <t>LHV</t>
    </r>
    <r>
      <rPr>
        <sz val="9"/>
        <rFont val="Calibri"/>
        <family val="2"/>
        <scheme val="minor"/>
      </rPr>
      <t>/ kg as-is)</t>
    </r>
  </si>
  <si>
    <r>
      <t xml:space="preserve">Energy p. feed-stock (MJ </t>
    </r>
    <r>
      <rPr>
        <b/>
        <sz val="9"/>
        <rFont val="Calibri"/>
        <family val="2"/>
        <scheme val="minor"/>
      </rPr>
      <t>LHV</t>
    </r>
    <r>
      <rPr>
        <sz val="9"/>
        <rFont val="Calibri"/>
        <family val="2"/>
        <scheme val="minor"/>
      </rPr>
      <t>/ kg DM)</t>
    </r>
  </si>
  <si>
    <t>Soybean meal (from oil extraction above)</t>
  </si>
  <si>
    <t>Canola meal (from oil extraction above)</t>
  </si>
  <si>
    <t>Palm kernel oil (from oil extraction above)</t>
  </si>
  <si>
    <t>Palm kernel meal (from oil extraction above)</t>
  </si>
  <si>
    <r>
      <t xml:space="preserve">By-prod. p. fuel (kg as-is/ </t>
    </r>
    <r>
      <rPr>
        <b/>
        <sz val="9"/>
        <rFont val="Calibri"/>
        <family val="2"/>
        <scheme val="minor"/>
      </rPr>
      <t>liter</t>
    </r>
    <r>
      <rPr>
        <sz val="9"/>
        <rFont val="Calibri"/>
        <family val="2"/>
        <scheme val="minor"/>
      </rPr>
      <t>)</t>
    </r>
  </si>
  <si>
    <r>
      <t xml:space="preserve">By-prod. p. fuel (kg as-is/ </t>
    </r>
    <r>
      <rPr>
        <b/>
        <sz val="9"/>
        <rFont val="Calibri"/>
        <family val="2"/>
        <scheme val="minor"/>
      </rPr>
      <t>MJ LHV</t>
    </r>
    <r>
      <rPr>
        <sz val="9"/>
        <rFont val="Calibri"/>
        <family val="2"/>
        <scheme val="minor"/>
      </rPr>
      <t>)</t>
    </r>
  </si>
  <si>
    <t>All poultry</t>
  </si>
  <si>
    <t>Per ALL out-put as-is (kg CO2 eq/ kg)</t>
  </si>
  <si>
    <t>kg CO2 per kg MAIN outp. as-is</t>
  </si>
  <si>
    <t>g N2O per kg MAIN outp. as-is</t>
  </si>
  <si>
    <t>g CH4 per kg MAIN outp. as-is</t>
  </si>
  <si>
    <t>kg CO2 eq/ kg MAIN outp. as-is</t>
  </si>
  <si>
    <t>Totals by source</t>
  </si>
  <si>
    <t>CO2 fuel</t>
  </si>
  <si>
    <t>CO2 inputs</t>
  </si>
  <si>
    <t>Tg CO2 eq/ yr</t>
  </si>
  <si>
    <t>Tg CO2/ yr</t>
  </si>
  <si>
    <t xml:space="preserve">CH4 </t>
  </si>
  <si>
    <t>N20</t>
  </si>
  <si>
    <t xml:space="preserve">CH4  </t>
  </si>
  <si>
    <t>Manure mgmt</t>
  </si>
  <si>
    <t>Energy</t>
  </si>
  <si>
    <t>Feed dig.</t>
  </si>
  <si>
    <t>Man. excr.</t>
  </si>
  <si>
    <t>Per ha:</t>
  </si>
  <si>
    <t>Manure management</t>
  </si>
  <si>
    <t>Energy farm</t>
  </si>
  <si>
    <t>Feed digestion</t>
  </si>
  <si>
    <t>Manure excr../appli.</t>
  </si>
  <si>
    <t>Fuel, inputs</t>
  </si>
  <si>
    <t>Fertilizer, crop res.</t>
  </si>
  <si>
    <t xml:space="preserve">N2O </t>
  </si>
  <si>
    <t>N2O soil</t>
  </si>
  <si>
    <t>CO2 fuel, inputs</t>
  </si>
  <si>
    <r>
      <t xml:space="preserve">Per separate output </t>
    </r>
    <r>
      <rPr>
        <b/>
        <i/>
        <u/>
        <sz val="10"/>
        <rFont val="Calibri"/>
        <family val="2"/>
        <scheme val="minor"/>
      </rPr>
      <t>with co-products crediting</t>
    </r>
  </si>
  <si>
    <t>Steady-state carbon stocks</t>
  </si>
  <si>
    <t>Total (Mg C/ ha)</t>
  </si>
  <si>
    <t>Plant (Mg C/ ha)</t>
  </si>
  <si>
    <t>Soil 1 m (Mg C/ ha)</t>
  </si>
  <si>
    <t>Avg rainf./irrig.</t>
  </si>
  <si>
    <t xml:space="preserve">LOSS NATIVE - AGRICULTURAL VEG. </t>
  </si>
  <si>
    <t>ALL CROPS AND PERM. GRASSLAND</t>
  </si>
  <si>
    <t>Globagri data beans:</t>
  </si>
  <si>
    <r>
      <t>Tempe-rate biome (</t>
    </r>
    <r>
      <rPr>
        <b/>
        <sz val="9"/>
        <rFont val="Calibri"/>
        <family val="2"/>
        <scheme val="minor"/>
      </rPr>
      <t>kg</t>
    </r>
    <r>
      <rPr>
        <sz val="9"/>
        <rFont val="Calibri"/>
        <family val="2"/>
        <scheme val="minor"/>
      </rPr>
      <t xml:space="preserve"> N2O/ ha/ yr)</t>
    </r>
  </si>
  <si>
    <r>
      <t>Boreal biome (</t>
    </r>
    <r>
      <rPr>
        <b/>
        <sz val="9"/>
        <rFont val="Calibri"/>
        <family val="2"/>
        <scheme val="minor"/>
      </rPr>
      <t>kg</t>
    </r>
    <r>
      <rPr>
        <sz val="9"/>
        <rFont val="Calibri"/>
        <family val="2"/>
        <scheme val="minor"/>
      </rPr>
      <t xml:space="preserve"> N2O/ ha/ yr)</t>
    </r>
  </si>
  <si>
    <t>Tropi-cal biome (kg CH4/ ha/ yr)</t>
  </si>
  <si>
    <t>Tempe-rate biome (kg CH4/ ha/ yr)</t>
  </si>
  <si>
    <t>Boreal biome (kg CH4/ ha/ yr)</t>
  </si>
  <si>
    <t>NATIVE VEGETATION (adj. LPJ data except for grass/legumes)</t>
  </si>
  <si>
    <t>Global</t>
  </si>
  <si>
    <t>Total (Pg C)</t>
  </si>
  <si>
    <t>Plant (Pg C)</t>
  </si>
  <si>
    <t>Soil 1 m (Pg C)</t>
  </si>
  <si>
    <t>Native-vegetation biome</t>
  </si>
  <si>
    <t>Tropi-cal forest</t>
  </si>
  <si>
    <t>Tem-pe-rate forest</t>
  </si>
  <si>
    <t>Bore-al forest</t>
  </si>
  <si>
    <t>Tropi-cal savan-nah</t>
  </si>
  <si>
    <t>Tem-pe-rate scrub</t>
  </si>
  <si>
    <t>Tem-pe-rate grass</t>
  </si>
  <si>
    <t>Des-ert</t>
  </si>
  <si>
    <t>Tropi-cal peat</t>
  </si>
  <si>
    <t>Tem-pe-rate peat</t>
  </si>
  <si>
    <t>Area-fraction by biome and crop</t>
  </si>
  <si>
    <t>Organic and conventional peas Sweden
- 2013-15 avg yields</t>
  </si>
  <si>
    <t>Discounting</t>
  </si>
  <si>
    <t>Rate</t>
  </si>
  <si>
    <t>Time horizon (years)</t>
  </si>
  <si>
    <t>Carbon stock losses</t>
  </si>
  <si>
    <t>Temperate forest</t>
  </si>
  <si>
    <t>Boreal forest</t>
  </si>
  <si>
    <t>Tropical savannah</t>
  </si>
  <si>
    <t>Temperate scrub</t>
  </si>
  <si>
    <t>Temperate grass</t>
  </si>
  <si>
    <t>Desert</t>
  </si>
  <si>
    <t>Tropical peat</t>
  </si>
  <si>
    <t>Temperate peat</t>
  </si>
  <si>
    <t>Biome</t>
  </si>
  <si>
    <t>Allometrics</t>
  </si>
  <si>
    <t>Biome allometrics and land-clearing data</t>
  </si>
  <si>
    <t>Above-ground (incl. standing dead)</t>
  </si>
  <si>
    <t>Fraction burnt</t>
  </si>
  <si>
    <t>Litter</t>
  </si>
  <si>
    <t>All above-ground incl. litter</t>
  </si>
  <si>
    <t>Roots</t>
  </si>
  <si>
    <t>Soil carbon</t>
  </si>
  <si>
    <t xml:space="preserve">CUMULATIVE DYNAMIC LOSSES WITH DISCOUNTING </t>
  </si>
  <si>
    <t>Mg/ ha</t>
  </si>
  <si>
    <t>Of nom-inal loss</t>
  </si>
  <si>
    <t>TOTAL LOSSES WITHOUT DISCOUNTING</t>
  </si>
  <si>
    <t>Warming potential in CO2 eq</t>
  </si>
  <si>
    <t>Regrowth rate</t>
  </si>
  <si>
    <t>0-20 yrs</t>
  </si>
  <si>
    <t>Avg over 100 yrs</t>
  </si>
  <si>
    <t>20-50 yrs</t>
  </si>
  <si>
    <t>50-70 yrs</t>
  </si>
  <si>
    <t>70-100 yrs</t>
  </si>
  <si>
    <t>CONSTANT WITHOUT DISCOUNTING</t>
  </si>
  <si>
    <t>DYNAMIC WITH DISCOUNTING</t>
  </si>
  <si>
    <t>Actual regrowth rate</t>
  </si>
  <si>
    <t>Discounted regrowth rate</t>
  </si>
  <si>
    <t>Dynamic WITH discounting</t>
  </si>
  <si>
    <t>Constant without disc.</t>
  </si>
  <si>
    <t>ACTUAL</t>
  </si>
  <si>
    <t>DISCOUNTED</t>
  </si>
  <si>
    <t>kg C/ kg dry matter (car-cass, milk, egg)</t>
  </si>
  <si>
    <t>kg CO2 eq/ kg DM (car-cass, milk, egg)</t>
  </si>
  <si>
    <t>Per ALL out-put DM (kg CO2 eq/ kg)</t>
  </si>
  <si>
    <t xml:space="preserve">Beef Native grassland (Campos, Uruguay) </t>
  </si>
  <si>
    <t>Regrowth Campos (0.4 ton C/ha/yr)</t>
  </si>
  <si>
    <t>g CO2/ km</t>
  </si>
  <si>
    <t>g CO2 eq/ km</t>
  </si>
  <si>
    <t>Fract-ion soil C loss - TEMPE-RATE</t>
  </si>
  <si>
    <t>Fract-ion soil C loss - TROPI-CAL</t>
  </si>
  <si>
    <t>Fract-ion soil C loss of native - AVG</t>
  </si>
  <si>
    <t>Fract-ion plant C loss of native</t>
  </si>
  <si>
    <t>Avg all bio-mes</t>
  </si>
  <si>
    <t>Fraction of entire plant plus litter</t>
  </si>
  <si>
    <t>Of entire plant</t>
  </si>
  <si>
    <t>Of above-ground incl. litter</t>
  </si>
  <si>
    <t>Unburnt</t>
  </si>
  <si>
    <t>Unburned above-gr. mass (of entire plant)</t>
  </si>
  <si>
    <t>Decay rates</t>
  </si>
  <si>
    <t>Fraction decomposed per year</t>
  </si>
  <si>
    <t>Land-clearing combustion</t>
  </si>
  <si>
    <t>Total plant C loss</t>
  </si>
  <si>
    <t>Total soil C loss</t>
  </si>
  <si>
    <t>Los-ses  rest of time per-iod</t>
  </si>
  <si>
    <t>Grass ethanol
(grass yield 32 ton DM/ha/yr
soil C seq. 0.6 ton/ha/yr)</t>
  </si>
  <si>
    <t>Rainfed areas</t>
  </si>
  <si>
    <t>Irrigated areas</t>
  </si>
  <si>
    <r>
      <t>Lost year 0 by</t>
    </r>
    <r>
      <rPr>
        <b/>
        <sz val="9"/>
        <rFont val="Calibri"/>
        <family val="2"/>
        <scheme val="minor"/>
      </rPr>
      <t xml:space="preserve"> burn-ing</t>
    </r>
  </si>
  <si>
    <t>Large meat (including dairy bulls!!)</t>
  </si>
  <si>
    <t>Oth. [zero opp. cost]</t>
  </si>
  <si>
    <t>Feed prod. [upstream data]</t>
  </si>
  <si>
    <r>
      <t xml:space="preserve">Brans share </t>
    </r>
    <r>
      <rPr>
        <b/>
        <sz val="9"/>
        <rFont val="Calibri"/>
        <family val="2"/>
        <scheme val="minor"/>
      </rPr>
      <t>of all by-pr. &amp; res.</t>
    </r>
  </si>
  <si>
    <r>
      <t xml:space="preserve">Molas-ses share </t>
    </r>
    <r>
      <rPr>
        <b/>
        <sz val="9"/>
        <rFont val="Calibri"/>
        <family val="2"/>
        <scheme val="minor"/>
      </rPr>
      <t>of all by-pr. &amp; res.</t>
    </r>
  </si>
  <si>
    <r>
      <t xml:space="preserve">Prot. conc. share </t>
    </r>
    <r>
      <rPr>
        <b/>
        <sz val="9"/>
        <rFont val="Calibri"/>
        <family val="2"/>
        <scheme val="minor"/>
      </rPr>
      <t>of all by-pr. &amp; res.</t>
    </r>
  </si>
  <si>
    <r>
      <t xml:space="preserve">Dist. gr. share </t>
    </r>
    <r>
      <rPr>
        <b/>
        <sz val="9"/>
        <rFont val="Calibri"/>
        <family val="2"/>
        <scheme val="minor"/>
      </rPr>
      <t>of all by-pr. &amp; res.</t>
    </r>
  </si>
  <si>
    <r>
      <t xml:space="preserve">Feed DM per </t>
    </r>
    <r>
      <rPr>
        <i/>
        <sz val="9"/>
        <rFont val="Calibri"/>
        <family val="2"/>
        <scheme val="minor"/>
      </rPr>
      <t>fresh weight</t>
    </r>
    <r>
      <rPr>
        <sz val="9"/>
        <rFont val="Calibri"/>
        <family val="2"/>
        <scheme val="minor"/>
      </rPr>
      <t xml:space="preserve"> (main outp.)</t>
    </r>
  </si>
  <si>
    <r>
      <t xml:space="preserve">All feed per </t>
    </r>
    <r>
      <rPr>
        <i/>
        <sz val="9"/>
        <rFont val="Calibri"/>
        <family val="2"/>
        <scheme val="minor"/>
      </rPr>
      <t>protein</t>
    </r>
    <r>
      <rPr>
        <sz val="9"/>
        <rFont val="Calibri"/>
        <family val="2"/>
        <scheme val="minor"/>
      </rPr>
      <t xml:space="preserve"> output (kg DM/ kg)</t>
    </r>
  </si>
  <si>
    <r>
      <t>Oth. by-pr.</t>
    </r>
    <r>
      <rPr>
        <b/>
        <sz val="9"/>
        <rFont val="Calibri"/>
        <family val="2"/>
        <scheme val="minor"/>
      </rPr>
      <t xml:space="preserve"> [zero opp. cost]</t>
    </r>
  </si>
  <si>
    <t>Other by-products [zero opp. cost]</t>
  </si>
  <si>
    <r>
      <t>Supply</t>
    </r>
    <r>
      <rPr>
        <b/>
        <sz val="9"/>
        <rFont val="Calibri"/>
        <family val="2"/>
        <scheme val="minor"/>
      </rPr>
      <t xml:space="preserve"> [Driving var. for global feedstock use]</t>
    </r>
  </si>
  <si>
    <t>Feed [upstream data]</t>
  </si>
  <si>
    <t>Feed pr. [upstream data]</t>
  </si>
  <si>
    <r>
      <t xml:space="preserve">Gross energy </t>
    </r>
    <r>
      <rPr>
        <b/>
        <i/>
        <sz val="10"/>
        <rFont val="Calibri"/>
        <family val="2"/>
        <scheme val="minor"/>
      </rPr>
      <t>(HHV)</t>
    </r>
  </si>
  <si>
    <r>
      <t xml:space="preserve">GE </t>
    </r>
    <r>
      <rPr>
        <b/>
        <i/>
        <sz val="10"/>
        <rFont val="Calibri"/>
        <family val="2"/>
        <scheme val="minor"/>
      </rPr>
      <t>(LHV)</t>
    </r>
  </si>
  <si>
    <r>
      <rPr>
        <b/>
        <sz val="9"/>
        <rFont val="Calibri"/>
        <family val="2"/>
        <scheme val="minor"/>
      </rPr>
      <t>g N2O</t>
    </r>
    <r>
      <rPr>
        <sz val="9"/>
        <rFont val="Calibri"/>
        <family val="2"/>
        <scheme val="minor"/>
      </rPr>
      <t>/ kg DM</t>
    </r>
  </si>
  <si>
    <t>I. On-site native-vegetation C-stock loss by expansion</t>
  </si>
  <si>
    <t>Annual/perennIl crops on cropland</t>
  </si>
  <si>
    <t>I.</t>
  </si>
  <si>
    <t>I. C-stock loss</t>
  </si>
  <si>
    <t>I. Native-veg. C-stock loss</t>
  </si>
  <si>
    <t>I. C stock loss</t>
  </si>
  <si>
    <t>I</t>
  </si>
  <si>
    <t>Crops and pasture carbon and NPP oppportunity cost calculations: DISCOUNTED data</t>
  </si>
  <si>
    <t>Crops and pasture carbon and NPP oppportunity cost calculations: AMORTIZED data</t>
  </si>
  <si>
    <t>Processed crop outputs carbon and NPP oppportunity cost calculations: DISCOUNTED data</t>
  </si>
  <si>
    <t>Processed crop outputs carbon and NPP oppportunity cost calculations: AMORTIZED data</t>
  </si>
  <si>
    <t>Livestock products carbon and NPP oppportunity cost calculations: DISCOUNTED data</t>
  </si>
  <si>
    <t>Livestock products carbon and NPP oppportunity cost calculations: AMORTIZED data</t>
  </si>
  <si>
    <t>Grass ethanol 10 ton yield</t>
  </si>
  <si>
    <t>Grass ethanol 10 ton yield w. 0.6 ton C seq.</t>
  </si>
  <si>
    <t>Grass ethanol 17 ton yield</t>
  </si>
  <si>
    <t>Grass ethanol 17 ton yield w. 0.6 ton C seq.</t>
  </si>
  <si>
    <t>Grass ethanol 39 ton yield w. 0.6 ton C seq.</t>
  </si>
  <si>
    <r>
      <t>Livestock supply</t>
    </r>
    <r>
      <rPr>
        <b/>
        <sz val="9"/>
        <color theme="5" tint="-0.249977111117893"/>
        <rFont val="Calibri"/>
        <family val="2"/>
        <scheme val="minor"/>
      </rPr>
      <t xml:space="preserve"> [Driving variable for global feed use calc.]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</si>
</sst>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
    <numFmt numFmtId="166" formatCode="0.000"/>
    <numFmt numFmtId="167" formatCode="0.0000"/>
    <numFmt numFmtId="168" formatCode="0.000000000000"/>
  </numFmts>
  <fonts count="68" x14ac:knownFonts="1">
    <font>
      <sz val="11"/>
      <color theme="1"/>
      <name val="Calibri"/>
      <family val="2"/>
      <scheme val="minor"/>
    </font>
    <font>
      <sz val="9"/>
      <color theme="1"/>
      <name val="Calibri"/>
      <family val="2"/>
      <scheme val="minor"/>
    </font>
    <font>
      <sz val="9"/>
      <color theme="1"/>
      <name val="Calibri"/>
      <family val="2"/>
      <scheme val="minor"/>
    </font>
    <font>
      <sz val="9"/>
      <color theme="1"/>
      <name val="Calibri"/>
      <family val="2"/>
      <scheme val="minor"/>
    </font>
    <font>
      <sz val="9"/>
      <color theme="1"/>
      <name val="Calibri"/>
      <family val="2"/>
      <scheme val="minor"/>
    </font>
    <font>
      <sz val="9"/>
      <color theme="1"/>
      <name val="Calibri"/>
      <family val="2"/>
      <scheme val="minor"/>
    </font>
    <font>
      <sz val="9"/>
      <color theme="1"/>
      <name val="Calibri"/>
      <family val="2"/>
      <scheme val="minor"/>
    </font>
    <font>
      <sz val="9"/>
      <color theme="1"/>
      <name val="Calibri"/>
      <family val="2"/>
      <scheme val="minor"/>
    </font>
    <font>
      <sz val="11"/>
      <color theme="1"/>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b/>
      <sz val="10"/>
      <color theme="1"/>
      <name val="Calibri"/>
      <family val="2"/>
      <scheme val="minor"/>
    </font>
    <font>
      <b/>
      <sz val="9"/>
      <color rgb="FFFF0000"/>
      <name val="Calibri"/>
      <family val="2"/>
      <scheme val="minor"/>
    </font>
    <font>
      <b/>
      <sz val="11"/>
      <name val="Calibri"/>
      <family val="2"/>
      <scheme val="minor"/>
    </font>
    <font>
      <sz val="9"/>
      <name val="Calibri"/>
      <family val="2"/>
      <scheme val="minor"/>
    </font>
    <font>
      <sz val="9"/>
      <color rgb="FFFF0000"/>
      <name val="Calibri"/>
      <family val="2"/>
      <scheme val="minor"/>
    </font>
    <font>
      <b/>
      <sz val="8"/>
      <color theme="1"/>
      <name val="Calibri"/>
      <family val="2"/>
      <scheme val="minor"/>
    </font>
    <font>
      <sz val="8"/>
      <color theme="1"/>
      <name val="Calibri"/>
      <family val="2"/>
      <scheme val="minor"/>
    </font>
    <font>
      <b/>
      <sz val="9"/>
      <name val="Calibri"/>
      <family val="2"/>
      <scheme val="minor"/>
    </font>
    <font>
      <sz val="9"/>
      <color indexed="81"/>
      <name val="Tahoma"/>
      <family val="2"/>
    </font>
    <font>
      <b/>
      <sz val="12"/>
      <color theme="1"/>
      <name val="Calibri"/>
      <family val="2"/>
      <scheme val="minor"/>
    </font>
    <font>
      <b/>
      <sz val="10"/>
      <name val="Calibri"/>
      <family val="2"/>
      <scheme val="minor"/>
    </font>
    <font>
      <b/>
      <sz val="12"/>
      <color rgb="FFFF0000"/>
      <name val="Calibri"/>
      <family val="2"/>
      <scheme val="minor"/>
    </font>
    <font>
      <b/>
      <sz val="11"/>
      <color rgb="FFFF0000"/>
      <name val="Calibri"/>
      <family val="2"/>
      <scheme val="minor"/>
    </font>
    <font>
      <b/>
      <i/>
      <sz val="10"/>
      <name val="Calibri"/>
      <family val="2"/>
      <scheme val="minor"/>
    </font>
    <font>
      <b/>
      <sz val="12"/>
      <name val="Calibri"/>
      <family val="2"/>
      <scheme val="minor"/>
    </font>
    <font>
      <i/>
      <sz val="9"/>
      <color theme="1"/>
      <name val="Calibri"/>
      <family val="2"/>
      <scheme val="minor"/>
    </font>
    <font>
      <b/>
      <i/>
      <sz val="9"/>
      <name val="Calibri"/>
      <family val="2"/>
      <scheme val="minor"/>
    </font>
    <font>
      <i/>
      <sz val="9"/>
      <name val="Calibri"/>
      <family val="2"/>
      <scheme val="minor"/>
    </font>
    <font>
      <sz val="8"/>
      <color rgb="FFFF0000"/>
      <name val="Calibri"/>
      <family val="2"/>
      <scheme val="minor"/>
    </font>
    <font>
      <sz val="8"/>
      <name val="Calibri"/>
      <family val="2"/>
      <scheme val="minor"/>
    </font>
    <font>
      <b/>
      <sz val="8"/>
      <name val="Calibri"/>
      <family val="2"/>
      <scheme val="minor"/>
    </font>
    <font>
      <b/>
      <i/>
      <sz val="8"/>
      <color theme="1"/>
      <name val="Calibri"/>
      <family val="2"/>
      <scheme val="minor"/>
    </font>
    <font>
      <sz val="12"/>
      <color rgb="FFFF0000"/>
      <name val="Calibri"/>
      <family val="2"/>
      <scheme val="minor"/>
    </font>
    <font>
      <sz val="12"/>
      <color theme="1"/>
      <name val="Calibri"/>
      <family val="2"/>
      <scheme val="minor"/>
    </font>
    <font>
      <sz val="10"/>
      <name val="Calibri"/>
      <family val="2"/>
      <scheme val="minor"/>
    </font>
    <font>
      <sz val="9"/>
      <name val="Arial"/>
      <family val="2"/>
    </font>
    <font>
      <b/>
      <i/>
      <sz val="8"/>
      <name val="Calibri"/>
      <family val="2"/>
      <scheme val="minor"/>
    </font>
    <font>
      <b/>
      <sz val="10"/>
      <color rgb="FFFF0000"/>
      <name val="Calibri"/>
      <family val="2"/>
      <scheme val="minor"/>
    </font>
    <font>
      <b/>
      <sz val="9"/>
      <color indexed="81"/>
      <name val="Tahoma"/>
      <family val="2"/>
    </font>
    <font>
      <sz val="11"/>
      <name val="Calibri"/>
      <family val="2"/>
      <scheme val="minor"/>
    </font>
    <font>
      <sz val="12"/>
      <name val="Calibri"/>
      <family val="2"/>
      <scheme val="minor"/>
    </font>
    <font>
      <sz val="10"/>
      <color rgb="FFFF0000"/>
      <name val="Calibri"/>
      <family val="2"/>
      <scheme val="minor"/>
    </font>
    <font>
      <i/>
      <sz val="8"/>
      <color rgb="FFFF0000"/>
      <name val="Calibri"/>
      <family val="2"/>
      <scheme val="minor"/>
    </font>
    <font>
      <b/>
      <i/>
      <u/>
      <sz val="10"/>
      <name val="Calibri"/>
      <family val="2"/>
      <scheme val="minor"/>
    </font>
    <font>
      <b/>
      <sz val="16"/>
      <color theme="1"/>
      <name val="Calibri"/>
      <family val="2"/>
      <scheme val="minor"/>
    </font>
    <font>
      <b/>
      <sz val="16"/>
      <color rgb="FFFF0000"/>
      <name val="Calibri"/>
      <family val="2"/>
      <scheme val="minor"/>
    </font>
    <font>
      <b/>
      <sz val="13"/>
      <color theme="1"/>
      <name val="Calibri"/>
      <family val="2"/>
      <scheme val="minor"/>
    </font>
    <font>
      <b/>
      <sz val="16"/>
      <name val="Calibri"/>
      <family val="2"/>
      <scheme val="minor"/>
    </font>
    <font>
      <b/>
      <i/>
      <sz val="9"/>
      <color theme="1"/>
      <name val="Calibri"/>
      <family val="2"/>
      <scheme val="minor"/>
    </font>
    <font>
      <b/>
      <sz val="9"/>
      <color rgb="FFFFFF00"/>
      <name val="Calibri"/>
      <family val="2"/>
      <scheme val="minor"/>
    </font>
    <font>
      <sz val="9"/>
      <color rgb="FFFFFF00"/>
      <name val="Calibri"/>
      <family val="2"/>
      <scheme val="minor"/>
    </font>
    <font>
      <u/>
      <sz val="9"/>
      <color indexed="81"/>
      <name val="Tahoma"/>
      <family val="2"/>
    </font>
    <font>
      <sz val="9"/>
      <color theme="5" tint="-0.499984740745262"/>
      <name val="Calibri"/>
      <family val="2"/>
      <scheme val="minor"/>
    </font>
    <font>
      <sz val="12"/>
      <color theme="5" tint="-0.499984740745262"/>
      <name val="Calibri"/>
      <family val="2"/>
      <scheme val="minor"/>
    </font>
    <font>
      <b/>
      <sz val="12"/>
      <color rgb="FF7030A0"/>
      <name val="Calibri"/>
      <family val="2"/>
      <scheme val="minor"/>
    </font>
    <font>
      <sz val="8"/>
      <color rgb="FF7030A0"/>
      <name val="Calibri"/>
      <family val="2"/>
      <scheme val="minor"/>
    </font>
    <font>
      <sz val="9"/>
      <color rgb="FF7030A0"/>
      <name val="Calibri"/>
      <family val="2"/>
      <scheme val="minor"/>
    </font>
    <font>
      <i/>
      <sz val="8"/>
      <name val="Calibri"/>
      <family val="2"/>
      <scheme val="minor"/>
    </font>
    <font>
      <b/>
      <sz val="20"/>
      <name val="Calibri"/>
      <family val="2"/>
      <scheme val="minor"/>
    </font>
    <font>
      <i/>
      <sz val="12"/>
      <name val="Calibri"/>
      <family val="2"/>
      <scheme val="minor"/>
    </font>
    <font>
      <i/>
      <sz val="10"/>
      <name val="Calibri"/>
      <family val="2"/>
      <scheme val="minor"/>
    </font>
    <font>
      <sz val="7"/>
      <name val="Calibri"/>
      <family val="2"/>
      <scheme val="minor"/>
    </font>
    <font>
      <sz val="48"/>
      <name val="Calibri"/>
      <family val="2"/>
      <scheme val="minor"/>
    </font>
    <font>
      <sz val="24"/>
      <name val="Calibri"/>
      <family val="2"/>
      <scheme val="minor"/>
    </font>
    <font>
      <b/>
      <sz val="26"/>
      <name val="Calibri"/>
      <family val="2"/>
      <scheme val="minor"/>
    </font>
    <font>
      <b/>
      <sz val="9"/>
      <color theme="5" tint="-0.249977111117893"/>
      <name val="Calibri"/>
      <family val="2"/>
      <scheme val="minor"/>
    </font>
  </fonts>
  <fills count="25">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rgb="FFFFC000"/>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4" tint="0.39997558519241921"/>
        <bgColor indexed="64"/>
      </patternFill>
    </fill>
    <fill>
      <patternFill patternType="solid">
        <fgColor theme="7" tint="-0.249977111117893"/>
        <bgColor indexed="64"/>
      </patternFill>
    </fill>
    <fill>
      <patternFill patternType="solid">
        <fgColor rgb="FF7030A0"/>
        <bgColor indexed="64"/>
      </patternFill>
    </fill>
    <fill>
      <patternFill patternType="solid">
        <fgColor theme="5" tint="-0.249977111117893"/>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rgb="FFFF5B5B"/>
        <bgColor indexed="64"/>
      </patternFill>
    </fill>
    <fill>
      <patternFill patternType="solid">
        <fgColor rgb="FFC00000"/>
        <bgColor indexed="64"/>
      </patternFill>
    </fill>
    <fill>
      <patternFill patternType="solid">
        <fgColor rgb="FFFFFF00"/>
        <bgColor indexed="64"/>
      </patternFill>
    </fill>
  </fills>
  <borders count="4">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s>
  <cellStyleXfs count="3">
    <xf numFmtId="0" fontId="0" fillId="0" borderId="0"/>
    <xf numFmtId="9" fontId="8" fillId="0" borderId="0" applyFont="0" applyFill="0" applyBorder="0" applyAlignment="0" applyProtection="0"/>
    <xf numFmtId="165" fontId="37" fillId="0" borderId="0"/>
  </cellStyleXfs>
  <cellXfs count="782">
    <xf numFmtId="0" fontId="0" fillId="0" borderId="0" xfId="0"/>
    <xf numFmtId="0" fontId="11" fillId="0" borderId="0" xfId="0" applyFont="1"/>
    <xf numFmtId="0" fontId="9" fillId="0" borderId="0" xfId="0" applyFont="1"/>
    <xf numFmtId="0" fontId="13" fillId="0" borderId="0" xfId="0" applyFont="1"/>
    <xf numFmtId="0" fontId="15" fillId="0" borderId="0" xfId="0" applyFont="1" applyAlignment="1">
      <alignment wrapText="1"/>
    </xf>
    <xf numFmtId="0" fontId="18" fillId="0" borderId="0" xfId="0" applyFont="1" applyAlignment="1">
      <alignment wrapText="1"/>
    </xf>
    <xf numFmtId="0" fontId="18" fillId="0" borderId="0" xfId="0" applyFont="1"/>
    <xf numFmtId="165" fontId="11" fillId="0" borderId="0" xfId="0" applyNumberFormat="1" applyFont="1"/>
    <xf numFmtId="0" fontId="16" fillId="0" borderId="0" xfId="0" applyFont="1"/>
    <xf numFmtId="0" fontId="19" fillId="0" borderId="0" xfId="0" applyFont="1"/>
    <xf numFmtId="165" fontId="18" fillId="0" borderId="0" xfId="0" applyNumberFormat="1" applyFont="1" applyFill="1"/>
    <xf numFmtId="0" fontId="14" fillId="0" borderId="0" xfId="0" applyFont="1" applyAlignment="1">
      <alignment wrapText="1"/>
    </xf>
    <xf numFmtId="0" fontId="25" fillId="0" borderId="0" xfId="0" applyFont="1"/>
    <xf numFmtId="0" fontId="14" fillId="0" borderId="0" xfId="0" applyFont="1" applyAlignment="1"/>
    <xf numFmtId="0" fontId="15" fillId="0" borderId="0" xfId="0" applyFont="1" applyAlignment="1"/>
    <xf numFmtId="0" fontId="22" fillId="0" borderId="0" xfId="0" applyFont="1" applyAlignment="1"/>
    <xf numFmtId="0" fontId="19" fillId="0" borderId="0" xfId="0" applyFont="1" applyAlignment="1"/>
    <xf numFmtId="0" fontId="26" fillId="0" borderId="0" xfId="0" applyFont="1" applyAlignment="1">
      <alignment vertical="center"/>
    </xf>
    <xf numFmtId="0" fontId="14" fillId="5" borderId="0" xfId="0" applyFont="1" applyFill="1" applyAlignment="1">
      <alignment vertical="center"/>
    </xf>
    <xf numFmtId="0" fontId="14" fillId="0" borderId="0" xfId="0" applyFont="1" applyAlignment="1">
      <alignment vertical="center"/>
    </xf>
    <xf numFmtId="0" fontId="22" fillId="0" borderId="0" xfId="0" applyFont="1" applyAlignment="1">
      <alignment vertical="center"/>
    </xf>
    <xf numFmtId="0" fontId="12" fillId="0" borderId="0" xfId="0" applyFont="1" applyAlignment="1"/>
    <xf numFmtId="0" fontId="9" fillId="0" borderId="0" xfId="0" applyFont="1" applyAlignment="1"/>
    <xf numFmtId="0" fontId="14" fillId="0" borderId="0" xfId="0" applyFont="1" applyFill="1" applyAlignment="1"/>
    <xf numFmtId="165" fontId="11" fillId="0" borderId="0" xfId="0" applyNumberFormat="1" applyFont="1" applyFill="1"/>
    <xf numFmtId="0" fontId="25" fillId="0" borderId="0" xfId="0" applyFont="1" applyAlignment="1">
      <alignment vertical="center"/>
    </xf>
    <xf numFmtId="165" fontId="15" fillId="0" borderId="0" xfId="0" applyNumberFormat="1" applyFont="1"/>
    <xf numFmtId="0" fontId="19" fillId="0" borderId="0" xfId="0" applyFont="1" applyAlignment="1">
      <alignment wrapText="1"/>
    </xf>
    <xf numFmtId="0" fontId="22" fillId="0" borderId="0" xfId="0" applyFont="1" applyAlignment="1">
      <alignment wrapText="1"/>
    </xf>
    <xf numFmtId="0" fontId="12" fillId="0" borderId="0" xfId="0" applyFont="1"/>
    <xf numFmtId="0" fontId="22" fillId="0" borderId="0" xfId="0" applyFont="1" applyFill="1" applyAlignment="1"/>
    <xf numFmtId="9" fontId="19" fillId="0" borderId="0" xfId="1" applyFont="1" applyAlignment="1">
      <alignment wrapText="1"/>
    </xf>
    <xf numFmtId="165" fontId="15" fillId="0" borderId="0" xfId="0" applyNumberFormat="1" applyFont="1" applyAlignment="1">
      <alignment wrapText="1"/>
    </xf>
    <xf numFmtId="165" fontId="19" fillId="0" borderId="0" xfId="0" applyNumberFormat="1" applyFont="1" applyAlignment="1">
      <alignment wrapText="1"/>
    </xf>
    <xf numFmtId="9" fontId="15" fillId="0" borderId="0" xfId="0" applyNumberFormat="1" applyFont="1" applyAlignment="1">
      <alignment wrapText="1"/>
    </xf>
    <xf numFmtId="164" fontId="19" fillId="0" borderId="0" xfId="1" applyNumberFormat="1" applyFont="1" applyAlignment="1">
      <alignment wrapText="1"/>
    </xf>
    <xf numFmtId="164" fontId="15" fillId="0" borderId="0" xfId="0" applyNumberFormat="1" applyFont="1" applyAlignment="1">
      <alignment wrapText="1"/>
    </xf>
    <xf numFmtId="0" fontId="15" fillId="0" borderId="0" xfId="0" applyFont="1"/>
    <xf numFmtId="9" fontId="15" fillId="0" borderId="0" xfId="1" applyFont="1" applyAlignment="1">
      <alignment wrapText="1"/>
    </xf>
    <xf numFmtId="9" fontId="19" fillId="0" borderId="0" xfId="1" applyFont="1"/>
    <xf numFmtId="9" fontId="15" fillId="0" borderId="0" xfId="0" applyNumberFormat="1" applyFont="1"/>
    <xf numFmtId="165" fontId="29" fillId="0" borderId="0" xfId="0" applyNumberFormat="1" applyFont="1" applyAlignment="1">
      <alignment wrapText="1"/>
    </xf>
    <xf numFmtId="9" fontId="19" fillId="0" borderId="0" xfId="1" applyNumberFormat="1" applyFont="1" applyAlignment="1">
      <alignment wrapText="1"/>
    </xf>
    <xf numFmtId="165" fontId="19" fillId="0" borderId="0" xfId="0" applyNumberFormat="1" applyFont="1"/>
    <xf numFmtId="0" fontId="22" fillId="0" borderId="0" xfId="0" applyFont="1"/>
    <xf numFmtId="164" fontId="19" fillId="0" borderId="0" xfId="1" applyNumberFormat="1" applyFont="1"/>
    <xf numFmtId="1" fontId="18" fillId="0" borderId="0" xfId="0" applyNumberFormat="1" applyFont="1" applyFill="1"/>
    <xf numFmtId="9" fontId="18" fillId="0" borderId="0" xfId="1" applyFont="1"/>
    <xf numFmtId="0" fontId="30" fillId="0" borderId="0" xfId="0" applyFont="1"/>
    <xf numFmtId="0" fontId="31" fillId="0" borderId="0" xfId="0" applyFont="1" applyAlignment="1">
      <alignment wrapText="1"/>
    </xf>
    <xf numFmtId="0" fontId="31" fillId="0" borderId="0" xfId="0" applyFont="1" applyAlignment="1"/>
    <xf numFmtId="165" fontId="18" fillId="0" borderId="0" xfId="0" applyNumberFormat="1" applyFont="1"/>
    <xf numFmtId="164" fontId="15" fillId="0" borderId="0" xfId="0" applyNumberFormat="1" applyFont="1"/>
    <xf numFmtId="9" fontId="15" fillId="0" borderId="0" xfId="0" applyNumberFormat="1" applyFont="1" applyFill="1"/>
    <xf numFmtId="0" fontId="31" fillId="0" borderId="0" xfId="0" applyFont="1"/>
    <xf numFmtId="1" fontId="15" fillId="0" borderId="0" xfId="0" applyNumberFormat="1" applyFont="1"/>
    <xf numFmtId="0" fontId="19" fillId="0" borderId="0" xfId="0" applyFont="1" applyFill="1" applyAlignment="1"/>
    <xf numFmtId="9" fontId="31" fillId="0" borderId="0" xfId="1" applyFont="1"/>
    <xf numFmtId="0" fontId="26" fillId="0" borderId="0" xfId="0" applyFont="1" applyFill="1" applyAlignment="1">
      <alignment vertical="center"/>
    </xf>
    <xf numFmtId="0" fontId="11" fillId="0" borderId="0" xfId="0" applyFont="1" applyFill="1"/>
    <xf numFmtId="0" fontId="15" fillId="0" borderId="0" xfId="0" applyFont="1" applyFill="1" applyAlignment="1">
      <alignment wrapText="1"/>
    </xf>
    <xf numFmtId="0" fontId="36" fillId="0" borderId="0" xfId="0" applyFont="1" applyAlignment="1">
      <alignment wrapText="1"/>
    </xf>
    <xf numFmtId="9" fontId="15" fillId="10" borderId="0" xfId="1" applyFont="1" applyFill="1"/>
    <xf numFmtId="164" fontId="15" fillId="10" borderId="0" xfId="1" applyNumberFormat="1" applyFont="1" applyFill="1"/>
    <xf numFmtId="0" fontId="29" fillId="0" borderId="0" xfId="0" applyFont="1" applyAlignment="1">
      <alignment wrapText="1"/>
    </xf>
    <xf numFmtId="0" fontId="22" fillId="0" borderId="0" xfId="0" applyFont="1" applyFill="1" applyAlignment="1">
      <alignment vertical="center"/>
    </xf>
    <xf numFmtId="0" fontId="19" fillId="0" borderId="0" xfId="0" applyFont="1" applyFill="1"/>
    <xf numFmtId="1" fontId="15" fillId="0" borderId="0" xfId="0" applyNumberFormat="1" applyFont="1" applyAlignment="1">
      <alignment wrapText="1"/>
    </xf>
    <xf numFmtId="1" fontId="15" fillId="0" borderId="0" xfId="0" applyNumberFormat="1" applyFont="1" applyFill="1" applyAlignment="1">
      <alignment wrapText="1"/>
    </xf>
    <xf numFmtId="9" fontId="15" fillId="0" borderId="0" xfId="1" applyFont="1"/>
    <xf numFmtId="9" fontId="16" fillId="0" borderId="0" xfId="0" applyNumberFormat="1" applyFont="1"/>
    <xf numFmtId="0" fontId="14" fillId="2" borderId="0" xfId="0" applyFont="1" applyFill="1" applyAlignment="1">
      <alignment vertical="center"/>
    </xf>
    <xf numFmtId="165" fontId="19" fillId="8" borderId="0" xfId="0" applyNumberFormat="1" applyFont="1" applyFill="1"/>
    <xf numFmtId="1" fontId="15" fillId="0" borderId="0" xfId="0" applyNumberFormat="1" applyFont="1" applyFill="1"/>
    <xf numFmtId="0" fontId="15" fillId="0" borderId="0" xfId="0" applyFont="1" applyFill="1"/>
    <xf numFmtId="2" fontId="11" fillId="0" borderId="0" xfId="0" applyNumberFormat="1" applyFont="1"/>
    <xf numFmtId="0" fontId="18" fillId="0" borderId="0" xfId="0" applyFont="1" applyFill="1"/>
    <xf numFmtId="9" fontId="31" fillId="3" borderId="0" xfId="1" applyFont="1" applyFill="1"/>
    <xf numFmtId="1" fontId="30" fillId="0" borderId="0" xfId="0" applyNumberFormat="1" applyFont="1"/>
    <xf numFmtId="0" fontId="13" fillId="0" borderId="0" xfId="0" applyFont="1" applyFill="1"/>
    <xf numFmtId="0" fontId="19" fillId="10" borderId="0" xfId="0" applyFont="1" applyFill="1"/>
    <xf numFmtId="165" fontId="27" fillId="0" borderId="0" xfId="0" applyNumberFormat="1" applyFont="1" applyFill="1"/>
    <xf numFmtId="164" fontId="19" fillId="10" borderId="0" xfId="1" applyNumberFormat="1" applyFont="1" applyFill="1"/>
    <xf numFmtId="164" fontId="19" fillId="0" borderId="0" xfId="1" applyNumberFormat="1" applyFont="1" applyFill="1"/>
    <xf numFmtId="165" fontId="19" fillId="10" borderId="0" xfId="0" applyNumberFormat="1" applyFont="1" applyFill="1"/>
    <xf numFmtId="1" fontId="4" fillId="0" borderId="0" xfId="0" applyNumberFormat="1" applyFont="1" applyFill="1"/>
    <xf numFmtId="0" fontId="4" fillId="0" borderId="0" xfId="0" applyFont="1"/>
    <xf numFmtId="0" fontId="4" fillId="0" borderId="0" xfId="0" applyFont="1" applyAlignment="1">
      <alignment wrapText="1"/>
    </xf>
    <xf numFmtId="0" fontId="11" fillId="0" borderId="0" xfId="0" applyFont="1" applyAlignment="1">
      <alignment wrapText="1"/>
    </xf>
    <xf numFmtId="0" fontId="25" fillId="0" borderId="0" xfId="0" applyFont="1" applyFill="1" applyAlignment="1">
      <alignment vertical="center"/>
    </xf>
    <xf numFmtId="9" fontId="19" fillId="10" borderId="0" xfId="1" applyFont="1" applyFill="1"/>
    <xf numFmtId="165" fontId="15" fillId="2" borderId="0" xfId="0" applyNumberFormat="1" applyFont="1" applyFill="1"/>
    <xf numFmtId="0" fontId="32" fillId="5" borderId="0" xfId="0" applyFont="1" applyFill="1" applyAlignment="1">
      <alignment vertical="center"/>
    </xf>
    <xf numFmtId="0" fontId="38" fillId="0" borderId="0" xfId="0" applyFont="1" applyAlignment="1">
      <alignment vertical="center"/>
    </xf>
    <xf numFmtId="0" fontId="19" fillId="0" borderId="0" xfId="0" applyFont="1" applyAlignment="1">
      <alignment vertical="center"/>
    </xf>
    <xf numFmtId="0" fontId="32" fillId="0" borderId="0" xfId="0" applyFont="1" applyFill="1" applyAlignment="1">
      <alignment vertical="center"/>
    </xf>
    <xf numFmtId="9" fontId="19" fillId="0" borderId="0" xfId="1" applyFont="1" applyFill="1" applyAlignment="1">
      <alignment wrapText="1"/>
    </xf>
    <xf numFmtId="165" fontId="15" fillId="0" borderId="0" xfId="0" applyNumberFormat="1" applyFont="1" applyFill="1" applyAlignment="1">
      <alignment wrapText="1"/>
    </xf>
    <xf numFmtId="0" fontId="19" fillId="0" borderId="0" xfId="0" applyFont="1" applyFill="1" applyAlignment="1">
      <alignment wrapText="1"/>
    </xf>
    <xf numFmtId="165" fontId="19" fillId="0" borderId="0" xfId="0" applyNumberFormat="1" applyFont="1" applyFill="1" applyAlignment="1">
      <alignment wrapText="1"/>
    </xf>
    <xf numFmtId="164" fontId="15" fillId="0" borderId="0" xfId="0" applyNumberFormat="1" applyFont="1" applyFill="1" applyAlignment="1">
      <alignment wrapText="1"/>
    </xf>
    <xf numFmtId="164" fontId="19" fillId="0" borderId="0" xfId="1" applyNumberFormat="1" applyFont="1" applyFill="1" applyAlignment="1">
      <alignment wrapText="1"/>
    </xf>
    <xf numFmtId="0" fontId="15" fillId="0" borderId="0" xfId="0" applyFont="1" applyFill="1" applyAlignment="1"/>
    <xf numFmtId="2" fontId="19" fillId="0" borderId="0" xfId="0" applyNumberFormat="1" applyFont="1"/>
    <xf numFmtId="9" fontId="15" fillId="0" borderId="0" xfId="1" applyFont="1" applyFill="1"/>
    <xf numFmtId="1" fontId="19" fillId="0" borderId="0" xfId="0" applyNumberFormat="1" applyFont="1" applyAlignment="1">
      <alignment wrapText="1"/>
    </xf>
    <xf numFmtId="1" fontId="19" fillId="0" borderId="0" xfId="0" applyNumberFormat="1" applyFont="1" applyFill="1" applyAlignment="1">
      <alignment wrapText="1"/>
    </xf>
    <xf numFmtId="1" fontId="15" fillId="2" borderId="0" xfId="0" applyNumberFormat="1" applyFont="1" applyFill="1" applyAlignment="1">
      <alignment wrapText="1"/>
    </xf>
    <xf numFmtId="165" fontId="15" fillId="2" borderId="0" xfId="0" applyNumberFormat="1" applyFont="1" applyFill="1" applyAlignment="1">
      <alignment wrapText="1"/>
    </xf>
    <xf numFmtId="9" fontId="15" fillId="10" borderId="0" xfId="1" applyFont="1" applyFill="1" applyAlignment="1">
      <alignment wrapText="1"/>
    </xf>
    <xf numFmtId="165" fontId="15" fillId="3" borderId="0" xfId="0" applyNumberFormat="1" applyFont="1" applyFill="1"/>
    <xf numFmtId="0" fontId="41" fillId="0" borderId="0" xfId="0" applyFont="1" applyAlignment="1">
      <alignment wrapText="1"/>
    </xf>
    <xf numFmtId="1" fontId="19" fillId="8" borderId="0" xfId="0" applyNumberFormat="1" applyFont="1" applyFill="1"/>
    <xf numFmtId="0" fontId="42" fillId="0" borderId="0" xfId="0" applyFont="1" applyAlignment="1">
      <alignment vertical="center"/>
    </xf>
    <xf numFmtId="0" fontId="19" fillId="0" borderId="0" xfId="0" applyFont="1" applyFill="1" applyAlignment="1">
      <alignment vertical="center"/>
    </xf>
    <xf numFmtId="165" fontId="15" fillId="0" borderId="0" xfId="0" applyNumberFormat="1" applyFont="1" applyFill="1"/>
    <xf numFmtId="0" fontId="16" fillId="0" borderId="0" xfId="0" applyFont="1" applyFill="1"/>
    <xf numFmtId="166" fontId="15" fillId="2" borderId="0" xfId="1" applyNumberFormat="1" applyFont="1" applyFill="1"/>
    <xf numFmtId="0" fontId="30" fillId="0" borderId="0" xfId="0" applyFont="1" applyFill="1"/>
    <xf numFmtId="165" fontId="22" fillId="0" borderId="0" xfId="0" applyNumberFormat="1" applyFont="1" applyFill="1" applyAlignment="1">
      <alignment vertical="center"/>
    </xf>
    <xf numFmtId="165" fontId="19" fillId="0" borderId="0" xfId="0" applyNumberFormat="1" applyFont="1" applyFill="1" applyAlignment="1">
      <alignment vertical="center"/>
    </xf>
    <xf numFmtId="165" fontId="13" fillId="0" borderId="0" xfId="0" applyNumberFormat="1" applyFont="1" applyFill="1"/>
    <xf numFmtId="164" fontId="15" fillId="0" borderId="0" xfId="1" applyNumberFormat="1" applyFont="1" applyFill="1"/>
    <xf numFmtId="0" fontId="31" fillId="0" borderId="0" xfId="0" applyFont="1" applyFill="1" applyAlignment="1">
      <alignment wrapText="1"/>
    </xf>
    <xf numFmtId="165" fontId="16" fillId="0" borderId="0" xfId="0" applyNumberFormat="1" applyFont="1" applyFill="1"/>
    <xf numFmtId="165" fontId="29" fillId="0" borderId="0" xfId="0" applyNumberFormat="1" applyFont="1" applyFill="1" applyAlignment="1"/>
    <xf numFmtId="165" fontId="29" fillId="0" borderId="0" xfId="0" applyNumberFormat="1" applyFont="1" applyFill="1" applyAlignment="1">
      <alignment wrapText="1"/>
    </xf>
    <xf numFmtId="2" fontId="15" fillId="0" borderId="0" xfId="0" applyNumberFormat="1" applyFont="1" applyFill="1"/>
    <xf numFmtId="9" fontId="19" fillId="10" borderId="0" xfId="1" applyFont="1" applyFill="1" applyAlignment="1"/>
    <xf numFmtId="9" fontId="32" fillId="0" borderId="0" xfId="1" applyFont="1"/>
    <xf numFmtId="9" fontId="32" fillId="0" borderId="0" xfId="0" applyNumberFormat="1" applyFont="1"/>
    <xf numFmtId="9" fontId="31" fillId="0" borderId="0" xfId="0" applyNumberFormat="1" applyFont="1"/>
    <xf numFmtId="9" fontId="31" fillId="0" borderId="0" xfId="0" applyNumberFormat="1" applyFont="1" applyFill="1"/>
    <xf numFmtId="0" fontId="31" fillId="0" borderId="0" xfId="0" applyFont="1" applyFill="1"/>
    <xf numFmtId="9" fontId="19" fillId="10" borderId="0" xfId="1" applyNumberFormat="1" applyFont="1" applyFill="1"/>
    <xf numFmtId="1" fontId="18" fillId="0" borderId="0" xfId="0" applyNumberFormat="1" applyFont="1"/>
    <xf numFmtId="2" fontId="18" fillId="0" borderId="0" xfId="0" applyNumberFormat="1" applyFont="1"/>
    <xf numFmtId="0" fontId="32" fillId="0" borderId="0" xfId="0" applyFont="1" applyAlignment="1">
      <alignment wrapText="1"/>
    </xf>
    <xf numFmtId="9" fontId="19" fillId="0" borderId="0" xfId="1" applyFont="1" applyFill="1"/>
    <xf numFmtId="9" fontId="19" fillId="3" borderId="0" xfId="1" applyFont="1" applyFill="1"/>
    <xf numFmtId="164" fontId="19" fillId="3" borderId="0" xfId="1" applyNumberFormat="1" applyFont="1" applyFill="1"/>
    <xf numFmtId="9" fontId="19" fillId="0" borderId="0" xfId="1" applyNumberFormat="1" applyFont="1"/>
    <xf numFmtId="9" fontId="19" fillId="3" borderId="0" xfId="1" applyNumberFormat="1" applyFont="1" applyFill="1"/>
    <xf numFmtId="165" fontId="15" fillId="16" borderId="0" xfId="0" applyNumberFormat="1" applyFont="1" applyFill="1"/>
    <xf numFmtId="1" fontId="31" fillId="0" borderId="0" xfId="0" applyNumberFormat="1" applyFont="1" applyFill="1" applyAlignment="1">
      <alignment wrapText="1"/>
    </xf>
    <xf numFmtId="1" fontId="32" fillId="0" borderId="0" xfId="0" applyNumberFormat="1" applyFont="1" applyFill="1" applyAlignment="1">
      <alignment wrapText="1"/>
    </xf>
    <xf numFmtId="0" fontId="32" fillId="0" borderId="0" xfId="0" applyFont="1" applyFill="1" applyAlignment="1">
      <alignment wrapText="1"/>
    </xf>
    <xf numFmtId="9" fontId="32" fillId="0" borderId="0" xfId="1" applyFont="1" applyFill="1" applyAlignment="1">
      <alignment wrapText="1"/>
    </xf>
    <xf numFmtId="165" fontId="32" fillId="0" borderId="0" xfId="0" applyNumberFormat="1" applyFont="1" applyFill="1" applyAlignment="1">
      <alignment wrapText="1"/>
    </xf>
    <xf numFmtId="165" fontId="31" fillId="0" borderId="0" xfId="0" applyNumberFormat="1" applyFont="1" applyFill="1" applyAlignment="1">
      <alignment wrapText="1"/>
    </xf>
    <xf numFmtId="0" fontId="1" fillId="0" borderId="0" xfId="0" applyFont="1" applyAlignment="1">
      <alignment wrapText="1"/>
    </xf>
    <xf numFmtId="0" fontId="1" fillId="0" borderId="0" xfId="0" applyFont="1" applyFill="1" applyAlignment="1">
      <alignment wrapText="1"/>
    </xf>
    <xf numFmtId="1" fontId="31" fillId="0" borderId="0" xfId="0" applyNumberFormat="1" applyFont="1" applyAlignment="1">
      <alignment wrapText="1"/>
    </xf>
    <xf numFmtId="165" fontId="31" fillId="0" borderId="0" xfId="0" applyNumberFormat="1" applyFont="1" applyAlignment="1">
      <alignment wrapText="1"/>
    </xf>
    <xf numFmtId="9" fontId="31" fillId="0" borderId="0" xfId="1" applyFont="1" applyFill="1" applyAlignment="1">
      <alignment wrapText="1"/>
    </xf>
    <xf numFmtId="0" fontId="31" fillId="0" borderId="0" xfId="0" applyFont="1" applyFill="1" applyAlignment="1">
      <alignment horizontal="left" indent="1"/>
    </xf>
    <xf numFmtId="0" fontId="1" fillId="0" borderId="0" xfId="0" applyFont="1" applyAlignment="1"/>
    <xf numFmtId="1" fontId="1" fillId="0" borderId="0" xfId="0" applyNumberFormat="1" applyFont="1" applyAlignment="1">
      <alignment wrapText="1"/>
    </xf>
    <xf numFmtId="0" fontId="32" fillId="0" borderId="0" xfId="0" applyFont="1" applyAlignment="1"/>
    <xf numFmtId="9" fontId="31" fillId="0" borderId="0" xfId="0" applyNumberFormat="1" applyFont="1" applyFill="1" applyAlignment="1">
      <alignment wrapText="1"/>
    </xf>
    <xf numFmtId="0" fontId="41" fillId="0" borderId="0" xfId="0" applyFont="1" applyAlignment="1"/>
    <xf numFmtId="164" fontId="15" fillId="0" borderId="0" xfId="1" applyNumberFormat="1" applyFont="1" applyAlignment="1">
      <alignment wrapText="1"/>
    </xf>
    <xf numFmtId="0" fontId="36" fillId="0" borderId="0" xfId="0" applyFont="1" applyAlignment="1"/>
    <xf numFmtId="165" fontId="1" fillId="0" borderId="0" xfId="0" applyNumberFormat="1" applyFont="1" applyFill="1"/>
    <xf numFmtId="2" fontId="19" fillId="0" borderId="0" xfId="0" applyNumberFormat="1" applyFont="1" applyFill="1"/>
    <xf numFmtId="0" fontId="14" fillId="18" borderId="0" xfId="0" applyFont="1" applyFill="1" applyAlignment="1">
      <alignment vertical="center"/>
    </xf>
    <xf numFmtId="2" fontId="15" fillId="0" borderId="0" xfId="1" applyNumberFormat="1" applyFont="1" applyFill="1" applyAlignment="1">
      <alignment wrapText="1"/>
    </xf>
    <xf numFmtId="2" fontId="15" fillId="3" borderId="0" xfId="1" applyNumberFormat="1" applyFont="1" applyFill="1" applyAlignment="1">
      <alignment wrapText="1"/>
    </xf>
    <xf numFmtId="166" fontId="19" fillId="0" borderId="0" xfId="0" applyNumberFormat="1" applyFont="1" applyFill="1" applyAlignment="1">
      <alignment vertical="center"/>
    </xf>
    <xf numFmtId="166" fontId="15" fillId="0" borderId="0" xfId="0" applyNumberFormat="1" applyFont="1" applyAlignment="1">
      <alignment wrapText="1"/>
    </xf>
    <xf numFmtId="165" fontId="15" fillId="2" borderId="0" xfId="1" applyNumberFormat="1" applyFont="1" applyFill="1" applyAlignment="1">
      <alignment wrapText="1"/>
    </xf>
    <xf numFmtId="165" fontId="30" fillId="0" borderId="0" xfId="0" applyNumberFormat="1" applyFont="1" applyFill="1"/>
    <xf numFmtId="2" fontId="29" fillId="0" borderId="0" xfId="0" applyNumberFormat="1" applyFont="1" applyFill="1"/>
    <xf numFmtId="0" fontId="1" fillId="0" borderId="0" xfId="0" applyFont="1"/>
    <xf numFmtId="165" fontId="1" fillId="0" borderId="0" xfId="0" applyNumberFormat="1" applyFont="1"/>
    <xf numFmtId="1" fontId="11" fillId="0" borderId="0" xfId="0" applyNumberFormat="1" applyFont="1" applyFill="1"/>
    <xf numFmtId="0" fontId="31" fillId="0" borderId="0" xfId="0" applyFont="1" applyFill="1" applyAlignment="1">
      <alignment vertical="center"/>
    </xf>
    <xf numFmtId="0" fontId="14" fillId="11" borderId="0" xfId="0" applyFont="1" applyFill="1" applyAlignment="1">
      <alignment vertical="center"/>
    </xf>
    <xf numFmtId="0" fontId="38" fillId="0" borderId="0" xfId="0" applyFont="1" applyFill="1" applyAlignment="1">
      <alignment vertical="center"/>
    </xf>
    <xf numFmtId="165" fontId="31" fillId="0" borderId="0" xfId="0" applyNumberFormat="1" applyFont="1" applyFill="1"/>
    <xf numFmtId="165" fontId="25" fillId="0" borderId="0" xfId="0" applyNumberFormat="1" applyFont="1" applyFill="1" applyAlignment="1">
      <alignment vertical="center"/>
    </xf>
    <xf numFmtId="2" fontId="4" fillId="0" borderId="0" xfId="0" applyNumberFormat="1" applyFont="1" applyFill="1"/>
    <xf numFmtId="0" fontId="9" fillId="16" borderId="1" xfId="0" applyFont="1" applyFill="1" applyBorder="1"/>
    <xf numFmtId="0" fontId="1" fillId="16" borderId="2" xfId="0" applyFont="1" applyFill="1" applyBorder="1"/>
    <xf numFmtId="1" fontId="1" fillId="16" borderId="2" xfId="0" applyNumberFormat="1" applyFont="1" applyFill="1" applyBorder="1"/>
    <xf numFmtId="165" fontId="1" fillId="16" borderId="2" xfId="0" applyNumberFormat="1" applyFont="1" applyFill="1" applyBorder="1"/>
    <xf numFmtId="0" fontId="1" fillId="0" borderId="3" xfId="0" applyFont="1" applyBorder="1"/>
    <xf numFmtId="0" fontId="1" fillId="0" borderId="0" xfId="0" applyFont="1" applyBorder="1"/>
    <xf numFmtId="1" fontId="1" fillId="0" borderId="0" xfId="0" applyNumberFormat="1" applyFont="1" applyBorder="1"/>
    <xf numFmtId="165" fontId="1" fillId="0" borderId="0" xfId="0" applyNumberFormat="1" applyFont="1" applyBorder="1"/>
    <xf numFmtId="0" fontId="22" fillId="0" borderId="3" xfId="0" applyFont="1" applyBorder="1"/>
    <xf numFmtId="0" fontId="15" fillId="0" borderId="3" xfId="0" applyFont="1" applyBorder="1"/>
    <xf numFmtId="165" fontId="1" fillId="0" borderId="0" xfId="0" applyNumberFormat="1" applyFont="1" applyFill="1" applyBorder="1"/>
    <xf numFmtId="1" fontId="1" fillId="0" borderId="0" xfId="0" applyNumberFormat="1" applyFont="1" applyFill="1" applyBorder="1"/>
    <xf numFmtId="2" fontId="1" fillId="0" borderId="0" xfId="0" applyNumberFormat="1" applyFont="1" applyBorder="1"/>
    <xf numFmtId="165" fontId="30" fillId="0" borderId="0" xfId="0" applyNumberFormat="1" applyFont="1" applyBorder="1" applyAlignment="1">
      <alignment horizontal="right"/>
    </xf>
    <xf numFmtId="1" fontId="30" fillId="0" borderId="0" xfId="0" applyNumberFormat="1" applyFont="1" applyBorder="1" applyAlignment="1">
      <alignment horizontal="right"/>
    </xf>
    <xf numFmtId="0" fontId="19" fillId="0" borderId="3" xfId="0" applyFont="1" applyBorder="1"/>
    <xf numFmtId="0" fontId="9" fillId="2" borderId="1" xfId="0" applyFont="1" applyFill="1" applyBorder="1"/>
    <xf numFmtId="0" fontId="1" fillId="2" borderId="2" xfId="0" applyFont="1" applyFill="1" applyBorder="1"/>
    <xf numFmtId="1" fontId="1" fillId="2" borderId="2" xfId="0" applyNumberFormat="1" applyFont="1" applyFill="1" applyBorder="1"/>
    <xf numFmtId="165" fontId="1" fillId="2" borderId="2" xfId="0" applyNumberFormat="1" applyFont="1" applyFill="1" applyBorder="1"/>
    <xf numFmtId="0" fontId="10" fillId="0" borderId="3" xfId="0" applyFont="1" applyBorder="1"/>
    <xf numFmtId="0" fontId="22" fillId="0" borderId="3" xfId="0" applyFont="1" applyBorder="1" applyAlignment="1">
      <alignment wrapText="1"/>
    </xf>
    <xf numFmtId="0" fontId="15" fillId="0" borderId="3" xfId="0" applyFont="1" applyBorder="1" applyAlignment="1">
      <alignment wrapText="1"/>
    </xf>
    <xf numFmtId="1" fontId="1" fillId="2" borderId="0" xfId="0" applyNumberFormat="1" applyFont="1" applyFill="1" applyBorder="1"/>
    <xf numFmtId="0" fontId="12" fillId="0" borderId="3" xfId="0" applyFont="1" applyBorder="1"/>
    <xf numFmtId="166" fontId="15" fillId="3" borderId="0" xfId="1" applyNumberFormat="1" applyFont="1" applyFill="1"/>
    <xf numFmtId="2" fontId="1" fillId="0" borderId="0" xfId="0" applyNumberFormat="1" applyFont="1" applyFill="1"/>
    <xf numFmtId="2" fontId="11" fillId="0" borderId="0" xfId="0" applyNumberFormat="1" applyFont="1" applyFill="1"/>
    <xf numFmtId="0" fontId="1" fillId="0" borderId="0" xfId="0" applyFont="1" applyFill="1"/>
    <xf numFmtId="165" fontId="1" fillId="10" borderId="0" xfId="0" applyNumberFormat="1" applyFont="1" applyFill="1"/>
    <xf numFmtId="1" fontId="1" fillId="0" borderId="0" xfId="0" applyNumberFormat="1" applyFont="1" applyFill="1"/>
    <xf numFmtId="165" fontId="15" fillId="10" borderId="0" xfId="0" applyNumberFormat="1" applyFont="1" applyFill="1"/>
    <xf numFmtId="0" fontId="10" fillId="0" borderId="0" xfId="0" applyFont="1" applyBorder="1"/>
    <xf numFmtId="0" fontId="15" fillId="0" borderId="0" xfId="0" applyFont="1" applyBorder="1" applyAlignment="1">
      <alignment wrapText="1"/>
    </xf>
    <xf numFmtId="0" fontId="9" fillId="0" borderId="0" xfId="0" applyFont="1" applyBorder="1" applyAlignment="1">
      <alignment vertical="center"/>
    </xf>
    <xf numFmtId="1" fontId="15" fillId="0" borderId="0" xfId="0" applyNumberFormat="1" applyFont="1" applyBorder="1" applyAlignment="1">
      <alignment wrapText="1"/>
    </xf>
    <xf numFmtId="165" fontId="15" fillId="0" borderId="0" xfId="0" applyNumberFormat="1" applyFont="1" applyBorder="1" applyAlignment="1">
      <alignment wrapText="1"/>
    </xf>
    <xf numFmtId="0" fontId="15" fillId="0" borderId="0" xfId="0" applyFont="1" applyBorder="1"/>
    <xf numFmtId="165" fontId="15" fillId="0" borderId="0" xfId="0" applyNumberFormat="1" applyFont="1" applyBorder="1"/>
    <xf numFmtId="1" fontId="15" fillId="0" borderId="0" xfId="0" applyNumberFormat="1" applyFont="1" applyBorder="1"/>
    <xf numFmtId="165" fontId="16" fillId="0" borderId="0" xfId="0" applyNumberFormat="1" applyFont="1" applyBorder="1"/>
    <xf numFmtId="1" fontId="16" fillId="0" borderId="0" xfId="0" applyNumberFormat="1" applyFont="1" applyBorder="1"/>
    <xf numFmtId="0" fontId="18" fillId="0" borderId="0" xfId="0" applyFont="1" applyBorder="1" applyAlignment="1">
      <alignment horizontal="right"/>
    </xf>
    <xf numFmtId="1" fontId="1" fillId="19" borderId="0" xfId="0" applyNumberFormat="1" applyFont="1" applyFill="1" applyBorder="1"/>
    <xf numFmtId="165" fontId="1" fillId="19" borderId="0" xfId="0" applyNumberFormat="1" applyFont="1" applyFill="1" applyBorder="1"/>
    <xf numFmtId="0" fontId="5" fillId="0" borderId="0" xfId="0" applyFont="1" applyBorder="1"/>
    <xf numFmtId="165" fontId="18" fillId="0" borderId="0" xfId="0" applyNumberFormat="1" applyFont="1" applyBorder="1" applyAlignment="1">
      <alignment horizontal="right"/>
    </xf>
    <xf numFmtId="0" fontId="16" fillId="0" borderId="3" xfId="0" applyFont="1" applyBorder="1"/>
    <xf numFmtId="1" fontId="1" fillId="19" borderId="2" xfId="0" applyNumberFormat="1" applyFont="1" applyFill="1" applyBorder="1"/>
    <xf numFmtId="0" fontId="1" fillId="19" borderId="2" xfId="0" applyFont="1" applyFill="1" applyBorder="1"/>
    <xf numFmtId="165" fontId="1" fillId="19" borderId="2" xfId="0" applyNumberFormat="1" applyFont="1" applyFill="1" applyBorder="1"/>
    <xf numFmtId="0" fontId="1" fillId="10" borderId="2" xfId="0" applyFont="1" applyFill="1" applyBorder="1"/>
    <xf numFmtId="1" fontId="1" fillId="10" borderId="2" xfId="0" applyNumberFormat="1" applyFont="1" applyFill="1" applyBorder="1"/>
    <xf numFmtId="165" fontId="1" fillId="10" borderId="2" xfId="0" applyNumberFormat="1" applyFont="1" applyFill="1" applyBorder="1"/>
    <xf numFmtId="0" fontId="9" fillId="10" borderId="1" xfId="0" applyFont="1" applyFill="1" applyBorder="1"/>
    <xf numFmtId="0" fontId="22" fillId="0" borderId="3" xfId="0" applyFont="1" applyBorder="1" applyAlignment="1"/>
    <xf numFmtId="0" fontId="7" fillId="0" borderId="3" xfId="0" applyFont="1" applyBorder="1" applyAlignment="1"/>
    <xf numFmtId="0" fontId="6" fillId="0" borderId="3" xfId="0" applyFont="1" applyBorder="1" applyAlignment="1">
      <alignment wrapText="1"/>
    </xf>
    <xf numFmtId="0" fontId="7" fillId="0" borderId="3" xfId="0" applyFont="1" applyBorder="1" applyAlignment="1">
      <alignment wrapText="1"/>
    </xf>
    <xf numFmtId="0" fontId="3" fillId="0" borderId="3" xfId="0" applyFont="1" applyBorder="1" applyAlignment="1">
      <alignment wrapText="1"/>
    </xf>
    <xf numFmtId="0" fontId="16" fillId="0" borderId="3" xfId="0" applyFont="1" applyBorder="1" applyAlignment="1"/>
    <xf numFmtId="0" fontId="15" fillId="0" borderId="3" xfId="0" applyFont="1" applyBorder="1" applyAlignment="1"/>
    <xf numFmtId="0" fontId="15" fillId="0" borderId="3" xfId="0" applyFont="1" applyFill="1" applyBorder="1" applyAlignment="1"/>
    <xf numFmtId="0" fontId="9" fillId="19" borderId="1" xfId="0" applyFont="1" applyFill="1" applyBorder="1"/>
    <xf numFmtId="0" fontId="5" fillId="0" borderId="3" xfId="0" applyFont="1" applyBorder="1"/>
    <xf numFmtId="165" fontId="1" fillId="10" borderId="0" xfId="0" applyNumberFormat="1" applyFont="1" applyFill="1" applyBorder="1"/>
    <xf numFmtId="1" fontId="1" fillId="10" borderId="0" xfId="0" applyNumberFormat="1" applyFont="1" applyFill="1" applyBorder="1"/>
    <xf numFmtId="1" fontId="15" fillId="10" borderId="0" xfId="0" applyNumberFormat="1" applyFont="1" applyFill="1" applyBorder="1"/>
    <xf numFmtId="0" fontId="1" fillId="0" borderId="0" xfId="0" applyFont="1" applyFill="1" applyBorder="1"/>
    <xf numFmtId="166" fontId="15" fillId="0" borderId="0" xfId="1" applyNumberFormat="1" applyFont="1" applyFill="1"/>
    <xf numFmtId="165" fontId="19" fillId="0" borderId="0" xfId="0" applyNumberFormat="1" applyFont="1" applyFill="1"/>
    <xf numFmtId="0" fontId="1" fillId="0" borderId="0" xfId="0" applyFont="1" applyFill="1" applyAlignment="1"/>
    <xf numFmtId="1" fontId="1" fillId="3" borderId="0" xfId="0" applyNumberFormat="1" applyFont="1" applyFill="1"/>
    <xf numFmtId="0" fontId="14" fillId="13" borderId="0" xfId="0" applyFont="1" applyFill="1" applyAlignment="1">
      <alignment vertical="center"/>
    </xf>
    <xf numFmtId="0" fontId="26" fillId="5" borderId="0" xfId="0" applyFont="1" applyFill="1" applyAlignment="1">
      <alignment vertical="center"/>
    </xf>
    <xf numFmtId="9" fontId="19" fillId="8" borderId="0" xfId="1" applyFont="1" applyFill="1" applyAlignment="1">
      <alignment wrapText="1"/>
    </xf>
    <xf numFmtId="9" fontId="19" fillId="0" borderId="0" xfId="0" applyNumberFormat="1" applyFont="1" applyAlignment="1">
      <alignment wrapText="1"/>
    </xf>
    <xf numFmtId="0" fontId="19" fillId="8" borderId="0" xfId="0" applyFont="1" applyFill="1" applyAlignment="1">
      <alignment wrapText="1"/>
    </xf>
    <xf numFmtId="165" fontId="19" fillId="8" borderId="0" xfId="0" applyNumberFormat="1" applyFont="1" applyFill="1" applyAlignment="1">
      <alignment wrapText="1"/>
    </xf>
    <xf numFmtId="1" fontId="15" fillId="3" borderId="0" xfId="0" applyNumberFormat="1" applyFont="1" applyFill="1" applyAlignment="1">
      <alignment wrapText="1"/>
    </xf>
    <xf numFmtId="2" fontId="15" fillId="3" borderId="0" xfId="0" applyNumberFormat="1" applyFont="1" applyFill="1" applyAlignment="1">
      <alignment wrapText="1"/>
    </xf>
    <xf numFmtId="165" fontId="15" fillId="5" borderId="0" xfId="0" applyNumberFormat="1" applyFont="1" applyFill="1" applyAlignment="1">
      <alignment wrapText="1"/>
    </xf>
    <xf numFmtId="2" fontId="15" fillId="0" borderId="0" xfId="0" applyNumberFormat="1" applyFont="1" applyAlignment="1">
      <alignment wrapText="1"/>
    </xf>
    <xf numFmtId="9" fontId="31" fillId="0" borderId="0" xfId="1" applyFont="1" applyAlignment="1">
      <alignment wrapText="1"/>
    </xf>
    <xf numFmtId="9" fontId="32" fillId="8" borderId="0" xfId="1" applyFont="1" applyFill="1" applyAlignment="1">
      <alignment wrapText="1"/>
    </xf>
    <xf numFmtId="2" fontId="31" fillId="0" borderId="0" xfId="0" applyNumberFormat="1" applyFont="1" applyAlignment="1">
      <alignment wrapText="1"/>
    </xf>
    <xf numFmtId="9" fontId="32" fillId="0" borderId="0" xfId="0" applyNumberFormat="1" applyFont="1" applyFill="1" applyAlignment="1">
      <alignment wrapText="1"/>
    </xf>
    <xf numFmtId="2" fontId="31" fillId="0" borderId="0" xfId="0" applyNumberFormat="1" applyFont="1" applyFill="1" applyAlignment="1">
      <alignment wrapText="1"/>
    </xf>
    <xf numFmtId="9" fontId="15" fillId="0" borderId="0" xfId="1" applyFont="1" applyFill="1" applyAlignment="1"/>
    <xf numFmtId="165" fontId="26" fillId="0" borderId="0" xfId="0" applyNumberFormat="1" applyFont="1" applyFill="1" applyAlignment="1">
      <alignment vertical="center"/>
    </xf>
    <xf numFmtId="165" fontId="15" fillId="5" borderId="0" xfId="0" applyNumberFormat="1" applyFont="1" applyFill="1"/>
    <xf numFmtId="0" fontId="46" fillId="0" borderId="0" xfId="0" applyFont="1" applyBorder="1" applyAlignment="1">
      <alignment vertical="center"/>
    </xf>
    <xf numFmtId="1" fontId="46" fillId="0" borderId="0" xfId="0" applyNumberFormat="1" applyFont="1" applyBorder="1" applyAlignment="1">
      <alignment vertical="center"/>
    </xf>
    <xf numFmtId="165" fontId="46" fillId="0" borderId="0" xfId="0" applyNumberFormat="1" applyFont="1" applyBorder="1" applyAlignment="1">
      <alignment vertical="center"/>
    </xf>
    <xf numFmtId="0" fontId="47" fillId="0" borderId="0" xfId="0" applyFont="1" applyBorder="1" applyAlignment="1">
      <alignment vertical="center"/>
    </xf>
    <xf numFmtId="0" fontId="48" fillId="0" borderId="0" xfId="0" applyFont="1" applyBorder="1" applyAlignment="1">
      <alignment vertical="center"/>
    </xf>
    <xf numFmtId="1" fontId="48" fillId="0" borderId="0" xfId="0" applyNumberFormat="1" applyFont="1" applyBorder="1" applyAlignment="1">
      <alignment vertical="center"/>
    </xf>
    <xf numFmtId="165" fontId="48" fillId="0" borderId="0" xfId="0" applyNumberFormat="1" applyFont="1" applyBorder="1" applyAlignment="1">
      <alignment vertical="center"/>
    </xf>
    <xf numFmtId="0" fontId="12" fillId="0" borderId="0" xfId="0" applyFont="1" applyBorder="1" applyAlignment="1">
      <alignment vertical="center"/>
    </xf>
    <xf numFmtId="165" fontId="22" fillId="0" borderId="0" xfId="0" applyNumberFormat="1" applyFont="1" applyBorder="1"/>
    <xf numFmtId="0" fontId="12" fillId="0" borderId="0" xfId="0" applyFont="1" applyBorder="1"/>
    <xf numFmtId="0" fontId="22" fillId="0" borderId="0" xfId="0" applyFont="1" applyBorder="1"/>
    <xf numFmtId="1" fontId="9" fillId="0" borderId="0" xfId="0" applyNumberFormat="1" applyFont="1" applyBorder="1" applyAlignment="1">
      <alignment vertical="center"/>
    </xf>
    <xf numFmtId="165" fontId="9" fillId="0" borderId="0" xfId="0" applyNumberFormat="1" applyFont="1" applyBorder="1" applyAlignment="1">
      <alignment vertical="center"/>
    </xf>
    <xf numFmtId="0" fontId="24" fillId="0" borderId="0" xfId="0" applyFont="1" applyBorder="1" applyAlignment="1">
      <alignment vertical="center"/>
    </xf>
    <xf numFmtId="0" fontId="49" fillId="0" borderId="0" xfId="0" applyFont="1" applyBorder="1" applyAlignment="1">
      <alignment vertical="center"/>
    </xf>
    <xf numFmtId="0" fontId="12" fillId="0" borderId="0" xfId="0" applyFont="1" applyBorder="1" applyAlignment="1">
      <alignment vertical="center" wrapText="1"/>
    </xf>
    <xf numFmtId="0" fontId="22" fillId="0" borderId="0" xfId="0" applyFont="1" applyBorder="1" applyAlignment="1">
      <alignment horizontal="left"/>
    </xf>
    <xf numFmtId="165" fontId="30" fillId="0" borderId="0" xfId="0" applyNumberFormat="1" applyFont="1" applyFill="1" applyBorder="1" applyAlignment="1">
      <alignment horizontal="right"/>
    </xf>
    <xf numFmtId="0" fontId="18" fillId="0" borderId="0" xfId="0" applyFont="1" applyFill="1" applyBorder="1" applyAlignment="1">
      <alignment horizontal="right"/>
    </xf>
    <xf numFmtId="165" fontId="18" fillId="0" borderId="0" xfId="0" applyNumberFormat="1" applyFont="1" applyFill="1" applyBorder="1" applyAlignment="1">
      <alignment horizontal="right"/>
    </xf>
    <xf numFmtId="9" fontId="15" fillId="0" borderId="0" xfId="0" applyNumberFormat="1" applyFont="1" applyFill="1" applyAlignment="1">
      <alignment wrapText="1"/>
    </xf>
    <xf numFmtId="9" fontId="15" fillId="0" borderId="0" xfId="1" applyFont="1" applyFill="1" applyAlignment="1">
      <alignment wrapText="1"/>
    </xf>
    <xf numFmtId="1" fontId="19" fillId="0" borderId="0" xfId="0" applyNumberFormat="1" applyFont="1" applyFill="1"/>
    <xf numFmtId="1" fontId="15" fillId="0" borderId="0" xfId="0" applyNumberFormat="1" applyFont="1" applyFill="1" applyBorder="1"/>
    <xf numFmtId="1" fontId="15" fillId="9" borderId="0" xfId="0" applyNumberFormat="1" applyFont="1" applyFill="1" applyBorder="1"/>
    <xf numFmtId="1" fontId="15" fillId="3" borderId="0" xfId="0" applyNumberFormat="1" applyFont="1" applyFill="1" applyBorder="1"/>
    <xf numFmtId="165" fontId="15" fillId="9" borderId="0" xfId="0" applyNumberFormat="1" applyFont="1" applyFill="1" applyBorder="1"/>
    <xf numFmtId="1" fontId="16" fillId="0" borderId="0" xfId="0" applyNumberFormat="1" applyFont="1" applyFill="1" applyBorder="1"/>
    <xf numFmtId="165" fontId="15" fillId="10" borderId="0" xfId="0" applyNumberFormat="1" applyFont="1" applyFill="1" applyBorder="1"/>
    <xf numFmtId="0" fontId="19" fillId="0" borderId="0" xfId="0" applyFont="1" applyBorder="1"/>
    <xf numFmtId="0" fontId="2" fillId="0" borderId="0" xfId="0" applyFont="1" applyBorder="1"/>
    <xf numFmtId="0" fontId="2" fillId="0" borderId="0" xfId="0" applyFont="1" applyFill="1" applyBorder="1"/>
    <xf numFmtId="1" fontId="15" fillId="19" borderId="0" xfId="0" applyNumberFormat="1" applyFont="1" applyFill="1" applyBorder="1"/>
    <xf numFmtId="1" fontId="15" fillId="18" borderId="0" xfId="0" applyNumberFormat="1" applyFont="1" applyFill="1" applyBorder="1"/>
    <xf numFmtId="165" fontId="15" fillId="19" borderId="0" xfId="0" applyNumberFormat="1" applyFont="1" applyFill="1" applyBorder="1"/>
    <xf numFmtId="165" fontId="15" fillId="18" borderId="0" xfId="0" applyNumberFormat="1" applyFont="1" applyFill="1" applyBorder="1"/>
    <xf numFmtId="165" fontId="15" fillId="5" borderId="0" xfId="0" applyNumberFormat="1" applyFont="1" applyFill="1" applyBorder="1"/>
    <xf numFmtId="165" fontId="1" fillId="5" borderId="0" xfId="0" applyNumberFormat="1" applyFont="1" applyFill="1" applyBorder="1"/>
    <xf numFmtId="1" fontId="1" fillId="5" borderId="0" xfId="0" applyNumberFormat="1" applyFont="1" applyFill="1" applyBorder="1"/>
    <xf numFmtId="1" fontId="15" fillId="5" borderId="0" xfId="0" applyNumberFormat="1" applyFont="1" applyFill="1" applyBorder="1"/>
    <xf numFmtId="165" fontId="15" fillId="21" borderId="0" xfId="0" applyNumberFormat="1" applyFont="1" applyFill="1" applyBorder="1"/>
    <xf numFmtId="165" fontId="15" fillId="0" borderId="0" xfId="0" applyNumberFormat="1" applyFont="1" applyFill="1" applyBorder="1"/>
    <xf numFmtId="1" fontId="15" fillId="21" borderId="0" xfId="0" applyNumberFormat="1" applyFont="1" applyFill="1" applyBorder="1"/>
    <xf numFmtId="0" fontId="1" fillId="5" borderId="0" xfId="0" applyFont="1" applyFill="1" applyBorder="1"/>
    <xf numFmtId="0" fontId="1" fillId="21" borderId="0" xfId="0" applyFont="1" applyFill="1" applyBorder="1"/>
    <xf numFmtId="166" fontId="29" fillId="0" borderId="0" xfId="1" applyNumberFormat="1" applyFont="1" applyFill="1"/>
    <xf numFmtId="165" fontId="31" fillId="0" borderId="0" xfId="0" applyNumberFormat="1" applyFont="1" applyBorder="1"/>
    <xf numFmtId="1" fontId="31" fillId="0" borderId="0" xfId="0" applyNumberFormat="1" applyFont="1" applyFill="1" applyBorder="1"/>
    <xf numFmtId="1" fontId="31" fillId="0" borderId="0" xfId="0" applyNumberFormat="1" applyFont="1" applyBorder="1"/>
    <xf numFmtId="165" fontId="18" fillId="0" borderId="0" xfId="0" applyNumberFormat="1" applyFont="1" applyFill="1" applyBorder="1"/>
    <xf numFmtId="165" fontId="18" fillId="0" borderId="0" xfId="0" applyNumberFormat="1" applyFont="1" applyBorder="1"/>
    <xf numFmtId="2" fontId="18" fillId="0" borderId="0" xfId="0" applyNumberFormat="1" applyFont="1" applyBorder="1"/>
    <xf numFmtId="1" fontId="18" fillId="0" borderId="0" xfId="0" applyNumberFormat="1" applyFont="1" applyBorder="1"/>
    <xf numFmtId="0" fontId="22" fillId="0" borderId="3" xfId="0" applyFont="1" applyFill="1" applyBorder="1" applyAlignment="1"/>
    <xf numFmtId="165" fontId="31" fillId="0" borderId="0" xfId="0" applyNumberFormat="1" applyFont="1" applyFill="1" applyBorder="1"/>
    <xf numFmtId="1" fontId="18" fillId="0" borderId="0" xfId="0" applyNumberFormat="1" applyFont="1" applyFill="1" applyBorder="1"/>
    <xf numFmtId="1" fontId="31" fillId="10" borderId="0" xfId="0" applyNumberFormat="1" applyFont="1" applyFill="1" applyBorder="1"/>
    <xf numFmtId="2" fontId="15" fillId="2" borderId="0" xfId="0" applyNumberFormat="1" applyFont="1" applyFill="1"/>
    <xf numFmtId="165" fontId="47" fillId="0" borderId="0" xfId="0" applyNumberFormat="1" applyFont="1" applyBorder="1" applyAlignment="1">
      <alignment vertical="center"/>
    </xf>
    <xf numFmtId="0" fontId="12" fillId="0" borderId="0" xfId="0" applyFont="1" applyBorder="1" applyAlignment="1">
      <alignment horizontal="center" vertical="center" wrapText="1"/>
    </xf>
    <xf numFmtId="2" fontId="29" fillId="0" borderId="0" xfId="0" applyNumberFormat="1" applyFont="1" applyFill="1" applyAlignment="1"/>
    <xf numFmtId="2" fontId="29" fillId="0" borderId="0" xfId="0" applyNumberFormat="1" applyFont="1" applyFill="1" applyAlignment="1">
      <alignment wrapText="1"/>
    </xf>
    <xf numFmtId="2" fontId="15" fillId="0" borderId="0" xfId="0" applyNumberFormat="1" applyFont="1"/>
    <xf numFmtId="165" fontId="18" fillId="10" borderId="0" xfId="0" applyNumberFormat="1" applyFont="1" applyFill="1"/>
    <xf numFmtId="0" fontId="18" fillId="0" borderId="0" xfId="0" applyFont="1" applyFill="1" applyAlignment="1">
      <alignment horizontal="left" wrapText="1" indent="2"/>
    </xf>
    <xf numFmtId="9" fontId="1" fillId="0" borderId="0" xfId="1" applyFont="1"/>
    <xf numFmtId="165" fontId="1" fillId="3" borderId="0" xfId="0" applyNumberFormat="1" applyFont="1" applyFill="1"/>
    <xf numFmtId="2" fontId="50" fillId="0" borderId="0" xfId="0" applyNumberFormat="1" applyFont="1"/>
    <xf numFmtId="165" fontId="28" fillId="0" borderId="0" xfId="0" applyNumberFormat="1" applyFont="1"/>
    <xf numFmtId="165" fontId="1" fillId="4" borderId="0" xfId="0" applyNumberFormat="1" applyFont="1" applyFill="1"/>
    <xf numFmtId="165" fontId="1" fillId="8" borderId="0" xfId="0" applyNumberFormat="1" applyFont="1" applyFill="1"/>
    <xf numFmtId="2" fontId="32" fillId="0" borderId="0" xfId="0" applyNumberFormat="1" applyFont="1" applyFill="1"/>
    <xf numFmtId="0" fontId="1" fillId="0" borderId="0" xfId="0" applyFont="1" applyFill="1" applyAlignment="1">
      <alignment horizontal="left" indent="1"/>
    </xf>
    <xf numFmtId="165" fontId="51" fillId="22" borderId="0" xfId="0" applyNumberFormat="1" applyFont="1" applyFill="1"/>
    <xf numFmtId="0" fontId="1" fillId="0" borderId="0" xfId="0" applyFont="1" applyAlignment="1">
      <alignment horizontal="left" indent="1"/>
    </xf>
    <xf numFmtId="0" fontId="31" fillId="0" borderId="0" xfId="0" applyFont="1" applyFill="1" applyAlignment="1">
      <alignment horizontal="left" wrapText="1" indent="2"/>
    </xf>
    <xf numFmtId="165" fontId="50" fillId="0" borderId="0" xfId="0" applyNumberFormat="1" applyFont="1"/>
    <xf numFmtId="0" fontId="1" fillId="0" borderId="0" xfId="0" applyFont="1" applyFill="1" applyAlignment="1">
      <alignment horizontal="left" wrapText="1" indent="1"/>
    </xf>
    <xf numFmtId="165" fontId="52" fillId="22" borderId="0" xfId="0" applyNumberFormat="1" applyFont="1" applyFill="1"/>
    <xf numFmtId="0" fontId="27" fillId="0" borderId="0" xfId="0" applyFont="1"/>
    <xf numFmtId="1" fontId="1" fillId="0" borderId="0" xfId="0" applyNumberFormat="1" applyFont="1"/>
    <xf numFmtId="0" fontId="17" fillId="0" borderId="0" xfId="0" applyFont="1" applyFill="1"/>
    <xf numFmtId="2" fontId="31" fillId="0" borderId="0" xfId="0" applyNumberFormat="1" applyFont="1"/>
    <xf numFmtId="0" fontId="32" fillId="0" borderId="0" xfId="0" applyFont="1" applyFill="1" applyAlignment="1"/>
    <xf numFmtId="0" fontId="9" fillId="0" borderId="0" xfId="0" applyFont="1" applyFill="1"/>
    <xf numFmtId="0" fontId="14" fillId="0" borderId="0" xfId="0" applyFont="1"/>
    <xf numFmtId="0" fontId="21" fillId="0" borderId="0" xfId="0" applyFont="1"/>
    <xf numFmtId="0" fontId="21" fillId="0" borderId="0" xfId="0" applyFont="1" applyFill="1"/>
    <xf numFmtId="0" fontId="23" fillId="0" borderId="0" xfId="0" applyFont="1"/>
    <xf numFmtId="1" fontId="1" fillId="10" borderId="0" xfId="0" applyNumberFormat="1" applyFont="1" applyFill="1"/>
    <xf numFmtId="1" fontId="28" fillId="0" borderId="0" xfId="0" applyNumberFormat="1" applyFont="1"/>
    <xf numFmtId="1" fontId="1" fillId="8" borderId="0" xfId="0" applyNumberFormat="1" applyFont="1" applyFill="1"/>
    <xf numFmtId="0" fontId="1" fillId="0" borderId="0" xfId="0" applyFont="1" applyFill="1" applyAlignment="1">
      <alignment horizontal="left" indent="2"/>
    </xf>
    <xf numFmtId="1" fontId="11" fillId="0" borderId="0" xfId="0" applyNumberFormat="1" applyFont="1"/>
    <xf numFmtId="9" fontId="18" fillId="0" borderId="0" xfId="1" applyFont="1" applyFill="1"/>
    <xf numFmtId="165" fontId="33" fillId="0" borderId="0" xfId="0" applyNumberFormat="1" applyFont="1" applyFill="1"/>
    <xf numFmtId="1" fontId="38" fillId="0" borderId="0" xfId="0" applyNumberFormat="1" applyFont="1" applyFill="1"/>
    <xf numFmtId="1" fontId="18" fillId="10" borderId="0" xfId="0" applyNumberFormat="1" applyFont="1" applyFill="1"/>
    <xf numFmtId="0" fontId="18" fillId="0" borderId="0" xfId="0" applyFont="1" applyFill="1" applyAlignment="1">
      <alignment horizontal="left" indent="2"/>
    </xf>
    <xf numFmtId="9" fontId="1" fillId="0" borderId="0" xfId="1" applyFont="1" applyFill="1"/>
    <xf numFmtId="165" fontId="50" fillId="0" borderId="0" xfId="0" applyNumberFormat="1" applyFont="1" applyFill="1"/>
    <xf numFmtId="1" fontId="28" fillId="0" borderId="0" xfId="0" applyNumberFormat="1" applyFont="1" applyFill="1"/>
    <xf numFmtId="2" fontId="28" fillId="0" borderId="0" xfId="0" applyNumberFormat="1" applyFont="1" applyFill="1"/>
    <xf numFmtId="0" fontId="15" fillId="0" borderId="0" xfId="0" applyFont="1" applyAlignment="1">
      <alignment horizontal="left" indent="1"/>
    </xf>
    <xf numFmtId="9" fontId="11" fillId="0" borderId="0" xfId="1" applyFont="1" applyFill="1"/>
    <xf numFmtId="165" fontId="11" fillId="0" borderId="0" xfId="0" applyNumberFormat="1" applyFont="1" applyAlignment="1"/>
    <xf numFmtId="1" fontId="1" fillId="0" borderId="0" xfId="0" applyNumberFormat="1" applyFont="1" applyFill="1" applyAlignment="1">
      <alignment wrapText="1"/>
    </xf>
    <xf numFmtId="168" fontId="1" fillId="0" borderId="0" xfId="0" applyNumberFormat="1" applyFont="1"/>
    <xf numFmtId="2" fontId="1" fillId="0" borderId="0" xfId="0" applyNumberFormat="1" applyFont="1"/>
    <xf numFmtId="9" fontId="11" fillId="0" borderId="0" xfId="1" applyFont="1"/>
    <xf numFmtId="0" fontId="23" fillId="0" borderId="0" xfId="0" applyFont="1" applyFill="1"/>
    <xf numFmtId="0" fontId="34" fillId="0" borderId="0" xfId="0" applyFont="1"/>
    <xf numFmtId="0" fontId="54" fillId="0" borderId="0" xfId="0" applyFont="1"/>
    <xf numFmtId="1" fontId="50" fillId="0" borderId="0" xfId="0" applyNumberFormat="1" applyFont="1" applyFill="1"/>
    <xf numFmtId="2" fontId="19" fillId="0" borderId="0" xfId="1" applyNumberFormat="1" applyFont="1"/>
    <xf numFmtId="1" fontId="9" fillId="0" borderId="0" xfId="0" applyNumberFormat="1" applyFont="1"/>
    <xf numFmtId="0" fontId="24" fillId="0" borderId="0" xfId="0" applyFont="1"/>
    <xf numFmtId="165" fontId="15" fillId="4" borderId="0" xfId="0" applyNumberFormat="1" applyFont="1" applyFill="1"/>
    <xf numFmtId="2" fontId="15" fillId="3" borderId="0" xfId="0" applyNumberFormat="1" applyFont="1" applyFill="1"/>
    <xf numFmtId="164" fontId="1" fillId="0" borderId="0" xfId="1" applyNumberFormat="1" applyFont="1"/>
    <xf numFmtId="164" fontId="1" fillId="2" borderId="0" xfId="1" applyNumberFormat="1" applyFont="1" applyFill="1"/>
    <xf numFmtId="1" fontId="50" fillId="0" borderId="0" xfId="0" applyNumberFormat="1" applyFont="1"/>
    <xf numFmtId="1" fontId="33" fillId="0" borderId="0" xfId="0" applyNumberFormat="1" applyFont="1" applyFill="1"/>
    <xf numFmtId="1" fontId="33" fillId="0" borderId="0" xfId="0" applyNumberFormat="1" applyFont="1"/>
    <xf numFmtId="9" fontId="1" fillId="0" borderId="0" xfId="1" applyNumberFormat="1" applyFont="1"/>
    <xf numFmtId="9" fontId="1" fillId="2" borderId="0" xfId="1" applyNumberFormat="1" applyFont="1" applyFill="1"/>
    <xf numFmtId="1" fontId="27" fillId="0" borderId="0" xfId="0" applyNumberFormat="1" applyFont="1"/>
    <xf numFmtId="9" fontId="1" fillId="2" borderId="0" xfId="1" applyFont="1" applyFill="1"/>
    <xf numFmtId="1" fontId="11" fillId="0" borderId="0" xfId="0" applyNumberFormat="1" applyFont="1" applyAlignment="1">
      <alignment wrapText="1"/>
    </xf>
    <xf numFmtId="1" fontId="11" fillId="0" borderId="0" xfId="0" applyNumberFormat="1" applyFont="1" applyAlignment="1"/>
    <xf numFmtId="0" fontId="0" fillId="0" borderId="0" xfId="0" applyFont="1"/>
    <xf numFmtId="1" fontId="0" fillId="0" borderId="0" xfId="0" applyNumberFormat="1" applyFont="1"/>
    <xf numFmtId="1" fontId="19" fillId="0" borderId="0" xfId="0" applyNumberFormat="1" applyFont="1" applyAlignment="1"/>
    <xf numFmtId="0" fontId="39" fillId="0" borderId="0" xfId="0" applyFont="1"/>
    <xf numFmtId="2" fontId="15" fillId="0" borderId="0" xfId="0" applyNumberFormat="1" applyFont="1" applyBorder="1"/>
    <xf numFmtId="0" fontId="34" fillId="0" borderId="0" xfId="0" applyFont="1" applyFill="1"/>
    <xf numFmtId="166" fontId="19" fillId="0" borderId="0" xfId="0" applyNumberFormat="1" applyFont="1" applyFill="1" applyAlignment="1">
      <alignment wrapText="1"/>
    </xf>
    <xf numFmtId="2" fontId="15" fillId="10" borderId="0" xfId="0" applyNumberFormat="1" applyFont="1" applyFill="1"/>
    <xf numFmtId="2" fontId="31" fillId="0" borderId="0" xfId="0" applyNumberFormat="1" applyFont="1" applyBorder="1"/>
    <xf numFmtId="165" fontId="22" fillId="0" borderId="0" xfId="0" applyNumberFormat="1" applyFont="1" applyBorder="1" applyAlignment="1">
      <alignment vertical="center"/>
    </xf>
    <xf numFmtId="0" fontId="22" fillId="0" borderId="0" xfId="0" applyFont="1" applyBorder="1" applyAlignment="1">
      <alignment horizontal="left" vertical="center"/>
    </xf>
    <xf numFmtId="166" fontId="1" fillId="0" borderId="0" xfId="0" applyNumberFormat="1" applyFont="1" applyBorder="1"/>
    <xf numFmtId="2" fontId="1" fillId="19" borderId="0" xfId="0" applyNumberFormat="1" applyFont="1" applyFill="1" applyBorder="1"/>
    <xf numFmtId="165" fontId="1" fillId="2" borderId="0" xfId="0" applyNumberFormat="1" applyFont="1" applyFill="1" applyBorder="1"/>
    <xf numFmtId="2" fontId="1" fillId="0" borderId="0" xfId="0" applyNumberFormat="1" applyFont="1" applyFill="1" applyBorder="1"/>
    <xf numFmtId="2" fontId="1" fillId="5" borderId="0" xfId="0" applyNumberFormat="1" applyFont="1" applyFill="1" applyBorder="1"/>
    <xf numFmtId="165" fontId="16" fillId="0" borderId="0" xfId="0" applyNumberFormat="1" applyFont="1" applyFill="1" applyBorder="1"/>
    <xf numFmtId="0" fontId="16" fillId="0" borderId="0" xfId="0" applyFont="1" applyBorder="1"/>
    <xf numFmtId="1" fontId="15" fillId="20" borderId="0" xfId="0" applyNumberFormat="1" applyFont="1" applyFill="1" applyBorder="1"/>
    <xf numFmtId="1" fontId="14" fillId="0" borderId="0" xfId="0" applyNumberFormat="1" applyFont="1" applyBorder="1" applyAlignment="1">
      <alignment vertical="center"/>
    </xf>
    <xf numFmtId="1" fontId="47" fillId="0" borderId="0" xfId="0" applyNumberFormat="1" applyFont="1" applyBorder="1" applyAlignment="1">
      <alignment vertical="center"/>
    </xf>
    <xf numFmtId="0" fontId="35" fillId="0" borderId="0" xfId="0" applyFont="1"/>
    <xf numFmtId="0" fontId="42" fillId="0" borderId="0" xfId="0" applyFont="1"/>
    <xf numFmtId="0" fontId="55" fillId="0" borderId="0" xfId="0" applyFont="1"/>
    <xf numFmtId="0" fontId="35" fillId="0" borderId="0" xfId="0" applyFont="1" applyFill="1"/>
    <xf numFmtId="0" fontId="26" fillId="0" borderId="0" xfId="0" applyFont="1" applyAlignment="1"/>
    <xf numFmtId="164" fontId="15" fillId="0" borderId="0" xfId="1" applyNumberFormat="1" applyFont="1" applyFill="1" applyAlignment="1">
      <alignment wrapText="1"/>
    </xf>
    <xf numFmtId="165" fontId="15" fillId="0" borderId="0" xfId="1" applyNumberFormat="1" applyFont="1" applyFill="1" applyAlignment="1">
      <alignment wrapText="1"/>
    </xf>
    <xf numFmtId="165" fontId="19" fillId="0" borderId="0" xfId="1" applyNumberFormat="1" applyFont="1" applyFill="1" applyAlignment="1">
      <alignment wrapText="1"/>
    </xf>
    <xf numFmtId="166" fontId="15" fillId="0" borderId="0" xfId="1" applyNumberFormat="1" applyFont="1" applyFill="1" applyAlignment="1">
      <alignment wrapText="1"/>
    </xf>
    <xf numFmtId="9" fontId="19" fillId="0" borderId="0" xfId="1" applyNumberFormat="1" applyFont="1" applyFill="1" applyAlignment="1">
      <alignment wrapText="1"/>
    </xf>
    <xf numFmtId="9" fontId="15" fillId="0" borderId="0" xfId="1" applyNumberFormat="1" applyFont="1" applyFill="1" applyAlignment="1">
      <alignment wrapText="1"/>
    </xf>
    <xf numFmtId="2" fontId="19" fillId="0" borderId="0" xfId="0" applyNumberFormat="1" applyFont="1" applyFill="1" applyAlignment="1">
      <alignment wrapText="1"/>
    </xf>
    <xf numFmtId="2" fontId="15" fillId="2" borderId="0" xfId="0" applyNumberFormat="1" applyFont="1" applyFill="1" applyAlignment="1">
      <alignment wrapText="1"/>
    </xf>
    <xf numFmtId="0" fontId="15" fillId="0" borderId="0" xfId="0" applyFont="1" applyFill="1" applyAlignment="1">
      <alignment horizontal="left" wrapText="1" indent="1"/>
    </xf>
    <xf numFmtId="0" fontId="18" fillId="0" borderId="0" xfId="0" applyFont="1" applyBorder="1"/>
    <xf numFmtId="0" fontId="18" fillId="0" borderId="0" xfId="0" applyFont="1" applyFill="1" applyBorder="1"/>
    <xf numFmtId="1" fontId="31" fillId="3" borderId="0" xfId="0" applyNumberFormat="1" applyFont="1" applyFill="1" applyBorder="1"/>
    <xf numFmtId="1" fontId="18" fillId="2" borderId="0" xfId="0" applyNumberFormat="1" applyFont="1" applyFill="1" applyBorder="1"/>
    <xf numFmtId="165" fontId="18" fillId="2" borderId="0" xfId="0" applyNumberFormat="1" applyFont="1" applyFill="1" applyBorder="1"/>
    <xf numFmtId="166" fontId="15" fillId="0" borderId="0" xfId="0" applyNumberFormat="1" applyFont="1"/>
    <xf numFmtId="9" fontId="31" fillId="8" borderId="0" xfId="0" applyNumberFormat="1" applyFont="1" applyFill="1" applyAlignment="1">
      <alignment wrapText="1"/>
    </xf>
    <xf numFmtId="166" fontId="15" fillId="0" borderId="0" xfId="0" applyNumberFormat="1" applyFont="1" applyFill="1"/>
    <xf numFmtId="164" fontId="18" fillId="0" borderId="0" xfId="1" applyNumberFormat="1" applyFont="1" applyFill="1"/>
    <xf numFmtId="164" fontId="18" fillId="0" borderId="0" xfId="1" applyNumberFormat="1" applyFont="1"/>
    <xf numFmtId="165" fontId="51" fillId="23" borderId="0" xfId="0" applyNumberFormat="1" applyFont="1" applyFill="1"/>
    <xf numFmtId="165" fontId="51" fillId="0" borderId="0" xfId="0" applyNumberFormat="1" applyFont="1" applyFill="1"/>
    <xf numFmtId="0" fontId="22" fillId="0" borderId="0" xfId="0" applyFont="1" applyBorder="1" applyAlignment="1">
      <alignment vertical="center"/>
    </xf>
    <xf numFmtId="0" fontId="46" fillId="0" borderId="0" xfId="0" applyFont="1" applyFill="1" applyBorder="1" applyAlignment="1">
      <alignment vertical="center"/>
    </xf>
    <xf numFmtId="0" fontId="36" fillId="0" borderId="0" xfId="0" applyFont="1" applyFill="1"/>
    <xf numFmtId="9" fontId="19" fillId="0" borderId="0" xfId="1" applyNumberFormat="1" applyFont="1" applyFill="1"/>
    <xf numFmtId="0" fontId="15" fillId="0" borderId="0" xfId="0" applyFont="1" applyFill="1" applyBorder="1"/>
    <xf numFmtId="165" fontId="27" fillId="0" borderId="0" xfId="0" applyNumberFormat="1" applyFont="1"/>
    <xf numFmtId="0" fontId="43" fillId="0" borderId="0" xfId="0" applyFont="1"/>
    <xf numFmtId="166" fontId="15" fillId="0" borderId="0" xfId="0" applyNumberFormat="1" applyFont="1" applyFill="1" applyAlignment="1">
      <alignment wrapText="1"/>
    </xf>
    <xf numFmtId="165" fontId="15" fillId="2" borderId="0" xfId="1" applyNumberFormat="1" applyFont="1" applyFill="1"/>
    <xf numFmtId="165" fontId="15" fillId="0" borderId="0" xfId="1" applyNumberFormat="1" applyFont="1" applyFill="1"/>
    <xf numFmtId="165" fontId="29" fillId="0" borderId="0" xfId="1" applyNumberFormat="1" applyFont="1" applyFill="1"/>
    <xf numFmtId="164" fontId="32" fillId="0" borderId="0" xfId="1" applyNumberFormat="1" applyFont="1" applyFill="1"/>
    <xf numFmtId="2" fontId="31" fillId="2" borderId="0" xfId="1" applyNumberFormat="1" applyFont="1" applyFill="1"/>
    <xf numFmtId="166" fontId="31" fillId="2" borderId="0" xfId="1" applyNumberFormat="1" applyFont="1" applyFill="1"/>
    <xf numFmtId="167" fontId="31" fillId="2" borderId="0" xfId="1" applyNumberFormat="1" applyFont="1" applyFill="1"/>
    <xf numFmtId="9" fontId="32" fillId="0" borderId="0" xfId="1" applyNumberFormat="1" applyFont="1" applyFill="1"/>
    <xf numFmtId="0" fontId="32" fillId="0" borderId="0" xfId="0" applyFont="1" applyFill="1"/>
    <xf numFmtId="166" fontId="50" fillId="0" borderId="0" xfId="0" applyNumberFormat="1" applyFont="1"/>
    <xf numFmtId="164" fontId="15" fillId="0" borderId="0" xfId="0" applyNumberFormat="1" applyFont="1" applyFill="1"/>
    <xf numFmtId="2" fontId="31" fillId="0" borderId="0" xfId="0" applyNumberFormat="1" applyFont="1" applyFill="1"/>
    <xf numFmtId="1" fontId="44" fillId="0" borderId="0" xfId="0" applyNumberFormat="1" applyFont="1"/>
    <xf numFmtId="1" fontId="15" fillId="4" borderId="0" xfId="0" applyNumberFormat="1" applyFont="1" applyFill="1" applyAlignment="1">
      <alignment wrapText="1"/>
    </xf>
    <xf numFmtId="165" fontId="31" fillId="2" borderId="0" xfId="0" applyNumberFormat="1" applyFont="1" applyFill="1" applyAlignment="1">
      <alignment wrapText="1"/>
    </xf>
    <xf numFmtId="2" fontId="31" fillId="2" borderId="0" xfId="0" applyNumberFormat="1" applyFont="1" applyFill="1" applyAlignment="1">
      <alignment wrapText="1"/>
    </xf>
    <xf numFmtId="1" fontId="31" fillId="0" borderId="0" xfId="0" applyNumberFormat="1" applyFont="1" applyFill="1"/>
    <xf numFmtId="2" fontId="19" fillId="9" borderId="0" xfId="0" applyNumberFormat="1" applyFont="1" applyFill="1" applyAlignment="1">
      <alignment wrapText="1"/>
    </xf>
    <xf numFmtId="165" fontId="15" fillId="0" borderId="0" xfId="0" applyNumberFormat="1" applyFont="1" applyFill="1" applyAlignment="1">
      <alignment vertical="center" wrapText="1"/>
    </xf>
    <xf numFmtId="165" fontId="19" fillId="0" borderId="0" xfId="0" applyNumberFormat="1" applyFont="1" applyFill="1" applyAlignment="1">
      <alignment vertical="center" wrapText="1"/>
    </xf>
    <xf numFmtId="0" fontId="32" fillId="11" borderId="0" xfId="0" applyFont="1" applyFill="1" applyAlignment="1">
      <alignment vertical="center"/>
    </xf>
    <xf numFmtId="0" fontId="56" fillId="0" borderId="0" xfId="0" applyFont="1"/>
    <xf numFmtId="0" fontId="11" fillId="9" borderId="0" xfId="0" applyFont="1" applyFill="1"/>
    <xf numFmtId="165" fontId="11" fillId="9" borderId="0" xfId="0" applyNumberFormat="1" applyFont="1" applyFill="1"/>
    <xf numFmtId="165" fontId="19" fillId="9" borderId="0" xfId="0" applyNumberFormat="1" applyFont="1" applyFill="1"/>
    <xf numFmtId="165" fontId="29" fillId="0" borderId="0" xfId="0" applyNumberFormat="1" applyFont="1" applyFill="1"/>
    <xf numFmtId="165" fontId="27" fillId="0" borderId="0" xfId="0" applyNumberFormat="1" applyFont="1" applyAlignment="1"/>
    <xf numFmtId="164" fontId="13" fillId="8" borderId="0" xfId="1" applyNumberFormat="1" applyFont="1" applyFill="1" applyAlignment="1">
      <alignment wrapText="1"/>
    </xf>
    <xf numFmtId="0" fontId="15" fillId="0" borderId="0" xfId="0" applyFont="1" applyAlignment="1">
      <alignment horizontal="left" wrapText="1"/>
    </xf>
    <xf numFmtId="165" fontId="28" fillId="0" borderId="0" xfId="0" applyNumberFormat="1" applyFont="1" applyFill="1"/>
    <xf numFmtId="2" fontId="50" fillId="0" borderId="0" xfId="0" applyNumberFormat="1" applyFont="1" applyFill="1"/>
    <xf numFmtId="0" fontId="13" fillId="8" borderId="0" xfId="0" applyFont="1" applyFill="1" applyAlignment="1">
      <alignment wrapText="1"/>
    </xf>
    <xf numFmtId="0" fontId="21" fillId="0" borderId="0" xfId="0" applyFont="1" applyAlignment="1"/>
    <xf numFmtId="164" fontId="1" fillId="0" borderId="0" xfId="1" applyNumberFormat="1" applyFont="1" applyAlignment="1"/>
    <xf numFmtId="9" fontId="1" fillId="0" borderId="0" xfId="1" applyNumberFormat="1" applyFont="1" applyAlignment="1"/>
    <xf numFmtId="9" fontId="11" fillId="0" borderId="0" xfId="1" applyNumberFormat="1" applyFont="1" applyAlignment="1"/>
    <xf numFmtId="164" fontId="11" fillId="0" borderId="0" xfId="1" applyNumberFormat="1" applyFont="1" applyAlignment="1"/>
    <xf numFmtId="9" fontId="19" fillId="0" borderId="0" xfId="1" applyNumberFormat="1" applyFont="1" applyAlignment="1"/>
    <xf numFmtId="0" fontId="32" fillId="0" borderId="0" xfId="0" applyFont="1" applyAlignment="1">
      <alignment vertical="center"/>
    </xf>
    <xf numFmtId="2" fontId="19" fillId="0" borderId="0" xfId="0" applyNumberFormat="1" applyFont="1" applyAlignment="1">
      <alignment vertical="center"/>
    </xf>
    <xf numFmtId="165" fontId="14" fillId="5" borderId="0" xfId="0" applyNumberFormat="1" applyFont="1" applyFill="1" applyAlignment="1">
      <alignment vertical="center"/>
    </xf>
    <xf numFmtId="165" fontId="22" fillId="0" borderId="0" xfId="0" applyNumberFormat="1" applyFont="1" applyAlignment="1">
      <alignment vertical="center"/>
    </xf>
    <xf numFmtId="165" fontId="25" fillId="0" borderId="0" xfId="0" applyNumberFormat="1" applyFont="1" applyAlignment="1">
      <alignment vertical="center"/>
    </xf>
    <xf numFmtId="165" fontId="19" fillId="0" borderId="0" xfId="0" applyNumberFormat="1" applyFont="1" applyAlignment="1">
      <alignment vertical="center"/>
    </xf>
    <xf numFmtId="9" fontId="31" fillId="0" borderId="0" xfId="1" applyNumberFormat="1" applyFont="1" applyFill="1" applyAlignment="1">
      <alignment wrapText="1"/>
    </xf>
    <xf numFmtId="164" fontId="11" fillId="0" borderId="0" xfId="1" applyNumberFormat="1" applyFont="1" applyFill="1" applyAlignment="1"/>
    <xf numFmtId="164" fontId="16" fillId="0" borderId="0" xfId="1" applyNumberFormat="1" applyFont="1" applyFill="1" applyAlignment="1"/>
    <xf numFmtId="9" fontId="11" fillId="0" borderId="0" xfId="1" applyFont="1" applyFill="1" applyAlignment="1"/>
    <xf numFmtId="164" fontId="1" fillId="0" borderId="0" xfId="0" applyNumberFormat="1" applyFont="1" applyFill="1" applyAlignment="1"/>
    <xf numFmtId="9" fontId="31" fillId="0" borderId="0" xfId="1" applyFont="1" applyFill="1" applyAlignment="1"/>
    <xf numFmtId="1" fontId="31" fillId="4" borderId="0" xfId="0" applyNumberFormat="1" applyFont="1" applyFill="1" applyAlignment="1">
      <alignment wrapText="1"/>
    </xf>
    <xf numFmtId="0" fontId="28" fillId="0" borderId="0" xfId="0" applyFont="1" applyAlignment="1">
      <alignment vertical="center"/>
    </xf>
    <xf numFmtId="9" fontId="15" fillId="8" borderId="0" xfId="1" applyFont="1" applyFill="1" applyAlignment="1">
      <alignment wrapText="1"/>
    </xf>
    <xf numFmtId="164" fontId="19" fillId="0" borderId="0" xfId="1" applyNumberFormat="1" applyFont="1" applyFill="1" applyAlignment="1"/>
    <xf numFmtId="9" fontId="19" fillId="0" borderId="0" xfId="1" applyFont="1" applyFill="1" applyAlignment="1"/>
    <xf numFmtId="0" fontId="42" fillId="0" borderId="0" xfId="0" applyFont="1" applyFill="1" applyAlignment="1">
      <alignment vertical="center"/>
    </xf>
    <xf numFmtId="2" fontId="26" fillId="0" borderId="0" xfId="0" applyNumberFormat="1" applyFont="1" applyFill="1" applyAlignment="1">
      <alignment vertical="center"/>
    </xf>
    <xf numFmtId="0" fontId="14" fillId="3" borderId="0" xfId="0" applyFont="1" applyFill="1" applyAlignment="1">
      <alignment vertical="center"/>
    </xf>
    <xf numFmtId="2" fontId="14" fillId="3" borderId="0" xfId="0" applyNumberFormat="1" applyFont="1" applyFill="1" applyAlignment="1">
      <alignment vertical="center"/>
    </xf>
    <xf numFmtId="0" fontId="14" fillId="6" borderId="0" xfId="0" applyFont="1" applyFill="1" applyAlignment="1">
      <alignment vertical="center"/>
    </xf>
    <xf numFmtId="2" fontId="22" fillId="0" borderId="0" xfId="0" applyNumberFormat="1" applyFont="1" applyAlignment="1">
      <alignment vertical="center"/>
    </xf>
    <xf numFmtId="2" fontId="25" fillId="0" borderId="0" xfId="0" applyNumberFormat="1" applyFont="1" applyAlignment="1">
      <alignment vertical="center"/>
    </xf>
    <xf numFmtId="2" fontId="31" fillId="0" borderId="0" xfId="1" applyNumberFormat="1" applyFont="1" applyFill="1" applyAlignment="1">
      <alignment wrapText="1"/>
    </xf>
    <xf numFmtId="2" fontId="15" fillId="15" borderId="0" xfId="0" applyNumberFormat="1" applyFont="1" applyFill="1" applyAlignment="1">
      <alignment wrapText="1"/>
    </xf>
    <xf numFmtId="2" fontId="15" fillId="0" borderId="0" xfId="0" applyNumberFormat="1" applyFont="1" applyFill="1" applyAlignment="1">
      <alignment wrapText="1"/>
    </xf>
    <xf numFmtId="165" fontId="15" fillId="15" borderId="0" xfId="0" applyNumberFormat="1" applyFont="1" applyFill="1" applyAlignment="1">
      <alignment wrapText="1"/>
    </xf>
    <xf numFmtId="2" fontId="31" fillId="15" borderId="0" xfId="0" applyNumberFormat="1" applyFont="1" applyFill="1" applyAlignment="1">
      <alignment wrapText="1"/>
    </xf>
    <xf numFmtId="165" fontId="31" fillId="15" borderId="0" xfId="0" applyNumberFormat="1" applyFont="1" applyFill="1" applyAlignment="1">
      <alignment wrapText="1"/>
    </xf>
    <xf numFmtId="2" fontId="15" fillId="5" borderId="0" xfId="0" applyNumberFormat="1" applyFont="1" applyFill="1" applyAlignment="1">
      <alignment wrapText="1"/>
    </xf>
    <xf numFmtId="1" fontId="15" fillId="15" borderId="0" xfId="0" applyNumberFormat="1" applyFont="1" applyFill="1" applyAlignment="1">
      <alignment wrapText="1"/>
    </xf>
    <xf numFmtId="1" fontId="15" fillId="16" borderId="0" xfId="0" applyNumberFormat="1" applyFont="1" applyFill="1" applyAlignment="1">
      <alignment wrapText="1"/>
    </xf>
    <xf numFmtId="1" fontId="31" fillId="15" borderId="0" xfId="0" applyNumberFormat="1" applyFont="1" applyFill="1" applyAlignment="1">
      <alignment wrapText="1"/>
    </xf>
    <xf numFmtId="2" fontId="31" fillId="5" borderId="0" xfId="0" applyNumberFormat="1" applyFont="1" applyFill="1" applyAlignment="1">
      <alignment wrapText="1"/>
    </xf>
    <xf numFmtId="1" fontId="57" fillId="0" borderId="0" xfId="0" applyNumberFormat="1" applyFont="1" applyBorder="1"/>
    <xf numFmtId="1" fontId="58" fillId="0" borderId="0" xfId="0" applyNumberFormat="1" applyFont="1" applyBorder="1"/>
    <xf numFmtId="165" fontId="58" fillId="0" borderId="0" xfId="0" applyNumberFormat="1" applyFont="1" applyBorder="1"/>
    <xf numFmtId="165" fontId="57" fillId="0" borderId="0" xfId="0" applyNumberFormat="1" applyFont="1" applyBorder="1"/>
    <xf numFmtId="2" fontId="57" fillId="0" borderId="0" xfId="0" applyNumberFormat="1" applyFont="1" applyBorder="1"/>
    <xf numFmtId="2" fontId="58" fillId="0" borderId="0" xfId="0" applyNumberFormat="1" applyFont="1" applyBorder="1"/>
    <xf numFmtId="0" fontId="58" fillId="0" borderId="0" xfId="0" applyFont="1" applyBorder="1"/>
    <xf numFmtId="1" fontId="57" fillId="0" borderId="0" xfId="0" applyNumberFormat="1" applyFont="1" applyFill="1" applyBorder="1"/>
    <xf numFmtId="1" fontId="58" fillId="0" borderId="0" xfId="0" applyNumberFormat="1" applyFont="1" applyFill="1" applyBorder="1"/>
    <xf numFmtId="165" fontId="58" fillId="0" borderId="0" xfId="0" applyNumberFormat="1" applyFont="1" applyFill="1" applyBorder="1"/>
    <xf numFmtId="165" fontId="16" fillId="0" borderId="0" xfId="0" applyNumberFormat="1" applyFont="1"/>
    <xf numFmtId="0" fontId="29" fillId="0" borderId="0" xfId="0" applyFont="1" applyFill="1" applyAlignment="1">
      <alignment wrapText="1"/>
    </xf>
    <xf numFmtId="1" fontId="29" fillId="0" borderId="0" xfId="0" applyNumberFormat="1" applyFont="1" applyFill="1" applyAlignment="1">
      <alignment wrapText="1"/>
    </xf>
    <xf numFmtId="9" fontId="15" fillId="0" borderId="0" xfId="1" applyNumberFormat="1" applyFont="1" applyAlignment="1"/>
    <xf numFmtId="0" fontId="36" fillId="0" borderId="0" xfId="0" applyFont="1" applyFill="1" applyAlignment="1">
      <alignment vertical="center"/>
    </xf>
    <xf numFmtId="9" fontId="32" fillId="0" borderId="0" xfId="0" applyNumberFormat="1" applyFont="1" applyAlignment="1">
      <alignment wrapText="1"/>
    </xf>
    <xf numFmtId="166" fontId="31" fillId="0" borderId="0" xfId="0" applyNumberFormat="1" applyFont="1" applyFill="1" applyAlignment="1">
      <alignment wrapText="1"/>
    </xf>
    <xf numFmtId="10" fontId="19" fillId="8" borderId="0" xfId="1" applyNumberFormat="1" applyFont="1" applyFill="1" applyAlignment="1">
      <alignment wrapText="1"/>
    </xf>
    <xf numFmtId="164" fontId="19" fillId="9" borderId="0" xfId="1" applyNumberFormat="1" applyFont="1" applyFill="1" applyAlignment="1">
      <alignment wrapText="1"/>
    </xf>
    <xf numFmtId="165" fontId="59" fillId="0" borderId="0" xfId="0" applyNumberFormat="1" applyFont="1" applyFill="1" applyAlignment="1">
      <alignment wrapText="1"/>
    </xf>
    <xf numFmtId="164" fontId="15" fillId="4" borderId="0" xfId="1" applyNumberFormat="1" applyFont="1" applyFill="1" applyAlignment="1">
      <alignment wrapText="1"/>
    </xf>
    <xf numFmtId="0" fontId="36" fillId="0" borderId="0" xfId="0" applyFont="1" applyFill="1" applyAlignment="1">
      <alignment wrapText="1"/>
    </xf>
    <xf numFmtId="164" fontId="36" fillId="0" borderId="0" xfId="1" applyNumberFormat="1" applyFont="1" applyFill="1" applyAlignment="1">
      <alignment wrapText="1"/>
    </xf>
    <xf numFmtId="1" fontId="15" fillId="0" borderId="0" xfId="1" applyNumberFormat="1" applyFont="1" applyFill="1" applyAlignment="1">
      <alignment wrapText="1"/>
    </xf>
    <xf numFmtId="1" fontId="59" fillId="0" borderId="0" xfId="0" applyNumberFormat="1" applyFont="1" applyFill="1" applyAlignment="1">
      <alignment wrapText="1"/>
    </xf>
    <xf numFmtId="166" fontId="1" fillId="0" borderId="0" xfId="0" applyNumberFormat="1" applyFont="1" applyFill="1"/>
    <xf numFmtId="0" fontId="4" fillId="0" borderId="0" xfId="0" applyFont="1" applyFill="1"/>
    <xf numFmtId="9" fontId="11" fillId="0" borderId="0" xfId="1" applyFont="1" applyAlignment="1"/>
    <xf numFmtId="0" fontId="26" fillId="0" borderId="0" xfId="0" applyFont="1"/>
    <xf numFmtId="1" fontId="14" fillId="0" borderId="0" xfId="0" applyNumberFormat="1" applyFont="1"/>
    <xf numFmtId="1" fontId="41" fillId="0" borderId="0" xfId="0" applyNumberFormat="1" applyFont="1"/>
    <xf numFmtId="1" fontId="15" fillId="5" borderId="0" xfId="0" applyNumberFormat="1" applyFont="1" applyFill="1"/>
    <xf numFmtId="1" fontId="31" fillId="5" borderId="0" xfId="0" applyNumberFormat="1" applyFont="1" applyFill="1"/>
    <xf numFmtId="0" fontId="49" fillId="0" borderId="0" xfId="0" applyFont="1" applyFill="1" applyAlignment="1">
      <alignment vertical="center"/>
    </xf>
    <xf numFmtId="0" fontId="60" fillId="0" borderId="0" xfId="0" applyFont="1" applyFill="1" applyAlignment="1">
      <alignment vertical="center"/>
    </xf>
    <xf numFmtId="0" fontId="14" fillId="0" borderId="0" xfId="0" applyFont="1" applyFill="1" applyAlignment="1">
      <alignment vertical="center"/>
    </xf>
    <xf numFmtId="0" fontId="19" fillId="5" borderId="0" xfId="0" applyFont="1" applyFill="1" applyAlignment="1">
      <alignment vertical="center"/>
    </xf>
    <xf numFmtId="0" fontId="14" fillId="14" borderId="0" xfId="0" applyFont="1" applyFill="1" applyAlignment="1">
      <alignment vertical="center"/>
    </xf>
    <xf numFmtId="165" fontId="14" fillId="14" borderId="0" xfId="0" applyNumberFormat="1" applyFont="1" applyFill="1" applyAlignment="1">
      <alignment vertical="center"/>
    </xf>
    <xf numFmtId="166" fontId="14" fillId="11" borderId="0" xfId="0" applyNumberFormat="1" applyFont="1" applyFill="1" applyAlignment="1">
      <alignment vertical="center"/>
    </xf>
    <xf numFmtId="0" fontId="14" fillId="12" borderId="0" xfId="0" applyFont="1" applyFill="1" applyAlignment="1">
      <alignment vertical="center"/>
    </xf>
    <xf numFmtId="0" fontId="31" fillId="0" borderId="0" xfId="0" applyFont="1" applyAlignment="1">
      <alignment vertical="center"/>
    </xf>
    <xf numFmtId="0" fontId="15" fillId="0" borderId="0" xfId="0" applyFont="1" applyAlignment="1">
      <alignment vertical="center"/>
    </xf>
    <xf numFmtId="165" fontId="31" fillId="0" borderId="0" xfId="0" applyNumberFormat="1" applyFont="1" applyFill="1" applyAlignment="1"/>
    <xf numFmtId="0" fontId="31" fillId="0" borderId="0" xfId="0" applyFont="1" applyFill="1" applyAlignment="1"/>
    <xf numFmtId="165" fontId="15" fillId="8" borderId="0" xfId="0" applyNumberFormat="1" applyFont="1" applyFill="1" applyAlignment="1">
      <alignment wrapText="1"/>
    </xf>
    <xf numFmtId="1" fontId="31" fillId="2" borderId="0" xfId="0" applyNumberFormat="1" applyFont="1" applyFill="1" applyAlignment="1">
      <alignment wrapText="1"/>
    </xf>
    <xf numFmtId="1" fontId="31" fillId="12" borderId="0" xfId="0" applyNumberFormat="1" applyFont="1" applyFill="1" applyAlignment="1">
      <alignment wrapText="1"/>
    </xf>
    <xf numFmtId="166" fontId="31" fillId="0" borderId="0" xfId="0" applyNumberFormat="1" applyFont="1" applyFill="1" applyAlignment="1">
      <alignment vertical="center" wrapText="1"/>
    </xf>
    <xf numFmtId="165" fontId="15" fillId="0" borderId="0" xfId="0" applyNumberFormat="1" applyFont="1" applyFill="1" applyAlignment="1"/>
    <xf numFmtId="9" fontId="15" fillId="4" borderId="0" xfId="1" applyFont="1" applyFill="1" applyAlignment="1">
      <alignment wrapText="1"/>
    </xf>
    <xf numFmtId="9" fontId="15" fillId="3" borderId="0" xfId="1" applyFont="1" applyFill="1" applyAlignment="1">
      <alignment wrapText="1"/>
    </xf>
    <xf numFmtId="1" fontId="15" fillId="12" borderId="0" xfId="0" applyNumberFormat="1" applyFont="1" applyFill="1" applyAlignment="1">
      <alignment wrapText="1"/>
    </xf>
    <xf numFmtId="165" fontId="15" fillId="3" borderId="0" xfId="0" applyNumberFormat="1" applyFont="1" applyFill="1" applyAlignment="1">
      <alignment wrapText="1"/>
    </xf>
    <xf numFmtId="1" fontId="15" fillId="4" borderId="0" xfId="1" applyNumberFormat="1" applyFont="1" applyFill="1" applyAlignment="1">
      <alignment wrapText="1"/>
    </xf>
    <xf numFmtId="1" fontId="15" fillId="2" borderId="0" xfId="1" applyNumberFormat="1" applyFont="1" applyFill="1" applyAlignment="1">
      <alignment wrapText="1"/>
    </xf>
    <xf numFmtId="1" fontId="15" fillId="12" borderId="0" xfId="1" applyNumberFormat="1" applyFont="1" applyFill="1" applyAlignment="1">
      <alignment wrapText="1"/>
    </xf>
    <xf numFmtId="165" fontId="15" fillId="16" borderId="0" xfId="0" applyNumberFormat="1" applyFont="1" applyFill="1" applyAlignment="1">
      <alignment wrapText="1"/>
    </xf>
    <xf numFmtId="1" fontId="15" fillId="14" borderId="0" xfId="0" applyNumberFormat="1" applyFont="1" applyFill="1" applyAlignment="1">
      <alignment wrapText="1"/>
    </xf>
    <xf numFmtId="2" fontId="15" fillId="4" borderId="0" xfId="0" applyNumberFormat="1" applyFont="1" applyFill="1" applyAlignment="1">
      <alignment wrapText="1"/>
    </xf>
    <xf numFmtId="164" fontId="31" fillId="0" borderId="0" xfId="0" applyNumberFormat="1" applyFont="1" applyAlignment="1">
      <alignment wrapText="1"/>
    </xf>
    <xf numFmtId="164" fontId="31" fillId="0" borderId="0" xfId="1" applyNumberFormat="1" applyFont="1" applyAlignment="1">
      <alignment wrapText="1"/>
    </xf>
    <xf numFmtId="2" fontId="59" fillId="0" borderId="0" xfId="0" applyNumberFormat="1" applyFont="1" applyFill="1" applyAlignment="1">
      <alignment wrapText="1"/>
    </xf>
    <xf numFmtId="164" fontId="31" fillId="0" borderId="0" xfId="1" applyNumberFormat="1" applyFont="1" applyFill="1" applyAlignment="1">
      <alignment wrapText="1"/>
    </xf>
    <xf numFmtId="165" fontId="31" fillId="0" borderId="0" xfId="1" applyNumberFormat="1" applyFont="1" applyFill="1" applyAlignment="1">
      <alignment wrapText="1"/>
    </xf>
    <xf numFmtId="166" fontId="15" fillId="3" borderId="0" xfId="0" applyNumberFormat="1" applyFont="1" applyFill="1" applyAlignment="1">
      <alignment wrapText="1"/>
    </xf>
    <xf numFmtId="2" fontId="32" fillId="0" borderId="0" xfId="0" applyNumberFormat="1" applyFont="1" applyFill="1" applyAlignment="1">
      <alignment wrapText="1"/>
    </xf>
    <xf numFmtId="2" fontId="32" fillId="0" borderId="0" xfId="0" applyNumberFormat="1" applyFont="1" applyAlignment="1">
      <alignment wrapText="1"/>
    </xf>
    <xf numFmtId="165" fontId="15" fillId="17" borderId="0" xfId="0" applyNumberFormat="1" applyFont="1" applyFill="1" applyAlignment="1">
      <alignment wrapText="1"/>
    </xf>
    <xf numFmtId="9" fontId="15" fillId="9" borderId="0" xfId="1" applyFont="1" applyFill="1" applyAlignment="1">
      <alignment wrapText="1"/>
    </xf>
    <xf numFmtId="10" fontId="15" fillId="0" borderId="0" xfId="0" applyNumberFormat="1" applyFont="1" applyFill="1" applyAlignment="1">
      <alignment wrapText="1"/>
    </xf>
    <xf numFmtId="9" fontId="19" fillId="0" borderId="0" xfId="0" applyNumberFormat="1" applyFont="1" applyFill="1" applyAlignment="1">
      <alignment wrapText="1"/>
    </xf>
    <xf numFmtId="9" fontId="32" fillId="0" borderId="0" xfId="1" applyNumberFormat="1" applyFont="1" applyFill="1" applyAlignment="1">
      <alignment wrapText="1"/>
    </xf>
    <xf numFmtId="166" fontId="32" fillId="0" borderId="0" xfId="0" applyNumberFormat="1" applyFont="1" applyFill="1" applyAlignment="1">
      <alignment wrapText="1"/>
    </xf>
    <xf numFmtId="167" fontId="15" fillId="0" borderId="0" xfId="0" applyNumberFormat="1" applyFont="1" applyAlignment="1">
      <alignment wrapText="1"/>
    </xf>
    <xf numFmtId="2" fontId="19" fillId="0" borderId="0" xfId="1" applyNumberFormat="1" applyFont="1" applyFill="1" applyAlignment="1">
      <alignment wrapText="1"/>
    </xf>
    <xf numFmtId="1" fontId="31" fillId="0" borderId="0" xfId="0" applyNumberFormat="1" applyFont="1" applyFill="1" applyAlignment="1"/>
    <xf numFmtId="165" fontId="31" fillId="0" borderId="0" xfId="1" applyNumberFormat="1" applyFont="1" applyAlignment="1">
      <alignment wrapText="1"/>
    </xf>
    <xf numFmtId="164" fontId="36" fillId="0" borderId="0" xfId="1" applyNumberFormat="1" applyFont="1" applyAlignment="1">
      <alignment wrapText="1"/>
    </xf>
    <xf numFmtId="1" fontId="15" fillId="17" borderId="0" xfId="0" applyNumberFormat="1" applyFont="1" applyFill="1" applyAlignment="1">
      <alignment wrapText="1"/>
    </xf>
    <xf numFmtId="165" fontId="15" fillId="4" borderId="0" xfId="0" applyNumberFormat="1" applyFont="1" applyFill="1" applyAlignment="1">
      <alignment wrapText="1"/>
    </xf>
    <xf numFmtId="2" fontId="15" fillId="9" borderId="0" xfId="0" applyNumberFormat="1" applyFont="1" applyFill="1" applyAlignment="1">
      <alignment wrapText="1"/>
    </xf>
    <xf numFmtId="1" fontId="15" fillId="14" borderId="0" xfId="1" applyNumberFormat="1" applyFont="1" applyFill="1" applyAlignment="1">
      <alignment wrapText="1"/>
    </xf>
    <xf numFmtId="1" fontId="31" fillId="4" borderId="0" xfId="1" applyNumberFormat="1" applyFont="1" applyFill="1" applyAlignment="1">
      <alignment wrapText="1"/>
    </xf>
    <xf numFmtId="164" fontId="32" fillId="8" borderId="0" xfId="1" applyNumberFormat="1" applyFont="1" applyFill="1" applyAlignment="1">
      <alignment wrapText="1"/>
    </xf>
    <xf numFmtId="164" fontId="32" fillId="0" borderId="0" xfId="1" applyNumberFormat="1" applyFont="1" applyFill="1" applyAlignment="1">
      <alignment wrapText="1"/>
    </xf>
    <xf numFmtId="1" fontId="31" fillId="0" borderId="0" xfId="1" applyNumberFormat="1" applyFont="1" applyFill="1" applyAlignment="1">
      <alignment wrapText="1"/>
    </xf>
    <xf numFmtId="9" fontId="32" fillId="8" borderId="0" xfId="1" applyNumberFormat="1" applyFont="1" applyFill="1" applyAlignment="1">
      <alignment wrapText="1"/>
    </xf>
    <xf numFmtId="0" fontId="14" fillId="4" borderId="0" xfId="0" applyFont="1" applyFill="1" applyAlignment="1">
      <alignment vertical="center"/>
    </xf>
    <xf numFmtId="165" fontId="14" fillId="0" borderId="0" xfId="0" applyNumberFormat="1" applyFont="1" applyFill="1" applyAlignment="1">
      <alignment vertical="center"/>
    </xf>
    <xf numFmtId="0" fontId="62" fillId="0" borderId="0" xfId="0" applyFont="1" applyAlignment="1">
      <alignment vertical="center"/>
    </xf>
    <xf numFmtId="0" fontId="36" fillId="0" borderId="0" xfId="0" applyFont="1" applyAlignment="1">
      <alignment vertical="center"/>
    </xf>
    <xf numFmtId="0" fontId="14" fillId="0" borderId="0" xfId="0" applyFont="1" applyFill="1" applyAlignment="1">
      <alignment wrapText="1"/>
    </xf>
    <xf numFmtId="165" fontId="14" fillId="0" borderId="0" xfId="0" applyNumberFormat="1" applyFont="1" applyFill="1" applyAlignment="1">
      <alignment wrapText="1"/>
    </xf>
    <xf numFmtId="1" fontId="59" fillId="0" borderId="0" xfId="0" applyNumberFormat="1" applyFont="1" applyAlignment="1"/>
    <xf numFmtId="9" fontId="31" fillId="4" borderId="0" xfId="1" applyFont="1" applyFill="1" applyAlignment="1">
      <alignment wrapText="1"/>
    </xf>
    <xf numFmtId="9" fontId="15" fillId="0" borderId="0" xfId="1" applyFont="1" applyAlignment="1"/>
    <xf numFmtId="1" fontId="29" fillId="0" borderId="0" xfId="0" applyNumberFormat="1" applyFont="1" applyAlignment="1"/>
    <xf numFmtId="1" fontId="15" fillId="0" borderId="0" xfId="0" applyNumberFormat="1" applyFont="1" applyFill="1" applyAlignment="1"/>
    <xf numFmtId="1" fontId="15" fillId="0" borderId="0" xfId="0" applyNumberFormat="1" applyFont="1" applyAlignment="1"/>
    <xf numFmtId="9" fontId="29" fillId="0" borderId="0" xfId="0" applyNumberFormat="1" applyFont="1" applyAlignment="1">
      <alignment wrapText="1"/>
    </xf>
    <xf numFmtId="1" fontId="31" fillId="2" borderId="0" xfId="0" applyNumberFormat="1" applyFont="1" applyFill="1" applyAlignment="1"/>
    <xf numFmtId="164" fontId="31" fillId="4" borderId="0" xfId="1" applyNumberFormat="1" applyFont="1" applyFill="1" applyAlignment="1">
      <alignment wrapText="1"/>
    </xf>
    <xf numFmtId="1" fontId="31" fillId="0" borderId="0" xfId="0" applyNumberFormat="1" applyFont="1" applyAlignment="1"/>
    <xf numFmtId="9" fontId="31" fillId="7" borderId="0" xfId="1" applyNumberFormat="1" applyFont="1" applyFill="1" applyAlignment="1">
      <alignment wrapText="1"/>
    </xf>
    <xf numFmtId="0" fontId="59" fillId="0" borderId="0" xfId="0" applyFont="1" applyFill="1" applyAlignment="1"/>
    <xf numFmtId="0" fontId="29" fillId="0" borderId="0" xfId="0" applyFont="1" applyFill="1" applyAlignment="1"/>
    <xf numFmtId="164" fontId="29" fillId="0" borderId="0" xfId="0" applyNumberFormat="1" applyFont="1" applyAlignment="1">
      <alignment wrapText="1"/>
    </xf>
    <xf numFmtId="2" fontId="15" fillId="0" borderId="0" xfId="0" applyNumberFormat="1" applyFont="1" applyFill="1" applyAlignment="1"/>
    <xf numFmtId="1" fontId="59" fillId="0" borderId="0" xfId="0" applyNumberFormat="1" applyFont="1" applyFill="1" applyAlignment="1"/>
    <xf numFmtId="164" fontId="19" fillId="0" borderId="0" xfId="0" applyNumberFormat="1" applyFont="1" applyAlignment="1">
      <alignment wrapText="1"/>
    </xf>
    <xf numFmtId="9" fontId="31" fillId="0" borderId="0" xfId="1" applyNumberFormat="1" applyFont="1" applyFill="1"/>
    <xf numFmtId="9" fontId="31" fillId="0" borderId="0" xfId="1" applyFont="1" applyFill="1"/>
    <xf numFmtId="0" fontId="41" fillId="0" borderId="0" xfId="0" applyFont="1" applyFill="1" applyAlignment="1"/>
    <xf numFmtId="1" fontId="31" fillId="0" borderId="0" xfId="1" applyNumberFormat="1" applyFont="1" applyFill="1"/>
    <xf numFmtId="0" fontId="41" fillId="0" borderId="0" xfId="0" applyFont="1" applyFill="1"/>
    <xf numFmtId="165" fontId="41" fillId="0" borderId="0" xfId="0" applyNumberFormat="1" applyFont="1" applyFill="1" applyAlignment="1">
      <alignment wrapText="1"/>
    </xf>
    <xf numFmtId="9" fontId="31" fillId="0" borderId="0" xfId="1" applyNumberFormat="1" applyFont="1" applyAlignment="1"/>
    <xf numFmtId="164" fontId="31" fillId="0" borderId="0" xfId="1" applyNumberFormat="1" applyFont="1" applyAlignment="1"/>
    <xf numFmtId="164" fontId="15" fillId="0" borderId="0" xfId="1" applyNumberFormat="1" applyFont="1" applyAlignment="1"/>
    <xf numFmtId="164" fontId="15" fillId="0" borderId="0" xfId="1" applyNumberFormat="1" applyFont="1" applyFill="1" applyAlignment="1"/>
    <xf numFmtId="9" fontId="15" fillId="7" borderId="0" xfId="1" applyNumberFormat="1" applyFont="1" applyFill="1" applyAlignment="1"/>
    <xf numFmtId="1" fontId="15" fillId="7" borderId="0" xfId="0" applyNumberFormat="1" applyFont="1" applyFill="1" applyAlignment="1">
      <alignment wrapText="1"/>
    </xf>
    <xf numFmtId="9" fontId="31" fillId="0" borderId="0" xfId="1" applyNumberFormat="1" applyFont="1" applyAlignment="1">
      <alignment wrapText="1"/>
    </xf>
    <xf numFmtId="0" fontId="36" fillId="0" borderId="0" xfId="0" applyFont="1" applyFill="1" applyAlignment="1"/>
    <xf numFmtId="1" fontId="36" fillId="0" borderId="0" xfId="0" applyNumberFormat="1" applyFont="1" applyFill="1" applyAlignment="1">
      <alignment wrapText="1"/>
    </xf>
    <xf numFmtId="165" fontId="36" fillId="0" borderId="0" xfId="0" applyNumberFormat="1" applyFont="1" applyFill="1" applyAlignment="1">
      <alignment wrapText="1"/>
    </xf>
    <xf numFmtId="164" fontId="31" fillId="0" borderId="0" xfId="0" applyNumberFormat="1" applyFont="1" applyAlignment="1"/>
    <xf numFmtId="164" fontId="31" fillId="0" borderId="0" xfId="0" applyNumberFormat="1" applyFont="1" applyFill="1"/>
    <xf numFmtId="164" fontId="31" fillId="0" borderId="0" xfId="0" applyNumberFormat="1" applyFont="1" applyFill="1" applyAlignment="1"/>
    <xf numFmtId="9" fontId="31" fillId="0" borderId="0" xfId="1" applyNumberFormat="1" applyFont="1" applyFill="1" applyAlignment="1"/>
    <xf numFmtId="1" fontId="31" fillId="4" borderId="0" xfId="0" applyNumberFormat="1" applyFont="1" applyFill="1"/>
    <xf numFmtId="1" fontId="31" fillId="3" borderId="0" xfId="0" applyNumberFormat="1" applyFont="1" applyFill="1" applyAlignment="1"/>
    <xf numFmtId="1" fontId="31" fillId="9" borderId="0" xfId="0" applyNumberFormat="1" applyFont="1" applyFill="1" applyAlignment="1">
      <alignment wrapText="1"/>
    </xf>
    <xf numFmtId="165" fontId="31" fillId="4" borderId="0" xfId="0" applyNumberFormat="1" applyFont="1" applyFill="1"/>
    <xf numFmtId="165" fontId="31" fillId="4" borderId="0" xfId="0" applyNumberFormat="1" applyFont="1" applyFill="1" applyAlignment="1">
      <alignment wrapText="1"/>
    </xf>
    <xf numFmtId="1" fontId="31" fillId="14" borderId="0" xfId="0" applyNumberFormat="1" applyFont="1" applyFill="1" applyAlignment="1">
      <alignment wrapText="1"/>
    </xf>
    <xf numFmtId="9" fontId="31" fillId="0" borderId="0" xfId="1" applyNumberFormat="1" applyFont="1"/>
    <xf numFmtId="165" fontId="63" fillId="0" borderId="0" xfId="0" applyNumberFormat="1" applyFont="1" applyFill="1"/>
    <xf numFmtId="164" fontId="15" fillId="3" borderId="0" xfId="0" applyNumberFormat="1" applyFont="1" applyFill="1"/>
    <xf numFmtId="9" fontId="15" fillId="3" borderId="0" xfId="0" applyNumberFormat="1" applyFont="1" applyFill="1"/>
    <xf numFmtId="1" fontId="15" fillId="4" borderId="0" xfId="0" applyNumberFormat="1" applyFont="1" applyFill="1"/>
    <xf numFmtId="1" fontId="15" fillId="3" borderId="0" xfId="0" applyNumberFormat="1" applyFont="1" applyFill="1"/>
    <xf numFmtId="1" fontId="15" fillId="3" borderId="0" xfId="0" applyNumberFormat="1" applyFont="1" applyFill="1" applyAlignment="1"/>
    <xf numFmtId="1" fontId="15" fillId="8" borderId="0" xfId="0" applyNumberFormat="1" applyFont="1" applyFill="1"/>
    <xf numFmtId="1" fontId="15" fillId="16" borderId="0" xfId="0" applyNumberFormat="1" applyFont="1" applyFill="1"/>
    <xf numFmtId="1" fontId="15" fillId="15" borderId="0" xfId="0" applyNumberFormat="1" applyFont="1" applyFill="1"/>
    <xf numFmtId="165" fontId="15" fillId="17" borderId="0" xfId="0" applyNumberFormat="1" applyFont="1" applyFill="1"/>
    <xf numFmtId="1" fontId="15" fillId="2" borderId="0" xfId="0" applyNumberFormat="1" applyFont="1" applyFill="1"/>
    <xf numFmtId="165" fontId="29" fillId="10" borderId="0" xfId="0" applyNumberFormat="1" applyFont="1" applyFill="1"/>
    <xf numFmtId="1" fontId="29" fillId="0" borderId="0" xfId="0" applyNumberFormat="1" applyFont="1" applyFill="1"/>
    <xf numFmtId="1" fontId="29" fillId="10" borderId="0" xfId="0" applyNumberFormat="1" applyFont="1" applyFill="1"/>
    <xf numFmtId="164" fontId="15" fillId="0" borderId="0" xfId="1" applyNumberFormat="1" applyFont="1"/>
    <xf numFmtId="1" fontId="59" fillId="0" borderId="0" xfId="0" applyNumberFormat="1" applyFont="1" applyFill="1"/>
    <xf numFmtId="165" fontId="15" fillId="15" borderId="0" xfId="0" applyNumberFormat="1" applyFont="1" applyFill="1"/>
    <xf numFmtId="165" fontId="31" fillId="0" borderId="0" xfId="1" applyNumberFormat="1" applyFont="1" applyFill="1"/>
    <xf numFmtId="2" fontId="19" fillId="10" borderId="0" xfId="0" applyNumberFormat="1" applyFont="1" applyFill="1"/>
    <xf numFmtId="1" fontId="31" fillId="3" borderId="0" xfId="0" applyNumberFormat="1" applyFont="1" applyFill="1"/>
    <xf numFmtId="1" fontId="31" fillId="0" borderId="0" xfId="0" applyNumberFormat="1" applyFont="1"/>
    <xf numFmtId="1" fontId="31" fillId="2" borderId="0" xfId="0" applyNumberFormat="1" applyFont="1" applyFill="1"/>
    <xf numFmtId="165" fontId="31" fillId="2" borderId="0" xfId="0" applyNumberFormat="1" applyFont="1" applyFill="1"/>
    <xf numFmtId="2" fontId="31" fillId="2" borderId="0" xfId="0" applyNumberFormat="1" applyFont="1" applyFill="1"/>
    <xf numFmtId="165" fontId="31" fillId="0" borderId="0" xfId="0" applyNumberFormat="1" applyFont="1"/>
    <xf numFmtId="2" fontId="63" fillId="0" borderId="0" xfId="0" applyNumberFormat="1" applyFont="1" applyFill="1"/>
    <xf numFmtId="0" fontId="22" fillId="0" borderId="0" xfId="0" applyFont="1" applyFill="1"/>
    <xf numFmtId="1" fontId="15" fillId="14" borderId="0" xfId="0" applyNumberFormat="1" applyFont="1" applyFill="1"/>
    <xf numFmtId="1" fontId="19" fillId="10" borderId="0" xfId="0" applyNumberFormat="1" applyFont="1" applyFill="1"/>
    <xf numFmtId="0" fontId="61" fillId="0" borderId="0" xfId="0" applyFont="1" applyFill="1" applyAlignment="1">
      <alignment vertical="center"/>
    </xf>
    <xf numFmtId="9" fontId="42" fillId="0" borderId="0" xfId="0" applyNumberFormat="1" applyFont="1" applyAlignment="1">
      <alignment vertical="center"/>
    </xf>
    <xf numFmtId="0" fontId="64" fillId="0" borderId="0" xfId="0" applyFont="1" applyFill="1" applyAlignment="1">
      <alignment vertical="center"/>
    </xf>
    <xf numFmtId="0" fontId="65" fillId="0" borderId="0" xfId="0" applyFont="1" applyFill="1" applyAlignment="1">
      <alignment vertical="center"/>
    </xf>
    <xf numFmtId="165" fontId="42" fillId="0" borderId="0" xfId="0" applyNumberFormat="1" applyFont="1" applyFill="1" applyAlignment="1">
      <alignment vertical="center"/>
    </xf>
    <xf numFmtId="0" fontId="66" fillId="0" borderId="0" xfId="0" applyFont="1" applyFill="1" applyAlignment="1">
      <alignment vertical="center"/>
    </xf>
    <xf numFmtId="9" fontId="14" fillId="5" borderId="0" xfId="0" applyNumberFormat="1" applyFont="1" applyFill="1" applyAlignment="1">
      <alignment vertical="center"/>
    </xf>
    <xf numFmtId="9" fontId="25" fillId="0" borderId="0" xfId="0" applyNumberFormat="1" applyFont="1" applyAlignment="1">
      <alignment vertical="center"/>
    </xf>
    <xf numFmtId="9" fontId="22" fillId="0" borderId="0" xfId="0" applyNumberFormat="1" applyFont="1" applyAlignment="1">
      <alignment vertical="center"/>
    </xf>
    <xf numFmtId="9" fontId="19" fillId="0" borderId="0" xfId="0" applyNumberFormat="1" applyFont="1" applyAlignment="1">
      <alignment vertical="center"/>
    </xf>
    <xf numFmtId="9" fontId="15" fillId="0" borderId="0" xfId="0" applyNumberFormat="1" applyFont="1" applyAlignment="1"/>
    <xf numFmtId="9" fontId="14" fillId="0" borderId="0" xfId="0" applyNumberFormat="1" applyFont="1" applyAlignment="1"/>
    <xf numFmtId="9" fontId="31" fillId="0" borderId="0" xfId="0" applyNumberFormat="1" applyFont="1" applyAlignment="1"/>
    <xf numFmtId="9" fontId="31" fillId="2" borderId="0" xfId="1" applyFont="1" applyFill="1" applyAlignment="1"/>
    <xf numFmtId="1" fontId="31" fillId="3" borderId="0" xfId="0" applyNumberFormat="1" applyFont="1" applyFill="1" applyAlignment="1">
      <alignment wrapText="1"/>
    </xf>
    <xf numFmtId="1" fontId="15" fillId="2" borderId="0" xfId="0" applyNumberFormat="1" applyFont="1" applyFill="1" applyAlignment="1"/>
    <xf numFmtId="1" fontId="29" fillId="0" borderId="0" xfId="0" applyNumberFormat="1" applyFont="1" applyAlignment="1">
      <alignment wrapText="1"/>
    </xf>
    <xf numFmtId="165" fontId="59" fillId="0" borderId="0" xfId="0" applyNumberFormat="1" applyFont="1" applyAlignment="1">
      <alignment wrapText="1"/>
    </xf>
    <xf numFmtId="165" fontId="15" fillId="0" borderId="0" xfId="0" applyNumberFormat="1" applyFont="1" applyAlignment="1"/>
    <xf numFmtId="9" fontId="29" fillId="0" borderId="0" xfId="0" applyNumberFormat="1" applyFont="1" applyFill="1" applyAlignment="1">
      <alignment wrapText="1"/>
    </xf>
    <xf numFmtId="9" fontId="19" fillId="0" borderId="0" xfId="1" applyFont="1" applyAlignment="1"/>
    <xf numFmtId="9" fontId="15" fillId="2" borderId="0" xfId="1" applyFont="1" applyFill="1" applyAlignment="1"/>
    <xf numFmtId="9" fontId="29" fillId="0" borderId="0" xfId="1" applyFont="1" applyAlignment="1">
      <alignment wrapText="1"/>
    </xf>
    <xf numFmtId="165" fontId="31" fillId="0" borderId="0" xfId="1" applyNumberFormat="1" applyFont="1" applyFill="1" applyAlignment="1"/>
    <xf numFmtId="9" fontId="15" fillId="0" borderId="0" xfId="1" applyNumberFormat="1" applyFont="1"/>
    <xf numFmtId="2" fontId="59" fillId="0" borderId="0" xfId="0" applyNumberFormat="1" applyFont="1" applyFill="1"/>
    <xf numFmtId="2" fontId="29" fillId="10" borderId="0" xfId="0" applyNumberFormat="1" applyFont="1" applyFill="1"/>
    <xf numFmtId="165" fontId="32" fillId="0" borderId="0" xfId="0" applyNumberFormat="1" applyFont="1" applyFill="1"/>
    <xf numFmtId="0" fontId="19" fillId="8" borderId="0" xfId="0" applyFont="1" applyFill="1"/>
    <xf numFmtId="164" fontId="59" fillId="0" borderId="0" xfId="0" applyNumberFormat="1" applyFont="1"/>
    <xf numFmtId="1" fontId="19" fillId="9" borderId="0" xfId="0" applyNumberFormat="1" applyFont="1" applyFill="1"/>
    <xf numFmtId="9" fontId="15" fillId="0" borderId="0" xfId="1" applyNumberFormat="1" applyFont="1" applyAlignment="1">
      <alignment wrapText="1"/>
    </xf>
    <xf numFmtId="9" fontId="19" fillId="0" borderId="0" xfId="0" applyNumberFormat="1" applyFont="1"/>
    <xf numFmtId="9" fontId="15" fillId="0" borderId="0" xfId="1" applyNumberFormat="1" applyFont="1" applyFill="1"/>
    <xf numFmtId="165" fontId="31" fillId="3" borderId="0" xfId="0" applyNumberFormat="1" applyFont="1" applyFill="1"/>
    <xf numFmtId="164" fontId="15" fillId="2" borderId="0" xfId="0" applyNumberFormat="1" applyFont="1" applyFill="1"/>
    <xf numFmtId="165" fontId="15" fillId="9" borderId="0" xfId="0" applyNumberFormat="1" applyFont="1" applyFill="1"/>
    <xf numFmtId="2" fontId="15" fillId="15" borderId="0" xfId="0" applyNumberFormat="1" applyFont="1" applyFill="1"/>
    <xf numFmtId="166" fontId="31" fillId="0" borderId="0" xfId="0" applyNumberFormat="1" applyFont="1" applyFill="1"/>
    <xf numFmtId="166" fontId="19" fillId="0" borderId="0" xfId="0" applyNumberFormat="1" applyFont="1" applyFill="1"/>
    <xf numFmtId="165" fontId="15" fillId="14" borderId="0" xfId="0" applyNumberFormat="1" applyFont="1" applyFill="1"/>
    <xf numFmtId="2" fontId="15" fillId="20" borderId="0" xfId="0" applyNumberFormat="1" applyFont="1" applyFill="1" applyAlignment="1">
      <alignment wrapText="1"/>
    </xf>
    <xf numFmtId="2" fontId="15" fillId="16" borderId="0" xfId="0" applyNumberFormat="1" applyFont="1" applyFill="1" applyAlignment="1">
      <alignment wrapText="1"/>
    </xf>
    <xf numFmtId="1" fontId="19" fillId="0" borderId="0" xfId="0" applyNumberFormat="1" applyFont="1"/>
    <xf numFmtId="0" fontId="15" fillId="0" borderId="0" xfId="0" applyFont="1" applyFill="1" applyAlignment="1">
      <alignment horizontal="left" indent="1"/>
    </xf>
    <xf numFmtId="0" fontId="22" fillId="0" borderId="0" xfId="0" applyFont="1" applyBorder="1" applyAlignment="1">
      <alignment vertical="center" wrapText="1"/>
    </xf>
    <xf numFmtId="0" fontId="22" fillId="0" borderId="0" xfId="0" applyFont="1" applyBorder="1" applyAlignment="1">
      <alignment horizontal="center" vertical="center" wrapText="1"/>
    </xf>
    <xf numFmtId="0" fontId="22" fillId="0" borderId="0" xfId="0" applyFont="1" applyBorder="1" applyAlignment="1">
      <alignment horizontal="center" wrapText="1"/>
    </xf>
    <xf numFmtId="0" fontId="12" fillId="0" borderId="0" xfId="0" applyFont="1" applyBorder="1" applyAlignment="1">
      <alignment horizontal="center" vertical="center" wrapText="1"/>
    </xf>
    <xf numFmtId="0" fontId="15" fillId="0" borderId="0" xfId="0" applyFont="1" applyAlignment="1">
      <alignment horizontal="left" wrapText="1"/>
    </xf>
    <xf numFmtId="0" fontId="1" fillId="0" borderId="0" xfId="0" applyFont="1" applyAlignment="1">
      <alignment horizontal="left" wrapText="1"/>
    </xf>
    <xf numFmtId="1" fontId="19" fillId="0" borderId="0" xfId="0" applyNumberFormat="1" applyFont="1" applyAlignment="1">
      <alignment horizontal="left" wrapText="1"/>
    </xf>
    <xf numFmtId="1" fontId="11" fillId="0" borderId="0" xfId="0" applyNumberFormat="1" applyFont="1" applyAlignment="1">
      <alignment horizontal="left" wrapText="1"/>
    </xf>
    <xf numFmtId="0" fontId="46" fillId="24" borderId="0" xfId="0" applyFont="1" applyFill="1" applyBorder="1" applyAlignment="1">
      <alignment vertical="center"/>
    </xf>
    <xf numFmtId="1" fontId="48" fillId="24" borderId="0" xfId="0" applyNumberFormat="1" applyFont="1" applyFill="1" applyBorder="1" applyAlignment="1">
      <alignment vertical="center"/>
    </xf>
    <xf numFmtId="1" fontId="9" fillId="24" borderId="0" xfId="0" applyNumberFormat="1" applyFont="1" applyFill="1" applyBorder="1" applyAlignment="1">
      <alignment vertical="center"/>
    </xf>
    <xf numFmtId="165" fontId="22" fillId="24" borderId="0" xfId="0" applyNumberFormat="1" applyFont="1" applyFill="1" applyBorder="1" applyAlignment="1">
      <alignment vertical="center"/>
    </xf>
    <xf numFmtId="165" fontId="15" fillId="24" borderId="0" xfId="0" applyNumberFormat="1" applyFont="1" applyFill="1" applyBorder="1" applyAlignment="1">
      <alignment wrapText="1"/>
    </xf>
    <xf numFmtId="1" fontId="1" fillId="24" borderId="2" xfId="0" applyNumberFormat="1" applyFont="1" applyFill="1" applyBorder="1"/>
    <xf numFmtId="1" fontId="1" fillId="24" borderId="0" xfId="0" applyNumberFormat="1" applyFont="1" applyFill="1" applyBorder="1"/>
    <xf numFmtId="2" fontId="31" fillId="24" borderId="0" xfId="0" applyNumberFormat="1" applyFont="1" applyFill="1" applyBorder="1"/>
    <xf numFmtId="2" fontId="15" fillId="24" borderId="0" xfId="0" applyNumberFormat="1" applyFont="1" applyFill="1" applyBorder="1"/>
    <xf numFmtId="1" fontId="16" fillId="24" borderId="0" xfId="0" applyNumberFormat="1" applyFont="1" applyFill="1" applyBorder="1"/>
    <xf numFmtId="2" fontId="1" fillId="24" borderId="0" xfId="0" applyNumberFormat="1" applyFont="1" applyFill="1" applyBorder="1"/>
    <xf numFmtId="1" fontId="18" fillId="24" borderId="0" xfId="0" applyNumberFormat="1" applyFont="1" applyFill="1" applyBorder="1"/>
    <xf numFmtId="166" fontId="1" fillId="24" borderId="0" xfId="0" applyNumberFormat="1" applyFont="1" applyFill="1" applyBorder="1"/>
    <xf numFmtId="165" fontId="18" fillId="24" borderId="0" xfId="0" applyNumberFormat="1" applyFont="1" applyFill="1" applyBorder="1"/>
    <xf numFmtId="165" fontId="1" fillId="24" borderId="0" xfId="0" applyNumberFormat="1" applyFont="1" applyFill="1" applyBorder="1"/>
    <xf numFmtId="2" fontId="18" fillId="24" borderId="0" xfId="0" applyNumberFormat="1" applyFont="1" applyFill="1" applyBorder="1"/>
    <xf numFmtId="165" fontId="48" fillId="24" borderId="0" xfId="0" applyNumberFormat="1" applyFont="1" applyFill="1" applyBorder="1" applyAlignment="1">
      <alignment vertical="center"/>
    </xf>
    <xf numFmtId="0" fontId="9" fillId="24" borderId="0" xfId="0" applyFont="1" applyFill="1" applyBorder="1" applyAlignment="1">
      <alignment vertical="center"/>
    </xf>
    <xf numFmtId="0" fontId="22" fillId="24" borderId="0" xfId="0" applyFont="1" applyFill="1" applyBorder="1" applyAlignment="1">
      <alignment horizontal="left" vertical="center"/>
    </xf>
    <xf numFmtId="165" fontId="15" fillId="24" borderId="0" xfId="0" applyNumberFormat="1" applyFont="1" applyFill="1" applyBorder="1"/>
    <xf numFmtId="165" fontId="31" fillId="24" borderId="0" xfId="0" applyNumberFormat="1" applyFont="1" applyFill="1" applyBorder="1"/>
    <xf numFmtId="0" fontId="1" fillId="24" borderId="0" xfId="0" applyFont="1" applyFill="1" applyBorder="1"/>
    <xf numFmtId="0" fontId="48" fillId="24" borderId="0" xfId="0" applyFont="1" applyFill="1" applyBorder="1" applyAlignment="1">
      <alignment vertical="center"/>
    </xf>
    <xf numFmtId="0" fontId="22" fillId="24" borderId="0" xfId="0" applyFont="1" applyFill="1" applyBorder="1" applyAlignment="1">
      <alignment vertical="center"/>
    </xf>
    <xf numFmtId="0" fontId="1" fillId="24" borderId="2" xfId="0" applyFont="1" applyFill="1" applyBorder="1"/>
    <xf numFmtId="165" fontId="30" fillId="24" borderId="0" xfId="0" applyNumberFormat="1" applyFont="1" applyFill="1" applyBorder="1" applyAlignment="1">
      <alignment horizontal="right"/>
    </xf>
    <xf numFmtId="0" fontId="18" fillId="24" borderId="0" xfId="0" applyFont="1" applyFill="1" applyBorder="1" applyAlignment="1">
      <alignment horizontal="right"/>
    </xf>
    <xf numFmtId="165" fontId="1" fillId="24" borderId="2" xfId="0" applyNumberFormat="1" applyFont="1" applyFill="1" applyBorder="1"/>
    <xf numFmtId="165" fontId="18" fillId="24" borderId="0" xfId="0" applyNumberFormat="1" applyFont="1" applyFill="1" applyBorder="1" applyAlignment="1">
      <alignment horizontal="right"/>
    </xf>
    <xf numFmtId="1" fontId="31" fillId="24" borderId="0" xfId="0" applyNumberFormat="1" applyFont="1" applyFill="1" applyBorder="1"/>
    <xf numFmtId="1" fontId="15" fillId="24" borderId="0" xfId="0" applyNumberFormat="1" applyFont="1" applyFill="1" applyBorder="1"/>
  </cellXfs>
  <cellStyles count="3">
    <cellStyle name="Normal" xfId="0" builtinId="0"/>
    <cellStyle name="Normal 2" xfId="2" xr:uid="{00000000-0005-0000-0000-000001000000}"/>
    <cellStyle name="Percent" xfId="1" builtinId="5"/>
  </cellStyles>
  <dxfs count="0"/>
  <tableStyles count="0" defaultTableStyle="TableStyleMedium2" defaultPivotStyle="PivotStyleLight16"/>
  <colors>
    <mruColors>
      <color rgb="FFBA8CDC"/>
      <color rgb="FFDFC9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N12"/>
  <sheetViews>
    <sheetView workbookViewId="0">
      <selection activeCell="D6" sqref="D6"/>
    </sheetView>
  </sheetViews>
  <sheetFormatPr defaultColWidth="9.109375" defaultRowHeight="12" x14ac:dyDescent="0.25"/>
  <cols>
    <col min="1" max="1" width="15.6640625" style="86" customWidth="1"/>
    <col min="2" max="2" width="6.6640625" style="86" customWidth="1"/>
    <col min="3" max="16384" width="9.109375" style="86"/>
  </cols>
  <sheetData>
    <row r="2" spans="1:14" s="403" customFormat="1" ht="14.4" x14ac:dyDescent="0.3">
      <c r="A2" s="2" t="s">
        <v>926</v>
      </c>
      <c r="B2" s="2"/>
      <c r="C2" s="2"/>
      <c r="D2" s="2" t="s">
        <v>901</v>
      </c>
    </row>
    <row r="3" spans="1:14" s="87" customFormat="1" ht="36" x14ac:dyDescent="0.25">
      <c r="A3" s="88"/>
      <c r="B3" s="87" t="s">
        <v>268</v>
      </c>
      <c r="C3" s="88"/>
      <c r="D3" s="150" t="s">
        <v>902</v>
      </c>
      <c r="E3" s="150" t="s">
        <v>903</v>
      </c>
    </row>
    <row r="4" spans="1:14" s="87" customFormat="1" x14ac:dyDescent="0.25">
      <c r="A4" s="150" t="s">
        <v>366</v>
      </c>
      <c r="C4" s="88"/>
      <c r="D4" s="485">
        <v>0.04</v>
      </c>
      <c r="E4" s="489">
        <v>100</v>
      </c>
    </row>
    <row r="5" spans="1:14" x14ac:dyDescent="0.25">
      <c r="A5" s="86" t="s">
        <v>266</v>
      </c>
      <c r="B5" s="9">
        <v>34</v>
      </c>
      <c r="C5" s="3"/>
    </row>
    <row r="6" spans="1:14" x14ac:dyDescent="0.25">
      <c r="A6" s="86" t="s">
        <v>267</v>
      </c>
      <c r="B6" s="1">
        <v>298</v>
      </c>
      <c r="C6" s="1"/>
    </row>
    <row r="7" spans="1:14" x14ac:dyDescent="0.25">
      <c r="D7" s="557"/>
      <c r="E7" s="557"/>
      <c r="F7" s="557"/>
      <c r="G7" s="557"/>
      <c r="H7" s="557"/>
      <c r="I7" s="557"/>
      <c r="J7" s="557"/>
      <c r="K7" s="557"/>
      <c r="L7" s="557"/>
      <c r="M7" s="557"/>
      <c r="N7" s="557"/>
    </row>
    <row r="8" spans="1:14" x14ac:dyDescent="0.25">
      <c r="D8" s="557"/>
      <c r="E8" s="557"/>
      <c r="F8" s="557"/>
      <c r="G8" s="557"/>
      <c r="H8" s="557"/>
      <c r="I8" s="181"/>
      <c r="J8" s="210"/>
      <c r="K8" s="557"/>
      <c r="L8" s="85"/>
      <c r="M8" s="210"/>
      <c r="N8" s="557"/>
    </row>
    <row r="9" spans="1:14" x14ac:dyDescent="0.25">
      <c r="D9" s="181"/>
      <c r="E9" s="557"/>
      <c r="F9" s="557"/>
      <c r="G9" s="210"/>
      <c r="H9" s="557"/>
      <c r="I9" s="181"/>
      <c r="J9" s="557"/>
      <c r="K9" s="557"/>
      <c r="L9" s="557"/>
      <c r="M9" s="557"/>
      <c r="N9" s="557"/>
    </row>
    <row r="10" spans="1:14" x14ac:dyDescent="0.25">
      <c r="D10" s="557"/>
      <c r="E10" s="557"/>
      <c r="F10" s="557"/>
      <c r="G10" s="210"/>
      <c r="H10" s="557"/>
      <c r="I10" s="181"/>
      <c r="J10" s="557"/>
      <c r="K10" s="557"/>
      <c r="L10" s="557"/>
      <c r="M10" s="557"/>
      <c r="N10" s="557"/>
    </row>
    <row r="11" spans="1:14" x14ac:dyDescent="0.25">
      <c r="D11" s="557"/>
      <c r="E11" s="557"/>
      <c r="F11" s="557"/>
      <c r="G11" s="557"/>
      <c r="H11" s="557"/>
      <c r="I11" s="557"/>
      <c r="J11" s="557"/>
      <c r="K11" s="557"/>
      <c r="L11" s="557"/>
      <c r="M11" s="557"/>
      <c r="N11" s="557"/>
    </row>
    <row r="12" spans="1:14" x14ac:dyDescent="0.25">
      <c r="D12" s="557"/>
      <c r="E12" s="557"/>
      <c r="F12" s="557"/>
      <c r="G12" s="210"/>
      <c r="H12" s="557"/>
      <c r="I12" s="557"/>
      <c r="J12" s="557"/>
      <c r="K12" s="557"/>
      <c r="L12" s="557"/>
      <c r="M12" s="557"/>
      <c r="N12" s="55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5"/>
  <dimension ref="A2:D6"/>
  <sheetViews>
    <sheetView workbookViewId="0">
      <selection activeCell="P52" sqref="P52"/>
    </sheetView>
  </sheetViews>
  <sheetFormatPr defaultColWidth="9.109375" defaultRowHeight="12" x14ac:dyDescent="0.25"/>
  <cols>
    <col min="1" max="1" width="15.6640625" style="86" customWidth="1"/>
    <col min="2" max="2" width="6.6640625" style="86" customWidth="1"/>
    <col min="3" max="16384" width="9.109375" style="86"/>
  </cols>
  <sheetData>
    <row r="2" spans="1:4" s="403" customFormat="1" ht="14.4" x14ac:dyDescent="0.3">
      <c r="A2" s="2" t="s">
        <v>926</v>
      </c>
      <c r="B2" s="2"/>
      <c r="C2" s="2"/>
      <c r="D2" s="2" t="s">
        <v>284</v>
      </c>
    </row>
    <row r="3" spans="1:4" s="87" customFormat="1" ht="24" x14ac:dyDescent="0.25">
      <c r="A3" s="88"/>
      <c r="B3" s="87" t="s">
        <v>268</v>
      </c>
      <c r="C3" s="88"/>
      <c r="D3" s="87" t="s">
        <v>61</v>
      </c>
    </row>
    <row r="4" spans="1:4" s="87" customFormat="1" x14ac:dyDescent="0.25">
      <c r="A4" s="87" t="s">
        <v>285</v>
      </c>
      <c r="C4" s="88"/>
      <c r="D4" s="489">
        <v>30</v>
      </c>
    </row>
    <row r="5" spans="1:4" x14ac:dyDescent="0.25">
      <c r="A5" s="86" t="s">
        <v>266</v>
      </c>
      <c r="B5" s="9">
        <v>34</v>
      </c>
      <c r="C5" s="3"/>
    </row>
    <row r="6" spans="1:4" x14ac:dyDescent="0.25">
      <c r="A6" s="86" t="s">
        <v>267</v>
      </c>
      <c r="B6" s="1">
        <v>298</v>
      </c>
      <c r="C6" s="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25"/>
  <sheetViews>
    <sheetView workbookViewId="0">
      <selection activeCell="A24" sqref="A24"/>
    </sheetView>
  </sheetViews>
  <sheetFormatPr defaultColWidth="9.109375" defaultRowHeight="12" x14ac:dyDescent="0.25"/>
  <cols>
    <col min="1" max="1" width="16.5546875" style="156" bestFit="1" customWidth="1"/>
    <col min="2" max="2" width="10.6640625" style="156" customWidth="1"/>
    <col min="3" max="3" width="8.88671875" style="156" customWidth="1"/>
    <col min="4" max="5" width="5.6640625" style="156" customWidth="1"/>
    <col min="6" max="6" width="9.109375" style="156"/>
    <col min="7" max="14" width="8.6640625" style="156" customWidth="1"/>
    <col min="15" max="16384" width="9.109375" style="156"/>
  </cols>
  <sheetData>
    <row r="1" spans="1:17" ht="15.6" x14ac:dyDescent="0.3">
      <c r="A1" s="490" t="s">
        <v>915</v>
      </c>
      <c r="H1" s="253"/>
      <c r="I1" s="253"/>
      <c r="J1" s="253"/>
      <c r="K1" s="253"/>
    </row>
    <row r="2" spans="1:17" s="22" customFormat="1" ht="14.4" x14ac:dyDescent="0.3">
      <c r="A2" s="22" t="s">
        <v>913</v>
      </c>
      <c r="B2" s="22" t="s">
        <v>914</v>
      </c>
      <c r="G2" s="22" t="s">
        <v>960</v>
      </c>
      <c r="K2" s="22" t="s">
        <v>958</v>
      </c>
    </row>
    <row r="3" spans="1:17" s="21" customFormat="1" ht="13.8" x14ac:dyDescent="0.3">
      <c r="B3" s="21" t="s">
        <v>953</v>
      </c>
      <c r="G3" s="21" t="s">
        <v>917</v>
      </c>
      <c r="I3" s="21" t="s">
        <v>956</v>
      </c>
      <c r="K3" s="21" t="s">
        <v>959</v>
      </c>
    </row>
    <row r="4" spans="1:17" s="88" customFormat="1" ht="60" x14ac:dyDescent="0.25">
      <c r="B4" s="150" t="s">
        <v>916</v>
      </c>
      <c r="C4" s="150" t="s">
        <v>919</v>
      </c>
      <c r="D4" s="150" t="s">
        <v>918</v>
      </c>
      <c r="E4" s="150" t="s">
        <v>920</v>
      </c>
      <c r="G4" s="150" t="s">
        <v>955</v>
      </c>
      <c r="H4" s="150" t="s">
        <v>954</v>
      </c>
      <c r="I4" s="150" t="s">
        <v>957</v>
      </c>
      <c r="J4" s="150"/>
      <c r="K4" s="150" t="s">
        <v>919</v>
      </c>
      <c r="L4" s="150" t="s">
        <v>920</v>
      </c>
      <c r="M4" s="150" t="s">
        <v>921</v>
      </c>
    </row>
    <row r="5" spans="1:17" x14ac:dyDescent="0.25">
      <c r="A5" s="14" t="s">
        <v>391</v>
      </c>
      <c r="B5" s="493">
        <v>0.80597014925373134</v>
      </c>
      <c r="C5" s="491">
        <f t="shared" ref="C5:C13" si="0">B5+D5</f>
        <v>0.83582089552238803</v>
      </c>
      <c r="D5" s="494">
        <v>2.9850746268656716E-2</v>
      </c>
      <c r="E5" s="492">
        <f t="shared" ref="E5:E13" si="1">1-C5</f>
        <v>0.16417910447761197</v>
      </c>
      <c r="G5" s="495">
        <v>0.52</v>
      </c>
      <c r="H5" s="544">
        <f t="shared" ref="H5:H13" si="2">G5*C5</f>
        <v>0.43462686567164177</v>
      </c>
      <c r="I5" s="544">
        <f t="shared" ref="I5:I13" si="3">1-E5-H5</f>
        <v>0.40119402985074626</v>
      </c>
      <c r="J5" s="544"/>
      <c r="K5" s="494">
        <v>0.16700000000000001</v>
      </c>
      <c r="L5" s="494">
        <v>0.04</v>
      </c>
      <c r="M5" s="512">
        <v>0.17</v>
      </c>
      <c r="O5" s="457"/>
      <c r="Q5" s="504"/>
    </row>
    <row r="6" spans="1:17" x14ac:dyDescent="0.25">
      <c r="A6" s="14" t="s">
        <v>905</v>
      </c>
      <c r="B6" s="493">
        <v>0.76964840556009817</v>
      </c>
      <c r="C6" s="492">
        <f t="shared" si="0"/>
        <v>0.83179067865903522</v>
      </c>
      <c r="D6" s="494">
        <v>6.2142273098937044E-2</v>
      </c>
      <c r="E6" s="492">
        <f t="shared" si="1"/>
        <v>0.16820932134096478</v>
      </c>
      <c r="G6" s="558">
        <v>0.51</v>
      </c>
      <c r="H6" s="544">
        <f t="shared" si="2"/>
        <v>0.42421324611610794</v>
      </c>
      <c r="I6" s="544">
        <f t="shared" si="3"/>
        <v>0.40757743254292728</v>
      </c>
      <c r="J6" s="544"/>
      <c r="K6" s="494">
        <v>3.6875000000000005E-2</v>
      </c>
      <c r="L6" s="494">
        <v>0.02</v>
      </c>
      <c r="M6" s="512">
        <v>0.17</v>
      </c>
      <c r="O6" s="503"/>
      <c r="P6" s="503"/>
      <c r="Q6" s="504"/>
    </row>
    <row r="7" spans="1:17" x14ac:dyDescent="0.25">
      <c r="A7" s="14" t="s">
        <v>906</v>
      </c>
      <c r="B7" s="493">
        <v>0.64340026006655948</v>
      </c>
      <c r="C7" s="492">
        <f t="shared" si="0"/>
        <v>0.88583518832786023</v>
      </c>
      <c r="D7" s="493">
        <v>0.24243492826130078</v>
      </c>
      <c r="E7" s="492">
        <f t="shared" si="1"/>
        <v>0.11416481167213977</v>
      </c>
      <c r="G7" s="558">
        <v>0.59</v>
      </c>
      <c r="H7" s="544">
        <f t="shared" si="2"/>
        <v>0.52264276111343755</v>
      </c>
      <c r="I7" s="544">
        <f t="shared" si="3"/>
        <v>0.36319242721442269</v>
      </c>
      <c r="J7" s="544"/>
      <c r="K7" s="494">
        <v>0.04</v>
      </c>
      <c r="L7" s="494">
        <v>0.02</v>
      </c>
      <c r="M7" s="512">
        <v>0.17</v>
      </c>
      <c r="O7" s="503"/>
      <c r="P7" s="503"/>
      <c r="Q7" s="504"/>
    </row>
    <row r="8" spans="1:17" x14ac:dyDescent="0.25">
      <c r="A8" s="14" t="s">
        <v>907</v>
      </c>
      <c r="B8" s="493">
        <v>0.28940377804014167</v>
      </c>
      <c r="C8" s="492">
        <f t="shared" si="0"/>
        <v>0.48125737898465171</v>
      </c>
      <c r="D8" s="493">
        <v>0.19185360094451004</v>
      </c>
      <c r="E8" s="492">
        <f t="shared" si="1"/>
        <v>0.51874262101534829</v>
      </c>
      <c r="G8" s="558">
        <v>0.75</v>
      </c>
      <c r="H8" s="544">
        <f t="shared" si="2"/>
        <v>0.36094303423848878</v>
      </c>
      <c r="I8" s="544">
        <f t="shared" si="3"/>
        <v>0.12031434474616293</v>
      </c>
      <c r="J8" s="544"/>
      <c r="K8" s="511">
        <v>0.19700000000000001</v>
      </c>
      <c r="L8" s="512">
        <v>0.4</v>
      </c>
      <c r="M8" s="512">
        <v>0.17</v>
      </c>
      <c r="O8" s="503"/>
      <c r="P8" s="505"/>
      <c r="Q8" s="506"/>
    </row>
    <row r="9" spans="1:17" x14ac:dyDescent="0.25">
      <c r="A9" s="14" t="s">
        <v>908</v>
      </c>
      <c r="B9" s="493">
        <v>0.47083775185577942</v>
      </c>
      <c r="C9" s="492">
        <f t="shared" si="0"/>
        <v>0.52916224814422053</v>
      </c>
      <c r="D9" s="494">
        <v>5.8324496288441149E-2</v>
      </c>
      <c r="E9" s="492">
        <f t="shared" si="1"/>
        <v>0.47083775185577947</v>
      </c>
      <c r="G9" s="558">
        <v>0.75</v>
      </c>
      <c r="H9" s="544">
        <f t="shared" si="2"/>
        <v>0.39687168610816537</v>
      </c>
      <c r="I9" s="544">
        <f t="shared" si="3"/>
        <v>0.13229056203605516</v>
      </c>
      <c r="J9" s="544"/>
      <c r="K9" s="511">
        <v>0.13200000000000001</v>
      </c>
      <c r="L9" s="512">
        <v>0.4</v>
      </c>
      <c r="M9" s="512">
        <v>0.17</v>
      </c>
      <c r="O9" s="503"/>
      <c r="P9" s="505"/>
      <c r="Q9" s="506"/>
    </row>
    <row r="10" spans="1:17" x14ac:dyDescent="0.25">
      <c r="A10" s="14" t="s">
        <v>909</v>
      </c>
      <c r="B10" s="493">
        <v>0.11006445215666834</v>
      </c>
      <c r="C10" s="492">
        <f t="shared" si="0"/>
        <v>0.35795736241943488</v>
      </c>
      <c r="D10" s="493">
        <v>0.24789291026276652</v>
      </c>
      <c r="E10" s="492">
        <f t="shared" si="1"/>
        <v>0.64204263758056512</v>
      </c>
      <c r="G10" s="558">
        <v>0.83</v>
      </c>
      <c r="H10" s="544">
        <f t="shared" si="2"/>
        <v>0.29710461080813094</v>
      </c>
      <c r="I10" s="544">
        <f t="shared" si="3"/>
        <v>6.0852751611303935E-2</v>
      </c>
      <c r="J10" s="544"/>
      <c r="K10" s="512">
        <v>0.4</v>
      </c>
      <c r="L10" s="512">
        <v>0.4</v>
      </c>
      <c r="M10" s="512">
        <v>0.17</v>
      </c>
      <c r="O10" s="505"/>
      <c r="P10" s="505"/>
      <c r="Q10" s="506"/>
    </row>
    <row r="11" spans="1:17" x14ac:dyDescent="0.25">
      <c r="A11" s="14" t="s">
        <v>910</v>
      </c>
      <c r="B11" s="493">
        <v>0.27700534759358286</v>
      </c>
      <c r="C11" s="492">
        <f t="shared" si="0"/>
        <v>0.28770053475935825</v>
      </c>
      <c r="D11" s="494">
        <v>1.0695187165775402E-2</v>
      </c>
      <c r="E11" s="492">
        <f t="shared" si="1"/>
        <v>0.7122994652406418</v>
      </c>
      <c r="G11" s="558">
        <v>0.75</v>
      </c>
      <c r="H11" s="544">
        <f t="shared" si="2"/>
        <v>0.2157754010695187</v>
      </c>
      <c r="I11" s="544">
        <f t="shared" si="3"/>
        <v>7.1925133689839493E-2</v>
      </c>
      <c r="J11" s="544"/>
      <c r="K11" s="512">
        <v>0.4</v>
      </c>
      <c r="L11" s="512">
        <v>0.4</v>
      </c>
      <c r="M11" s="512">
        <v>0.17</v>
      </c>
      <c r="O11" s="505"/>
      <c r="P11" s="505"/>
      <c r="Q11" s="506"/>
    </row>
    <row r="12" spans="1:17" x14ac:dyDescent="0.25">
      <c r="A12" s="14" t="s">
        <v>911</v>
      </c>
      <c r="B12" s="493">
        <v>0.80434782608695654</v>
      </c>
      <c r="C12" s="492">
        <f t="shared" si="0"/>
        <v>0.80434782608695654</v>
      </c>
      <c r="D12" s="494">
        <v>0</v>
      </c>
      <c r="E12" s="492">
        <f t="shared" si="1"/>
        <v>0.19565217391304346</v>
      </c>
      <c r="G12" s="558">
        <v>0.5</v>
      </c>
      <c r="H12" s="544">
        <f t="shared" si="2"/>
        <v>0.40217391304347827</v>
      </c>
      <c r="I12" s="544">
        <f t="shared" si="3"/>
        <v>0.40217391304347827</v>
      </c>
      <c r="J12" s="544"/>
      <c r="K12" s="511">
        <v>0.16700000000000001</v>
      </c>
      <c r="L12" s="511">
        <v>0.04</v>
      </c>
      <c r="M12" s="102"/>
      <c r="O12" s="503"/>
      <c r="P12" s="503"/>
      <c r="Q12" s="253"/>
    </row>
    <row r="13" spans="1:17" x14ac:dyDescent="0.25">
      <c r="A13" s="14" t="s">
        <v>912</v>
      </c>
      <c r="B13" s="493">
        <v>0.85430463576158933</v>
      </c>
      <c r="C13" s="492">
        <f t="shared" si="0"/>
        <v>0.85430463576158933</v>
      </c>
      <c r="D13" s="494">
        <v>0</v>
      </c>
      <c r="E13" s="492">
        <f t="shared" si="1"/>
        <v>0.14569536423841067</v>
      </c>
      <c r="G13" s="558">
        <v>0.5</v>
      </c>
      <c r="H13" s="544">
        <f t="shared" si="2"/>
        <v>0.42715231788079466</v>
      </c>
      <c r="I13" s="544">
        <f t="shared" si="3"/>
        <v>0.42715231788079466</v>
      </c>
      <c r="J13" s="544"/>
      <c r="K13" s="511">
        <v>0.04</v>
      </c>
      <c r="L13" s="512">
        <v>0.4</v>
      </c>
      <c r="O13" s="503"/>
      <c r="P13" s="505"/>
      <c r="Q13" s="253"/>
    </row>
    <row r="17" spans="2:5" x14ac:dyDescent="0.25">
      <c r="B17" s="493"/>
      <c r="C17" s="491"/>
      <c r="D17" s="494"/>
      <c r="E17" s="492"/>
    </row>
    <row r="18" spans="2:5" x14ac:dyDescent="0.25">
      <c r="B18" s="493"/>
      <c r="C18" s="492"/>
      <c r="D18" s="494"/>
      <c r="E18" s="492"/>
    </row>
    <row r="19" spans="2:5" x14ac:dyDescent="0.25">
      <c r="B19" s="493"/>
      <c r="C19" s="492"/>
      <c r="D19" s="493"/>
      <c r="E19" s="492"/>
    </row>
    <row r="20" spans="2:5" x14ac:dyDescent="0.25">
      <c r="B20" s="493"/>
      <c r="C20" s="492"/>
      <c r="D20" s="493"/>
      <c r="E20" s="492"/>
    </row>
    <row r="21" spans="2:5" x14ac:dyDescent="0.25">
      <c r="B21" s="493"/>
      <c r="C21" s="492"/>
      <c r="D21" s="494"/>
      <c r="E21" s="492"/>
    </row>
    <row r="22" spans="2:5" x14ac:dyDescent="0.25">
      <c r="B22" s="493"/>
      <c r="C22" s="492"/>
      <c r="D22" s="493"/>
      <c r="E22" s="492"/>
    </row>
    <row r="23" spans="2:5" x14ac:dyDescent="0.25">
      <c r="B23" s="493"/>
      <c r="C23" s="492"/>
      <c r="D23" s="494"/>
      <c r="E23" s="492"/>
    </row>
    <row r="24" spans="2:5" x14ac:dyDescent="0.25">
      <c r="B24" s="493"/>
      <c r="C24" s="492"/>
      <c r="D24" s="494"/>
      <c r="E24" s="492"/>
    </row>
    <row r="25" spans="2:5" x14ac:dyDescent="0.25">
      <c r="B25" s="493"/>
      <c r="C25" s="492"/>
      <c r="D25" s="494"/>
      <c r="E25" s="492"/>
    </row>
  </sheetData>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B143"/>
  <sheetViews>
    <sheetView tabSelected="1" zoomScaleNormal="100" workbookViewId="0">
      <pane xSplit="1" ySplit="5" topLeftCell="AL7" activePane="bottomRight" state="frozen"/>
      <selection activeCell="J24" sqref="J24"/>
      <selection pane="topRight" activeCell="J24" sqref="J24"/>
      <selection pane="bottomLeft" activeCell="J24" sqref="J24"/>
      <selection pane="bottomRight" activeCell="N1" sqref="N1:N1048576"/>
    </sheetView>
  </sheetViews>
  <sheetFormatPr defaultColWidth="9.109375" defaultRowHeight="12" x14ac:dyDescent="0.25"/>
  <cols>
    <col min="1" max="1" width="35.109375" style="187" bestFit="1" customWidth="1"/>
    <col min="2" max="2" width="29.33203125" style="757" bestFit="1" customWidth="1"/>
    <col min="3" max="13" width="6.33203125" style="188" customWidth="1"/>
    <col min="14" max="14" width="29.33203125" style="757" bestFit="1" customWidth="1"/>
    <col min="15" max="17" width="6.33203125" style="188" customWidth="1"/>
    <col min="18" max="19" width="6.33203125" style="189" customWidth="1"/>
    <col min="20" max="21" width="6.33203125" style="188" customWidth="1"/>
    <col min="22" max="23" width="6.33203125" style="189" customWidth="1"/>
    <col min="24" max="25" width="6.33203125" style="188" customWidth="1"/>
    <col min="26" max="26" width="29.33203125" style="757" bestFit="1" customWidth="1"/>
    <col min="27" max="37" width="6.33203125" style="188" customWidth="1"/>
    <col min="38" max="38" width="29.33203125" style="757" bestFit="1" customWidth="1"/>
    <col min="39" max="39" width="11" style="188" customWidth="1"/>
    <col min="40" max="40" width="8.5546875" style="188" customWidth="1"/>
    <col min="41" max="41" width="12.6640625" style="188" customWidth="1"/>
    <col min="42" max="42" width="29.33203125" style="765" bestFit="1" customWidth="1"/>
    <col min="43" max="45" width="6.33203125" style="187" customWidth="1"/>
    <col min="46" max="46" width="29.33203125" style="772" bestFit="1" customWidth="1"/>
    <col min="47" max="47" width="6.33203125" style="187" customWidth="1"/>
    <col min="48" max="48" width="7.88671875" style="187" customWidth="1"/>
    <col min="49" max="49" width="6.33203125" style="187" customWidth="1"/>
    <col min="50" max="50" width="9.6640625" style="187" customWidth="1"/>
    <col min="51" max="53" width="6.33203125" style="187" customWidth="1"/>
    <col min="54" max="55" width="4.6640625" style="187" customWidth="1"/>
    <col min="56" max="59" width="6.6640625" style="187" customWidth="1"/>
    <col min="60" max="61" width="4.6640625" style="187" customWidth="1"/>
    <col min="62" max="65" width="6.6640625" style="187" customWidth="1"/>
    <col min="66" max="67" width="4.6640625" style="187" customWidth="1"/>
    <col min="68" max="71" width="6.6640625" style="187" customWidth="1"/>
    <col min="72" max="73" width="7.109375" style="187" customWidth="1"/>
    <col min="74" max="75" width="7.33203125" style="187" customWidth="1"/>
    <col min="76" max="76" width="12.88671875" style="187" customWidth="1"/>
    <col min="77" max="78" width="7.33203125" style="187" customWidth="1"/>
    <col min="79" max="80" width="8.6640625" style="187" customWidth="1"/>
    <col min="81" max="16384" width="9.109375" style="187"/>
  </cols>
  <sheetData>
    <row r="1" spans="1:80" s="273" customFormat="1" ht="24.9" customHeight="1" x14ac:dyDescent="0.3">
      <c r="B1" s="751" t="s">
        <v>809</v>
      </c>
      <c r="C1" s="273" t="s">
        <v>809</v>
      </c>
      <c r="D1" s="273" t="s">
        <v>809</v>
      </c>
      <c r="E1" s="273" t="s">
        <v>809</v>
      </c>
      <c r="F1" s="273" t="s">
        <v>809</v>
      </c>
      <c r="G1" s="273" t="s">
        <v>809</v>
      </c>
      <c r="H1" s="273" t="s">
        <v>809</v>
      </c>
      <c r="I1" s="273" t="s">
        <v>809</v>
      </c>
      <c r="J1" s="273" t="s">
        <v>809</v>
      </c>
      <c r="K1" s="273" t="s">
        <v>809</v>
      </c>
      <c r="L1" s="273" t="s">
        <v>809</v>
      </c>
      <c r="M1" s="273" t="s">
        <v>809</v>
      </c>
      <c r="N1" s="751" t="s">
        <v>809</v>
      </c>
      <c r="O1" s="273" t="s">
        <v>809</v>
      </c>
      <c r="P1" s="273" t="s">
        <v>809</v>
      </c>
      <c r="Q1" s="273" t="s">
        <v>809</v>
      </c>
      <c r="R1" s="273" t="s">
        <v>809</v>
      </c>
      <c r="S1" s="273" t="s">
        <v>809</v>
      </c>
      <c r="T1" s="273" t="s">
        <v>809</v>
      </c>
      <c r="U1" s="273" t="s">
        <v>809</v>
      </c>
      <c r="V1" s="273" t="s">
        <v>809</v>
      </c>
      <c r="W1" s="273" t="s">
        <v>809</v>
      </c>
      <c r="X1" s="273" t="s">
        <v>809</v>
      </c>
      <c r="Y1" s="273" t="s">
        <v>809</v>
      </c>
      <c r="Z1" s="751" t="s">
        <v>809</v>
      </c>
      <c r="AA1" s="273" t="s">
        <v>809</v>
      </c>
      <c r="AB1" s="273" t="s">
        <v>809</v>
      </c>
      <c r="AC1" s="273" t="s">
        <v>809</v>
      </c>
      <c r="AD1" s="273" t="s">
        <v>809</v>
      </c>
      <c r="AE1" s="273" t="s">
        <v>809</v>
      </c>
      <c r="AF1" s="273" t="s">
        <v>809</v>
      </c>
      <c r="AG1" s="273" t="s">
        <v>809</v>
      </c>
      <c r="AH1" s="273" t="s">
        <v>809</v>
      </c>
      <c r="AI1" s="273" t="s">
        <v>809</v>
      </c>
      <c r="AJ1" s="273" t="s">
        <v>809</v>
      </c>
      <c r="AK1" s="273" t="s">
        <v>809</v>
      </c>
      <c r="AL1" s="751" t="s">
        <v>809</v>
      </c>
      <c r="AM1" s="273" t="s">
        <v>809</v>
      </c>
      <c r="AN1" s="273" t="s">
        <v>809</v>
      </c>
      <c r="AO1" s="273" t="s">
        <v>809</v>
      </c>
      <c r="AP1" s="751" t="s">
        <v>809</v>
      </c>
      <c r="AQ1" s="273" t="s">
        <v>809</v>
      </c>
      <c r="AR1" s="273" t="s">
        <v>809</v>
      </c>
      <c r="AS1" s="273" t="s">
        <v>809</v>
      </c>
      <c r="AT1" s="751" t="s">
        <v>809</v>
      </c>
      <c r="AU1" s="273" t="s">
        <v>809</v>
      </c>
      <c r="AV1" s="273" t="s">
        <v>809</v>
      </c>
      <c r="AW1" s="273" t="s">
        <v>809</v>
      </c>
      <c r="AX1" s="273" t="s">
        <v>809</v>
      </c>
      <c r="AY1" s="273" t="s">
        <v>809</v>
      </c>
      <c r="AZ1" s="273" t="s">
        <v>809</v>
      </c>
      <c r="BA1" s="273" t="s">
        <v>809</v>
      </c>
      <c r="BB1" s="287"/>
      <c r="BD1" s="276"/>
      <c r="BI1" s="276"/>
      <c r="BT1" s="276"/>
      <c r="BV1" s="276"/>
      <c r="BW1" s="276"/>
      <c r="BX1" s="276"/>
      <c r="CA1" s="451"/>
      <c r="CB1" s="451"/>
    </row>
    <row r="2" spans="1:80" s="277" customFormat="1" ht="24.9" customHeight="1" x14ac:dyDescent="0.3">
      <c r="B2" s="767" t="s">
        <v>359</v>
      </c>
      <c r="C2" s="279" t="s">
        <v>359</v>
      </c>
      <c r="D2" s="279" t="s">
        <v>359</v>
      </c>
      <c r="E2" s="279" t="s">
        <v>359</v>
      </c>
      <c r="F2" s="279" t="s">
        <v>359</v>
      </c>
      <c r="G2" s="279" t="s">
        <v>359</v>
      </c>
      <c r="H2" s="279" t="s">
        <v>359</v>
      </c>
      <c r="I2" s="279" t="s">
        <v>359</v>
      </c>
      <c r="J2" s="279" t="s">
        <v>359</v>
      </c>
      <c r="K2" s="279" t="s">
        <v>359</v>
      </c>
      <c r="L2" s="279" t="s">
        <v>359</v>
      </c>
      <c r="M2" s="279" t="s">
        <v>359</v>
      </c>
      <c r="N2" s="767" t="s">
        <v>359</v>
      </c>
      <c r="O2" s="279" t="s">
        <v>359</v>
      </c>
      <c r="P2" s="279" t="s">
        <v>359</v>
      </c>
      <c r="Q2" s="279" t="s">
        <v>359</v>
      </c>
      <c r="R2" s="279" t="s">
        <v>359</v>
      </c>
      <c r="S2" s="279" t="s">
        <v>359</v>
      </c>
      <c r="T2" s="279" t="s">
        <v>359</v>
      </c>
      <c r="U2" s="279" t="s">
        <v>359</v>
      </c>
      <c r="V2" s="279" t="s">
        <v>359</v>
      </c>
      <c r="W2" s="279" t="s">
        <v>359</v>
      </c>
      <c r="X2" s="279" t="s">
        <v>359</v>
      </c>
      <c r="Y2" s="279" t="s">
        <v>359</v>
      </c>
      <c r="Z2" s="767" t="s">
        <v>359</v>
      </c>
      <c r="AA2" s="279" t="s">
        <v>359</v>
      </c>
      <c r="AB2" s="279" t="s">
        <v>359</v>
      </c>
      <c r="AC2" s="279" t="s">
        <v>359</v>
      </c>
      <c r="AD2" s="279" t="s">
        <v>359</v>
      </c>
      <c r="AE2" s="279" t="s">
        <v>359</v>
      </c>
      <c r="AF2" s="279" t="s">
        <v>359</v>
      </c>
      <c r="AG2" s="279" t="s">
        <v>359</v>
      </c>
      <c r="AH2" s="279" t="s">
        <v>359</v>
      </c>
      <c r="AI2" s="279" t="s">
        <v>359</v>
      </c>
      <c r="AJ2" s="279" t="s">
        <v>359</v>
      </c>
      <c r="AK2" s="279" t="s">
        <v>359</v>
      </c>
      <c r="AL2" s="752" t="s">
        <v>778</v>
      </c>
      <c r="AM2" s="278" t="s">
        <v>778</v>
      </c>
      <c r="AN2" s="278" t="s">
        <v>778</v>
      </c>
      <c r="AO2" s="278" t="s">
        <v>778</v>
      </c>
      <c r="AP2" s="767" t="s">
        <v>750</v>
      </c>
      <c r="AQ2" s="279" t="s">
        <v>750</v>
      </c>
      <c r="AR2" s="279" t="s">
        <v>750</v>
      </c>
      <c r="AS2" s="279" t="s">
        <v>750</v>
      </c>
      <c r="AT2" s="773" t="s">
        <v>611</v>
      </c>
      <c r="AU2" s="277" t="s">
        <v>611</v>
      </c>
      <c r="AV2" s="277" t="s">
        <v>611</v>
      </c>
      <c r="AW2" s="277" t="s">
        <v>611</v>
      </c>
      <c r="BB2" s="279"/>
      <c r="BC2" s="279"/>
      <c r="BE2" s="279"/>
      <c r="BF2" s="279"/>
      <c r="BG2" s="279"/>
      <c r="BH2" s="279"/>
      <c r="BI2" s="279"/>
      <c r="BN2" s="279"/>
      <c r="BO2" s="279"/>
      <c r="BT2" s="278"/>
      <c r="BV2" s="279"/>
      <c r="BW2" s="279"/>
    </row>
    <row r="3" spans="1:80" s="216" customFormat="1" ht="24.9" customHeight="1" x14ac:dyDescent="0.3">
      <c r="B3" s="753" t="s">
        <v>490</v>
      </c>
      <c r="C3" s="284" t="s">
        <v>490</v>
      </c>
      <c r="D3" s="284" t="s">
        <v>490</v>
      </c>
      <c r="E3" s="284" t="s">
        <v>490</v>
      </c>
      <c r="G3" s="285"/>
      <c r="H3" s="284"/>
      <c r="I3" s="284"/>
      <c r="J3" s="285"/>
      <c r="K3" s="285"/>
      <c r="L3" s="284"/>
      <c r="M3" s="284"/>
      <c r="N3" s="768" t="s">
        <v>39</v>
      </c>
      <c r="O3" s="216" t="s">
        <v>39</v>
      </c>
      <c r="P3" s="216" t="s">
        <v>39</v>
      </c>
      <c r="Q3" s="216" t="s">
        <v>39</v>
      </c>
      <c r="R3" s="216" t="s">
        <v>39</v>
      </c>
      <c r="S3" s="216" t="s">
        <v>39</v>
      </c>
      <c r="T3" s="216" t="s">
        <v>39</v>
      </c>
      <c r="U3" s="216" t="s">
        <v>39</v>
      </c>
      <c r="V3" s="216" t="s">
        <v>39</v>
      </c>
      <c r="W3" s="216" t="s">
        <v>39</v>
      </c>
      <c r="X3" s="216" t="s">
        <v>39</v>
      </c>
      <c r="Y3" s="216" t="s">
        <v>39</v>
      </c>
      <c r="Z3" s="768" t="s">
        <v>40</v>
      </c>
      <c r="AA3" s="216" t="s">
        <v>40</v>
      </c>
      <c r="AB3" s="216" t="s">
        <v>40</v>
      </c>
      <c r="AC3" s="216" t="s">
        <v>40</v>
      </c>
      <c r="AD3" s="216" t="s">
        <v>40</v>
      </c>
      <c r="AE3" s="216" t="s">
        <v>40</v>
      </c>
      <c r="AF3" s="216" t="s">
        <v>40</v>
      </c>
      <c r="AG3" s="216" t="s">
        <v>40</v>
      </c>
      <c r="AH3" s="216" t="s">
        <v>40</v>
      </c>
      <c r="AI3" s="216" t="s">
        <v>40</v>
      </c>
      <c r="AJ3" s="216" t="s">
        <v>40</v>
      </c>
      <c r="AK3" s="216" t="s">
        <v>40</v>
      </c>
      <c r="AL3" s="753" t="s">
        <v>490</v>
      </c>
      <c r="AM3" s="284" t="s">
        <v>490</v>
      </c>
      <c r="AN3" s="284" t="s">
        <v>490</v>
      </c>
      <c r="AO3" s="284" t="s">
        <v>490</v>
      </c>
      <c r="AP3" s="753" t="s">
        <v>490</v>
      </c>
      <c r="AQ3" s="284" t="s">
        <v>490</v>
      </c>
      <c r="AR3" s="284" t="s">
        <v>490</v>
      </c>
      <c r="AS3" s="284" t="s">
        <v>490</v>
      </c>
      <c r="AT3" s="753" t="s">
        <v>490</v>
      </c>
      <c r="AU3" s="284" t="s">
        <v>490</v>
      </c>
      <c r="AV3" s="284" t="s">
        <v>490</v>
      </c>
      <c r="AW3" s="284" t="s">
        <v>490</v>
      </c>
      <c r="BB3" s="284"/>
      <c r="BC3" s="284"/>
      <c r="BE3" s="284"/>
      <c r="BF3" s="284"/>
      <c r="BG3" s="284"/>
      <c r="BH3" s="284"/>
      <c r="BI3" s="284"/>
      <c r="BK3" s="284"/>
      <c r="BN3" s="284"/>
      <c r="BO3" s="284"/>
      <c r="BQ3" s="284"/>
      <c r="BT3" s="422"/>
      <c r="BV3" s="422"/>
      <c r="BW3" s="286"/>
      <c r="BY3" s="422"/>
      <c r="BZ3" s="284"/>
    </row>
    <row r="4" spans="1:80" s="280" customFormat="1" ht="38.1" customHeight="1" x14ac:dyDescent="0.3">
      <c r="B4" s="769" t="s">
        <v>495</v>
      </c>
      <c r="C4" s="413" t="s">
        <v>495</v>
      </c>
      <c r="D4" s="413" t="s">
        <v>495</v>
      </c>
      <c r="E4" s="413" t="s">
        <v>495</v>
      </c>
      <c r="F4" s="743" t="s">
        <v>513</v>
      </c>
      <c r="G4" s="743" t="s">
        <v>513</v>
      </c>
      <c r="H4" s="743" t="s">
        <v>513</v>
      </c>
      <c r="I4" s="743" t="s">
        <v>513</v>
      </c>
      <c r="J4" s="288" t="s">
        <v>499</v>
      </c>
      <c r="K4" s="288" t="s">
        <v>499</v>
      </c>
      <c r="L4" s="288" t="s">
        <v>499</v>
      </c>
      <c r="M4" s="288" t="s">
        <v>499</v>
      </c>
      <c r="N4" s="769" t="s">
        <v>495</v>
      </c>
      <c r="O4" s="413" t="s">
        <v>495</v>
      </c>
      <c r="P4" s="413" t="s">
        <v>495</v>
      </c>
      <c r="Q4" s="413" t="s">
        <v>495</v>
      </c>
      <c r="R4" s="743" t="s">
        <v>513</v>
      </c>
      <c r="S4" s="743" t="s">
        <v>513</v>
      </c>
      <c r="T4" s="743" t="s">
        <v>513</v>
      </c>
      <c r="U4" s="743" t="s">
        <v>513</v>
      </c>
      <c r="V4" s="288" t="s">
        <v>499</v>
      </c>
      <c r="W4" s="288" t="s">
        <v>499</v>
      </c>
      <c r="X4" s="288" t="s">
        <v>499</v>
      </c>
      <c r="Y4" s="288" t="s">
        <v>499</v>
      </c>
      <c r="Z4" s="769" t="s">
        <v>495</v>
      </c>
      <c r="AA4" s="413" t="s">
        <v>495</v>
      </c>
      <c r="AB4" s="413" t="s">
        <v>495</v>
      </c>
      <c r="AC4" s="413" t="s">
        <v>495</v>
      </c>
      <c r="AD4" s="743" t="s">
        <v>513</v>
      </c>
      <c r="AE4" s="743" t="s">
        <v>513</v>
      </c>
      <c r="AF4" s="743" t="s">
        <v>513</v>
      </c>
      <c r="AG4" s="743" t="s">
        <v>513</v>
      </c>
      <c r="AH4" s="288" t="s">
        <v>499</v>
      </c>
      <c r="AI4" s="288" t="s">
        <v>499</v>
      </c>
      <c r="AJ4" s="288" t="s">
        <v>499</v>
      </c>
      <c r="AK4" s="288" t="s">
        <v>499</v>
      </c>
      <c r="AL4" s="754" t="s">
        <v>273</v>
      </c>
      <c r="AM4" s="412" t="s">
        <v>273</v>
      </c>
      <c r="AN4" s="412" t="s">
        <v>273</v>
      </c>
      <c r="AO4" s="412" t="s">
        <v>273</v>
      </c>
      <c r="AP4" s="754" t="s">
        <v>436</v>
      </c>
      <c r="AQ4" s="412" t="s">
        <v>436</v>
      </c>
      <c r="AR4" s="412" t="s">
        <v>436</v>
      </c>
      <c r="AS4" s="412" t="s">
        <v>436</v>
      </c>
      <c r="AT4" s="774" t="s">
        <v>495</v>
      </c>
      <c r="AU4" s="450" t="s">
        <v>495</v>
      </c>
      <c r="AV4" s="450" t="s">
        <v>495</v>
      </c>
      <c r="AW4" s="450" t="s">
        <v>495</v>
      </c>
      <c r="AX4" s="744" t="s">
        <v>514</v>
      </c>
      <c r="AY4" s="744"/>
      <c r="AZ4" s="744"/>
      <c r="BA4" s="744"/>
      <c r="BB4" s="745"/>
      <c r="BC4" s="745"/>
      <c r="BD4" s="744"/>
      <c r="BE4" s="744"/>
      <c r="BF4" s="746"/>
      <c r="BG4" s="746"/>
      <c r="BH4" s="745"/>
      <c r="BI4" s="745"/>
      <c r="BJ4" s="744"/>
      <c r="BK4" s="744"/>
      <c r="BL4" s="746"/>
      <c r="BM4" s="746"/>
      <c r="BN4" s="745"/>
      <c r="BO4" s="745"/>
      <c r="BP4" s="744"/>
      <c r="BQ4" s="744"/>
      <c r="BR4" s="746"/>
      <c r="BS4" s="746"/>
      <c r="BT4" s="281"/>
      <c r="BV4" s="281"/>
      <c r="BX4" s="288"/>
      <c r="BY4" s="745"/>
      <c r="BZ4" s="745"/>
      <c r="CA4" s="744"/>
      <c r="CB4" s="744"/>
    </row>
    <row r="5" spans="1:80" ht="48" x14ac:dyDescent="0.25">
      <c r="B5" s="755" t="s">
        <v>428</v>
      </c>
      <c r="C5" s="218" t="s">
        <v>287</v>
      </c>
      <c r="D5" s="217" t="s">
        <v>432</v>
      </c>
      <c r="E5" s="217" t="s">
        <v>277</v>
      </c>
      <c r="F5" s="218" t="s">
        <v>428</v>
      </c>
      <c r="G5" s="218" t="s">
        <v>287</v>
      </c>
      <c r="H5" s="217" t="s">
        <v>432</v>
      </c>
      <c r="I5" s="217" t="s">
        <v>277</v>
      </c>
      <c r="J5" s="218" t="s">
        <v>428</v>
      </c>
      <c r="K5" s="218" t="s">
        <v>287</v>
      </c>
      <c r="L5" s="217" t="s">
        <v>432</v>
      </c>
      <c r="M5" s="217" t="s">
        <v>277</v>
      </c>
      <c r="N5" s="755" t="s">
        <v>428</v>
      </c>
      <c r="O5" s="218" t="s">
        <v>287</v>
      </c>
      <c r="P5" s="217" t="s">
        <v>432</v>
      </c>
      <c r="Q5" s="217" t="s">
        <v>277</v>
      </c>
      <c r="R5" s="218" t="s">
        <v>428</v>
      </c>
      <c r="S5" s="218" t="s">
        <v>287</v>
      </c>
      <c r="T5" s="217" t="s">
        <v>432</v>
      </c>
      <c r="U5" s="217" t="s">
        <v>277</v>
      </c>
      <c r="V5" s="218" t="s">
        <v>428</v>
      </c>
      <c r="W5" s="218" t="s">
        <v>287</v>
      </c>
      <c r="X5" s="217" t="s">
        <v>432</v>
      </c>
      <c r="Y5" s="217" t="s">
        <v>277</v>
      </c>
      <c r="Z5" s="755" t="s">
        <v>428</v>
      </c>
      <c r="AA5" s="218" t="s">
        <v>287</v>
      </c>
      <c r="AB5" s="217" t="s">
        <v>432</v>
      </c>
      <c r="AC5" s="217" t="s">
        <v>277</v>
      </c>
      <c r="AD5" s="218" t="s">
        <v>428</v>
      </c>
      <c r="AE5" s="218" t="s">
        <v>287</v>
      </c>
      <c r="AF5" s="217" t="s">
        <v>432</v>
      </c>
      <c r="AG5" s="217" t="s">
        <v>277</v>
      </c>
      <c r="AH5" s="218" t="s">
        <v>428</v>
      </c>
      <c r="AI5" s="218" t="s">
        <v>287</v>
      </c>
      <c r="AJ5" s="217" t="s">
        <v>432</v>
      </c>
      <c r="AK5" s="217" t="s">
        <v>277</v>
      </c>
      <c r="AL5" s="755" t="s">
        <v>445</v>
      </c>
      <c r="AM5" s="215" t="s">
        <v>286</v>
      </c>
      <c r="AN5" s="215" t="s">
        <v>444</v>
      </c>
      <c r="AO5" s="215" t="s">
        <v>276</v>
      </c>
      <c r="AP5" s="755" t="s">
        <v>445</v>
      </c>
      <c r="AQ5" s="215" t="s">
        <v>286</v>
      </c>
      <c r="AR5" s="215" t="s">
        <v>444</v>
      </c>
      <c r="AS5" s="215" t="s">
        <v>276</v>
      </c>
      <c r="AT5" s="755" t="s">
        <v>445</v>
      </c>
      <c r="AU5" s="215" t="s">
        <v>286</v>
      </c>
      <c r="AV5" s="215" t="s">
        <v>444</v>
      </c>
      <c r="AW5" s="215" t="s">
        <v>276</v>
      </c>
      <c r="AX5" s="218" t="s">
        <v>445</v>
      </c>
      <c r="AY5" s="215" t="s">
        <v>286</v>
      </c>
      <c r="AZ5" s="215" t="s">
        <v>444</v>
      </c>
      <c r="BA5" s="215" t="s">
        <v>276</v>
      </c>
      <c r="BB5" s="215"/>
      <c r="BC5" s="215"/>
      <c r="BD5" s="215"/>
      <c r="BE5" s="215"/>
      <c r="BF5" s="215"/>
      <c r="BG5" s="215"/>
      <c r="BH5" s="215"/>
      <c r="BI5" s="215"/>
      <c r="BJ5" s="215"/>
      <c r="BK5" s="215"/>
      <c r="BL5" s="215"/>
      <c r="BM5" s="215"/>
      <c r="BN5" s="215"/>
      <c r="BO5" s="215"/>
      <c r="BP5" s="215"/>
      <c r="BQ5" s="215"/>
      <c r="BR5" s="215"/>
      <c r="BS5" s="215"/>
      <c r="BT5" s="215"/>
      <c r="BU5" s="215"/>
      <c r="BV5" s="215"/>
      <c r="BW5" s="215"/>
      <c r="BX5" s="215"/>
      <c r="BY5" s="215"/>
      <c r="BZ5" s="215"/>
      <c r="CA5" s="215"/>
      <c r="CB5" s="215"/>
    </row>
    <row r="7" spans="1:80" ht="14.4" x14ac:dyDescent="0.3">
      <c r="A7" s="236" t="s">
        <v>424</v>
      </c>
      <c r="B7" s="756"/>
      <c r="C7" s="234"/>
      <c r="D7" s="234"/>
      <c r="E7" s="234"/>
      <c r="F7" s="234"/>
      <c r="G7" s="234"/>
      <c r="H7" s="234"/>
      <c r="I7" s="234"/>
      <c r="J7" s="234"/>
      <c r="K7" s="234"/>
      <c r="L7" s="234"/>
      <c r="M7" s="234"/>
      <c r="N7" s="756"/>
      <c r="O7" s="234"/>
      <c r="P7" s="234"/>
      <c r="Q7" s="234"/>
      <c r="R7" s="235"/>
      <c r="S7" s="235"/>
      <c r="T7" s="234"/>
      <c r="U7" s="234"/>
      <c r="V7" s="235"/>
      <c r="W7" s="235"/>
      <c r="X7" s="234"/>
      <c r="Y7" s="234"/>
      <c r="Z7" s="756"/>
      <c r="AA7" s="234"/>
      <c r="AB7" s="234"/>
      <c r="AC7" s="234"/>
      <c r="AD7" s="234"/>
      <c r="AE7" s="234"/>
      <c r="AF7" s="234"/>
      <c r="AG7" s="234"/>
      <c r="AH7" s="234"/>
      <c r="AI7" s="234"/>
      <c r="AJ7" s="234"/>
      <c r="AK7" s="234"/>
      <c r="AL7" s="756"/>
      <c r="AM7" s="234"/>
      <c r="AN7" s="234"/>
      <c r="AO7" s="234"/>
      <c r="AP7" s="778"/>
      <c r="AQ7" s="233"/>
      <c r="AR7" s="233"/>
      <c r="AS7" s="233"/>
      <c r="AT7" s="775"/>
      <c r="AU7" s="233"/>
      <c r="AV7" s="233"/>
      <c r="AW7" s="233"/>
      <c r="AX7" s="233"/>
      <c r="AY7" s="233"/>
      <c r="AZ7" s="233"/>
      <c r="BA7" s="233"/>
      <c r="BB7" s="250"/>
      <c r="BC7" s="250"/>
      <c r="BD7" s="250"/>
      <c r="BE7" s="250"/>
      <c r="BF7" s="250"/>
      <c r="BG7" s="250"/>
      <c r="BH7" s="250"/>
      <c r="BI7" s="250"/>
      <c r="BJ7" s="250"/>
      <c r="BK7" s="250"/>
      <c r="BL7" s="250"/>
      <c r="BM7" s="250"/>
      <c r="BN7" s="250"/>
      <c r="BO7" s="250"/>
      <c r="BP7" s="250"/>
      <c r="BQ7" s="250"/>
      <c r="BR7" s="250"/>
      <c r="BS7" s="250"/>
      <c r="BT7" s="250"/>
      <c r="BU7" s="250"/>
      <c r="BV7" s="250"/>
      <c r="BW7" s="250"/>
      <c r="BX7" s="250"/>
      <c r="BY7" s="250"/>
      <c r="BZ7" s="250"/>
    </row>
    <row r="8" spans="1:80" x14ac:dyDescent="0.25">
      <c r="A8" s="186"/>
      <c r="BB8" s="250"/>
      <c r="BC8" s="250"/>
      <c r="BD8" s="250"/>
      <c r="BE8" s="250"/>
      <c r="BF8" s="250"/>
      <c r="BG8" s="250"/>
      <c r="BH8" s="250"/>
      <c r="BI8" s="250"/>
      <c r="BJ8" s="250"/>
      <c r="BK8" s="250"/>
      <c r="BL8" s="250"/>
      <c r="BM8" s="250"/>
      <c r="BN8" s="250"/>
      <c r="BO8" s="250"/>
      <c r="BP8" s="250"/>
      <c r="BQ8" s="250"/>
      <c r="BR8" s="250"/>
      <c r="BS8" s="250"/>
      <c r="BT8" s="250"/>
      <c r="BU8" s="250"/>
      <c r="BV8" s="250"/>
      <c r="BW8" s="250"/>
      <c r="BX8" s="250"/>
      <c r="BY8" s="250"/>
      <c r="BZ8" s="250"/>
    </row>
    <row r="9" spans="1:80" ht="13.8" x14ac:dyDescent="0.3">
      <c r="A9" s="237" t="s">
        <v>74</v>
      </c>
      <c r="B9" s="771">
        <f>(F9+J9)/2</f>
        <v>2.3716222871628192</v>
      </c>
      <c r="C9" s="325"/>
      <c r="D9" s="325"/>
      <c r="E9" s="325"/>
      <c r="F9" s="319">
        <f>44/12*'Crops; pasture DISCOUNTED'!HF19</f>
        <v>2.1479358520097995</v>
      </c>
      <c r="G9" s="325"/>
      <c r="H9" s="325"/>
      <c r="I9" s="325"/>
      <c r="J9" s="319">
        <f>44/12*'Crops; pasture DISCOUNTED'!HR19</f>
        <v>2.5953087223158393</v>
      </c>
      <c r="AL9" s="758">
        <f>'Crops; pasture DISCOUNTED'!IQ19</f>
        <v>0.17626514616986436</v>
      </c>
      <c r="AP9" s="766">
        <f>'Crops; pasture DISCOUNTED'!JY19</f>
        <v>1.016618300638328</v>
      </c>
      <c r="BB9" s="250"/>
      <c r="BC9" s="250"/>
      <c r="BD9" s="250"/>
      <c r="BE9" s="250"/>
      <c r="BF9" s="250"/>
      <c r="BG9" s="250"/>
      <c r="BH9" s="250"/>
      <c r="BI9" s="250"/>
      <c r="BJ9" s="250"/>
      <c r="BK9" s="250"/>
      <c r="BL9" s="250"/>
      <c r="BM9" s="250"/>
      <c r="BN9" s="250"/>
      <c r="BO9" s="250"/>
      <c r="BP9" s="250"/>
      <c r="BQ9" s="250"/>
      <c r="BR9" s="250"/>
      <c r="BS9" s="250"/>
      <c r="BT9" s="250"/>
      <c r="BU9" s="250"/>
      <c r="BV9" s="250"/>
      <c r="BW9" s="250"/>
      <c r="BX9" s="250"/>
      <c r="BY9" s="250"/>
      <c r="BZ9" s="250"/>
    </row>
    <row r="10" spans="1:80" x14ac:dyDescent="0.25">
      <c r="A10" s="238" t="s">
        <v>52</v>
      </c>
      <c r="B10" s="770">
        <f>(F10+J10)/2</f>
        <v>2.1592645997913049</v>
      </c>
      <c r="C10" s="220">
        <f t="shared" ref="C10:E15" si="0">(G10+K10)/2</f>
        <v>2.4537097724901198</v>
      </c>
      <c r="D10" s="297">
        <f t="shared" si="0"/>
        <v>163.58065149934131</v>
      </c>
      <c r="E10" s="220">
        <f t="shared" si="0"/>
        <v>24.537097724901194</v>
      </c>
      <c r="F10" s="407">
        <f>44/12*'Crops; pasture DISCOUNTED'!HF20</f>
        <v>2.001327652627177</v>
      </c>
      <c r="G10" s="407">
        <f>44/12*'Crops; pasture DISCOUNTED'!HG20</f>
        <v>2.2742359688945193</v>
      </c>
      <c r="H10" s="221">
        <f>44/12*'Crops; pasture DISCOUNTED'!HH20</f>
        <v>151.61573125963463</v>
      </c>
      <c r="I10" s="221">
        <f>44/12*'Crops; pasture DISCOUNTED'!HI20</f>
        <v>22.742359688945196</v>
      </c>
      <c r="J10" s="407">
        <f>44/12*'Crops; pasture DISCOUNTED'!HR20</f>
        <v>2.3172015469554332</v>
      </c>
      <c r="K10" s="220">
        <f>44/12*'Crops; pasture DISCOUNTED'!HS20</f>
        <v>2.6331835760857198</v>
      </c>
      <c r="L10" s="221">
        <f>44/12*'Crops; pasture DISCOUNTED'!HT20</f>
        <v>175.545571739048</v>
      </c>
      <c r="M10" s="221">
        <f>44/12*'Crops; pasture DISCOUNTED'!HU20</f>
        <v>26.331835760857196</v>
      </c>
      <c r="N10" s="770">
        <f>(R10+V10)/2</f>
        <v>2.5129217223498914</v>
      </c>
      <c r="O10" s="220">
        <f t="shared" ref="O10:Q15" si="1">(S10+W10)/2</f>
        <v>2.8555928663066945</v>
      </c>
      <c r="P10" s="249">
        <f t="shared" si="1"/>
        <v>190.37285775377961</v>
      </c>
      <c r="Q10" s="220">
        <f t="shared" si="1"/>
        <v>28.55592866306694</v>
      </c>
      <c r="R10" s="220">
        <f>44/12*'Crops; pasture DISCOUNTED'!HJ20</f>
        <v>2.330784301924254</v>
      </c>
      <c r="S10" s="220">
        <f>44/12*'Crops; pasture DISCOUNTED'!HK20</f>
        <v>2.6486185249139247</v>
      </c>
      <c r="T10" s="296">
        <f>44/12*'Crops; pasture DISCOUNTED'!HL20</f>
        <v>176.57456832759499</v>
      </c>
      <c r="U10" s="296">
        <f>44/12*'Crops; pasture DISCOUNTED'!HM20</f>
        <v>26.486185249139247</v>
      </c>
      <c r="V10" s="192">
        <f>44/12*'Crops; pasture DISCOUNTED'!HV20</f>
        <v>2.6950591427755284</v>
      </c>
      <c r="W10" s="192">
        <f>44/12*'Crops; pasture DISCOUNTED'!HW20</f>
        <v>3.0625672076994639</v>
      </c>
      <c r="X10" s="296">
        <f>44/12*'Crops; pasture DISCOUNTED'!HX20</f>
        <v>204.17114717996424</v>
      </c>
      <c r="Y10" s="221">
        <f>44/12*'Crops; pasture DISCOUNTED'!HY20</f>
        <v>30.625672076994633</v>
      </c>
      <c r="Z10" s="770">
        <f>(AD10+AH10)/2</f>
        <v>7.1827606423136663</v>
      </c>
      <c r="AA10" s="220">
        <f t="shared" ref="AA10:AC15" si="2">(AE10+AI10)/2</f>
        <v>1.2220481948995281</v>
      </c>
      <c r="AB10" s="249">
        <f t="shared" si="2"/>
        <v>544.14853350861108</v>
      </c>
      <c r="AC10" s="220">
        <f t="shared" si="2"/>
        <v>81.622280026291676</v>
      </c>
      <c r="AD10" s="220">
        <f>44/12*'Crops; pasture DISCOUNTED'!HN20</f>
        <v>0.99163328462733424</v>
      </c>
      <c r="AE10" s="220">
        <f>44/12*'Crops; pasture DISCOUNTED'!HO20</f>
        <v>1.1268560052583345</v>
      </c>
      <c r="AF10" s="221">
        <f>44/12*'Crops; pasture DISCOUNTED'!HP20</f>
        <v>75.123733683888958</v>
      </c>
      <c r="AG10" s="221">
        <f>44/12*'Crops; pasture DISCOUNTED'!HQ20</f>
        <v>11.268560052583343</v>
      </c>
      <c r="AH10" s="220">
        <f>44/12*'Crops; pasture DISCOUNTED'!HZ20</f>
        <v>13.373887999999999</v>
      </c>
      <c r="AI10" s="220">
        <f>44/12*'Crops; pasture DISCOUNTED'!IA20</f>
        <v>1.3172403845407219</v>
      </c>
      <c r="AJ10" s="221">
        <f>44/12*'Crops; pasture DISCOUNTED'!IB20</f>
        <v>1013.1733333333333</v>
      </c>
      <c r="AK10" s="221">
        <f>44/12*'Crops; pasture DISCOUNTED'!IC20</f>
        <v>151.976</v>
      </c>
      <c r="AL10" s="759">
        <f>'Crops; pasture DISCOUNTED'!IQ20</f>
        <v>0.11100605572878924</v>
      </c>
      <c r="AM10" s="407">
        <f>'Crops; pasture DISCOUNTED'!IR20</f>
        <v>0.12614324514635142</v>
      </c>
      <c r="AN10" s="301">
        <f>'Crops; pasture DISCOUNTED'!IS20</f>
        <v>8.4095496764234277</v>
      </c>
      <c r="AO10" s="407">
        <f>'Crops; pasture DISCOUNTED'!IT20</f>
        <v>1.261432451463514</v>
      </c>
      <c r="AP10" s="761">
        <f>'Crops; pasture DISCOUNTED'!JY20</f>
        <v>0.46180097859999997</v>
      </c>
      <c r="AQ10" s="194">
        <f>'Crops; pasture DISCOUNTED'!JZ20</f>
        <v>0.52477383931818178</v>
      </c>
      <c r="AR10" s="248">
        <f>'Crops; pasture DISCOUNTED'!KA20</f>
        <v>34.984922621212121</v>
      </c>
      <c r="AS10" s="189">
        <f>'Crops; pasture DISCOUNTED'!KB20</f>
        <v>5.2477383931818178</v>
      </c>
      <c r="AT10" s="765">
        <f>B10+AL10+AP10</f>
        <v>2.7320716341200941</v>
      </c>
      <c r="AU10" s="189">
        <f t="shared" ref="AU10:AW15" si="3">C10+AM10+AQ10</f>
        <v>3.1046268569546531</v>
      </c>
      <c r="AV10" s="188">
        <f t="shared" si="3"/>
        <v>206.97512379697687</v>
      </c>
      <c r="AW10" s="189">
        <f t="shared" si="3"/>
        <v>31.046268569546527</v>
      </c>
      <c r="AX10" s="189">
        <f>F10+AL10+AP10</f>
        <v>2.5741346869559663</v>
      </c>
      <c r="AY10" s="189">
        <f t="shared" ref="AY10:BA15" si="4">G10+AM10+AQ10</f>
        <v>2.9251530533590526</v>
      </c>
      <c r="AZ10" s="188">
        <f t="shared" si="4"/>
        <v>195.01020355727019</v>
      </c>
      <c r="BA10" s="189">
        <f t="shared" si="4"/>
        <v>29.251530533590525</v>
      </c>
      <c r="BB10" s="250"/>
      <c r="BC10" s="250"/>
      <c r="BD10" s="250"/>
      <c r="BE10" s="250"/>
      <c r="BF10" s="250"/>
      <c r="BG10" s="250"/>
      <c r="BH10" s="250"/>
      <c r="BI10" s="250"/>
      <c r="BJ10" s="250"/>
      <c r="BK10" s="250"/>
      <c r="BL10" s="250"/>
      <c r="BM10" s="250"/>
      <c r="BN10" s="250"/>
      <c r="BO10" s="250"/>
      <c r="BP10" s="250"/>
      <c r="BQ10" s="250"/>
      <c r="BR10" s="250"/>
      <c r="BS10" s="250"/>
      <c r="BT10" s="250"/>
      <c r="BU10" s="250"/>
      <c r="BV10" s="250"/>
      <c r="BW10" s="250"/>
      <c r="BX10" s="250"/>
      <c r="BY10" s="250"/>
      <c r="BZ10" s="250"/>
    </row>
    <row r="11" spans="1:80" x14ac:dyDescent="0.25">
      <c r="A11" s="239" t="s">
        <v>66</v>
      </c>
      <c r="B11" s="770">
        <f t="shared" ref="B11:B15" si="5">(F11+J11)/2</f>
        <v>2.2805146669208756</v>
      </c>
      <c r="C11" s="220">
        <f t="shared" si="0"/>
        <v>2.6212812263458343</v>
      </c>
      <c r="D11" s="297">
        <f t="shared" si="0"/>
        <v>227.93749794311603</v>
      </c>
      <c r="E11" s="220">
        <f t="shared" si="0"/>
        <v>32.766015329322926</v>
      </c>
      <c r="F11" s="220">
        <f>44/12*'Crops; pasture DISCOUNTED'!HF21</f>
        <v>2.3651418601441829</v>
      </c>
      <c r="G11" s="220">
        <f>44/12*'Crops; pasture DISCOUNTED'!HG21</f>
        <v>2.718553862234693</v>
      </c>
      <c r="H11" s="221">
        <f>44/12*'Crops; pasture DISCOUNTED'!HH21</f>
        <v>236.39598802040811</v>
      </c>
      <c r="I11" s="221">
        <f>44/12*'Crops; pasture DISCOUNTED'!HI21</f>
        <v>33.98192327793366</v>
      </c>
      <c r="J11" s="220">
        <f>44/12*'Crops; pasture DISCOUNTED'!HR21</f>
        <v>2.1958874736975682</v>
      </c>
      <c r="K11" s="220">
        <f>44/12*'Crops; pasture DISCOUNTED'!HS21</f>
        <v>2.5240085904569751</v>
      </c>
      <c r="L11" s="221">
        <f>44/12*'Crops; pasture DISCOUNTED'!HT21</f>
        <v>219.47900786582395</v>
      </c>
      <c r="M11" s="221">
        <f>44/12*'Crops; pasture DISCOUNTED'!HU21</f>
        <v>31.550107380712184</v>
      </c>
      <c r="N11" s="770">
        <f t="shared" ref="N11:N15" si="6">(R11+V11)/2</f>
        <v>4.4958409605166629</v>
      </c>
      <c r="O11" s="220">
        <f t="shared" si="1"/>
        <v>5.1676332879501876</v>
      </c>
      <c r="P11" s="249">
        <f t="shared" si="1"/>
        <v>449.35941634349456</v>
      </c>
      <c r="Q11" s="220">
        <f t="shared" si="1"/>
        <v>64.595416099377346</v>
      </c>
      <c r="R11" s="220">
        <f>44/12*'Crops; pasture DISCOUNTED'!HJ21</f>
        <v>4.5665185753725703</v>
      </c>
      <c r="S11" s="220">
        <f>44/12*'Crops; pasture DISCOUNTED'!HK21</f>
        <v>5.2488719257155978</v>
      </c>
      <c r="T11" s="296">
        <f>44/12*'Crops; pasture DISCOUNTED'!HL21</f>
        <v>456.42364571439981</v>
      </c>
      <c r="U11" s="296">
        <f>44/12*'Crops; pasture DISCOUNTED'!HM21</f>
        <v>65.610899071444976</v>
      </c>
      <c r="V11" s="192">
        <f>44/12*'Crops; pasture DISCOUNTED'!HV21</f>
        <v>4.4251633456607564</v>
      </c>
      <c r="W11" s="192">
        <f>44/12*'Crops; pasture DISCOUNTED'!HW21</f>
        <v>5.0863946501847774</v>
      </c>
      <c r="X11" s="296">
        <f>44/12*'Crops; pasture DISCOUNTED'!HX21</f>
        <v>442.29518697258931</v>
      </c>
      <c r="Y11" s="221">
        <f>44/12*'Crops; pasture DISCOUNTED'!HY21</f>
        <v>63.579933127309715</v>
      </c>
      <c r="Z11" s="770">
        <f t="shared" ref="Z11:Z15" si="7">(AD11+AH11)/2</f>
        <v>5.1636981865529386</v>
      </c>
      <c r="AA11" s="220">
        <f t="shared" si="2"/>
        <v>1.8796278273723739</v>
      </c>
      <c r="AB11" s="249">
        <f t="shared" si="2"/>
        <v>516.11176277390689</v>
      </c>
      <c r="AC11" s="220">
        <f t="shared" si="2"/>
        <v>74.191065898749116</v>
      </c>
      <c r="AD11" s="220">
        <f>44/12*'Crops; pasture DISCOUNTED'!HN21</f>
        <v>1.7239663731058779</v>
      </c>
      <c r="AE11" s="220">
        <f>44/12*'Crops; pasture DISCOUNTED'!HO21</f>
        <v>1.9815705437998596</v>
      </c>
      <c r="AF11" s="221">
        <f>44/12*'Crops; pasture DISCOUNTED'!HP21</f>
        <v>172.31048206955299</v>
      </c>
      <c r="AG11" s="221">
        <f>44/12*'Crops; pasture DISCOUNTED'!HQ21</f>
        <v>24.769631797498242</v>
      </c>
      <c r="AH11" s="220">
        <f>44/12*'Crops; pasture DISCOUNTED'!HZ21</f>
        <v>8.6034299999999995</v>
      </c>
      <c r="AI11" s="220">
        <f>44/12*'Crops; pasture DISCOUNTED'!IA21</f>
        <v>1.7776851109448883</v>
      </c>
      <c r="AJ11" s="221">
        <f>44/12*'Crops; pasture DISCOUNTED'!IB21</f>
        <v>859.91304347826087</v>
      </c>
      <c r="AK11" s="221">
        <f>44/12*'Crops; pasture DISCOUNTED'!IC21</f>
        <v>123.61249999999998</v>
      </c>
      <c r="AL11" s="759">
        <f>'Crops; pasture DISCOUNTED'!IQ21</f>
        <v>0.24363454117680775</v>
      </c>
      <c r="AM11" s="407">
        <f>'Crops; pasture DISCOUNTED'!IR21</f>
        <v>0.28003970250207788</v>
      </c>
      <c r="AN11" s="249">
        <f>'Crops; pasture DISCOUNTED'!IS21</f>
        <v>24.351278478441554</v>
      </c>
      <c r="AO11" s="407">
        <f>'Crops; pasture DISCOUNTED'!IT21</f>
        <v>3.5004962812759732</v>
      </c>
      <c r="AP11" s="761">
        <f>'Crops; pasture DISCOUNTED'!JY21</f>
        <v>2.1740911400800003</v>
      </c>
      <c r="AQ11" s="194">
        <f>'Crops; pasture DISCOUNTED'!JZ21</f>
        <v>2.4989553334252874</v>
      </c>
      <c r="AR11" s="248">
        <f>'Crops; pasture DISCOUNTED'!KA21</f>
        <v>217.30046377611194</v>
      </c>
      <c r="AS11" s="189">
        <f>'Crops; pasture DISCOUNTED'!KB21</f>
        <v>31.236941667816094</v>
      </c>
      <c r="AT11" s="765">
        <f t="shared" ref="AT11:AT15" si="8">B11+AL11+AP11</f>
        <v>4.6982403481776842</v>
      </c>
      <c r="AU11" s="189">
        <f t="shared" si="3"/>
        <v>5.4002762622731995</v>
      </c>
      <c r="AV11" s="188">
        <f t="shared" si="3"/>
        <v>469.58924019766948</v>
      </c>
      <c r="AW11" s="189">
        <f t="shared" si="3"/>
        <v>67.503453278414995</v>
      </c>
      <c r="AX11" s="189">
        <f t="shared" ref="AX11:AX15" si="9">F11+AL11+AP11</f>
        <v>4.7828675414009911</v>
      </c>
      <c r="AY11" s="189">
        <f t="shared" si="4"/>
        <v>5.4975488981620586</v>
      </c>
      <c r="AZ11" s="188">
        <f t="shared" si="4"/>
        <v>478.04773027496162</v>
      </c>
      <c r="BA11" s="189">
        <f t="shared" si="4"/>
        <v>68.719361227025729</v>
      </c>
      <c r="BB11" s="250"/>
      <c r="BC11" s="250"/>
      <c r="BD11" s="250"/>
      <c r="BE11" s="250"/>
      <c r="BF11" s="250"/>
      <c r="BG11" s="250"/>
      <c r="BH11" s="250"/>
      <c r="BI11" s="250"/>
      <c r="BJ11" s="250"/>
      <c r="BK11" s="250"/>
      <c r="BL11" s="250"/>
      <c r="BM11" s="250"/>
      <c r="BN11" s="250"/>
      <c r="BO11" s="250"/>
      <c r="BP11" s="250"/>
      <c r="BQ11" s="250"/>
      <c r="BR11" s="250"/>
      <c r="BS11" s="250"/>
      <c r="BT11" s="250"/>
      <c r="BU11" s="250"/>
      <c r="BV11" s="250"/>
      <c r="BW11" s="250"/>
      <c r="BX11" s="250"/>
      <c r="BY11" s="250"/>
      <c r="BZ11" s="250"/>
    </row>
    <row r="12" spans="1:80" x14ac:dyDescent="0.25">
      <c r="A12" s="240" t="s">
        <v>65</v>
      </c>
      <c r="B12" s="770">
        <f t="shared" si="5"/>
        <v>2.1606278111129997</v>
      </c>
      <c r="C12" s="220">
        <f t="shared" si="0"/>
        <v>2.4552588762647725</v>
      </c>
      <c r="D12" s="297">
        <f t="shared" si="0"/>
        <v>175.37563401891231</v>
      </c>
      <c r="E12" s="220">
        <f t="shared" si="0"/>
        <v>18.886606740498248</v>
      </c>
      <c r="F12" s="407">
        <f>44/12*'Crops; pasture DISCOUNTED'!HF22</f>
        <v>1.7854951974541262</v>
      </c>
      <c r="G12" s="220">
        <f>44/12*'Crops; pasture DISCOUNTED'!HG22</f>
        <v>2.0289718152887795</v>
      </c>
      <c r="H12" s="221">
        <f>44/12*'Crops; pasture DISCOUNTED'!HH22</f>
        <v>144.92655823491282</v>
      </c>
      <c r="I12" s="221">
        <f>44/12*'Crops; pasture DISCOUNTED'!HI22</f>
        <v>15.607475502221382</v>
      </c>
      <c r="J12" s="220">
        <f>44/12*'Crops; pasture DISCOUNTED'!HR22</f>
        <v>2.5357604247718735</v>
      </c>
      <c r="K12" s="220">
        <f>44/12*'Crops; pasture DISCOUNTED'!HS22</f>
        <v>2.8815459372407655</v>
      </c>
      <c r="L12" s="221">
        <f>44/12*'Crops; pasture DISCOUNTED'!HT22</f>
        <v>205.82470980291183</v>
      </c>
      <c r="M12" s="221">
        <f>44/12*'Crops; pasture DISCOUNTED'!HU22</f>
        <v>22.165737978775116</v>
      </c>
      <c r="N12" s="770">
        <f t="shared" si="6"/>
        <v>2.8158942902267068</v>
      </c>
      <c r="O12" s="220">
        <f t="shared" si="1"/>
        <v>3.1998798752576212</v>
      </c>
      <c r="P12" s="249">
        <f t="shared" si="1"/>
        <v>228.56284823268726</v>
      </c>
      <c r="Q12" s="220">
        <f t="shared" si="1"/>
        <v>24.614460578904779</v>
      </c>
      <c r="R12" s="407">
        <f>44/12*'Crops; pasture DISCOUNTED'!HJ22</f>
        <v>2.3793489745675149</v>
      </c>
      <c r="S12" s="220">
        <f>44/12*'Crops; pasture DISCOUNTED'!HK22</f>
        <v>2.7038056529176306</v>
      </c>
      <c r="T12" s="296">
        <f>44/12*'Crops; pasture DISCOUNTED'!HL22</f>
        <v>193.12897520840221</v>
      </c>
      <c r="U12" s="296">
        <f>44/12*'Crops; pasture DISCOUNTED'!HM22</f>
        <v>20.798505022443312</v>
      </c>
      <c r="V12" s="417">
        <f>44/12*'Crops; pasture DISCOUNTED'!HV22</f>
        <v>3.2524396058858986</v>
      </c>
      <c r="W12" s="192">
        <f>44/12*'Crops; pasture DISCOUNTED'!HW22</f>
        <v>3.6959540975976122</v>
      </c>
      <c r="X12" s="296">
        <f>44/12*'Crops; pasture DISCOUNTED'!HX22</f>
        <v>263.99672125697231</v>
      </c>
      <c r="Y12" s="221">
        <f>44/12*'Crops; pasture DISCOUNTED'!HY22</f>
        <v>28.430416135366247</v>
      </c>
      <c r="Z12" s="759">
        <f t="shared" si="7"/>
        <v>4.1081594194803372</v>
      </c>
      <c r="AA12" s="220">
        <f t="shared" si="2"/>
        <v>1.0482084983465279</v>
      </c>
      <c r="AB12" s="249">
        <f t="shared" si="2"/>
        <v>333.45449833444292</v>
      </c>
      <c r="AC12" s="220">
        <f t="shared" si="2"/>
        <v>35.91048443601693</v>
      </c>
      <c r="AD12" s="220">
        <f>44/12*'Crops; pasture DISCOUNTED'!HN22</f>
        <v>0.66333750562734006</v>
      </c>
      <c r="AE12" s="220">
        <f>44/12*'Crops; pasture DISCOUNTED'!HO22</f>
        <v>0.75379262003106828</v>
      </c>
      <c r="AF12" s="221">
        <f>44/12*'Crops; pasture DISCOUNTED'!HP22</f>
        <v>53.842330002219157</v>
      </c>
      <c r="AG12" s="221">
        <f>44/12*'Crops; pasture DISCOUNTED'!HQ22</f>
        <v>5.7984047694697551</v>
      </c>
      <c r="AH12" s="220">
        <f>44/12*'Crops; pasture DISCOUNTED'!HZ22</f>
        <v>7.5529813333333342</v>
      </c>
      <c r="AI12" s="220">
        <f>44/12*'Crops; pasture DISCOUNTED'!IA22</f>
        <v>1.3426243766619876</v>
      </c>
      <c r="AJ12" s="221">
        <f>44/12*'Crops; pasture DISCOUNTED'!IB22</f>
        <v>613.06666666666672</v>
      </c>
      <c r="AK12" s="221">
        <f>44/12*'Crops; pasture DISCOUNTED'!IC22</f>
        <v>66.022564102564104</v>
      </c>
      <c r="AL12" s="759">
        <f>'Crops; pasture DISCOUNTED'!IQ22</f>
        <v>0.11202772808139883</v>
      </c>
      <c r="AM12" s="407">
        <f>'Crops; pasture DISCOUNTED'!IR22</f>
        <v>0.12730423645613503</v>
      </c>
      <c r="AN12" s="249">
        <f>'Crops; pasture DISCOUNTED'!IS22</f>
        <v>9.0931597468667871</v>
      </c>
      <c r="AO12" s="407">
        <f>'Crops; pasture DISCOUNTED'!IT22</f>
        <v>0.97926335735488479</v>
      </c>
      <c r="AP12" s="761">
        <f>'Crops; pasture DISCOUNTED'!JY22</f>
        <v>0.68853651374000002</v>
      </c>
      <c r="AQ12" s="194">
        <f>'Crops; pasture DISCOUNTED'!JZ22</f>
        <v>0.78242785652272728</v>
      </c>
      <c r="AR12" s="248">
        <f>'Crops; pasture DISCOUNTED'!KA22</f>
        <v>55.887704037337663</v>
      </c>
      <c r="AS12" s="189">
        <f>'Crops; pasture DISCOUNTED'!KB22</f>
        <v>6.018675819405594</v>
      </c>
      <c r="AT12" s="765">
        <f t="shared" si="8"/>
        <v>2.9611920529343987</v>
      </c>
      <c r="AU12" s="189">
        <f t="shared" si="3"/>
        <v>3.3649909692436348</v>
      </c>
      <c r="AV12" s="188">
        <f t="shared" si="3"/>
        <v>240.35649780311675</v>
      </c>
      <c r="AW12" s="189">
        <f t="shared" si="3"/>
        <v>25.884545917258727</v>
      </c>
      <c r="AX12" s="189">
        <f t="shared" si="9"/>
        <v>2.586059439275525</v>
      </c>
      <c r="AY12" s="189">
        <f t="shared" si="4"/>
        <v>2.9387039082676418</v>
      </c>
      <c r="AZ12" s="188">
        <f t="shared" si="4"/>
        <v>209.90742201911726</v>
      </c>
      <c r="BA12" s="189">
        <f t="shared" si="4"/>
        <v>22.605414678981859</v>
      </c>
      <c r="BB12" s="250"/>
      <c r="BC12" s="250"/>
      <c r="BD12" s="250"/>
      <c r="BE12" s="250"/>
      <c r="BF12" s="250"/>
      <c r="BG12" s="250"/>
      <c r="BH12" s="250"/>
      <c r="BI12" s="250"/>
      <c r="BJ12" s="250"/>
      <c r="BK12" s="250"/>
      <c r="BL12" s="250"/>
      <c r="BM12" s="250"/>
      <c r="BN12" s="250"/>
      <c r="BO12" s="250"/>
      <c r="BP12" s="250"/>
      <c r="BQ12" s="250"/>
      <c r="BR12" s="250"/>
      <c r="BS12" s="250"/>
      <c r="BT12" s="250"/>
      <c r="BU12" s="250"/>
      <c r="BV12" s="250"/>
      <c r="BW12" s="250"/>
      <c r="BX12" s="250"/>
      <c r="BY12" s="250"/>
      <c r="BZ12" s="250"/>
    </row>
    <row r="13" spans="1:80" x14ac:dyDescent="0.25">
      <c r="A13" s="239" t="s">
        <v>67</v>
      </c>
      <c r="B13" s="770">
        <f t="shared" si="5"/>
        <v>2.8211680820252703</v>
      </c>
      <c r="C13" s="220">
        <f t="shared" si="0"/>
        <v>3.2058728204832612</v>
      </c>
      <c r="D13" s="297">
        <f t="shared" si="0"/>
        <v>228.99091574880435</v>
      </c>
      <c r="E13" s="220">
        <f t="shared" si="0"/>
        <v>26.715606837360518</v>
      </c>
      <c r="F13" s="220">
        <f>44/12*'Crops; pasture DISCOUNTED'!HF23</f>
        <v>2.3588805989169028</v>
      </c>
      <c r="G13" s="220">
        <f>44/12*'Crops; pasture DISCOUNTED'!HG23</f>
        <v>2.6805461351328441</v>
      </c>
      <c r="H13" s="221">
        <f>44/12*'Crops; pasture DISCOUNTED'!HH23</f>
        <v>191.46758108091743</v>
      </c>
      <c r="I13" s="221">
        <f>44/12*'Crops; pasture DISCOUNTED'!HI23</f>
        <v>22.337884459440371</v>
      </c>
      <c r="J13" s="220">
        <f>44/12*'Crops; pasture DISCOUNTED'!HR23</f>
        <v>3.2834555651336372</v>
      </c>
      <c r="K13" s="220">
        <f>44/12*'Crops; pasture DISCOUNTED'!HS23</f>
        <v>3.7311995058336787</v>
      </c>
      <c r="L13" s="221">
        <f>44/12*'Crops; pasture DISCOUNTED'!HT23</f>
        <v>266.51425041669131</v>
      </c>
      <c r="M13" s="221">
        <f>44/12*'Crops; pasture DISCOUNTED'!HU23</f>
        <v>31.093329215280662</v>
      </c>
      <c r="N13" s="770">
        <f t="shared" si="6"/>
        <v>2.9807565606143038</v>
      </c>
      <c r="O13" s="220">
        <f t="shared" si="1"/>
        <v>3.3872233643344365</v>
      </c>
      <c r="P13" s="249">
        <f t="shared" si="1"/>
        <v>241.94452602388833</v>
      </c>
      <c r="Q13" s="220">
        <f t="shared" si="1"/>
        <v>28.226861369453637</v>
      </c>
      <c r="R13" s="220">
        <f>44/12*'Crops; pasture DISCOUNTED'!HJ23</f>
        <v>2.5066078128386553</v>
      </c>
      <c r="S13" s="220">
        <f>44/12*'Crops; pasture DISCOUNTED'!HK23</f>
        <v>2.8484179691348355</v>
      </c>
      <c r="T13" s="296">
        <f>44/12*'Crops; pasture DISCOUNTED'!HL23</f>
        <v>203.45842636677395</v>
      </c>
      <c r="U13" s="296">
        <f>44/12*'Crops; pasture DISCOUNTED'!HM23</f>
        <v>23.736816409456964</v>
      </c>
      <c r="V13" s="192">
        <f>44/12*'Crops; pasture DISCOUNTED'!HV23</f>
        <v>3.4549053083899528</v>
      </c>
      <c r="W13" s="192">
        <f>44/12*'Crops; pasture DISCOUNTED'!HW23</f>
        <v>3.9260287595340375</v>
      </c>
      <c r="X13" s="296">
        <f>44/12*'Crops; pasture DISCOUNTED'!HX23</f>
        <v>280.43062568100271</v>
      </c>
      <c r="Y13" s="221">
        <f>44/12*'Crops; pasture DISCOUNTED'!HY23</f>
        <v>32.71690632945031</v>
      </c>
      <c r="Z13" s="770">
        <f t="shared" si="7"/>
        <v>4.0801410977090002</v>
      </c>
      <c r="AA13" s="220">
        <f t="shared" si="2"/>
        <v>1.5436299881729545</v>
      </c>
      <c r="AB13" s="249">
        <f t="shared" si="2"/>
        <v>331.1802839049513</v>
      </c>
      <c r="AC13" s="220">
        <f t="shared" si="2"/>
        <v>38.637699788910993</v>
      </c>
      <c r="AD13" s="220">
        <f>44/12*'Crops; pasture DISCOUNTED'!HN23</f>
        <v>1.0048261954180007</v>
      </c>
      <c r="AE13" s="220">
        <f>44/12*'Crops; pasture DISCOUNTED'!HO23</f>
        <v>1.1418479493386369</v>
      </c>
      <c r="AF13" s="221">
        <f>44/12*'Crops; pasture DISCOUNTED'!HP23</f>
        <v>81.560567809902636</v>
      </c>
      <c r="AG13" s="221">
        <f>44/12*'Crops; pasture DISCOUNTED'!HQ23</f>
        <v>9.5153995778219755</v>
      </c>
      <c r="AH13" s="220">
        <f>44/12*'Crops; pasture DISCOUNTED'!HZ23</f>
        <v>7.155456</v>
      </c>
      <c r="AI13" s="220">
        <f>44/12*'Crops; pasture DISCOUNTED'!IA23</f>
        <v>1.9454120270072721</v>
      </c>
      <c r="AJ13" s="221">
        <f>44/12*'Crops; pasture DISCOUNTED'!IB23</f>
        <v>580.79999999999995</v>
      </c>
      <c r="AK13" s="221">
        <f>44/12*'Crops; pasture DISCOUNTED'!IC23</f>
        <v>67.760000000000005</v>
      </c>
      <c r="AL13" s="759">
        <f>'Crops; pasture DISCOUNTED'!IQ23</f>
        <v>0.21093754358867345</v>
      </c>
      <c r="AM13" s="407">
        <f>'Crops; pasture DISCOUNTED'!IR23</f>
        <v>0.23970175407803801</v>
      </c>
      <c r="AN13" s="249">
        <f>'Crops; pasture DISCOUNTED'!IS23</f>
        <v>17.121553862717001</v>
      </c>
      <c r="AO13" s="407">
        <f>'Crops; pasture DISCOUNTED'!IT23</f>
        <v>1.9975146173169835</v>
      </c>
      <c r="AP13" s="761">
        <f>'Crops; pasture DISCOUNTED'!JY23</f>
        <v>0.51684051966</v>
      </c>
      <c r="AQ13" s="194">
        <f>'Crops; pasture DISCOUNTED'!JZ23</f>
        <v>0.58731877234090912</v>
      </c>
      <c r="AR13" s="248">
        <f>'Crops; pasture DISCOUNTED'!KA23</f>
        <v>41.951340881493515</v>
      </c>
      <c r="AS13" s="189">
        <f>'Crops; pasture DISCOUNTED'!KB23</f>
        <v>4.8943231028409091</v>
      </c>
      <c r="AT13" s="765">
        <f t="shared" si="8"/>
        <v>3.5489461452739439</v>
      </c>
      <c r="AU13" s="189">
        <f t="shared" si="3"/>
        <v>4.0328933469022079</v>
      </c>
      <c r="AV13" s="188">
        <f t="shared" si="3"/>
        <v>288.0638104930149</v>
      </c>
      <c r="AW13" s="189">
        <f t="shared" si="3"/>
        <v>33.607444557518413</v>
      </c>
      <c r="AX13" s="189">
        <f t="shared" si="9"/>
        <v>3.0866586621655765</v>
      </c>
      <c r="AY13" s="189">
        <f t="shared" si="4"/>
        <v>3.5075666615517913</v>
      </c>
      <c r="AZ13" s="188">
        <f t="shared" si="4"/>
        <v>250.54047582512794</v>
      </c>
      <c r="BA13" s="189">
        <f t="shared" si="4"/>
        <v>29.229722179598262</v>
      </c>
      <c r="BB13" s="250"/>
      <c r="BC13" s="250"/>
      <c r="BD13" s="250"/>
      <c r="BE13" s="250"/>
      <c r="BF13" s="250"/>
      <c r="BG13" s="250"/>
      <c r="BH13" s="250"/>
      <c r="BI13" s="250"/>
      <c r="BJ13" s="250"/>
      <c r="BK13" s="250"/>
      <c r="BL13" s="250"/>
      <c r="BM13" s="250"/>
      <c r="BN13" s="250"/>
      <c r="BO13" s="250"/>
      <c r="BP13" s="250"/>
      <c r="BQ13" s="250"/>
      <c r="BR13" s="250"/>
      <c r="BS13" s="250"/>
      <c r="BT13" s="250"/>
      <c r="BU13" s="250"/>
      <c r="BV13" s="250"/>
      <c r="BW13" s="250"/>
      <c r="BX13" s="250"/>
      <c r="BY13" s="250"/>
      <c r="BZ13" s="250"/>
    </row>
    <row r="14" spans="1:80" x14ac:dyDescent="0.25">
      <c r="A14" s="241" t="s">
        <v>307</v>
      </c>
      <c r="B14" s="770">
        <f t="shared" si="5"/>
        <v>5.3761681094990141</v>
      </c>
      <c r="C14" s="220">
        <f t="shared" si="0"/>
        <v>6.1092819426125162</v>
      </c>
      <c r="D14" s="297">
        <f t="shared" si="0"/>
        <v>421.32978914569071</v>
      </c>
      <c r="E14" s="220">
        <f t="shared" si="0"/>
        <v>61.09281942612516</v>
      </c>
      <c r="F14" s="220">
        <f>44/12*'Crops; pasture DISCOUNTED'!HF24</f>
        <v>3.9886333961619536</v>
      </c>
      <c r="G14" s="220">
        <f>44/12*'Crops; pasture DISCOUNTED'!HG24</f>
        <v>4.5325379501840377</v>
      </c>
      <c r="H14" s="221">
        <f>44/12*'Crops; pasture DISCOUNTED'!HH24</f>
        <v>312.58882415062328</v>
      </c>
      <c r="I14" s="221">
        <f>44/12*'Crops; pasture DISCOUNTED'!HI24</f>
        <v>45.325379501840381</v>
      </c>
      <c r="J14" s="220">
        <f>44/12*'Crops; pasture DISCOUNTED'!HR24</f>
        <v>6.7637028228360752</v>
      </c>
      <c r="K14" s="220">
        <f>44/12*'Crops; pasture DISCOUNTED'!HS24</f>
        <v>7.6860259350409947</v>
      </c>
      <c r="L14" s="221">
        <f>44/12*'Crops; pasture DISCOUNTED'!HT24</f>
        <v>530.07075414075814</v>
      </c>
      <c r="M14" s="221">
        <f>44/12*'Crops; pasture DISCOUNTED'!HU24</f>
        <v>76.860259350409933</v>
      </c>
      <c r="N14" s="770">
        <f t="shared" si="6"/>
        <v>6.1688220451368112</v>
      </c>
      <c r="O14" s="220">
        <f t="shared" si="1"/>
        <v>7.0100250512918301</v>
      </c>
      <c r="P14" s="249">
        <f t="shared" si="1"/>
        <v>483.45000353736771</v>
      </c>
      <c r="Q14" s="220">
        <f t="shared" si="1"/>
        <v>70.100250512918308</v>
      </c>
      <c r="R14" s="220">
        <f>44/12*'Crops; pasture DISCOUNTED'!HJ24</f>
        <v>4.6149145774019606</v>
      </c>
      <c r="S14" s="220">
        <f>44/12*'Crops; pasture DISCOUNTED'!HK24</f>
        <v>5.2442211106840455</v>
      </c>
      <c r="T14" s="296">
        <f>44/12*'Crops; pasture DISCOUNTED'!HL24</f>
        <v>361.67042142648592</v>
      </c>
      <c r="U14" s="296">
        <f>44/12*'Crops; pasture DISCOUNTED'!HM24</f>
        <v>52.442211106840453</v>
      </c>
      <c r="V14" s="192">
        <f>44/12*'Crops; pasture DISCOUNTED'!HV24</f>
        <v>7.7227295128716618</v>
      </c>
      <c r="W14" s="192">
        <f>44/12*'Crops; pasture DISCOUNTED'!HW24</f>
        <v>8.7758289918996155</v>
      </c>
      <c r="X14" s="296">
        <f>44/12*'Crops; pasture DISCOUNTED'!HX24</f>
        <v>605.22958564824944</v>
      </c>
      <c r="Y14" s="221">
        <f>44/12*'Crops; pasture DISCOUNTED'!HY24</f>
        <v>87.758289918996155</v>
      </c>
      <c r="Z14" s="770">
        <f t="shared" si="7"/>
        <v>2.2509970194698603</v>
      </c>
      <c r="AA14" s="220">
        <f t="shared" si="2"/>
        <v>1.7019839714125997</v>
      </c>
      <c r="AB14" s="249">
        <f t="shared" si="2"/>
        <v>176.41042472334328</v>
      </c>
      <c r="AC14" s="220">
        <f t="shared" si="2"/>
        <v>25.579511584884777</v>
      </c>
      <c r="AD14" s="220">
        <f>44/12*'Crops; pasture DISCOUNTED'!HN24</f>
        <v>0.92426603893972104</v>
      </c>
      <c r="AE14" s="220">
        <f>44/12*'Crops; pasture DISCOUNTED'!HO24</f>
        <v>1.0503023169769556</v>
      </c>
      <c r="AF14" s="221">
        <f>44/12*'Crops; pasture DISCOUNTED'!HP24</f>
        <v>72.434642550134868</v>
      </c>
      <c r="AG14" s="221">
        <f>44/12*'Crops; pasture DISCOUNTED'!HQ24</f>
        <v>10.503023169769556</v>
      </c>
      <c r="AH14" s="220">
        <f>44/12*'Crops; pasture DISCOUNTED'!HZ24</f>
        <v>3.577728</v>
      </c>
      <c r="AI14" s="220">
        <f>44/12*'Crops; pasture DISCOUNTED'!IA24</f>
        <v>2.3536656258482438</v>
      </c>
      <c r="AJ14" s="221">
        <f>44/12*'Crops; pasture DISCOUNTED'!IB24</f>
        <v>280.3862068965517</v>
      </c>
      <c r="AK14" s="221">
        <f>44/12*'Crops; pasture DISCOUNTED'!IC24</f>
        <v>40.655999999999999</v>
      </c>
      <c r="AL14" s="759">
        <f>'Crops; pasture DISCOUNTED'!IQ24</f>
        <v>0.43382136393977061</v>
      </c>
      <c r="AM14" s="407">
        <f>'Crops; pasture DISCOUNTED'!IR24</f>
        <v>0.49297882265883025</v>
      </c>
      <c r="AN14" s="249">
        <f>'Crops; pasture DISCOUNTED'!IS24</f>
        <v>33.998539493712435</v>
      </c>
      <c r="AO14" s="407">
        <f>'Crops; pasture DISCOUNTED'!IT24</f>
        <v>4.9297882265883022</v>
      </c>
      <c r="AP14" s="761">
        <f>'Crops; pasture DISCOUNTED'!JY24</f>
        <v>0.42779734332000002</v>
      </c>
      <c r="AQ14" s="194">
        <f>'Crops; pasture DISCOUNTED'!JZ24</f>
        <v>0.48613334468181824</v>
      </c>
      <c r="AR14" s="248">
        <f>'Crops; pasture DISCOUNTED'!KA24</f>
        <v>33.526437564263325</v>
      </c>
      <c r="AS14" s="189">
        <f>'Crops; pasture DISCOUNTED'!KB24</f>
        <v>4.8613334468181817</v>
      </c>
      <c r="AT14" s="765">
        <f t="shared" si="8"/>
        <v>6.2377868167587849</v>
      </c>
      <c r="AU14" s="189">
        <f t="shared" si="3"/>
        <v>7.088394109953164</v>
      </c>
      <c r="AV14" s="188">
        <f t="shared" si="3"/>
        <v>488.85476620366649</v>
      </c>
      <c r="AW14" s="189">
        <f t="shared" si="3"/>
        <v>70.88394109953164</v>
      </c>
      <c r="AX14" s="189">
        <f t="shared" si="9"/>
        <v>4.8502521034217239</v>
      </c>
      <c r="AY14" s="189">
        <f t="shared" si="4"/>
        <v>5.5116501175246855</v>
      </c>
      <c r="AZ14" s="188">
        <f t="shared" si="4"/>
        <v>380.11380120859906</v>
      </c>
      <c r="BA14" s="189">
        <f t="shared" si="4"/>
        <v>55.11650117524686</v>
      </c>
      <c r="BB14" s="250"/>
      <c r="BC14" s="250"/>
      <c r="BD14" s="250"/>
      <c r="BE14" s="250"/>
      <c r="BF14" s="250"/>
      <c r="BG14" s="250"/>
      <c r="BH14" s="250"/>
      <c r="BI14" s="250"/>
      <c r="BJ14" s="250"/>
      <c r="BK14" s="250"/>
      <c r="BL14" s="250"/>
      <c r="BM14" s="250"/>
      <c r="BN14" s="250"/>
      <c r="BO14" s="250"/>
      <c r="BP14" s="250"/>
      <c r="BQ14" s="250"/>
      <c r="BR14" s="250"/>
      <c r="BS14" s="250"/>
      <c r="BT14" s="250"/>
      <c r="BU14" s="250"/>
      <c r="BV14" s="250"/>
      <c r="BW14" s="250"/>
      <c r="BX14" s="250"/>
      <c r="BY14" s="250"/>
      <c r="BZ14" s="250"/>
    </row>
    <row r="15" spans="1:80" x14ac:dyDescent="0.25">
      <c r="A15" s="241" t="s">
        <v>308</v>
      </c>
      <c r="B15" s="770">
        <f t="shared" si="5"/>
        <v>5.5685557609158574</v>
      </c>
      <c r="C15" s="220">
        <f t="shared" si="0"/>
        <v>6.3279042737680191</v>
      </c>
      <c r="D15" s="297">
        <f t="shared" si="0"/>
        <v>436.40719129434615</v>
      </c>
      <c r="E15" s="220">
        <f t="shared" si="0"/>
        <v>70.310047486311333</v>
      </c>
      <c r="F15" s="220">
        <f>44/12*'Crops; pasture DISCOUNTED'!HF25</f>
        <v>3.9017321267813379</v>
      </c>
      <c r="G15" s="220">
        <f>44/12*'Crops; pasture DISCOUNTED'!HG25</f>
        <v>4.4337865077060652</v>
      </c>
      <c r="H15" s="221">
        <f>44/12*'Crops; pasture DISCOUNTED'!HH25</f>
        <v>305.77837984179763</v>
      </c>
      <c r="I15" s="221">
        <f>44/12*'Crops; pasture DISCOUNTED'!HI25</f>
        <v>49.264294530067396</v>
      </c>
      <c r="J15" s="220">
        <f>44/12*'Crops; pasture DISCOUNTED'!HR25</f>
        <v>7.2353793950503764</v>
      </c>
      <c r="K15" s="220">
        <f>44/12*'Crops; pasture DISCOUNTED'!HS25</f>
        <v>8.222022039829973</v>
      </c>
      <c r="L15" s="221">
        <f>44/12*'Crops; pasture DISCOUNTED'!HT25</f>
        <v>567.03600274689472</v>
      </c>
      <c r="M15" s="221">
        <f>44/12*'Crops; pasture DISCOUNTED'!HU25</f>
        <v>91.355800442555278</v>
      </c>
      <c r="N15" s="770">
        <f t="shared" si="6"/>
        <v>5.8516376283928295</v>
      </c>
      <c r="O15" s="220">
        <f t="shared" si="1"/>
        <v>6.6495882140827609</v>
      </c>
      <c r="P15" s="249">
        <f t="shared" si="1"/>
        <v>458.59229062639724</v>
      </c>
      <c r="Q15" s="220">
        <f t="shared" si="1"/>
        <v>73.884313489808463</v>
      </c>
      <c r="R15" s="220">
        <f>44/12*'Crops; pasture DISCOUNTED'!HJ25</f>
        <v>4.0919943022491587</v>
      </c>
      <c r="S15" s="220">
        <f>44/12*'Crops; pasture DISCOUNTED'!HK25</f>
        <v>4.6499935252831346</v>
      </c>
      <c r="T15" s="296">
        <f>44/12*'Crops; pasture DISCOUNTED'!HL25</f>
        <v>320.68920864021612</v>
      </c>
      <c r="U15" s="296">
        <f>44/12*'Crops; pasture DISCOUNTED'!HM25</f>
        <v>51.666594725368164</v>
      </c>
      <c r="V15" s="192">
        <f>44/12*'Crops; pasture DISCOUNTED'!HV25</f>
        <v>7.6112809545365003</v>
      </c>
      <c r="W15" s="192">
        <f>44/12*'Crops; pasture DISCOUNTED'!HW25</f>
        <v>8.6491829028823872</v>
      </c>
      <c r="X15" s="296">
        <f>44/12*'Crops; pasture DISCOUNTED'!HX25</f>
        <v>596.49537261257842</v>
      </c>
      <c r="Y15" s="221">
        <f>44/12*'Crops; pasture DISCOUNTED'!HY25</f>
        <v>96.102032254248755</v>
      </c>
      <c r="Z15" s="770">
        <f t="shared" si="7"/>
        <v>2.2472688956084541</v>
      </c>
      <c r="AA15" s="220">
        <f t="shared" si="2"/>
        <v>2.8654398909838124</v>
      </c>
      <c r="AB15" s="249">
        <f t="shared" si="2"/>
        <v>176.11825200693212</v>
      </c>
      <c r="AC15" s="220">
        <f t="shared" si="2"/>
        <v>28.37460726778351</v>
      </c>
      <c r="AD15" s="220">
        <f>44/12*'Crops; pasture DISCOUNTED'!HN25</f>
        <v>1.8538337912169081</v>
      </c>
      <c r="AE15" s="220">
        <f>44/12*'Crops; pasture DISCOUNTED'!HO25</f>
        <v>2.1066293082010321</v>
      </c>
      <c r="AF15" s="221">
        <f>44/12*'Crops; pasture DISCOUNTED'!HP25</f>
        <v>145.28477987593322</v>
      </c>
      <c r="AG15" s="221">
        <f>44/12*'Crops; pasture DISCOUNTED'!HQ25</f>
        <v>23.406992313344801</v>
      </c>
      <c r="AH15" s="220">
        <f>44/12*'Crops; pasture DISCOUNTED'!HZ25</f>
        <v>2.6407039999999999</v>
      </c>
      <c r="AI15" s="220">
        <f>44/12*'Crops; pasture DISCOUNTED'!IA25</f>
        <v>3.624250473766593</v>
      </c>
      <c r="AJ15" s="221">
        <f>44/12*'Crops; pasture DISCOUNTED'!IB25</f>
        <v>206.95172413793102</v>
      </c>
      <c r="AK15" s="221">
        <f>44/12*'Crops; pasture DISCOUNTED'!IC25</f>
        <v>33.342222222222219</v>
      </c>
      <c r="AL15" s="759">
        <f>'Crops; pasture DISCOUNTED'!IQ25</f>
        <v>0.94972118553755225</v>
      </c>
      <c r="AM15" s="407">
        <f>'Crops; pasture DISCOUNTED'!IR25</f>
        <v>1.0792286199290366</v>
      </c>
      <c r="AN15" s="249">
        <f>'Crops; pasture DISCOUNTED'!IS25</f>
        <v>74.429559995105961</v>
      </c>
      <c r="AO15" s="220">
        <f>'Crops; pasture DISCOUNTED'!IT25</f>
        <v>11.991429110322629</v>
      </c>
      <c r="AP15" s="761">
        <f>'Crops; pasture DISCOUNTED'!JY25</f>
        <v>0.54224401676</v>
      </c>
      <c r="AQ15" s="194">
        <f>'Crops; pasture DISCOUNTED'!JZ25</f>
        <v>0.61618638268181813</v>
      </c>
      <c r="AR15" s="248">
        <f>'Crops; pasture DISCOUNTED'!KA25</f>
        <v>42.495612598746078</v>
      </c>
      <c r="AS15" s="189">
        <f>'Crops; pasture DISCOUNTED'!KB25</f>
        <v>6.8465153631313127</v>
      </c>
      <c r="AT15" s="765">
        <f t="shared" si="8"/>
        <v>7.0605209632134098</v>
      </c>
      <c r="AU15" s="189">
        <f t="shared" si="3"/>
        <v>8.0233192763788743</v>
      </c>
      <c r="AV15" s="188">
        <f t="shared" si="3"/>
        <v>553.33236388819819</v>
      </c>
      <c r="AW15" s="189">
        <f t="shared" si="3"/>
        <v>89.147991959765278</v>
      </c>
      <c r="AX15" s="189">
        <f t="shared" si="9"/>
        <v>5.3936973290788899</v>
      </c>
      <c r="AY15" s="189">
        <f t="shared" si="4"/>
        <v>6.1292015103169195</v>
      </c>
      <c r="AZ15" s="188">
        <f t="shared" si="4"/>
        <v>422.70355243564973</v>
      </c>
      <c r="BA15" s="189">
        <f t="shared" si="4"/>
        <v>68.102239003521333</v>
      </c>
      <c r="BB15" s="250"/>
      <c r="BC15" s="250"/>
      <c r="BD15" s="250"/>
      <c r="BE15" s="250"/>
      <c r="BF15" s="250"/>
      <c r="BG15" s="250"/>
      <c r="BH15" s="250"/>
      <c r="BI15" s="250"/>
      <c r="BJ15" s="250"/>
      <c r="BK15" s="250"/>
      <c r="BL15" s="250"/>
      <c r="BM15" s="250"/>
      <c r="BN15" s="250"/>
      <c r="BO15" s="250"/>
      <c r="BP15" s="250"/>
      <c r="BQ15" s="250"/>
      <c r="BR15" s="250"/>
      <c r="BS15" s="250"/>
      <c r="BT15" s="250"/>
      <c r="BU15" s="250"/>
      <c r="BV15" s="250"/>
      <c r="BW15" s="250"/>
      <c r="BX15" s="250"/>
      <c r="BY15" s="250"/>
      <c r="BZ15" s="250"/>
    </row>
    <row r="16" spans="1:80" x14ac:dyDescent="0.25">
      <c r="A16" s="242"/>
      <c r="R16" s="222"/>
      <c r="S16" s="222"/>
      <c r="T16" s="223"/>
      <c r="U16" s="223"/>
      <c r="X16" s="223"/>
      <c r="Y16" s="223"/>
      <c r="Z16" s="760"/>
      <c r="AA16" s="223"/>
      <c r="AB16" s="223"/>
      <c r="AC16" s="223"/>
      <c r="AD16" s="223"/>
      <c r="AE16" s="223"/>
      <c r="AF16" s="223"/>
      <c r="AG16" s="223"/>
      <c r="AH16" s="223"/>
      <c r="AI16" s="223"/>
      <c r="AJ16" s="223"/>
      <c r="AK16" s="223"/>
      <c r="AL16" s="760"/>
      <c r="AM16" s="223"/>
      <c r="AN16" s="223"/>
      <c r="AO16" s="223"/>
      <c r="BB16" s="250"/>
      <c r="BC16" s="250"/>
      <c r="BD16" s="250"/>
      <c r="BE16" s="250"/>
      <c r="BF16" s="250"/>
      <c r="BG16" s="250"/>
      <c r="BH16" s="250"/>
      <c r="BI16" s="250"/>
      <c r="BJ16" s="250"/>
      <c r="BK16" s="250"/>
      <c r="BL16" s="250"/>
      <c r="BM16" s="250"/>
      <c r="BN16" s="250"/>
      <c r="BO16" s="250"/>
      <c r="BP16" s="250"/>
      <c r="BQ16" s="250"/>
      <c r="BR16" s="250"/>
      <c r="BS16" s="250"/>
      <c r="BT16" s="250"/>
      <c r="BU16" s="250"/>
      <c r="BV16" s="250"/>
      <c r="BW16" s="250"/>
      <c r="BX16" s="250"/>
      <c r="BY16" s="250"/>
      <c r="BZ16" s="250"/>
    </row>
    <row r="17" spans="1:78" ht="13.8" x14ac:dyDescent="0.3">
      <c r="A17" s="237" t="s">
        <v>75</v>
      </c>
      <c r="B17" s="771">
        <f t="shared" ref="B17:E21" si="10">(F17+J17)/2</f>
        <v>0.96743848497566565</v>
      </c>
      <c r="C17" s="327">
        <f t="shared" si="10"/>
        <v>3.5554957634341289</v>
      </c>
      <c r="D17" s="320">
        <f t="shared" si="10"/>
        <v>266.36513766156827</v>
      </c>
      <c r="E17" s="327"/>
      <c r="F17" s="319">
        <f>44/12*'Crops; pasture DISCOUNTED'!HF27</f>
        <v>1.0153283687074726</v>
      </c>
      <c r="G17" s="327">
        <f>44/12*'Crops; pasture DISCOUNTED'!HG27</f>
        <v>3.7314989733168491</v>
      </c>
      <c r="H17" s="320">
        <f>44/12*'Crops; pasture DISCOUNTED'!HH27</f>
        <v>279.55067417983088</v>
      </c>
      <c r="I17" s="320"/>
      <c r="J17" s="319">
        <f>44/12*'Crops; pasture DISCOUNTED'!HR27</f>
        <v>0.91954860124385873</v>
      </c>
      <c r="K17" s="327">
        <f>44/12*'Crops; pasture DISCOUNTED'!HS27</f>
        <v>3.3794925535514082</v>
      </c>
      <c r="L17" s="320">
        <f>44/12*'Crops; pasture DISCOUNTED'!HT27</f>
        <v>253.17960114330566</v>
      </c>
      <c r="M17" s="320"/>
      <c r="N17" s="771"/>
      <c r="O17" s="327">
        <f t="shared" ref="O17:Q21" si="11">(S17+W17)/2</f>
        <v>3.7899836931507531</v>
      </c>
      <c r="P17" s="320">
        <f t="shared" si="11"/>
        <v>284.19626134807345</v>
      </c>
      <c r="Q17" s="327"/>
      <c r="R17" s="327"/>
      <c r="S17" s="327">
        <f>44/12*'Crops; pasture DISCOUNTED'!HK27</f>
        <v>3.9869008188043287</v>
      </c>
      <c r="T17" s="320">
        <f>44/12*'Crops; pasture DISCOUNTED'!HL27</f>
        <v>298.96231720401062</v>
      </c>
      <c r="U17" s="320"/>
      <c r="V17" s="322"/>
      <c r="W17" s="322">
        <f>44/12*'Crops; pasture DISCOUNTED'!HW27</f>
        <v>3.5930665674971771</v>
      </c>
      <c r="X17" s="320">
        <f>44/12*'Crops; pasture DISCOUNTED'!HX27</f>
        <v>269.43020549213628</v>
      </c>
      <c r="Y17" s="320"/>
      <c r="Z17" s="771"/>
      <c r="AA17" s="327">
        <f t="shared" ref="AA17:AC21" si="12">(AE17+AI17)/2</f>
        <v>1.6211954711209478</v>
      </c>
      <c r="AB17" s="320">
        <f t="shared" si="12"/>
        <v>563.75516276341273</v>
      </c>
      <c r="AC17" s="327"/>
      <c r="AD17" s="327"/>
      <c r="AE17" s="327">
        <f>44/12*'Crops; pasture DISCOUNTED'!HO27</f>
        <v>1.6246789549867808</v>
      </c>
      <c r="AF17" s="320">
        <f>44/12*'Crops; pasture DISCOUNTED'!HP27</f>
        <v>120.78918273328195</v>
      </c>
      <c r="AG17" s="320"/>
      <c r="AH17" s="327"/>
      <c r="AI17" s="327">
        <f>44/12*'Crops; pasture DISCOUNTED'!IA27</f>
        <v>1.6177119872551147</v>
      </c>
      <c r="AJ17" s="320">
        <f>44/12*'Crops; pasture DISCOUNTED'!IB27</f>
        <v>1006.7211427935435</v>
      </c>
      <c r="AK17" s="320"/>
      <c r="AL17" s="758">
        <f>'Crops; pasture DISCOUNTED'!IQ27</f>
        <v>8.7063049658089336E-2</v>
      </c>
      <c r="AM17" s="320"/>
      <c r="AN17" s="320"/>
      <c r="AO17" s="320"/>
      <c r="AP17" s="766">
        <f>'Crops; pasture DISCOUNTED'!JY27</f>
        <v>6.3158360903075902E-2</v>
      </c>
      <c r="AQ17" s="324">
        <f>'Crops; pasture DISCOUNTED'!JZ27</f>
        <v>0.2495917993752641</v>
      </c>
      <c r="AR17" s="325">
        <f>'Crops; pasture DISCOUNTED'!KA27</f>
        <v>18.698532756955835</v>
      </c>
      <c r="AS17" s="322"/>
      <c r="AT17" s="764"/>
      <c r="AU17" s="322"/>
      <c r="AV17" s="322"/>
      <c r="AW17" s="322"/>
      <c r="AX17" s="322"/>
      <c r="AY17" s="322"/>
      <c r="AZ17" s="322"/>
      <c r="BA17" s="322"/>
      <c r="BB17" s="250"/>
      <c r="BC17" s="250"/>
      <c r="BD17" s="250"/>
      <c r="BE17" s="250"/>
      <c r="BF17" s="250"/>
      <c r="BG17" s="250"/>
      <c r="BH17" s="250"/>
      <c r="BI17" s="250"/>
      <c r="BJ17" s="250"/>
      <c r="BK17" s="250"/>
      <c r="BL17" s="250"/>
      <c r="BM17" s="250"/>
      <c r="BN17" s="250"/>
      <c r="BO17" s="250"/>
      <c r="BP17" s="250"/>
      <c r="BQ17" s="250"/>
      <c r="BR17" s="250"/>
      <c r="BS17" s="250"/>
      <c r="BT17" s="250"/>
      <c r="BU17" s="250"/>
      <c r="BV17" s="250"/>
      <c r="BW17" s="250"/>
      <c r="BX17" s="250"/>
      <c r="BY17" s="250"/>
      <c r="BZ17" s="250"/>
    </row>
    <row r="18" spans="1:78" x14ac:dyDescent="0.25">
      <c r="A18" s="243" t="s">
        <v>68</v>
      </c>
      <c r="B18" s="770">
        <f t="shared" si="10"/>
        <v>1.4176828397374797</v>
      </c>
      <c r="C18" s="220">
        <f t="shared" si="10"/>
        <v>4.0505223992499424</v>
      </c>
      <c r="D18" s="297">
        <f t="shared" si="10"/>
        <v>316.44706244140173</v>
      </c>
      <c r="E18" s="220">
        <f t="shared" si="10"/>
        <v>135.01741330833141</v>
      </c>
      <c r="F18" s="220">
        <f>44/12*'Crops; pasture DISCOUNTED'!HF28</f>
        <v>1.5029203487151832</v>
      </c>
      <c r="G18" s="220">
        <f>44/12*'Crops; pasture DISCOUNTED'!HG28</f>
        <v>4.2940581391862382</v>
      </c>
      <c r="H18" s="221">
        <f>44/12*'Crops; pasture DISCOUNTED'!HH28</f>
        <v>335.47329212392481</v>
      </c>
      <c r="I18" s="221">
        <f>44/12*'Crops; pasture DISCOUNTED'!HI28</f>
        <v>143.13527130620793</v>
      </c>
      <c r="J18" s="220">
        <f>44/12*'Crops; pasture DISCOUNTED'!HR28</f>
        <v>1.3324453307597763</v>
      </c>
      <c r="K18" s="220">
        <f>44/12*'Crops; pasture DISCOUNTED'!HS28</f>
        <v>3.8069866593136474</v>
      </c>
      <c r="L18" s="221">
        <f>44/12*'Crops; pasture DISCOUNTED'!HT28</f>
        <v>297.4208327588787</v>
      </c>
      <c r="M18" s="221">
        <f>44/12*'Crops; pasture DISCOUNTED'!HU28</f>
        <v>126.89955531045493</v>
      </c>
      <c r="N18" s="770">
        <f t="shared" ref="N18:N21" si="13">(R18+V18)/2</f>
        <v>1.4301870193487449</v>
      </c>
      <c r="O18" s="220">
        <f t="shared" si="11"/>
        <v>4.0862486267107005</v>
      </c>
      <c r="P18" s="249">
        <f t="shared" si="11"/>
        <v>319.23817396177344</v>
      </c>
      <c r="Q18" s="220">
        <f t="shared" si="11"/>
        <v>136.20828755702337</v>
      </c>
      <c r="R18" s="220">
        <f>44/12*'Crops; pasture DISCOUNTED'!HJ28</f>
        <v>1.5153787013491296</v>
      </c>
      <c r="S18" s="220">
        <f>44/12*'Crops; pasture DISCOUNTED'!HK28</f>
        <v>4.3296534324260847</v>
      </c>
      <c r="T18" s="296">
        <f>44/12*'Crops; pasture DISCOUNTED'!HL28</f>
        <v>338.25417440828789</v>
      </c>
      <c r="U18" s="296">
        <f>44/12*'Crops; pasture DISCOUNTED'!HM28</f>
        <v>144.3217810808695</v>
      </c>
      <c r="V18" s="192">
        <f>44/12*'Crops; pasture DISCOUNTED'!HV28</f>
        <v>1.3449953373483605</v>
      </c>
      <c r="W18" s="192">
        <f>44/12*'Crops; pasture DISCOUNTED'!HW28</f>
        <v>3.842843820995316</v>
      </c>
      <c r="X18" s="296">
        <f>44/12*'Crops; pasture DISCOUNTED'!HX28</f>
        <v>300.22217351525904</v>
      </c>
      <c r="Y18" s="221">
        <f>44/12*'Crops; pasture DISCOUNTED'!HY28</f>
        <v>128.09479403317721</v>
      </c>
      <c r="Z18" s="770">
        <f t="shared" ref="Z18:Z21" si="14">(AD18+AH18)/2</f>
        <v>3.0486286786850387</v>
      </c>
      <c r="AA18" s="220">
        <f t="shared" si="12"/>
        <v>2.284058930356939</v>
      </c>
      <c r="AB18" s="249">
        <f t="shared" si="12"/>
        <v>680.49747292076756</v>
      </c>
      <c r="AC18" s="220">
        <f t="shared" si="12"/>
        <v>290.34558844619414</v>
      </c>
      <c r="AD18" s="220">
        <f>44/12*'Crops; pasture DISCOUNTED'!HN28</f>
        <v>0.88692402403674508</v>
      </c>
      <c r="AE18" s="220">
        <f>44/12*'Crops; pasture DISCOUNTED'!HO28</f>
        <v>2.5340686401049859</v>
      </c>
      <c r="AF18" s="221">
        <f>44/12*'Crops; pasture DISCOUNTED'!HP28</f>
        <v>197.97411250820201</v>
      </c>
      <c r="AG18" s="221">
        <f>44/12*'Crops; pasture DISCOUNTED'!HQ28</f>
        <v>84.468954670166198</v>
      </c>
      <c r="AH18" s="220">
        <f>44/12*'Crops; pasture DISCOUNTED'!HZ28</f>
        <v>5.2103333333333328</v>
      </c>
      <c r="AI18" s="220">
        <f>44/12*'Crops; pasture DISCOUNTED'!IA28</f>
        <v>2.0340492206088925</v>
      </c>
      <c r="AJ18" s="221">
        <f>44/12*'Crops; pasture DISCOUNTED'!IB28</f>
        <v>1163.020833333333</v>
      </c>
      <c r="AK18" s="221">
        <f>44/12*'Crops; pasture DISCOUNTED'!IC28</f>
        <v>496.22222222222211</v>
      </c>
      <c r="AL18" s="759">
        <f>'Crops; pasture DISCOUNTED'!IQ28</f>
        <v>0.16283797717605955</v>
      </c>
      <c r="AM18" s="407">
        <f>'Crops; pasture DISCOUNTED'!IR28</f>
        <v>0.4652513633601702</v>
      </c>
      <c r="AN18" s="249">
        <f>'Crops; pasture DISCOUNTED'!IS28</f>
        <v>36.347762762513298</v>
      </c>
      <c r="AO18" s="220">
        <f>'Crops; pasture DISCOUNTED'!IT28</f>
        <v>15.508378778672341</v>
      </c>
      <c r="AP18" s="761">
        <f>'Crops; pasture DISCOUNTED'!JY28</f>
        <v>4.0830815499999999E-2</v>
      </c>
      <c r="AQ18" s="194">
        <f>'Crops; pasture DISCOUNTED'!JZ28</f>
        <v>0.11665947285714287</v>
      </c>
      <c r="AR18" s="248">
        <f>'Crops; pasture DISCOUNTED'!KA28</f>
        <v>9.114021316964287</v>
      </c>
      <c r="AS18" s="189">
        <f>'Crops; pasture DISCOUNTED'!KB28</f>
        <v>3.8886490952380957</v>
      </c>
      <c r="AT18" s="765">
        <f t="shared" ref="AT18:AW21" si="15">B18+AL18+AP18</f>
        <v>1.6213516324135391</v>
      </c>
      <c r="AU18" s="189">
        <f t="shared" si="15"/>
        <v>4.6324332354672553</v>
      </c>
      <c r="AV18" s="188">
        <f t="shared" si="15"/>
        <v>361.90884652087931</v>
      </c>
      <c r="AW18" s="189">
        <f t="shared" si="15"/>
        <v>154.41444118224186</v>
      </c>
      <c r="AX18" s="189">
        <f t="shared" ref="AX18:BA21" si="16">F18+AL18+AP18</f>
        <v>1.7065891413912426</v>
      </c>
      <c r="AY18" s="189">
        <f t="shared" si="16"/>
        <v>4.8759689754035511</v>
      </c>
      <c r="AZ18" s="188">
        <f t="shared" si="16"/>
        <v>380.93507620340239</v>
      </c>
      <c r="BA18" s="189">
        <f t="shared" si="16"/>
        <v>162.53229918011837</v>
      </c>
      <c r="BB18" s="250"/>
      <c r="BC18" s="250"/>
      <c r="BD18" s="250"/>
      <c r="BE18" s="250"/>
      <c r="BF18" s="250"/>
      <c r="BG18" s="250"/>
      <c r="BH18" s="250"/>
      <c r="BI18" s="250"/>
      <c r="BJ18" s="250"/>
      <c r="BK18" s="250"/>
      <c r="BL18" s="250"/>
      <c r="BM18" s="250"/>
      <c r="BN18" s="250"/>
      <c r="BO18" s="250"/>
      <c r="BP18" s="250"/>
      <c r="BQ18" s="250"/>
      <c r="BR18" s="250"/>
      <c r="BS18" s="250"/>
      <c r="BT18" s="250"/>
      <c r="BU18" s="250"/>
      <c r="BV18" s="250"/>
      <c r="BW18" s="250"/>
      <c r="BX18" s="250"/>
      <c r="BY18" s="250"/>
      <c r="BZ18" s="250"/>
    </row>
    <row r="19" spans="1:78" x14ac:dyDescent="0.25">
      <c r="A19" s="243" t="s">
        <v>69</v>
      </c>
      <c r="B19" s="770">
        <f t="shared" si="10"/>
        <v>0.59433355532496024</v>
      </c>
      <c r="C19" s="220">
        <f t="shared" si="10"/>
        <v>2.8301597872617155</v>
      </c>
      <c r="D19" s="297">
        <f t="shared" si="10"/>
        <v>209.64146572309005</v>
      </c>
      <c r="E19" s="220">
        <f t="shared" si="10"/>
        <v>31.446219858463508</v>
      </c>
      <c r="F19" s="220">
        <f>44/12*'Crops; pasture DISCOUNTED'!HF29</f>
        <v>0.59046648454732731</v>
      </c>
      <c r="G19" s="220">
        <f>44/12*'Crops; pasture DISCOUNTED'!HG29</f>
        <v>2.8117451645110823</v>
      </c>
      <c r="H19" s="221">
        <f>44/12*'Crops; pasture DISCOUNTED'!HH29</f>
        <v>208.2774195934135</v>
      </c>
      <c r="I19" s="221">
        <f>44/12*'Crops; pasture DISCOUNTED'!HI29</f>
        <v>31.241612939012029</v>
      </c>
      <c r="J19" s="220">
        <f>44/12*'Crops; pasture DISCOUNTED'!HR29</f>
        <v>0.59820062610259328</v>
      </c>
      <c r="K19" s="220">
        <f>44/12*'Crops; pasture DISCOUNTED'!HS29</f>
        <v>2.8485744100123487</v>
      </c>
      <c r="L19" s="221">
        <f>44/12*'Crops; pasture DISCOUNTED'!HT29</f>
        <v>211.00551185276657</v>
      </c>
      <c r="M19" s="221">
        <f>44/12*'Crops; pasture DISCOUNTED'!HU29</f>
        <v>31.650826777914983</v>
      </c>
      <c r="N19" s="770">
        <f t="shared" si="13"/>
        <v>0.69297725842089619</v>
      </c>
      <c r="O19" s="220">
        <f t="shared" si="11"/>
        <v>3.2998917067661724</v>
      </c>
      <c r="P19" s="249">
        <f t="shared" si="11"/>
        <v>244.43642272342015</v>
      </c>
      <c r="Q19" s="220">
        <f t="shared" si="11"/>
        <v>36.66546340851302</v>
      </c>
      <c r="R19" s="220">
        <f>44/12*'Crops; pasture DISCOUNTED'!HJ29</f>
        <v>0.69090886068334278</v>
      </c>
      <c r="S19" s="220">
        <f>44/12*'Crops; pasture DISCOUNTED'!HK29</f>
        <v>3.290042193730204</v>
      </c>
      <c r="T19" s="296">
        <f>44/12*'Crops; pasture DISCOUNTED'!HL29</f>
        <v>243.7068291652003</v>
      </c>
      <c r="U19" s="296">
        <f>44/12*'Crops; pasture DISCOUNTED'!HM29</f>
        <v>36.556024374780044</v>
      </c>
      <c r="V19" s="192">
        <f>44/12*'Crops; pasture DISCOUNTED'!HV29</f>
        <v>0.69504565615844949</v>
      </c>
      <c r="W19" s="192">
        <f>44/12*'Crops; pasture DISCOUNTED'!HW29</f>
        <v>3.3097412198021403</v>
      </c>
      <c r="X19" s="296">
        <f>44/12*'Crops; pasture DISCOUNTED'!HX29</f>
        <v>245.16601628164003</v>
      </c>
      <c r="Y19" s="221">
        <f>44/12*'Crops; pasture DISCOUNTED'!HY29</f>
        <v>36.774902442246002</v>
      </c>
      <c r="Z19" s="770">
        <f t="shared" si="14"/>
        <v>1.3672926799554856</v>
      </c>
      <c r="AA19" s="220">
        <f t="shared" si="12"/>
        <v>1.5142441262385913</v>
      </c>
      <c r="AB19" s="249">
        <f t="shared" si="12"/>
        <v>482.29018693315186</v>
      </c>
      <c r="AC19" s="220">
        <f t="shared" si="12"/>
        <v>72.343528039972767</v>
      </c>
      <c r="AD19" s="220">
        <f>44/12*'Crops; pasture DISCOUNTED'!HN29</f>
        <v>0.30908535991097119</v>
      </c>
      <c r="AE19" s="220">
        <f>44/12*'Crops; pasture DISCOUNTED'!HO29</f>
        <v>1.4718350471951009</v>
      </c>
      <c r="AF19" s="221">
        <f>44/12*'Crops; pasture DISCOUNTED'!HP29</f>
        <v>109.0248183107482</v>
      </c>
      <c r="AG19" s="221">
        <f>44/12*'Crops; pasture DISCOUNTED'!HQ29</f>
        <v>16.353722746612235</v>
      </c>
      <c r="AH19" s="220">
        <f>44/12*'Crops; pasture DISCOUNTED'!HZ29</f>
        <v>2.4255</v>
      </c>
      <c r="AI19" s="220">
        <f>44/12*'Crops; pasture DISCOUNTED'!IA29</f>
        <v>1.5566532052820818</v>
      </c>
      <c r="AJ19" s="221">
        <f>44/12*'Crops; pasture DISCOUNTED'!IB29</f>
        <v>855.55555555555554</v>
      </c>
      <c r="AK19" s="221">
        <f>44/12*'Crops; pasture DISCOUNTED'!IC29</f>
        <v>128.33333333333331</v>
      </c>
      <c r="AL19" s="759">
        <f>'Crops; pasture DISCOUNTED'!IQ29</f>
        <v>3.4118827597537316E-2</v>
      </c>
      <c r="AM19" s="407">
        <f>'Crops; pasture DISCOUNTED'!IR29</f>
        <v>0.16247060760732057</v>
      </c>
      <c r="AN19" s="249">
        <f>'Crops; pasture DISCOUNTED'!IS29</f>
        <v>12.034859822764487</v>
      </c>
      <c r="AO19" s="407">
        <f>'Crops; pasture DISCOUNTED'!IT29</f>
        <v>1.8052289734146731</v>
      </c>
      <c r="AP19" s="761">
        <f>'Crops; pasture DISCOUNTED'!JY29</f>
        <v>8.9055312920000004E-2</v>
      </c>
      <c r="AQ19" s="194">
        <f>'Crops; pasture DISCOUNTED'!JZ29</f>
        <v>0.42407291866666669</v>
      </c>
      <c r="AR19" s="248">
        <f>'Crops; pasture DISCOUNTED'!KA29</f>
        <v>31.412808790123457</v>
      </c>
      <c r="AS19" s="189">
        <f>'Crops; pasture DISCOUNTED'!KB29</f>
        <v>4.7119213185185194</v>
      </c>
      <c r="AT19" s="765">
        <f t="shared" si="15"/>
        <v>0.71750769584249752</v>
      </c>
      <c r="AU19" s="189">
        <f t="shared" si="15"/>
        <v>3.4167033135357028</v>
      </c>
      <c r="AV19" s="188">
        <f t="shared" si="15"/>
        <v>253.08913433597797</v>
      </c>
      <c r="AW19" s="189">
        <f t="shared" si="15"/>
        <v>37.963370150396699</v>
      </c>
      <c r="AX19" s="189">
        <f t="shared" si="16"/>
        <v>0.71364062506486459</v>
      </c>
      <c r="AY19" s="189">
        <f t="shared" si="16"/>
        <v>3.3982886907850696</v>
      </c>
      <c r="AZ19" s="188">
        <f t="shared" si="16"/>
        <v>251.72508820630142</v>
      </c>
      <c r="BA19" s="189">
        <f t="shared" si="16"/>
        <v>37.75876323094522</v>
      </c>
      <c r="BB19" s="250"/>
      <c r="BC19" s="250"/>
      <c r="BD19" s="250"/>
      <c r="BE19" s="250"/>
      <c r="BF19" s="250"/>
      <c r="BG19" s="250"/>
      <c r="BH19" s="250"/>
      <c r="BI19" s="250"/>
      <c r="BJ19" s="250"/>
      <c r="BK19" s="250"/>
      <c r="BL19" s="250"/>
      <c r="BM19" s="250"/>
      <c r="BN19" s="250"/>
      <c r="BO19" s="250"/>
      <c r="BP19" s="250"/>
      <c r="BQ19" s="250"/>
      <c r="BR19" s="250"/>
      <c r="BS19" s="250"/>
      <c r="BT19" s="250"/>
      <c r="BU19" s="250"/>
      <c r="BV19" s="250"/>
      <c r="BW19" s="250"/>
      <c r="BX19" s="250"/>
      <c r="BY19" s="250"/>
      <c r="BZ19" s="250"/>
    </row>
    <row r="20" spans="1:78" x14ac:dyDescent="0.25">
      <c r="A20" s="243" t="s">
        <v>70</v>
      </c>
      <c r="B20" s="770">
        <f t="shared" si="10"/>
        <v>1.042858448093686</v>
      </c>
      <c r="C20" s="220">
        <f t="shared" si="10"/>
        <v>3.5960636141161584</v>
      </c>
      <c r="D20" s="297">
        <f t="shared" si="10"/>
        <v>266.37508252712286</v>
      </c>
      <c r="E20" s="220">
        <f t="shared" si="10"/>
        <v>71.921272282323159</v>
      </c>
      <c r="F20" s="220">
        <f>44/12*'Crops; pasture DISCOUNTED'!HF30</f>
        <v>1.1571708850111126</v>
      </c>
      <c r="G20" s="220">
        <f>44/12*'Crops; pasture DISCOUNTED'!HG30</f>
        <v>3.9902444310728025</v>
      </c>
      <c r="H20" s="221">
        <f>44/12*'Crops; pasture DISCOUNTED'!HH30</f>
        <v>295.57366156094832</v>
      </c>
      <c r="I20" s="221">
        <f>44/12*'Crops; pasture DISCOUNTED'!HI30</f>
        <v>79.804888621456044</v>
      </c>
      <c r="J20" s="220">
        <f>44/12*'Crops; pasture DISCOUNTED'!HR30</f>
        <v>0.92854601117625912</v>
      </c>
      <c r="K20" s="220">
        <f>44/12*'Crops; pasture DISCOUNTED'!HS30</f>
        <v>3.2018827971595143</v>
      </c>
      <c r="L20" s="221">
        <f>44/12*'Crops; pasture DISCOUNTED'!HT30</f>
        <v>237.17650349329739</v>
      </c>
      <c r="M20" s="221">
        <f>44/12*'Crops; pasture DISCOUNTED'!HU30</f>
        <v>64.037655943190273</v>
      </c>
      <c r="N20" s="770">
        <f t="shared" si="13"/>
        <v>1.0596650902805944</v>
      </c>
      <c r="O20" s="220">
        <f t="shared" si="11"/>
        <v>3.6540175526917049</v>
      </c>
      <c r="P20" s="249">
        <f t="shared" si="11"/>
        <v>270.66796686605221</v>
      </c>
      <c r="Q20" s="220">
        <f t="shared" si="11"/>
        <v>73.080351053834093</v>
      </c>
      <c r="R20" s="220">
        <f>44/12*'Crops; pasture DISCOUNTED'!HJ30</f>
        <v>1.1749605693567255</v>
      </c>
      <c r="S20" s="220">
        <f>44/12*'Crops; pasture DISCOUNTED'!HK30</f>
        <v>4.0515881701956058</v>
      </c>
      <c r="T20" s="296">
        <f>44/12*'Crops; pasture DISCOUNTED'!HL30</f>
        <v>300.1176422367115</v>
      </c>
      <c r="U20" s="296">
        <f>44/12*'Crops; pasture DISCOUNTED'!HM30</f>
        <v>81.031763403912109</v>
      </c>
      <c r="V20" s="192">
        <f>44/12*'Crops; pasture DISCOUNTED'!HV30</f>
        <v>0.94436961120446317</v>
      </c>
      <c r="W20" s="192">
        <f>44/12*'Crops; pasture DISCOUNTED'!HW30</f>
        <v>3.256446935187804</v>
      </c>
      <c r="X20" s="296">
        <f>44/12*'Crops; pasture DISCOUNTED'!HX30</f>
        <v>241.21829149539289</v>
      </c>
      <c r="Y20" s="221">
        <f>44/12*'Crops; pasture DISCOUNTED'!HY30</f>
        <v>65.128938703756077</v>
      </c>
      <c r="Z20" s="770">
        <f t="shared" si="14"/>
        <v>2.5476647537189696</v>
      </c>
      <c r="AA20" s="220">
        <f t="shared" si="12"/>
        <v>2.2610099424475747</v>
      </c>
      <c r="AB20" s="249">
        <f t="shared" si="12"/>
        <v>650.74450925133328</v>
      </c>
      <c r="AC20" s="220">
        <f t="shared" si="12"/>
        <v>175.70101749785999</v>
      </c>
      <c r="AD20" s="220">
        <f>44/12*'Crops; pasture DISCOUNTED'!HN30</f>
        <v>0.74735950743794033</v>
      </c>
      <c r="AE20" s="220">
        <f>44/12*'Crops; pasture DISCOUNTED'!HO30</f>
        <v>2.5771017497860012</v>
      </c>
      <c r="AF20" s="221">
        <f>44/12*'Crops; pasture DISCOUNTED'!HP30</f>
        <v>190.89642591007416</v>
      </c>
      <c r="AG20" s="221">
        <f>44/12*'Crops; pasture DISCOUNTED'!HQ30</f>
        <v>51.54203499572003</v>
      </c>
      <c r="AH20" s="220">
        <f>44/12*'Crops; pasture DISCOUNTED'!HZ30</f>
        <v>4.3479699999999992</v>
      </c>
      <c r="AI20" s="220">
        <f>44/12*'Crops; pasture DISCOUNTED'!IA30</f>
        <v>1.9449181351091485</v>
      </c>
      <c r="AJ20" s="221">
        <f>44/12*'Crops; pasture DISCOUNTED'!IB30</f>
        <v>1110.5925925925924</v>
      </c>
      <c r="AK20" s="221">
        <f>44/12*'Crops; pasture DISCOUNTED'!IC30</f>
        <v>299.85999999999996</v>
      </c>
      <c r="AL20" s="759">
        <f>'Crops; pasture DISCOUNTED'!IQ30</f>
        <v>6.3634493173849255E-2</v>
      </c>
      <c r="AM20" s="407">
        <f>'Crops; pasture DISCOUNTED'!IR30</f>
        <v>0.21942928680637677</v>
      </c>
      <c r="AN20" s="249">
        <f>'Crops; pasture DISCOUNTED'!IS30</f>
        <v>16.2540212449168</v>
      </c>
      <c r="AO20" s="407">
        <f>'Crops; pasture DISCOUNTED'!IT30</f>
        <v>4.3885857361275349</v>
      </c>
      <c r="AP20" s="761">
        <f>'Crops; pasture DISCOUNTED'!JY30</f>
        <v>7.8177030500001979E-2</v>
      </c>
      <c r="AQ20" s="194">
        <f>'Crops; pasture DISCOUNTED'!JZ30</f>
        <v>0.26957596724138616</v>
      </c>
      <c r="AR20" s="248">
        <f>'Crops; pasture DISCOUNTED'!KA30</f>
        <v>19.968590166028601</v>
      </c>
      <c r="AS20" s="189">
        <f>'Crops; pasture DISCOUNTED'!KB30</f>
        <v>5.3915193448277225</v>
      </c>
      <c r="AT20" s="765">
        <f t="shared" si="15"/>
        <v>1.1846699717675373</v>
      </c>
      <c r="AU20" s="189">
        <f t="shared" si="15"/>
        <v>4.0850688681639209</v>
      </c>
      <c r="AV20" s="188">
        <f t="shared" si="15"/>
        <v>302.59769393806829</v>
      </c>
      <c r="AW20" s="189">
        <f t="shared" si="15"/>
        <v>81.701377363278425</v>
      </c>
      <c r="AX20" s="189">
        <f t="shared" si="16"/>
        <v>1.298982408684964</v>
      </c>
      <c r="AY20" s="189">
        <f t="shared" si="16"/>
        <v>4.4792496851205659</v>
      </c>
      <c r="AZ20" s="188">
        <f t="shared" si="16"/>
        <v>331.79627297189376</v>
      </c>
      <c r="BA20" s="189">
        <f t="shared" si="16"/>
        <v>89.58499370241131</v>
      </c>
      <c r="BB20" s="250"/>
      <c r="BC20" s="250"/>
      <c r="BD20" s="250"/>
      <c r="BE20" s="250"/>
      <c r="BF20" s="250"/>
      <c r="BG20" s="250"/>
      <c r="BH20" s="250"/>
      <c r="BI20" s="250"/>
      <c r="BJ20" s="250"/>
      <c r="BK20" s="250"/>
      <c r="BL20" s="250"/>
      <c r="BM20" s="250"/>
      <c r="BN20" s="250"/>
      <c r="BO20" s="250"/>
      <c r="BP20" s="250"/>
      <c r="BQ20" s="250"/>
      <c r="BR20" s="250"/>
      <c r="BS20" s="250"/>
      <c r="BT20" s="250"/>
      <c r="BU20" s="250"/>
      <c r="BV20" s="250"/>
      <c r="BW20" s="250"/>
      <c r="BX20" s="250"/>
      <c r="BY20" s="250"/>
      <c r="BZ20" s="250"/>
    </row>
    <row r="21" spans="1:78" x14ac:dyDescent="0.25">
      <c r="A21" s="243" t="s">
        <v>311</v>
      </c>
      <c r="B21" s="770">
        <f t="shared" si="10"/>
        <v>1.2873204955093016</v>
      </c>
      <c r="C21" s="220">
        <f t="shared" si="10"/>
        <v>4.2910683183643386</v>
      </c>
      <c r="D21" s="297">
        <f t="shared" si="10"/>
        <v>286.07122122428927</v>
      </c>
      <c r="E21" s="220">
        <f t="shared" si="10"/>
        <v>85.821366367286771</v>
      </c>
      <c r="F21" s="220">
        <f>44/12*'Crops; pasture DISCOUNTED'!HF31</f>
        <v>1.3504493113120084</v>
      </c>
      <c r="G21" s="220">
        <f>44/12*'Crops; pasture DISCOUNTED'!HG31</f>
        <v>4.5014977043733611</v>
      </c>
      <c r="H21" s="221">
        <f>44/12*'Crops; pasture DISCOUNTED'!HH31</f>
        <v>300.09984695822408</v>
      </c>
      <c r="I21" s="221">
        <f>44/12*'Crops; pasture DISCOUNTED'!HI31</f>
        <v>90.029954087467218</v>
      </c>
      <c r="J21" s="220">
        <f>44/12*'Crops; pasture DISCOUNTED'!HR31</f>
        <v>1.2241916797065948</v>
      </c>
      <c r="K21" s="220">
        <f>44/12*'Crops; pasture DISCOUNTED'!HS31</f>
        <v>4.0806389323553161</v>
      </c>
      <c r="L21" s="221">
        <f>44/12*'Crops; pasture DISCOUNTED'!HT31</f>
        <v>272.04259549035442</v>
      </c>
      <c r="M21" s="221">
        <f>44/12*'Crops; pasture DISCOUNTED'!HU31</f>
        <v>81.612778647106325</v>
      </c>
      <c r="N21" s="770">
        <f t="shared" si="13"/>
        <v>1.2873204955093016</v>
      </c>
      <c r="O21" s="220">
        <f t="shared" si="11"/>
        <v>4.2910683183643386</v>
      </c>
      <c r="P21" s="249">
        <f t="shared" si="11"/>
        <v>286.07122122428927</v>
      </c>
      <c r="Q21" s="220">
        <f t="shared" si="11"/>
        <v>85.821366367286771</v>
      </c>
      <c r="R21" s="220">
        <f>44/12*'Crops; pasture DISCOUNTED'!HJ31</f>
        <v>1.3504493113120084</v>
      </c>
      <c r="S21" s="220">
        <f>44/12*'Crops; pasture DISCOUNTED'!HK31</f>
        <v>4.5014977043733611</v>
      </c>
      <c r="T21" s="296">
        <f>44/12*'Crops; pasture DISCOUNTED'!HL31</f>
        <v>300.09984695822408</v>
      </c>
      <c r="U21" s="296">
        <f>44/12*'Crops; pasture DISCOUNTED'!HM31</f>
        <v>90.029954087467218</v>
      </c>
      <c r="V21" s="192">
        <f>44/12*'Crops; pasture DISCOUNTED'!HV31</f>
        <v>1.2241916797065948</v>
      </c>
      <c r="W21" s="192">
        <f>44/12*'Crops; pasture DISCOUNTED'!HW31</f>
        <v>4.0806389323553161</v>
      </c>
      <c r="X21" s="296">
        <f>44/12*'Crops; pasture DISCOUNTED'!HX31</f>
        <v>272.04259549035442</v>
      </c>
      <c r="Y21" s="221">
        <f>44/12*'Crops; pasture DISCOUNTED'!HY31</f>
        <v>81.612778647106325</v>
      </c>
      <c r="Z21" s="770">
        <f t="shared" si="14"/>
        <v>2.7063975676162237</v>
      </c>
      <c r="AA21" s="220">
        <f t="shared" si="12"/>
        <v>4.7120856027607232</v>
      </c>
      <c r="AB21" s="249">
        <f t="shared" si="12"/>
        <v>601.42168169249419</v>
      </c>
      <c r="AC21" s="220">
        <f t="shared" si="12"/>
        <v>180.42650450774823</v>
      </c>
      <c r="AD21" s="220">
        <f>44/12*'Crops; pasture DISCOUNTED'!HN31</f>
        <v>1.6507951352324477</v>
      </c>
      <c r="AE21" s="220">
        <f>44/12*'Crops; pasture DISCOUNTED'!HO31</f>
        <v>5.5026504507748264</v>
      </c>
      <c r="AF21" s="221">
        <f>44/12*'Crops; pasture DISCOUNTED'!HP31</f>
        <v>366.84336338498844</v>
      </c>
      <c r="AG21" s="221">
        <f>44/12*'Crops; pasture DISCOUNTED'!HQ31</f>
        <v>110.05300901549653</v>
      </c>
      <c r="AH21" s="220">
        <f>44/12*'Crops; pasture DISCOUNTED'!HZ31</f>
        <v>3.762</v>
      </c>
      <c r="AI21" s="220">
        <f>44/12*'Crops; pasture DISCOUNTED'!IA31</f>
        <v>3.92152075474662</v>
      </c>
      <c r="AJ21" s="221">
        <f>44/12*'Crops; pasture DISCOUNTED'!IB31</f>
        <v>836</v>
      </c>
      <c r="AK21" s="221">
        <f>44/12*'Crops; pasture DISCOUNTED'!IC31</f>
        <v>250.79999999999995</v>
      </c>
      <c r="AL21" s="759">
        <f>'Crops; pasture DISCOUNTED'!IQ31</f>
        <v>0.16463115789473684</v>
      </c>
      <c r="AM21" s="407">
        <f>'Crops; pasture DISCOUNTED'!IR31</f>
        <v>0.54877052631578949</v>
      </c>
      <c r="AN21" s="249">
        <f>'Crops; pasture DISCOUNTED'!IS31</f>
        <v>36.584701754385968</v>
      </c>
      <c r="AO21" s="220">
        <f>'Crops; pasture DISCOUNTED'!IT31</f>
        <v>10.975410526315789</v>
      </c>
      <c r="AP21" s="761">
        <f>'Crops; pasture DISCOUNTED'!JY31</f>
        <v>2.14113931000194E-2</v>
      </c>
      <c r="AQ21" s="194">
        <f>'Crops; pasture DISCOUNTED'!JZ31</f>
        <v>7.1371310333397997E-2</v>
      </c>
      <c r="AR21" s="248">
        <f>'Crops; pasture DISCOUNTED'!KA31</f>
        <v>4.7580873555598666</v>
      </c>
      <c r="AS21" s="189">
        <f>'Crops; pasture DISCOUNTED'!KB31</f>
        <v>1.4274262066679599</v>
      </c>
      <c r="AT21" s="765">
        <f t="shared" si="15"/>
        <v>1.4733630465040579</v>
      </c>
      <c r="AU21" s="189">
        <f t="shared" si="15"/>
        <v>4.9112101550135261</v>
      </c>
      <c r="AV21" s="188">
        <f t="shared" si="15"/>
        <v>327.41401033423512</v>
      </c>
      <c r="AW21" s="189">
        <f t="shared" si="15"/>
        <v>98.224203100270515</v>
      </c>
      <c r="AX21" s="189">
        <f t="shared" si="16"/>
        <v>1.5364918623067647</v>
      </c>
      <c r="AY21" s="189">
        <f t="shared" si="16"/>
        <v>5.1216395410225486</v>
      </c>
      <c r="AZ21" s="188">
        <f t="shared" si="16"/>
        <v>341.44263606816992</v>
      </c>
      <c r="BA21" s="189">
        <f t="shared" si="16"/>
        <v>102.43279082045096</v>
      </c>
      <c r="BB21" s="250"/>
      <c r="BC21" s="250"/>
      <c r="BD21" s="250"/>
      <c r="BE21" s="250"/>
      <c r="BF21" s="250"/>
      <c r="BG21" s="250"/>
      <c r="BH21" s="250"/>
      <c r="BI21" s="250"/>
      <c r="BJ21" s="250"/>
      <c r="BK21" s="250"/>
      <c r="BL21" s="250"/>
      <c r="BM21" s="250"/>
      <c r="BN21" s="250"/>
      <c r="BO21" s="250"/>
      <c r="BP21" s="250"/>
      <c r="BQ21" s="250"/>
      <c r="BR21" s="250"/>
      <c r="BS21" s="250"/>
      <c r="BT21" s="250"/>
      <c r="BU21" s="250"/>
      <c r="BV21" s="250"/>
      <c r="BW21" s="250"/>
      <c r="BX21" s="250"/>
      <c r="BY21" s="250"/>
      <c r="BZ21" s="250"/>
    </row>
    <row r="22" spans="1:78" x14ac:dyDescent="0.25">
      <c r="A22" s="242"/>
      <c r="R22" s="222"/>
      <c r="S22" s="222"/>
      <c r="T22" s="223"/>
      <c r="U22" s="223"/>
      <c r="X22" s="223"/>
      <c r="Y22" s="223"/>
      <c r="Z22" s="760"/>
      <c r="AA22" s="223"/>
      <c r="AB22" s="223"/>
      <c r="AC22" s="223"/>
      <c r="AD22" s="223"/>
      <c r="AE22" s="223"/>
      <c r="AF22" s="223"/>
      <c r="AG22" s="223"/>
      <c r="AH22" s="223"/>
      <c r="AI22" s="223"/>
      <c r="AJ22" s="223"/>
      <c r="AK22" s="223"/>
      <c r="AL22" s="760"/>
      <c r="AM22" s="223"/>
      <c r="AN22" s="223"/>
      <c r="AO22" s="223"/>
      <c r="BB22" s="250"/>
      <c r="BC22" s="250"/>
      <c r="BD22" s="250"/>
      <c r="BE22" s="250"/>
      <c r="BF22" s="250"/>
      <c r="BG22" s="250"/>
      <c r="BH22" s="250"/>
      <c r="BI22" s="250"/>
      <c r="BJ22" s="250"/>
      <c r="BK22" s="250"/>
      <c r="BL22" s="250"/>
      <c r="BM22" s="250"/>
      <c r="BN22" s="250"/>
      <c r="BO22" s="250"/>
      <c r="BP22" s="250"/>
      <c r="BQ22" s="250"/>
      <c r="BR22" s="250"/>
      <c r="BS22" s="250"/>
      <c r="BT22" s="250"/>
      <c r="BU22" s="250"/>
      <c r="BV22" s="250"/>
      <c r="BW22" s="250"/>
      <c r="BX22" s="250"/>
      <c r="BY22" s="250"/>
      <c r="BZ22" s="250"/>
    </row>
    <row r="23" spans="1:78" ht="13.8" x14ac:dyDescent="0.3">
      <c r="A23" s="237" t="s">
        <v>76</v>
      </c>
      <c r="R23" s="222"/>
      <c r="S23" s="222"/>
      <c r="T23" s="223"/>
      <c r="U23" s="223"/>
      <c r="X23" s="223"/>
      <c r="Y23" s="223"/>
      <c r="Z23" s="760"/>
      <c r="AA23" s="223"/>
      <c r="AB23" s="223"/>
      <c r="AC23" s="223"/>
      <c r="AD23" s="223"/>
      <c r="AE23" s="223"/>
      <c r="AF23" s="223"/>
      <c r="AG23" s="223"/>
      <c r="AH23" s="223"/>
      <c r="AI23" s="223"/>
      <c r="AJ23" s="223"/>
      <c r="AK23" s="223"/>
      <c r="AL23" s="758">
        <f>'Crops; pasture DISCOUNTED'!IQ33</f>
        <v>1.7064263154667997E-2</v>
      </c>
      <c r="AM23" s="320"/>
      <c r="AN23" s="320"/>
      <c r="AO23" s="320"/>
      <c r="AP23" s="766">
        <f>'Crops; pasture DISCOUNTED'!JY33</f>
        <v>3.9396429857948757E-2</v>
      </c>
      <c r="BB23" s="250"/>
      <c r="BC23" s="250"/>
      <c r="BD23" s="250"/>
      <c r="BE23" s="250"/>
      <c r="BF23" s="250"/>
      <c r="BG23" s="250"/>
      <c r="BH23" s="250"/>
      <c r="BI23" s="250"/>
      <c r="BJ23" s="250"/>
      <c r="BK23" s="250"/>
      <c r="BL23" s="250"/>
      <c r="BM23" s="250"/>
      <c r="BN23" s="250"/>
      <c r="BO23" s="250"/>
      <c r="BP23" s="250"/>
      <c r="BQ23" s="250"/>
      <c r="BR23" s="250"/>
      <c r="BS23" s="250"/>
      <c r="BT23" s="250"/>
      <c r="BU23" s="250"/>
      <c r="BV23" s="250"/>
      <c r="BW23" s="250"/>
      <c r="BX23" s="250"/>
      <c r="BY23" s="250"/>
      <c r="BZ23" s="250"/>
    </row>
    <row r="24" spans="1:78" x14ac:dyDescent="0.25">
      <c r="A24" s="243" t="s">
        <v>72</v>
      </c>
      <c r="B24" s="770">
        <f t="shared" ref="B24:E25" si="17">(F24+J24)/2</f>
        <v>0.19244115024006775</v>
      </c>
      <c r="C24" s="220">
        <f t="shared" si="17"/>
        <v>0.71274500088913983</v>
      </c>
      <c r="D24" s="297">
        <f t="shared" si="17"/>
        <v>125.70458569473367</v>
      </c>
      <c r="E24" s="220">
        <f t="shared" si="17"/>
        <v>47.516333392609326</v>
      </c>
      <c r="F24" s="220">
        <f>44/12*'Crops; pasture DISCOUNTED'!HF34</f>
        <v>0.1855424569838616</v>
      </c>
      <c r="G24" s="220">
        <f>44/12*'Crops; pasture DISCOUNTED'!HG34</f>
        <v>0.68719428512541325</v>
      </c>
      <c r="H24" s="221">
        <f>44/12*'Crops; pasture DISCOUNTED'!HH34</f>
        <v>121.19828661823868</v>
      </c>
      <c r="I24" s="221">
        <f>44/12*'Crops; pasture DISCOUNTED'!HI34</f>
        <v>45.812952341694221</v>
      </c>
      <c r="J24" s="220">
        <f>44/12*'Crops; pasture DISCOUNTED'!HR34</f>
        <v>0.1993398434962739</v>
      </c>
      <c r="K24" s="220">
        <f>44/12*'Crops; pasture DISCOUNTED'!HS34</f>
        <v>0.73829571665286631</v>
      </c>
      <c r="L24" s="221">
        <f>44/12*'Crops; pasture DISCOUNTED'!HT34</f>
        <v>130.21088477122865</v>
      </c>
      <c r="M24" s="221">
        <f>44/12*'Crops; pasture DISCOUNTED'!HU34</f>
        <v>49.219714443524424</v>
      </c>
      <c r="N24" s="770">
        <f t="shared" ref="N24:Q25" si="18">(R24+V24)/2</f>
        <v>0.26027095268943057</v>
      </c>
      <c r="O24" s="220">
        <f t="shared" si="18"/>
        <v>0.96396649144233559</v>
      </c>
      <c r="P24" s="249">
        <f t="shared" si="18"/>
        <v>170.0117268857735</v>
      </c>
      <c r="Q24" s="220">
        <f t="shared" si="18"/>
        <v>64.264432762822366</v>
      </c>
      <c r="R24" s="220">
        <f>44/12*'Crops; pasture DISCOUNTED'!HJ34</f>
        <v>0.26310659100370071</v>
      </c>
      <c r="S24" s="220">
        <f>44/12*'Crops; pasture DISCOUNTED'!HK34</f>
        <v>0.97446885556926188</v>
      </c>
      <c r="T24" s="296">
        <f>44/12*'Crops; pasture DISCOUNTED'!HL34</f>
        <v>171.8639956912279</v>
      </c>
      <c r="U24" s="296">
        <f>44/12*'Crops; pasture DISCOUNTED'!HM34</f>
        <v>64.964590371284132</v>
      </c>
      <c r="V24" s="192">
        <f>44/12*'Crops; pasture DISCOUNTED'!HV34</f>
        <v>0.25743531437516048</v>
      </c>
      <c r="W24" s="192">
        <f>44/12*'Crops; pasture DISCOUNTED'!HW34</f>
        <v>0.95346412731540919</v>
      </c>
      <c r="X24" s="296">
        <f>44/12*'Crops; pasture DISCOUNTED'!HX34</f>
        <v>168.15945808031913</v>
      </c>
      <c r="Y24" s="221">
        <f>44/12*'Crops; pasture DISCOUNTED'!HY34</f>
        <v>63.564275154360615</v>
      </c>
      <c r="Z24" s="770">
        <f t="shared" ref="Z24:AC25" si="19">(AD24+AH24)/2</f>
        <v>8.2821453369639055</v>
      </c>
      <c r="AA24" s="220">
        <f t="shared" si="19"/>
        <v>0.43118275060729727</v>
      </c>
      <c r="AB24" s="249">
        <f t="shared" si="19"/>
        <v>5409.984543055657</v>
      </c>
      <c r="AC24" s="220">
        <f t="shared" si="19"/>
        <v>2044.9741572750384</v>
      </c>
      <c r="AD24" s="220">
        <f>44/12*'Crops; pasture DISCOUNTED'!HN34</f>
        <v>9.8610673927810061E-2</v>
      </c>
      <c r="AE24" s="220">
        <f>44/12*'Crops; pasture DISCOUNTED'!HO34</f>
        <v>0.36522471825114833</v>
      </c>
      <c r="AF24" s="221">
        <f>44/12*'Crops; pasture DISCOUNTED'!HP34</f>
        <v>64.413530555758101</v>
      </c>
      <c r="AG24" s="221">
        <f>44/12*'Crops; pasture DISCOUNTED'!HQ34</f>
        <v>24.348314550076555</v>
      </c>
      <c r="AH24" s="220">
        <f>44/12*'Crops; pasture DISCOUNTED'!HZ34</f>
        <v>16.465680000000003</v>
      </c>
      <c r="AI24" s="220">
        <f>44/12*'Crops; pasture DISCOUNTED'!IA34</f>
        <v>0.49714078296344621</v>
      </c>
      <c r="AJ24" s="221">
        <f>44/12*'Crops; pasture DISCOUNTED'!IB34</f>
        <v>10755.555555555557</v>
      </c>
      <c r="AK24" s="221">
        <f>44/12*'Crops; pasture DISCOUNTED'!IC34</f>
        <v>4065.6000000000004</v>
      </c>
      <c r="AL24" s="759">
        <f>'Crops; pasture DISCOUNTED'!IQ34</f>
        <v>1.794087270802E-2</v>
      </c>
      <c r="AM24" s="407">
        <f>'Crops; pasture DISCOUNTED'!IR34</f>
        <v>6.6447676696370361E-2</v>
      </c>
      <c r="AN24" s="249">
        <f>'Crops; pasture DISCOUNTED'!IS34</f>
        <v>11.719166965850155</v>
      </c>
      <c r="AO24" s="407">
        <f>'Crops; pasture DISCOUNTED'!IT34</f>
        <v>4.4298451130913579</v>
      </c>
      <c r="AP24" s="761">
        <f>'Crops; pasture DISCOUNTED'!JY34</f>
        <v>3.6026080879999998E-2</v>
      </c>
      <c r="AQ24" s="194">
        <f>'Crops; pasture DISCOUNTED'!JZ34</f>
        <v>0.13342992918518518</v>
      </c>
      <c r="AR24" s="248">
        <f>'Crops; pasture DISCOUNTED'!KA34</f>
        <v>23.532615376575876</v>
      </c>
      <c r="AS24" s="189">
        <f>'Crops; pasture DISCOUNTED'!KB34</f>
        <v>8.8953286123456792</v>
      </c>
      <c r="AT24" s="765">
        <f t="shared" ref="AT24:AW25" si="20">B24+AL24+AP24</f>
        <v>0.24640810382808775</v>
      </c>
      <c r="AU24" s="189">
        <f t="shared" si="20"/>
        <v>0.9126226067706954</v>
      </c>
      <c r="AV24" s="188">
        <f t="shared" si="20"/>
        <v>160.95636803715971</v>
      </c>
      <c r="AW24" s="189">
        <f t="shared" si="20"/>
        <v>60.841507118046366</v>
      </c>
      <c r="AX24" s="189">
        <f t="shared" ref="AX24:BA25" si="21">F24+AL24+AP24</f>
        <v>0.2395094105718816</v>
      </c>
      <c r="AY24" s="189">
        <f t="shared" si="21"/>
        <v>0.8870718910069687</v>
      </c>
      <c r="AZ24" s="188">
        <f t="shared" si="21"/>
        <v>156.45006896066471</v>
      </c>
      <c r="BA24" s="189">
        <f t="shared" si="21"/>
        <v>59.13812606713126</v>
      </c>
      <c r="BB24" s="250"/>
      <c r="BC24" s="250"/>
      <c r="BD24" s="250"/>
      <c r="BE24" s="250"/>
      <c r="BF24" s="250"/>
      <c r="BG24" s="250"/>
      <c r="BH24" s="250"/>
      <c r="BI24" s="250"/>
      <c r="BJ24" s="250"/>
      <c r="BK24" s="250"/>
      <c r="BL24" s="250"/>
      <c r="BM24" s="250"/>
      <c r="BN24" s="250"/>
      <c r="BO24" s="250"/>
      <c r="BP24" s="250"/>
      <c r="BQ24" s="250"/>
      <c r="BR24" s="250"/>
      <c r="BS24" s="250"/>
      <c r="BT24" s="250"/>
      <c r="BU24" s="250"/>
      <c r="BV24" s="250"/>
      <c r="BW24" s="250"/>
      <c r="BX24" s="250"/>
      <c r="BY24" s="250"/>
      <c r="BZ24" s="250"/>
    </row>
    <row r="25" spans="1:78" x14ac:dyDescent="0.25">
      <c r="A25" s="243" t="s">
        <v>73</v>
      </c>
      <c r="B25" s="770">
        <f t="shared" si="17"/>
        <v>0.18946985670357558</v>
      </c>
      <c r="C25" s="220">
        <f t="shared" si="17"/>
        <v>0.78945773626489824</v>
      </c>
      <c r="D25" s="297">
        <f t="shared" si="17"/>
        <v>88.603561870358945</v>
      </c>
      <c r="E25" s="220">
        <f t="shared" si="17"/>
        <v>22.555935321854236</v>
      </c>
      <c r="F25" s="220">
        <f>44/12*'Crops; pasture DISCOUNTED'!HF35</f>
        <v>0.17432937853075575</v>
      </c>
      <c r="G25" s="220">
        <f>44/12*'Crops; pasture DISCOUNTED'!HG35</f>
        <v>0.72637241054481572</v>
      </c>
      <c r="H25" s="221">
        <f>44/12*'Crops; pasture DISCOUNTED'!HH35</f>
        <v>81.523278400091542</v>
      </c>
      <c r="I25" s="221">
        <f>44/12*'Crops; pasture DISCOUNTED'!HI35</f>
        <v>20.75349744413759</v>
      </c>
      <c r="J25" s="220">
        <f>44/12*'Crops; pasture DISCOUNTED'!HR35</f>
        <v>0.20461033487639538</v>
      </c>
      <c r="K25" s="220">
        <f>44/12*'Crops; pasture DISCOUNTED'!HS35</f>
        <v>0.85254306198498075</v>
      </c>
      <c r="L25" s="221">
        <f>44/12*'Crops; pasture DISCOUNTED'!HT35</f>
        <v>95.683845340626348</v>
      </c>
      <c r="M25" s="221">
        <f>44/12*'Crops; pasture DISCOUNTED'!HU35</f>
        <v>24.358373199570877</v>
      </c>
      <c r="N25" s="770">
        <f t="shared" si="18"/>
        <v>0.21849363084234097</v>
      </c>
      <c r="O25" s="220">
        <f t="shared" si="18"/>
        <v>0.91039012850975398</v>
      </c>
      <c r="P25" s="249">
        <f t="shared" si="18"/>
        <v>102.17622093263233</v>
      </c>
      <c r="Q25" s="220">
        <f t="shared" si="18"/>
        <v>26.011146528850112</v>
      </c>
      <c r="R25" s="220">
        <f>44/12*'Crops; pasture DISCOUNTED'!HJ35</f>
        <v>0.20320299984312243</v>
      </c>
      <c r="S25" s="220">
        <f>44/12*'Crops; pasture DISCOUNTED'!HK35</f>
        <v>0.84667916601301019</v>
      </c>
      <c r="T25" s="296">
        <f>44/12*'Crops; pasture DISCOUNTED'!HL35</f>
        <v>95.025720091246939</v>
      </c>
      <c r="U25" s="296">
        <f>44/12*'Crops; pasture DISCOUNTED'!HM35</f>
        <v>24.190833314657432</v>
      </c>
      <c r="V25" s="192">
        <f>44/12*'Crops; pasture DISCOUNTED'!HV35</f>
        <v>0.23378426184155948</v>
      </c>
      <c r="W25" s="192">
        <f>44/12*'Crops; pasture DISCOUNTED'!HW35</f>
        <v>0.97410109100649789</v>
      </c>
      <c r="X25" s="296">
        <f>44/12*'Crops; pasture DISCOUNTED'!HX35</f>
        <v>109.32672177401773</v>
      </c>
      <c r="Y25" s="221">
        <f>44/12*'Crops; pasture DISCOUNTED'!HY35</f>
        <v>27.831459743042792</v>
      </c>
      <c r="Z25" s="770">
        <f t="shared" si="19"/>
        <v>4.6449179196692274</v>
      </c>
      <c r="AA25" s="220">
        <f t="shared" si="19"/>
        <v>0.48918119286811679</v>
      </c>
      <c r="AB25" s="249">
        <f t="shared" si="19"/>
        <v>2172.1464270806337</v>
      </c>
      <c r="AC25" s="220">
        <f t="shared" si="19"/>
        <v>552.96641900824125</v>
      </c>
      <c r="AD25" s="220">
        <f>44/12*'Crops; pasture DISCOUNTED'!HN35</f>
        <v>0.10263583933845639</v>
      </c>
      <c r="AE25" s="220">
        <f>44/12*'Crops; pasture DISCOUNTED'!HO35</f>
        <v>0.42764933057690163</v>
      </c>
      <c r="AF25" s="221">
        <f>44/12*'Crops; pasture DISCOUNTED'!HP35</f>
        <v>47.996557864972125</v>
      </c>
      <c r="AG25" s="221">
        <f>44/12*'Crops; pasture DISCOUNTED'!HQ35</f>
        <v>12.218552302197189</v>
      </c>
      <c r="AH25" s="220">
        <f>44/12*'Crops; pasture DISCOUNTED'!HZ35</f>
        <v>9.1871999999999989</v>
      </c>
      <c r="AI25" s="220">
        <f>44/12*'Crops; pasture DISCOUNTED'!IA35</f>
        <v>0.55071305515933189</v>
      </c>
      <c r="AJ25" s="221">
        <f>44/12*'Crops; pasture DISCOUNTED'!IB35</f>
        <v>4296.2962962962956</v>
      </c>
      <c r="AK25" s="221">
        <f>44/12*'Crops; pasture DISCOUNTED'!IC35</f>
        <v>1093.7142857142853</v>
      </c>
      <c r="AL25" s="759">
        <f>'Crops; pasture DISCOUNTED'!IQ35</f>
        <v>1.2439316575620418E-2</v>
      </c>
      <c r="AM25" s="407">
        <f>'Crops; pasture DISCOUNTED'!IR35</f>
        <v>5.1830485731751745E-2</v>
      </c>
      <c r="AN25" s="301">
        <f>'Crops; pasture DISCOUNTED'!IS35</f>
        <v>5.8171139990742695</v>
      </c>
      <c r="AO25" s="407">
        <f>'Crops; pasture DISCOUNTED'!IT35</f>
        <v>1.4808710209071925</v>
      </c>
      <c r="AP25" s="761">
        <f>'Crops; pasture DISCOUNTED'!JY35</f>
        <v>5.9400939739999999E-2</v>
      </c>
      <c r="AQ25" s="194">
        <f>'Crops; pasture DISCOUNTED'!JZ35</f>
        <v>0.24750391558333334</v>
      </c>
      <c r="AR25" s="248">
        <f>'Crops; pasture DISCOUNTED'!KA35</f>
        <v>27.778217237186681</v>
      </c>
      <c r="AS25" s="189">
        <f>'Crops; pasture DISCOUNTED'!KB35</f>
        <v>7.071540445238095</v>
      </c>
      <c r="AT25" s="765">
        <f t="shared" si="20"/>
        <v>0.26131011301919599</v>
      </c>
      <c r="AU25" s="189">
        <f t="shared" si="20"/>
        <v>1.0887921375799834</v>
      </c>
      <c r="AV25" s="188">
        <f t="shared" si="20"/>
        <v>122.19889310661989</v>
      </c>
      <c r="AW25" s="189">
        <f t="shared" si="20"/>
        <v>31.108346787999523</v>
      </c>
      <c r="AX25" s="189">
        <f t="shared" si="21"/>
        <v>0.24616963484637616</v>
      </c>
      <c r="AY25" s="189">
        <f t="shared" si="21"/>
        <v>1.0257068118599009</v>
      </c>
      <c r="AZ25" s="188">
        <f t="shared" si="21"/>
        <v>115.11860963635249</v>
      </c>
      <c r="BA25" s="189">
        <f t="shared" si="21"/>
        <v>29.305908910282877</v>
      </c>
      <c r="BB25" s="250"/>
      <c r="BC25" s="250"/>
      <c r="BD25" s="250"/>
      <c r="BE25" s="250"/>
      <c r="BF25" s="250"/>
      <c r="BG25" s="250"/>
      <c r="BH25" s="250"/>
      <c r="BI25" s="250"/>
      <c r="BJ25" s="250"/>
      <c r="BK25" s="250"/>
      <c r="BL25" s="250"/>
      <c r="BM25" s="250"/>
      <c r="BN25" s="250"/>
      <c r="BO25" s="250"/>
      <c r="BP25" s="250"/>
      <c r="BQ25" s="250"/>
      <c r="BR25" s="250"/>
      <c r="BS25" s="250"/>
      <c r="BT25" s="250"/>
      <c r="BU25" s="250"/>
      <c r="BV25" s="250"/>
      <c r="BW25" s="250"/>
      <c r="BX25" s="250"/>
      <c r="BY25" s="250"/>
      <c r="BZ25" s="250"/>
    </row>
    <row r="26" spans="1:78" x14ac:dyDescent="0.25">
      <c r="A26" s="243"/>
      <c r="R26" s="222"/>
      <c r="S26" s="222"/>
      <c r="T26" s="223"/>
      <c r="U26" s="223"/>
      <c r="X26" s="223"/>
      <c r="Y26" s="223"/>
      <c r="Z26" s="760"/>
      <c r="AA26" s="223"/>
      <c r="AB26" s="223"/>
      <c r="AC26" s="223"/>
      <c r="AD26" s="223"/>
      <c r="AE26" s="223"/>
      <c r="AF26" s="223"/>
      <c r="AG26" s="223"/>
      <c r="AH26" s="223"/>
      <c r="AI26" s="223"/>
      <c r="AJ26" s="223"/>
      <c r="AK26" s="223"/>
      <c r="AL26" s="760"/>
      <c r="AM26" s="223"/>
      <c r="AN26" s="223"/>
      <c r="AO26" s="223"/>
      <c r="BB26" s="250"/>
      <c r="BC26" s="250"/>
      <c r="BD26" s="250"/>
      <c r="BE26" s="250"/>
      <c r="BF26" s="250"/>
      <c r="BG26" s="250"/>
      <c r="BH26" s="250"/>
      <c r="BI26" s="250"/>
      <c r="BJ26" s="250"/>
      <c r="BK26" s="250"/>
      <c r="BL26" s="250"/>
      <c r="BM26" s="250"/>
      <c r="BN26" s="250"/>
      <c r="BO26" s="250"/>
      <c r="BP26" s="250"/>
      <c r="BQ26" s="250"/>
      <c r="BR26" s="250"/>
      <c r="BS26" s="250"/>
      <c r="BT26" s="250"/>
      <c r="BU26" s="250"/>
      <c r="BV26" s="250"/>
      <c r="BW26" s="250"/>
      <c r="BX26" s="250"/>
      <c r="BY26" s="250"/>
      <c r="BZ26" s="250"/>
    </row>
    <row r="27" spans="1:78" ht="13.8" x14ac:dyDescent="0.3">
      <c r="A27" s="237" t="s">
        <v>192</v>
      </c>
      <c r="R27" s="222"/>
      <c r="S27" s="222"/>
      <c r="T27" s="223"/>
      <c r="U27" s="223"/>
      <c r="X27" s="223"/>
      <c r="Y27" s="223"/>
      <c r="Z27" s="760"/>
      <c r="AA27" s="223"/>
      <c r="AB27" s="223"/>
      <c r="AC27" s="223"/>
      <c r="AD27" s="223"/>
      <c r="AE27" s="223"/>
      <c r="AF27" s="223"/>
      <c r="AG27" s="223"/>
      <c r="AH27" s="223"/>
      <c r="AI27" s="223"/>
      <c r="AJ27" s="223"/>
      <c r="AK27" s="223"/>
      <c r="AL27" s="758">
        <f>'Crops; pasture DISCOUNTED'!IQ37</f>
        <v>0.36589499632431394</v>
      </c>
      <c r="AM27" s="320"/>
      <c r="AN27" s="320"/>
      <c r="AO27" s="320"/>
      <c r="AP27" s="766">
        <f>'Crops; pasture DISCOUNTED'!JY37</f>
        <v>0.32796564764976682</v>
      </c>
      <c r="BB27" s="250"/>
      <c r="BC27" s="250"/>
      <c r="BD27" s="250"/>
      <c r="BE27" s="250"/>
      <c r="BF27" s="250"/>
      <c r="BG27" s="250"/>
      <c r="BH27" s="250"/>
      <c r="BI27" s="250"/>
      <c r="BJ27" s="250"/>
      <c r="BK27" s="250"/>
      <c r="BL27" s="250"/>
      <c r="BM27" s="250"/>
      <c r="BN27" s="250"/>
      <c r="BO27" s="250"/>
      <c r="BP27" s="250"/>
      <c r="BQ27" s="250"/>
      <c r="BR27" s="250"/>
      <c r="BS27" s="250"/>
      <c r="BT27" s="250"/>
      <c r="BU27" s="250"/>
      <c r="BV27" s="250"/>
      <c r="BW27" s="250"/>
      <c r="BX27" s="250"/>
      <c r="BY27" s="250"/>
      <c r="BZ27" s="250"/>
    </row>
    <row r="28" spans="1:78" x14ac:dyDescent="0.25">
      <c r="A28" s="243" t="s">
        <v>77</v>
      </c>
      <c r="B28" s="759">
        <f t="shared" ref="B28:E33" si="22">(F28+J28)/2</f>
        <v>5.4938210200709285</v>
      </c>
      <c r="C28" s="220">
        <f t="shared" si="22"/>
        <v>6.0371659561218998</v>
      </c>
      <c r="D28" s="297">
        <f t="shared" si="22"/>
        <v>317.74557663799476</v>
      </c>
      <c r="E28" s="314">
        <f t="shared" si="22"/>
        <v>15.092914890304749</v>
      </c>
      <c r="F28" s="314">
        <f>44/12*'Crops; pasture DISCOUNTED'!HF38</f>
        <v>5.6873996257355337</v>
      </c>
      <c r="G28" s="314">
        <f>44/12*'Crops; pasture DISCOUNTED'!HG38</f>
        <v>6.2498896986104757</v>
      </c>
      <c r="H28" s="296">
        <f>44/12*'Crops; pasture DISCOUNTED'!HH38</f>
        <v>328.94156308476192</v>
      </c>
      <c r="I28" s="296">
        <f>44/12*'Crops; pasture DISCOUNTED'!HI38</f>
        <v>15.62472424652619</v>
      </c>
      <c r="J28" s="314">
        <f>44/12*'Crops; pasture DISCOUNTED'!HR38</f>
        <v>5.3002424144063243</v>
      </c>
      <c r="K28" s="314">
        <f>44/12*'Crops; pasture DISCOUNTED'!HS38</f>
        <v>5.8244422136333238</v>
      </c>
      <c r="L28" s="296">
        <f>44/12*'Crops; pasture DISCOUNTED'!HT38</f>
        <v>306.54959019122754</v>
      </c>
      <c r="M28" s="296">
        <f>44/12*'Crops; pasture DISCOUNTED'!HU38</f>
        <v>14.561105534083309</v>
      </c>
      <c r="N28" s="770">
        <f t="shared" ref="N28:Q33" si="23">(R28+V28)/2</f>
        <v>5.54911154716266</v>
      </c>
      <c r="O28" s="314">
        <f t="shared" si="23"/>
        <v>6.0979247771018237</v>
      </c>
      <c r="P28" s="249">
        <f t="shared" si="23"/>
        <v>320.94340932114858</v>
      </c>
      <c r="Q28" s="314">
        <f t="shared" si="23"/>
        <v>15.244811942754559</v>
      </c>
      <c r="R28" s="314">
        <f>44/12*'Crops; pasture DISCOUNTED'!HJ38</f>
        <v>5.7416682254350144</v>
      </c>
      <c r="S28" s="314">
        <f>44/12*'Crops; pasture DISCOUNTED'!HK38</f>
        <v>6.3095255224560587</v>
      </c>
      <c r="T28" s="296">
        <f>44/12*'Crops; pasture DISCOUNTED'!HL38</f>
        <v>332.08029065558202</v>
      </c>
      <c r="U28" s="296">
        <f>44/12*'Crops; pasture DISCOUNTED'!HM38</f>
        <v>15.773813806140147</v>
      </c>
      <c r="V28" s="192">
        <f>44/12*'Crops; pasture DISCOUNTED'!HV38</f>
        <v>5.3565548688903064</v>
      </c>
      <c r="W28" s="192">
        <f>44/12*'Crops; pasture DISCOUNTED'!HW38</f>
        <v>5.8863240317475887</v>
      </c>
      <c r="X28" s="296">
        <f>44/12*'Crops; pasture DISCOUNTED'!HX38</f>
        <v>309.8065279867152</v>
      </c>
      <c r="Y28" s="296">
        <f>44/12*'Crops; pasture DISCOUNTED'!HY38</f>
        <v>14.715810079368971</v>
      </c>
      <c r="Z28" s="770">
        <f t="shared" ref="Z28:AC33" si="24">(AD28+AH28)/2</f>
        <v>5.9728564472082688</v>
      </c>
      <c r="AA28" s="314">
        <f t="shared" si="24"/>
        <v>4.9531305364925959</v>
      </c>
      <c r="AB28" s="249">
        <f t="shared" si="24"/>
        <v>345.45150070608838</v>
      </c>
      <c r="AC28" s="314">
        <f t="shared" si="24"/>
        <v>16.408946283539198</v>
      </c>
      <c r="AD28" s="220">
        <f>44/12*'Crops; pasture DISCOUNTED'!HN38</f>
        <v>4.719160227749871</v>
      </c>
      <c r="AE28" s="220">
        <f>44/12*'Crops; pasture DISCOUNTED'!HO38</f>
        <v>5.1858903601646924</v>
      </c>
      <c r="AF28" s="221">
        <f>44/12*'Crops; pasture DISCOUNTED'!HP38</f>
        <v>272.9415979034049</v>
      </c>
      <c r="AG28" s="221">
        <f>44/12*'Crops; pasture DISCOUNTED'!HQ38</f>
        <v>12.964725900411732</v>
      </c>
      <c r="AH28" s="220">
        <f>44/12*'Crops; pasture DISCOUNTED'!HZ38</f>
        <v>7.2265526666666666</v>
      </c>
      <c r="AI28" s="220">
        <f>44/12*'Crops; pasture DISCOUNTED'!IA38</f>
        <v>4.7203707128204986</v>
      </c>
      <c r="AJ28" s="221">
        <f>44/12*'Crops; pasture DISCOUNTED'!IB38</f>
        <v>417.96140350877187</v>
      </c>
      <c r="AK28" s="221">
        <f>44/12*'Crops; pasture DISCOUNTED'!IC38</f>
        <v>19.853166666666663</v>
      </c>
      <c r="AL28" s="759">
        <f>'Crops; pasture DISCOUNTED'!IQ38</f>
        <v>0.16590669386284537</v>
      </c>
      <c r="AM28" s="407">
        <f>'Crops; pasture DISCOUNTED'!IR38</f>
        <v>0.18231504820092898</v>
      </c>
      <c r="AN28" s="249">
        <f>'Crops; pasture DISCOUNTED'!IS38</f>
        <v>9.5955288526804718</v>
      </c>
      <c r="AO28" s="407">
        <f>'Crops; pasture DISCOUNTED'!IT38</f>
        <v>0.45578762050232241</v>
      </c>
      <c r="AP28" s="761">
        <f>'Crops; pasture DISCOUNTED'!JY38</f>
        <v>0.2607622846</v>
      </c>
      <c r="AQ28" s="194">
        <f>'Crops; pasture DISCOUNTED'!JZ38</f>
        <v>0.28655196109890108</v>
      </c>
      <c r="AR28" s="248">
        <f>'Crops; pasture DISCOUNTED'!KA38</f>
        <v>15.081682163100057</v>
      </c>
      <c r="AS28" s="189">
        <f>'Crops; pasture DISCOUNTED'!KB38</f>
        <v>0.71637990274725261</v>
      </c>
      <c r="AT28" s="765">
        <f t="shared" ref="AT28:AW33" si="25">B28+AL28+AP28</f>
        <v>5.9204899985337738</v>
      </c>
      <c r="AU28" s="189">
        <f t="shared" si="25"/>
        <v>6.5060329654217295</v>
      </c>
      <c r="AV28" s="188">
        <f t="shared" si="25"/>
        <v>342.42278765377529</v>
      </c>
      <c r="AW28" s="189">
        <f t="shared" si="25"/>
        <v>16.265082413554325</v>
      </c>
      <c r="AX28" s="189">
        <f t="shared" ref="AX28:BA33" si="26">F28+AL28+AP28</f>
        <v>6.1140686041983789</v>
      </c>
      <c r="AY28" s="189">
        <f t="shared" si="26"/>
        <v>6.7187567079103054</v>
      </c>
      <c r="AZ28" s="188">
        <f t="shared" si="26"/>
        <v>353.61877410054245</v>
      </c>
      <c r="BA28" s="189">
        <f t="shared" si="26"/>
        <v>16.796891769775765</v>
      </c>
      <c r="BB28" s="250"/>
      <c r="BC28" s="250"/>
      <c r="BD28" s="250"/>
      <c r="BE28" s="250"/>
      <c r="BF28" s="250"/>
      <c r="BG28" s="250"/>
      <c r="BH28" s="250"/>
      <c r="BI28" s="250"/>
      <c r="BJ28" s="250"/>
      <c r="BK28" s="250"/>
      <c r="BL28" s="250"/>
      <c r="BM28" s="250"/>
      <c r="BN28" s="250"/>
      <c r="BO28" s="250"/>
      <c r="BP28" s="250"/>
      <c r="BQ28" s="250"/>
      <c r="BR28" s="250"/>
      <c r="BS28" s="250"/>
      <c r="BT28" s="250"/>
      <c r="BU28" s="250"/>
      <c r="BV28" s="250"/>
      <c r="BW28" s="250"/>
      <c r="BX28" s="250"/>
      <c r="BY28" s="250"/>
      <c r="BZ28" s="250"/>
    </row>
    <row r="29" spans="1:78" x14ac:dyDescent="0.25">
      <c r="A29" s="243" t="s">
        <v>425</v>
      </c>
      <c r="B29" s="770">
        <f t="shared" si="22"/>
        <v>1.4579722133887834</v>
      </c>
      <c r="C29" s="220">
        <f t="shared" si="22"/>
        <v>2.8037927180553526</v>
      </c>
      <c r="D29" s="297">
        <f t="shared" si="22"/>
        <v>178.30160369191427</v>
      </c>
      <c r="E29" s="314">
        <f t="shared" si="22"/>
        <v>80.108363373010064</v>
      </c>
      <c r="F29" s="314">
        <f>44/12*'Crops; pasture DISCOUNTED'!HF39</f>
        <v>1.6381027373730632</v>
      </c>
      <c r="G29" s="314">
        <f>44/12*'Crops; pasture DISCOUNTED'!HG39</f>
        <v>3.1501975718712751</v>
      </c>
      <c r="H29" s="296">
        <f>44/12*'Crops; pasture DISCOUNTED'!HH39</f>
        <v>200.33052921279966</v>
      </c>
      <c r="I29" s="296">
        <f>44/12*'Crops; pasture DISCOUNTED'!HI39</f>
        <v>90.005644910607856</v>
      </c>
      <c r="J29" s="314">
        <f>44/12*'Crops; pasture DISCOUNTED'!HR39</f>
        <v>1.2778416894045035</v>
      </c>
      <c r="K29" s="314">
        <f>44/12*'Crops; pasture DISCOUNTED'!HS39</f>
        <v>2.4573878642394296</v>
      </c>
      <c r="L29" s="296">
        <f>44/12*'Crops; pasture DISCOUNTED'!HT39</f>
        <v>156.27267817102887</v>
      </c>
      <c r="M29" s="296">
        <f>44/12*'Crops; pasture DISCOUNTED'!HU39</f>
        <v>70.211081835412259</v>
      </c>
      <c r="N29" s="770">
        <f t="shared" si="23"/>
        <v>1.4579722133887834</v>
      </c>
      <c r="O29" s="314">
        <f t="shared" si="23"/>
        <v>2.8037927180553526</v>
      </c>
      <c r="P29" s="249">
        <f t="shared" si="23"/>
        <v>178.30160369191427</v>
      </c>
      <c r="Q29" s="314">
        <f t="shared" si="23"/>
        <v>80.108363373010064</v>
      </c>
      <c r="R29" s="314">
        <f>44/12*'Crops; pasture DISCOUNTED'!HJ39</f>
        <v>1.6381027373730632</v>
      </c>
      <c r="S29" s="314">
        <f>44/12*'Crops; pasture DISCOUNTED'!HK39</f>
        <v>3.1501975718712751</v>
      </c>
      <c r="T29" s="296">
        <f>44/12*'Crops; pasture DISCOUNTED'!HL39</f>
        <v>200.33052921279966</v>
      </c>
      <c r="U29" s="296">
        <f>44/12*'Crops; pasture DISCOUNTED'!HM39</f>
        <v>90.005644910607856</v>
      </c>
      <c r="V29" s="192">
        <f>44/12*'Crops; pasture DISCOUNTED'!HV39</f>
        <v>1.2778416894045035</v>
      </c>
      <c r="W29" s="192">
        <f>44/12*'Crops; pasture DISCOUNTED'!HW39</f>
        <v>2.4573878642394296</v>
      </c>
      <c r="X29" s="296">
        <f>44/12*'Crops; pasture DISCOUNTED'!HX39</f>
        <v>156.27267817102887</v>
      </c>
      <c r="Y29" s="296">
        <f>44/12*'Crops; pasture DISCOUNTED'!HY39</f>
        <v>70.211081835412259</v>
      </c>
      <c r="Z29" s="770">
        <f t="shared" si="24"/>
        <v>7.6079876072639605</v>
      </c>
      <c r="AA29" s="314">
        <f t="shared" si="24"/>
        <v>1.915412624158956</v>
      </c>
      <c r="AB29" s="249">
        <f t="shared" si="24"/>
        <v>930.41306191316619</v>
      </c>
      <c r="AC29" s="314">
        <f t="shared" si="24"/>
        <v>418.02129710241536</v>
      </c>
      <c r="AD29" s="220">
        <f>44/12*'Crops; pasture DISCOUNTED'!HN39</f>
        <v>0.7405618811945881</v>
      </c>
      <c r="AE29" s="220">
        <f>44/12*'Crops; pasture DISCOUNTED'!HO39</f>
        <v>1.4241574638357464</v>
      </c>
      <c r="AF29" s="221">
        <f>44/12*'Crops; pasture DISCOUNTED'!HP39</f>
        <v>90.566452390190548</v>
      </c>
      <c r="AG29" s="221">
        <f>44/12*'Crops; pasture DISCOUNTED'!HQ39</f>
        <v>40.690213252449887</v>
      </c>
      <c r="AH29" s="220">
        <f>44/12*'Crops; pasture DISCOUNTED'!HZ39</f>
        <v>14.475413333333332</v>
      </c>
      <c r="AI29" s="220">
        <f>44/12*'Crops; pasture DISCOUNTED'!IA39</f>
        <v>2.4066677844821656</v>
      </c>
      <c r="AJ29" s="221">
        <f>44/12*'Crops; pasture DISCOUNTED'!IB39</f>
        <v>1770.2596714361418</v>
      </c>
      <c r="AK29" s="221">
        <f>44/12*'Crops; pasture DISCOUNTED'!IC39</f>
        <v>795.35238095238083</v>
      </c>
      <c r="AL29" s="759">
        <f>'Crops; pasture DISCOUNTED'!IQ39</f>
        <v>0.53543086027397258</v>
      </c>
      <c r="AM29" s="407">
        <f>'Crops; pasture DISCOUNTED'!IR39</f>
        <v>1.029674731296101</v>
      </c>
      <c r="AN29" s="249">
        <f>'Crops; pasture DISCOUNTED'!IS39</f>
        <v>65.480110098321205</v>
      </c>
      <c r="AO29" s="220">
        <f>'Crops; pasture DISCOUNTED'!IT39</f>
        <v>29.419278037031454</v>
      </c>
      <c r="AP29" s="761">
        <f>'Crops; pasture DISCOUNTED'!JY39</f>
        <v>8.3893459560002007E-2</v>
      </c>
      <c r="AQ29" s="194">
        <f>'Crops; pasture DISCOUNTED'!JZ39</f>
        <v>0.16133357607692694</v>
      </c>
      <c r="AR29" s="248">
        <f>'Crops; pasture DISCOUNTED'!KA39</f>
        <v>10.259686872936529</v>
      </c>
      <c r="AS29" s="189">
        <f>'Crops; pasture DISCOUNTED'!KB39</f>
        <v>4.6095307450550553</v>
      </c>
      <c r="AT29" s="765">
        <f t="shared" si="25"/>
        <v>2.077296533222758</v>
      </c>
      <c r="AU29" s="189">
        <f t="shared" si="25"/>
        <v>3.9948010254283806</v>
      </c>
      <c r="AV29" s="188">
        <f t="shared" si="25"/>
        <v>254.041400663172</v>
      </c>
      <c r="AW29" s="189">
        <f t="shared" si="25"/>
        <v>114.13717215509658</v>
      </c>
      <c r="AX29" s="189">
        <f t="shared" si="26"/>
        <v>2.2574270572070376</v>
      </c>
      <c r="AY29" s="189">
        <f t="shared" si="26"/>
        <v>4.3412058792443027</v>
      </c>
      <c r="AZ29" s="188">
        <f t="shared" si="26"/>
        <v>276.07032618405742</v>
      </c>
      <c r="BA29" s="189">
        <f t="shared" si="26"/>
        <v>124.03445369269437</v>
      </c>
      <c r="BB29" s="250"/>
      <c r="BC29" s="250"/>
      <c r="BD29" s="250"/>
      <c r="BE29" s="250"/>
      <c r="BF29" s="250"/>
      <c r="BG29" s="250"/>
      <c r="BH29" s="250"/>
      <c r="BI29" s="250"/>
      <c r="BJ29" s="250"/>
      <c r="BK29" s="250"/>
      <c r="BL29" s="250"/>
      <c r="BM29" s="250"/>
      <c r="BN29" s="250"/>
      <c r="BO29" s="250"/>
      <c r="BP29" s="250"/>
      <c r="BQ29" s="250"/>
      <c r="BR29" s="250"/>
      <c r="BS29" s="250"/>
      <c r="BT29" s="250"/>
      <c r="BU29" s="250"/>
      <c r="BV29" s="250"/>
      <c r="BW29" s="250"/>
      <c r="BX29" s="250"/>
      <c r="BY29" s="250"/>
      <c r="BZ29" s="250"/>
    </row>
    <row r="30" spans="1:78" x14ac:dyDescent="0.25">
      <c r="A30" s="243" t="s">
        <v>80</v>
      </c>
      <c r="B30" s="770">
        <f t="shared" si="22"/>
        <v>5.1063085273266804</v>
      </c>
      <c r="C30" s="220">
        <f t="shared" si="22"/>
        <v>5.55033535578987</v>
      </c>
      <c r="D30" s="297">
        <f t="shared" si="22"/>
        <v>277.51676778949349</v>
      </c>
      <c r="E30" s="314">
        <f t="shared" si="22"/>
        <v>24.131892851260304</v>
      </c>
      <c r="F30" s="314">
        <f>44/12*'Crops; pasture DISCOUNTED'!HF40</f>
        <v>5.2100196739966718</v>
      </c>
      <c r="G30" s="314">
        <f>44/12*'Crops; pasture DISCOUNTED'!HG40</f>
        <v>5.6630648630398595</v>
      </c>
      <c r="H30" s="296">
        <f>44/12*'Crops; pasture DISCOUNTED'!HH40</f>
        <v>283.15324315199297</v>
      </c>
      <c r="I30" s="296">
        <f>44/12*'Crops; pasture DISCOUNTED'!HI40</f>
        <v>24.622021143651562</v>
      </c>
      <c r="J30" s="314">
        <f>44/12*'Crops; pasture DISCOUNTED'!HR40</f>
        <v>5.0025973806566899</v>
      </c>
      <c r="K30" s="314">
        <f>44/12*'Crops; pasture DISCOUNTED'!HS40</f>
        <v>5.4376058485398806</v>
      </c>
      <c r="L30" s="296">
        <f>44/12*'Crops; pasture DISCOUNTED'!HT40</f>
        <v>271.880292426994</v>
      </c>
      <c r="M30" s="296">
        <f>44/12*'Crops; pasture DISCOUNTED'!HU40</f>
        <v>23.641764558869042</v>
      </c>
      <c r="N30" s="770">
        <f t="shared" si="23"/>
        <v>5.2357107317771892</v>
      </c>
      <c r="O30" s="314">
        <f t="shared" si="23"/>
        <v>5.6909899258447716</v>
      </c>
      <c r="P30" s="249">
        <f t="shared" si="23"/>
        <v>284.54949629223853</v>
      </c>
      <c r="Q30" s="314">
        <f t="shared" si="23"/>
        <v>24.743434460194656</v>
      </c>
      <c r="R30" s="314">
        <f>44/12*'Crops; pasture DISCOUNTED'!HJ40</f>
        <v>5.3075899675240255</v>
      </c>
      <c r="S30" s="314">
        <f>44/12*'Crops; pasture DISCOUNTED'!HK40</f>
        <v>5.7691195299174192</v>
      </c>
      <c r="T30" s="296">
        <f>44/12*'Crops; pasture DISCOUNTED'!HL40</f>
        <v>288.45597649587097</v>
      </c>
      <c r="U30" s="296">
        <f>44/12*'Crops; pasture DISCOUNTED'!HM40</f>
        <v>25.083128390945298</v>
      </c>
      <c r="V30" s="192">
        <f>44/12*'Crops; pasture DISCOUNTED'!HV40</f>
        <v>5.1638314960303529</v>
      </c>
      <c r="W30" s="192">
        <f>44/12*'Crops; pasture DISCOUNTED'!HW40</f>
        <v>5.6128603217721231</v>
      </c>
      <c r="X30" s="296">
        <f>44/12*'Crops; pasture DISCOUNTED'!HX40</f>
        <v>280.64301608860609</v>
      </c>
      <c r="Y30" s="296">
        <f>44/12*'Crops; pasture DISCOUNTED'!HY40</f>
        <v>24.403740529444011</v>
      </c>
      <c r="Z30" s="770">
        <f t="shared" si="24"/>
        <v>5.1108259016102613</v>
      </c>
      <c r="AA30" s="314">
        <f t="shared" si="24"/>
        <v>4.6772582374239562</v>
      </c>
      <c r="AB30" s="249">
        <f t="shared" si="24"/>
        <v>277.76227726142724</v>
      </c>
      <c r="AC30" s="314">
        <f t="shared" si="24"/>
        <v>24.153241500993673</v>
      </c>
      <c r="AD30" s="220">
        <f>44/12*'Crops; pasture DISCOUNTED'!HN40</f>
        <v>4.6043771365538557</v>
      </c>
      <c r="AE30" s="220">
        <f>44/12*'Crops; pasture DISCOUNTED'!HO40</f>
        <v>5.0047577571237563</v>
      </c>
      <c r="AF30" s="221">
        <f>44/12*'Crops; pasture DISCOUNTED'!HP40</f>
        <v>250.23788785618783</v>
      </c>
      <c r="AG30" s="221">
        <f>44/12*'Crops; pasture DISCOUNTED'!HQ40</f>
        <v>21.759816335320679</v>
      </c>
      <c r="AH30" s="220">
        <f>44/12*'Crops; pasture DISCOUNTED'!HZ40</f>
        <v>5.6172746666666669</v>
      </c>
      <c r="AI30" s="220">
        <f>44/12*'Crops; pasture DISCOUNTED'!IA40</f>
        <v>4.349758717724157</v>
      </c>
      <c r="AJ30" s="221">
        <f>44/12*'Crops; pasture DISCOUNTED'!IB40</f>
        <v>305.28666666666669</v>
      </c>
      <c r="AK30" s="221">
        <f>44/12*'Crops; pasture DISCOUNTED'!IC40</f>
        <v>26.546666666666663</v>
      </c>
      <c r="AL30" s="759">
        <f>'Crops; pasture DISCOUNTED'!IQ40</f>
        <v>0.61041976219308014</v>
      </c>
      <c r="AM30" s="407">
        <f>'Crops; pasture DISCOUNTED'!IR40</f>
        <v>0.66349974151421753</v>
      </c>
      <c r="AN30" s="249">
        <f>'Crops; pasture DISCOUNTED'!IS40</f>
        <v>33.174987075710881</v>
      </c>
      <c r="AO30" s="407">
        <f>'Crops; pasture DISCOUNTED'!IT40</f>
        <v>2.884781484844424</v>
      </c>
      <c r="AP30" s="761">
        <f>'Crops; pasture DISCOUNTED'!JY40</f>
        <v>1.0044077964</v>
      </c>
      <c r="AQ30" s="194">
        <f>'Crops; pasture DISCOUNTED'!JZ40</f>
        <v>1.0917476047826087</v>
      </c>
      <c r="AR30" s="248">
        <f>'Crops; pasture DISCOUNTED'!KA40</f>
        <v>54.587380239130439</v>
      </c>
      <c r="AS30" s="189">
        <f>'Crops; pasture DISCOUNTED'!KB40</f>
        <v>4.7467287164461247</v>
      </c>
      <c r="AT30" s="765">
        <f t="shared" si="25"/>
        <v>6.7211360859197606</v>
      </c>
      <c r="AU30" s="189">
        <f t="shared" si="25"/>
        <v>7.3055827020866966</v>
      </c>
      <c r="AV30" s="188">
        <f t="shared" si="25"/>
        <v>365.27913510433478</v>
      </c>
      <c r="AW30" s="189">
        <f t="shared" si="25"/>
        <v>31.763403052550853</v>
      </c>
      <c r="AX30" s="189">
        <f t="shared" si="26"/>
        <v>6.824847232589752</v>
      </c>
      <c r="AY30" s="189">
        <f t="shared" si="26"/>
        <v>7.418312209336686</v>
      </c>
      <c r="AZ30" s="188">
        <f t="shared" si="26"/>
        <v>370.91561046683427</v>
      </c>
      <c r="BA30" s="189">
        <f t="shared" si="26"/>
        <v>32.253531344942111</v>
      </c>
      <c r="BB30" s="250"/>
      <c r="BC30" s="250"/>
      <c r="BD30" s="250"/>
      <c r="BE30" s="250"/>
      <c r="BF30" s="250"/>
      <c r="BG30" s="250"/>
      <c r="BH30" s="250"/>
      <c r="BI30" s="250"/>
      <c r="BJ30" s="250"/>
      <c r="BK30" s="250"/>
      <c r="BL30" s="250"/>
      <c r="BM30" s="250"/>
      <c r="BN30" s="250"/>
      <c r="BO30" s="250"/>
      <c r="BP30" s="250"/>
      <c r="BQ30" s="250"/>
      <c r="BR30" s="250"/>
      <c r="BS30" s="250"/>
      <c r="BT30" s="250"/>
      <c r="BU30" s="250"/>
      <c r="BV30" s="250"/>
      <c r="BW30" s="250"/>
      <c r="BX30" s="250"/>
      <c r="BY30" s="250"/>
      <c r="BZ30" s="250"/>
    </row>
    <row r="31" spans="1:78" x14ac:dyDescent="0.25">
      <c r="A31" s="243" t="s">
        <v>426</v>
      </c>
      <c r="B31" s="770">
        <f t="shared" si="22"/>
        <v>5.9491591871201299</v>
      </c>
      <c r="C31" s="220">
        <f t="shared" si="22"/>
        <v>6.4664773773044892</v>
      </c>
      <c r="D31" s="297">
        <f t="shared" si="22"/>
        <v>250.63865803505769</v>
      </c>
      <c r="E31" s="314">
        <f t="shared" si="22"/>
        <v>29.393078987747671</v>
      </c>
      <c r="F31" s="314">
        <f>44/12*'Crops; pasture DISCOUNTED'!HF41</f>
        <v>4.7442977815042982</v>
      </c>
      <c r="G31" s="314">
        <f>44/12*'Crops; pasture DISCOUNTED'!HG41</f>
        <v>5.1568454146785854</v>
      </c>
      <c r="H31" s="296">
        <f>44/12*'Crops; pasture DISCOUNTED'!HH41</f>
        <v>199.87772925110792</v>
      </c>
      <c r="I31" s="296">
        <f>44/12*'Crops; pasture DISCOUNTED'!HI41</f>
        <v>23.440206430357204</v>
      </c>
      <c r="J31" s="314">
        <f>44/12*'Crops; pasture DISCOUNTED'!HR41</f>
        <v>7.1540205927359617</v>
      </c>
      <c r="K31" s="314">
        <f>44/12*'Crops; pasture DISCOUNTED'!HS41</f>
        <v>7.7761093399303922</v>
      </c>
      <c r="L31" s="296">
        <f>44/12*'Crops; pasture DISCOUNTED'!HT41</f>
        <v>301.39958681900742</v>
      </c>
      <c r="M31" s="296">
        <f>44/12*'Crops; pasture DISCOUNTED'!HU41</f>
        <v>35.345951545138142</v>
      </c>
      <c r="N31" s="770">
        <f t="shared" si="23"/>
        <v>6.0989617300036461</v>
      </c>
      <c r="O31" s="314">
        <f t="shared" si="23"/>
        <v>6.6293062282648325</v>
      </c>
      <c r="P31" s="249">
        <f t="shared" si="23"/>
        <v>256.94985380871441</v>
      </c>
      <c r="Q31" s="314">
        <f t="shared" si="23"/>
        <v>30.133210128476513</v>
      </c>
      <c r="R31" s="314">
        <f>44/12*'Crops; pasture DISCOUNTED'!HJ41</f>
        <v>4.881653395181508</v>
      </c>
      <c r="S31" s="314">
        <f>44/12*'Crops; pasture DISCOUNTED'!HK41</f>
        <v>5.3061449947625077</v>
      </c>
      <c r="T31" s="296">
        <f>44/12*'Crops; pasture DISCOUNTED'!HL41</f>
        <v>205.66453468071737</v>
      </c>
      <c r="U31" s="296">
        <f>44/12*'Crops; pasture DISCOUNTED'!HM41</f>
        <v>24.118840885284126</v>
      </c>
      <c r="V31" s="192">
        <f>44/12*'Crops; pasture DISCOUNTED'!HV41</f>
        <v>7.316270064825785</v>
      </c>
      <c r="W31" s="192">
        <f>44/12*'Crops; pasture DISCOUNTED'!HW41</f>
        <v>7.9524674617671565</v>
      </c>
      <c r="X31" s="296">
        <f>44/12*'Crops; pasture DISCOUNTED'!HX41</f>
        <v>308.23517293671148</v>
      </c>
      <c r="Y31" s="296">
        <f>44/12*'Crops; pasture DISCOUNTED'!HY41</f>
        <v>36.147579371668897</v>
      </c>
      <c r="Z31" s="770">
        <f t="shared" si="24"/>
        <v>3.0294808020576993</v>
      </c>
      <c r="AA31" s="314">
        <f t="shared" si="24"/>
        <v>3.2790172200087664</v>
      </c>
      <c r="AB31" s="249">
        <f t="shared" si="24"/>
        <v>127.6323222976786</v>
      </c>
      <c r="AC31" s="314">
        <f t="shared" si="24"/>
        <v>14.967790524000488</v>
      </c>
      <c r="AD31" s="220">
        <f>44/12*'Crops; pasture DISCOUNTED'!HN41</f>
        <v>2.0554896041153983</v>
      </c>
      <c r="AE31" s="220">
        <f>44/12*'Crops; pasture DISCOUNTED'!HO41</f>
        <v>2.2342278305602155</v>
      </c>
      <c r="AF31" s="221">
        <f>44/12*'Crops; pasture DISCOUNTED'!HP41</f>
        <v>86.597977928690526</v>
      </c>
      <c r="AG31" s="221">
        <f>44/12*'Crops; pasture DISCOUNTED'!HQ41</f>
        <v>10.155581048000979</v>
      </c>
      <c r="AH31" s="220">
        <f>44/12*'Crops; pasture DISCOUNTED'!HZ41</f>
        <v>4.0034720000000004</v>
      </c>
      <c r="AI31" s="220">
        <f>44/12*'Crops; pasture DISCOUNTED'!IA41</f>
        <v>4.3238066094573178</v>
      </c>
      <c r="AJ31" s="221">
        <f>44/12*'Crops; pasture DISCOUNTED'!IB41</f>
        <v>168.66666666666669</v>
      </c>
      <c r="AK31" s="221">
        <f>44/12*'Crops; pasture DISCOUNTED'!IC41</f>
        <v>19.779999999999998</v>
      </c>
      <c r="AL31" s="759">
        <f>'Crops; pasture DISCOUNTED'!IQ41</f>
        <v>0.15133685770444891</v>
      </c>
      <c r="AM31" s="407">
        <f>'Crops; pasture DISCOUNTED'!IR41</f>
        <v>0.16449658446135751</v>
      </c>
      <c r="AN31" s="249">
        <f>'Crops; pasture DISCOUNTED'!IS41</f>
        <v>6.3758366070293606</v>
      </c>
      <c r="AO31" s="407">
        <f>'Crops; pasture DISCOUNTED'!IT41</f>
        <v>0.74771174755162506</v>
      </c>
      <c r="AP31" s="761">
        <f>'Crops; pasture DISCOUNTED'!JY41</f>
        <v>0.75353474499999984</v>
      </c>
      <c r="AQ31" s="194">
        <f>'Crops; pasture DISCOUNTED'!JZ41</f>
        <v>0.81905950543478245</v>
      </c>
      <c r="AR31" s="248">
        <f>'Crops; pasture DISCOUNTED'!KA41</f>
        <v>31.746492458712495</v>
      </c>
      <c r="AS31" s="189">
        <f>'Crops; pasture DISCOUNTED'!KB41</f>
        <v>3.7229977519762838</v>
      </c>
      <c r="AT31" s="765">
        <f t="shared" si="25"/>
        <v>6.854030789824578</v>
      </c>
      <c r="AU31" s="189">
        <f t="shared" si="25"/>
        <v>7.4500334672006288</v>
      </c>
      <c r="AV31" s="188">
        <f t="shared" si="25"/>
        <v>288.76098710079958</v>
      </c>
      <c r="AW31" s="189">
        <f t="shared" si="25"/>
        <v>33.863788487275585</v>
      </c>
      <c r="AX31" s="189">
        <f t="shared" si="26"/>
        <v>5.6491693842087463</v>
      </c>
      <c r="AY31" s="189">
        <f t="shared" si="26"/>
        <v>6.1404015045747249</v>
      </c>
      <c r="AZ31" s="188">
        <f t="shared" si="26"/>
        <v>238.00005831684979</v>
      </c>
      <c r="BA31" s="189">
        <f t="shared" si="26"/>
        <v>27.910915929885114</v>
      </c>
      <c r="BB31" s="250"/>
      <c r="BC31" s="250"/>
      <c r="BD31" s="250"/>
      <c r="BE31" s="250"/>
      <c r="BF31" s="250"/>
      <c r="BG31" s="250"/>
      <c r="BH31" s="250"/>
      <c r="BI31" s="250"/>
      <c r="BJ31" s="250"/>
      <c r="BK31" s="250"/>
      <c r="BL31" s="250"/>
      <c r="BM31" s="250"/>
      <c r="BN31" s="250"/>
      <c r="BO31" s="250"/>
      <c r="BP31" s="250"/>
      <c r="BQ31" s="250"/>
      <c r="BR31" s="250"/>
      <c r="BS31" s="250"/>
      <c r="BT31" s="250"/>
      <c r="BU31" s="250"/>
      <c r="BV31" s="250"/>
      <c r="BW31" s="250"/>
      <c r="BX31" s="250"/>
      <c r="BY31" s="250"/>
      <c r="BZ31" s="250"/>
    </row>
    <row r="32" spans="1:78" x14ac:dyDescent="0.25">
      <c r="A32" s="243" t="s">
        <v>427</v>
      </c>
      <c r="B32" s="770">
        <f t="shared" si="22"/>
        <v>6.1977822771810533</v>
      </c>
      <c r="C32" s="220">
        <f t="shared" si="22"/>
        <v>6.7367198665011454</v>
      </c>
      <c r="D32" s="297">
        <f t="shared" si="22"/>
        <v>396.2776392059497</v>
      </c>
      <c r="E32" s="314">
        <f t="shared" si="22"/>
        <v>35.456420350006027</v>
      </c>
      <c r="F32" s="314">
        <f>44/12*'Crops; pasture DISCOUNTED'!HF42</f>
        <v>5.5858617636464922</v>
      </c>
      <c r="G32" s="314">
        <f>44/12*'Crops; pasture DISCOUNTED'!HG42</f>
        <v>6.0715888735287953</v>
      </c>
      <c r="H32" s="296">
        <f>44/12*'Crops; pasture DISCOUNTED'!HH42</f>
        <v>357.15228667816444</v>
      </c>
      <c r="I32" s="296">
        <f>44/12*'Crops; pasture DISCOUNTED'!HI42</f>
        <v>31.955730913309448</v>
      </c>
      <c r="J32" s="314">
        <f>44/12*'Crops; pasture DISCOUNTED'!HR42</f>
        <v>6.8097027907156154</v>
      </c>
      <c r="K32" s="314">
        <f>44/12*'Crops; pasture DISCOUNTED'!HS42</f>
        <v>7.4018508594734946</v>
      </c>
      <c r="L32" s="296">
        <f>44/12*'Crops; pasture DISCOUNTED'!HT42</f>
        <v>435.40299173373495</v>
      </c>
      <c r="M32" s="296">
        <f>44/12*'Crops; pasture DISCOUNTED'!HU42</f>
        <v>38.957109786702603</v>
      </c>
      <c r="N32" s="770">
        <f t="shared" si="23"/>
        <v>7.2716559647750678</v>
      </c>
      <c r="O32" s="314">
        <f t="shared" si="23"/>
        <v>7.9039738747555086</v>
      </c>
      <c r="P32" s="249">
        <f t="shared" si="23"/>
        <v>464.93963969150047</v>
      </c>
      <c r="Q32" s="314">
        <f t="shared" si="23"/>
        <v>41.599862498713208</v>
      </c>
      <c r="R32" s="314">
        <f>44/12*'Crops; pasture DISCOUNTED'!HJ42</f>
        <v>6.5113197931653088</v>
      </c>
      <c r="S32" s="314">
        <f>44/12*'Crops; pasture DISCOUNTED'!HK42</f>
        <v>7.0775215143101171</v>
      </c>
      <c r="T32" s="296">
        <f>44/12*'Crops; pasture DISCOUNTED'!HL42</f>
        <v>416.32479495941868</v>
      </c>
      <c r="U32" s="296">
        <f>44/12*'Crops; pasture DISCOUNTED'!HM42</f>
        <v>37.250113233211145</v>
      </c>
      <c r="V32" s="192">
        <f>44/12*'Crops; pasture DISCOUNTED'!HV42</f>
        <v>8.0319921363848277</v>
      </c>
      <c r="W32" s="192">
        <f>44/12*'Crops; pasture DISCOUNTED'!HW42</f>
        <v>8.7304262352009001</v>
      </c>
      <c r="X32" s="296">
        <f>44/12*'Crops; pasture DISCOUNTED'!HX42</f>
        <v>513.55448442358227</v>
      </c>
      <c r="Y32" s="296">
        <f>44/12*'Crops; pasture DISCOUNTED'!HY42</f>
        <v>45.949611764215263</v>
      </c>
      <c r="Z32" s="770">
        <f t="shared" si="24"/>
        <v>3.6193074551158109</v>
      </c>
      <c r="AA32" s="314">
        <f t="shared" si="24"/>
        <v>3.4195364205081127</v>
      </c>
      <c r="AB32" s="249">
        <f t="shared" si="24"/>
        <v>231.41352014806972</v>
      </c>
      <c r="AC32" s="314">
        <f t="shared" si="24"/>
        <v>20.705420223774659</v>
      </c>
      <c r="AD32" s="220">
        <f>44/12*'Crops; pasture DISCOUNTED'!HN42</f>
        <v>2.9558309102316214</v>
      </c>
      <c r="AE32" s="220">
        <f>44/12*'Crops; pasture DISCOUNTED'!HO42</f>
        <v>3.2128596850343709</v>
      </c>
      <c r="AF32" s="221">
        <f>44/12*'Crops; pasture DISCOUNTED'!HP42</f>
        <v>188.99174617849241</v>
      </c>
      <c r="AG32" s="221">
        <f>44/12*'Crops; pasture DISCOUNTED'!HQ42</f>
        <v>16.909787815970372</v>
      </c>
      <c r="AH32" s="220">
        <f>44/12*'Crops; pasture DISCOUNTED'!HZ42</f>
        <v>4.2827840000000004</v>
      </c>
      <c r="AI32" s="220">
        <f>44/12*'Crops; pasture DISCOUNTED'!IA42</f>
        <v>3.6262131559818545</v>
      </c>
      <c r="AJ32" s="221">
        <f>44/12*'Crops; pasture DISCOUNTED'!IB42</f>
        <v>273.83529411764704</v>
      </c>
      <c r="AK32" s="221">
        <f>44/12*'Crops; pasture DISCOUNTED'!IC42</f>
        <v>24.501052631578947</v>
      </c>
      <c r="AL32" s="759">
        <f>'Crops; pasture DISCOUNTED'!IQ42</f>
        <v>0.37926643892684558</v>
      </c>
      <c r="AM32" s="407">
        <f>'Crops; pasture DISCOUNTED'!IR42</f>
        <v>0.41224612926831039</v>
      </c>
      <c r="AN32" s="249">
        <f>'Crops; pasture DISCOUNTED'!IS42</f>
        <v>24.24977230990061</v>
      </c>
      <c r="AO32" s="407">
        <f>'Crops; pasture DISCOUNTED'!IT42</f>
        <v>2.1697164698332125</v>
      </c>
      <c r="AP32" s="761">
        <f>'Crops; pasture DISCOUNTED'!JY42</f>
        <v>0.31567647658000003</v>
      </c>
      <c r="AQ32" s="194">
        <f>'Crops; pasture DISCOUNTED'!JZ42</f>
        <v>0.34312660497826086</v>
      </c>
      <c r="AR32" s="248">
        <f>'Crops; pasture DISCOUNTED'!KA42</f>
        <v>20.183917939897697</v>
      </c>
      <c r="AS32" s="189">
        <f>'Crops; pasture DISCOUNTED'!KB42</f>
        <v>1.8059294998855835</v>
      </c>
      <c r="AT32" s="765">
        <f t="shared" si="25"/>
        <v>6.892725192687899</v>
      </c>
      <c r="AU32" s="189">
        <f t="shared" si="25"/>
        <v>7.4920926007477169</v>
      </c>
      <c r="AV32" s="188">
        <f t="shared" si="25"/>
        <v>440.711329455748</v>
      </c>
      <c r="AW32" s="189">
        <f t="shared" si="25"/>
        <v>39.432066319724825</v>
      </c>
      <c r="AX32" s="189">
        <f t="shared" si="26"/>
        <v>6.2808046791533378</v>
      </c>
      <c r="AY32" s="189">
        <f t="shared" si="26"/>
        <v>6.8269616077753668</v>
      </c>
      <c r="AZ32" s="188">
        <f t="shared" si="26"/>
        <v>401.58597692796275</v>
      </c>
      <c r="BA32" s="189">
        <f t="shared" si="26"/>
        <v>35.93137688302825</v>
      </c>
      <c r="BB32" s="250"/>
      <c r="BC32" s="250"/>
      <c r="BD32" s="250"/>
      <c r="BE32" s="250"/>
      <c r="BF32" s="250"/>
      <c r="BG32" s="250"/>
      <c r="BH32" s="250"/>
      <c r="BI32" s="250"/>
      <c r="BJ32" s="250"/>
      <c r="BK32" s="250"/>
      <c r="BL32" s="250"/>
      <c r="BM32" s="250"/>
      <c r="BN32" s="250"/>
      <c r="BO32" s="250"/>
      <c r="BP32" s="250"/>
      <c r="BQ32" s="250"/>
      <c r="BR32" s="250"/>
      <c r="BS32" s="250"/>
      <c r="BT32" s="250"/>
      <c r="BU32" s="250"/>
      <c r="BV32" s="250"/>
      <c r="BW32" s="250"/>
      <c r="BX32" s="250"/>
      <c r="BY32" s="250"/>
      <c r="BZ32" s="250"/>
    </row>
    <row r="33" spans="1:78" x14ac:dyDescent="0.25">
      <c r="A33" s="243" t="s">
        <v>310</v>
      </c>
      <c r="B33" s="770">
        <f t="shared" si="22"/>
        <v>2.9408279435599676</v>
      </c>
      <c r="C33" s="220">
        <f t="shared" si="22"/>
        <v>6.3931042251303634</v>
      </c>
      <c r="D33" s="297">
        <f t="shared" si="22"/>
        <v>491.77724808695109</v>
      </c>
      <c r="E33" s="296">
        <f t="shared" si="22"/>
        <v>213.10347417101215</v>
      </c>
      <c r="F33" s="314">
        <f>44/12*'Crops; pasture DISCOUNTED'!HF43</f>
        <v>2.3526315029098512</v>
      </c>
      <c r="G33" s="314">
        <f>44/12*'Crops; pasture DISCOUNTED'!HG43</f>
        <v>5.1144163106735894</v>
      </c>
      <c r="H33" s="296">
        <f>44/12*'Crops; pasture DISCOUNTED'!HH43</f>
        <v>393.41663928258379</v>
      </c>
      <c r="I33" s="296">
        <f>44/12*'Crops; pasture DISCOUNTED'!HI43</f>
        <v>170.48054368911966</v>
      </c>
      <c r="J33" s="314">
        <f>44/12*'Crops; pasture DISCOUNTED'!HR43</f>
        <v>3.5290243842100839</v>
      </c>
      <c r="K33" s="314">
        <f>44/12*'Crops; pasture DISCOUNTED'!HS43</f>
        <v>7.6717921395871382</v>
      </c>
      <c r="L33" s="296">
        <f>44/12*'Crops; pasture DISCOUNTED'!HT43</f>
        <v>590.13785689131839</v>
      </c>
      <c r="M33" s="296">
        <f>44/12*'Crops; pasture DISCOUNTED'!HU43</f>
        <v>255.72640465290465</v>
      </c>
      <c r="N33" s="770">
        <f t="shared" si="23"/>
        <v>2.9408279435599676</v>
      </c>
      <c r="O33" s="314">
        <f t="shared" si="23"/>
        <v>6.3931042251303634</v>
      </c>
      <c r="P33" s="249">
        <f t="shared" si="23"/>
        <v>491.77724808695109</v>
      </c>
      <c r="Q33" s="296">
        <f t="shared" si="23"/>
        <v>213.10347417101215</v>
      </c>
      <c r="R33" s="314">
        <f>44/12*'Crops; pasture DISCOUNTED'!HJ43</f>
        <v>2.3526315029098512</v>
      </c>
      <c r="S33" s="314">
        <f>44/12*'Crops; pasture DISCOUNTED'!HK43</f>
        <v>5.1144163106735894</v>
      </c>
      <c r="T33" s="296">
        <f>44/12*'Crops; pasture DISCOUNTED'!HL43</f>
        <v>393.41663928258379</v>
      </c>
      <c r="U33" s="296">
        <f>44/12*'Crops; pasture DISCOUNTED'!HM43</f>
        <v>170.48054368911966</v>
      </c>
      <c r="V33" s="192">
        <f>44/12*'Crops; pasture DISCOUNTED'!HV43</f>
        <v>3.5290243842100839</v>
      </c>
      <c r="W33" s="192">
        <f>44/12*'Crops; pasture DISCOUNTED'!HW43</f>
        <v>7.6717921395871382</v>
      </c>
      <c r="X33" s="296">
        <f>44/12*'Crops; pasture DISCOUNTED'!HX43</f>
        <v>590.13785689131839</v>
      </c>
      <c r="Y33" s="296">
        <f>44/12*'Crops; pasture DISCOUNTED'!HY43</f>
        <v>255.72640465290465</v>
      </c>
      <c r="Z33" s="770">
        <f t="shared" si="24"/>
        <v>2.4912077664957177</v>
      </c>
      <c r="AA33" s="314">
        <f t="shared" si="24"/>
        <v>3.1387590870720876</v>
      </c>
      <c r="AB33" s="249">
        <f t="shared" si="24"/>
        <v>416.58992750764503</v>
      </c>
      <c r="AC33" s="296">
        <f t="shared" si="24"/>
        <v>180.52230191997955</v>
      </c>
      <c r="AD33" s="220">
        <f>44/12*'Crops; pasture DISCOUNTED'!HN43</f>
        <v>1.025495532991435</v>
      </c>
      <c r="AE33" s="220">
        <f>44/12*'Crops; pasture DISCOUNTED'!HO43</f>
        <v>2.2293381151987721</v>
      </c>
      <c r="AF33" s="221">
        <f>44/12*'Crops; pasture DISCOUNTED'!HP43</f>
        <v>171.48754732298246</v>
      </c>
      <c r="AG33" s="221">
        <f>44/12*'Crops; pasture DISCOUNTED'!HQ43</f>
        <v>74.311270506625732</v>
      </c>
      <c r="AH33" s="220">
        <f>44/12*'Crops; pasture DISCOUNTED'!HZ43</f>
        <v>3.9569200000000002</v>
      </c>
      <c r="AI33" s="220">
        <f>44/12*'Crops; pasture DISCOUNTED'!IA43</f>
        <v>4.0481800589454036</v>
      </c>
      <c r="AJ33" s="221">
        <f>44/12*'Crops; pasture DISCOUNTED'!IB43</f>
        <v>661.69230769230762</v>
      </c>
      <c r="AK33" s="221">
        <f>44/12*'Crops; pasture DISCOUNTED'!IC43</f>
        <v>286.73333333333335</v>
      </c>
      <c r="AL33" s="759">
        <f>'Crops; pasture DISCOUNTED'!IQ43</f>
        <v>0.47711505882352934</v>
      </c>
      <c r="AM33" s="407">
        <f>'Crops; pasture DISCOUNTED'!IR43</f>
        <v>1.0372066496163681</v>
      </c>
      <c r="AN33" s="249">
        <f>'Crops; pasture DISCOUNTED'!IS43</f>
        <v>79.785126893566783</v>
      </c>
      <c r="AO33" s="220">
        <f>'Crops; pasture DISCOUNTED'!IT43</f>
        <v>34.573554987212269</v>
      </c>
      <c r="AP33" s="761">
        <f>'Crops; pasture DISCOUNTED'!JY43</f>
        <v>0.11161316524000001</v>
      </c>
      <c r="AQ33" s="194">
        <f>'Crops; pasture DISCOUNTED'!JZ43</f>
        <v>0.24263731573913044</v>
      </c>
      <c r="AR33" s="248">
        <f>'Crops; pasture DISCOUNTED'!KA43</f>
        <v>18.664408903010035</v>
      </c>
      <c r="AS33" s="189">
        <f>'Crops; pasture DISCOUNTED'!KB43</f>
        <v>8.0879105246376817</v>
      </c>
      <c r="AT33" s="765">
        <f t="shared" si="25"/>
        <v>3.5295561676234972</v>
      </c>
      <c r="AU33" s="189">
        <f t="shared" si="25"/>
        <v>7.6729481904858616</v>
      </c>
      <c r="AV33" s="188">
        <f t="shared" si="25"/>
        <v>590.2267838835279</v>
      </c>
      <c r="AW33" s="189">
        <f t="shared" si="25"/>
        <v>255.76493968286212</v>
      </c>
      <c r="AX33" s="189">
        <f t="shared" si="26"/>
        <v>2.9413597269733809</v>
      </c>
      <c r="AY33" s="189">
        <f t="shared" si="26"/>
        <v>6.3942602760290876</v>
      </c>
      <c r="AZ33" s="188">
        <f t="shared" si="26"/>
        <v>491.8661750791606</v>
      </c>
      <c r="BA33" s="189">
        <f t="shared" si="26"/>
        <v>213.14200920096962</v>
      </c>
      <c r="BB33" s="250"/>
      <c r="BC33" s="250"/>
      <c r="BD33" s="250"/>
      <c r="BE33" s="250"/>
      <c r="BF33" s="250"/>
      <c r="BG33" s="250"/>
      <c r="BH33" s="250"/>
      <c r="BI33" s="250"/>
      <c r="BJ33" s="250"/>
      <c r="BK33" s="250"/>
      <c r="BL33" s="250"/>
      <c r="BM33" s="250"/>
      <c r="BN33" s="250"/>
      <c r="BO33" s="250"/>
      <c r="BP33" s="250"/>
      <c r="BQ33" s="250"/>
      <c r="BR33" s="250"/>
      <c r="BS33" s="250"/>
      <c r="BT33" s="250"/>
      <c r="BU33" s="250"/>
      <c r="BV33" s="250"/>
      <c r="BW33" s="250"/>
      <c r="BX33" s="250"/>
      <c r="BY33" s="250"/>
      <c r="BZ33" s="250"/>
    </row>
    <row r="34" spans="1:78" x14ac:dyDescent="0.25">
      <c r="A34" s="244"/>
      <c r="R34" s="222"/>
      <c r="S34" s="222"/>
      <c r="T34" s="223"/>
      <c r="U34" s="300"/>
      <c r="V34" s="192"/>
      <c r="W34" s="192"/>
      <c r="X34" s="300"/>
      <c r="Y34" s="300"/>
      <c r="Z34" s="760"/>
      <c r="AA34" s="300"/>
      <c r="AB34" s="300"/>
      <c r="AC34" s="300"/>
      <c r="AD34" s="300"/>
      <c r="AE34" s="300"/>
      <c r="AF34" s="300"/>
      <c r="AG34" s="300"/>
      <c r="AH34" s="300"/>
      <c r="AI34" s="300"/>
      <c r="AJ34" s="300"/>
      <c r="AK34" s="300"/>
      <c r="AL34" s="760"/>
      <c r="AM34" s="300"/>
      <c r="AN34" s="300"/>
      <c r="AO34" s="300"/>
      <c r="BB34" s="250"/>
      <c r="BC34" s="250"/>
      <c r="BD34" s="250"/>
      <c r="BE34" s="250"/>
      <c r="BF34" s="250"/>
      <c r="BG34" s="250"/>
      <c r="BH34" s="250"/>
      <c r="BI34" s="250"/>
      <c r="BJ34" s="250"/>
      <c r="BK34" s="250"/>
      <c r="BL34" s="250"/>
      <c r="BM34" s="250"/>
      <c r="BN34" s="250"/>
      <c r="BO34" s="250"/>
      <c r="BP34" s="250"/>
      <c r="BQ34" s="250"/>
      <c r="BR34" s="250"/>
      <c r="BS34" s="250"/>
      <c r="BT34" s="250"/>
      <c r="BU34" s="250"/>
      <c r="BV34" s="250"/>
      <c r="BW34" s="250"/>
      <c r="BX34" s="250"/>
      <c r="BY34" s="250"/>
      <c r="BZ34" s="250"/>
    </row>
    <row r="35" spans="1:78" s="250" customFormat="1" ht="13.8" x14ac:dyDescent="0.3">
      <c r="A35" s="326" t="s">
        <v>79</v>
      </c>
      <c r="B35" s="771">
        <f t="shared" ref="B35:E40" si="27">(F35+J35)/2</f>
        <v>11.760451680703511</v>
      </c>
      <c r="C35" s="327">
        <f t="shared" si="27"/>
        <v>13.083371399768483</v>
      </c>
      <c r="D35" s="320">
        <f t="shared" si="27"/>
        <v>844.23620804432062</v>
      </c>
      <c r="E35" s="327">
        <f t="shared" si="27"/>
        <v>53.607316581088838</v>
      </c>
      <c r="F35" s="319">
        <f>44/12*'Crops; pasture DISCOUNTED'!HF45</f>
        <v>9.8509835953617646</v>
      </c>
      <c r="G35" s="327">
        <f>44/12*'Crops; pasture DISCOUNTED'!HG45</f>
        <v>10.959109439871</v>
      </c>
      <c r="H35" s="320">
        <f>44/12*'Crops; pasture DISCOUNTED'!HH45</f>
        <v>707.16306327764516</v>
      </c>
      <c r="I35" s="320">
        <f>44/12*'Crops; pasture DISCOUNTED'!HI45</f>
        <v>44.903445086054788</v>
      </c>
      <c r="J35" s="319">
        <f>44/12*'Crops; pasture DISCOUNTED'!HR45</f>
        <v>13.669919766045259</v>
      </c>
      <c r="K35" s="327">
        <f>44/12*'Crops; pasture DISCOUNTED'!HS45</f>
        <v>15.207633359665966</v>
      </c>
      <c r="L35" s="320">
        <f>44/12*'Crops; pasture DISCOUNTED'!HT45</f>
        <v>981.30935281099619</v>
      </c>
      <c r="M35" s="320">
        <f>44/12*'Crops; pasture DISCOUNTED'!HU45</f>
        <v>62.311188076122889</v>
      </c>
      <c r="N35" s="770"/>
      <c r="O35" s="327">
        <f t="shared" ref="O35:Q40" si="28">(S35+W35)/2</f>
        <v>14.366622066349919</v>
      </c>
      <c r="P35" s="320">
        <f t="shared" si="28"/>
        <v>927.05019040400862</v>
      </c>
      <c r="Q35" s="327">
        <f t="shared" si="28"/>
        <v>58.730620534501412</v>
      </c>
      <c r="R35" s="327"/>
      <c r="S35" s="327">
        <f>44/12*'Crops; pasture DISCOUNTED'!HK45</f>
        <v>12.146138726805537</v>
      </c>
      <c r="T35" s="320">
        <f>44/12*'Crops; pasture DISCOUNTED'!HL45</f>
        <v>783.76671755933432</v>
      </c>
      <c r="U35" s="320">
        <f>44/12*'Crops; pasture DISCOUNTED'!HM45</f>
        <v>49.653304808112537</v>
      </c>
      <c r="V35" s="322"/>
      <c r="W35" s="322">
        <f>44/12*'Crops; pasture DISCOUNTED'!HW45</f>
        <v>16.587105405894302</v>
      </c>
      <c r="X35" s="320">
        <f>44/12*'Crops; pasture DISCOUNTED'!HX45</f>
        <v>1070.333663248683</v>
      </c>
      <c r="Y35" s="320">
        <f>44/12*'Crops; pasture DISCOUNTED'!HY45</f>
        <v>67.807936260890287</v>
      </c>
      <c r="Z35" s="771"/>
      <c r="AA35" s="327">
        <f t="shared" ref="AA35:AC40" si="29">(AE35+AI35)/2</f>
        <v>5.3838592695520227</v>
      </c>
      <c r="AB35" s="320">
        <f t="shared" si="29"/>
        <v>197.69597700545808</v>
      </c>
      <c r="AC35" s="327">
        <f t="shared" si="29"/>
        <v>12.729130623244234</v>
      </c>
      <c r="AD35" s="327"/>
      <c r="AE35" s="327">
        <f>44/12*'Crops; pasture DISCOUNTED'!HO45</f>
        <v>3.8369261971984745</v>
      </c>
      <c r="AF35" s="320">
        <f>44/12*'Crops; pasture DISCOUNTED'!HP45</f>
        <v>247.57232582936641</v>
      </c>
      <c r="AG35" s="320">
        <f>44/12*'Crops; pasture DISCOUNTED'!HQ45</f>
        <v>15.940539215400333</v>
      </c>
      <c r="AH35" s="327"/>
      <c r="AI35" s="327">
        <f>44/12*'Crops; pasture DISCOUNTED'!IA45</f>
        <v>6.9307923419055708</v>
      </c>
      <c r="AJ35" s="320">
        <f>44/12*'Crops; pasture DISCOUNTED'!IB45</f>
        <v>147.81962818154975</v>
      </c>
      <c r="AK35" s="320">
        <f>44/12*'Crops; pasture DISCOUNTED'!IC45</f>
        <v>9.5177220310881339</v>
      </c>
      <c r="AL35" s="758">
        <f>'Crops; pasture DISCOUNTED'!IQ45</f>
        <v>0.62463532311007841</v>
      </c>
      <c r="AM35" s="320"/>
      <c r="AN35" s="320"/>
      <c r="AO35" s="320"/>
      <c r="AP35" s="766">
        <f>'Crops; pasture DISCOUNTED'!JY45</f>
        <v>0.54817233411007338</v>
      </c>
      <c r="AQ35" s="324">
        <f>'Crops; pasture DISCOUNTED'!JZ45</f>
        <v>0.60973755974470456</v>
      </c>
      <c r="AR35" s="325">
        <f>'Crops; pasture DISCOUNTED'!KA45</f>
        <v>39.344791920389547</v>
      </c>
      <c r="AS35" s="323">
        <f>'Crops; pasture DISCOUNTED'!KB45</f>
        <v>2.4926016068088384</v>
      </c>
      <c r="AT35" s="764">
        <f t="shared" ref="AT35:AW40" si="30">B35+AL35+AP35</f>
        <v>12.933259337923664</v>
      </c>
      <c r="AU35" s="323">
        <f t="shared" si="30"/>
        <v>13.693108959513188</v>
      </c>
      <c r="AV35" s="325">
        <f t="shared" si="30"/>
        <v>883.58099996471014</v>
      </c>
      <c r="AW35" s="323">
        <f t="shared" si="30"/>
        <v>56.099918187897678</v>
      </c>
      <c r="AX35" s="323">
        <f t="shared" ref="AX35:BA40" si="31">F35+AL35+AP35</f>
        <v>11.023791252581917</v>
      </c>
      <c r="AY35" s="323">
        <f t="shared" si="31"/>
        <v>11.568846999615705</v>
      </c>
      <c r="AZ35" s="325">
        <f t="shared" si="31"/>
        <v>746.50785519803469</v>
      </c>
      <c r="BA35" s="323">
        <f t="shared" si="31"/>
        <v>47.396046692863628</v>
      </c>
    </row>
    <row r="36" spans="1:78" x14ac:dyDescent="0.25">
      <c r="A36" s="243" t="s">
        <v>82</v>
      </c>
      <c r="B36" s="770">
        <f t="shared" si="27"/>
        <v>14.450536040140403</v>
      </c>
      <c r="C36" s="220">
        <f t="shared" si="27"/>
        <v>16.056151155711561</v>
      </c>
      <c r="D36" s="296">
        <f t="shared" si="27"/>
        <v>1035.8807197233264</v>
      </c>
      <c r="E36" s="299">
        <f t="shared" si="27"/>
        <v>66.900629815464839</v>
      </c>
      <c r="F36" s="220">
        <f>44/12*'Crops; pasture DISCOUNTED'!HF46</f>
        <v>13.639451354939897</v>
      </c>
      <c r="G36" s="220">
        <f>44/12*'Crops; pasture DISCOUNTED'!HG46</f>
        <v>15.154945949933218</v>
      </c>
      <c r="H36" s="221">
        <f>44/12*'Crops; pasture DISCOUNTED'!HH46</f>
        <v>977.73844838278831</v>
      </c>
      <c r="I36" s="221">
        <f>44/12*'Crops; pasture DISCOUNTED'!HI46</f>
        <v>63.145608124721747</v>
      </c>
      <c r="J36" s="220">
        <f>44/12*'Crops; pasture DISCOUNTED'!HR46</f>
        <v>15.261620725340908</v>
      </c>
      <c r="K36" s="220">
        <f>44/12*'Crops; pasture DISCOUNTED'!HS46</f>
        <v>16.9573563614899</v>
      </c>
      <c r="L36" s="221">
        <f>44/12*'Crops; pasture DISCOUNTED'!HT46</f>
        <v>1094.0229910638645</v>
      </c>
      <c r="M36" s="221">
        <f>44/12*'Crops; pasture DISCOUNTED'!HU46</f>
        <v>70.655651506207917</v>
      </c>
      <c r="N36" s="770">
        <f t="shared" ref="N36:N40" si="32">(R36+V36)/2</f>
        <v>15.980977684346517</v>
      </c>
      <c r="O36" s="220">
        <f t="shared" si="28"/>
        <v>17.756641871496129</v>
      </c>
      <c r="P36" s="296">
        <f t="shared" si="28"/>
        <v>1145.5897981610406</v>
      </c>
      <c r="Q36" s="301">
        <f t="shared" si="28"/>
        <v>73.986007797900555</v>
      </c>
      <c r="R36" s="220">
        <f>44/12*'Crops; pasture DISCOUNTED'!HJ46</f>
        <v>15.182249024364333</v>
      </c>
      <c r="S36" s="220">
        <f>44/12*'Crops; pasture DISCOUNTED'!HK46</f>
        <v>16.869165582627037</v>
      </c>
      <c r="T36" s="221">
        <f>44/12*'Crops; pasture DISCOUNTED'!HL46</f>
        <v>1088.3332633952925</v>
      </c>
      <c r="U36" s="296">
        <f>44/12*'Crops; pasture DISCOUNTED'!HM46</f>
        <v>70.288189927612663</v>
      </c>
      <c r="V36" s="192">
        <f>44/12*'Crops; pasture DISCOUNTED'!HV46</f>
        <v>16.779706344328702</v>
      </c>
      <c r="W36" s="192">
        <f>44/12*'Crops; pasture DISCOUNTED'!HW46</f>
        <v>18.644118160365224</v>
      </c>
      <c r="X36" s="296">
        <f>44/12*'Crops; pasture DISCOUNTED'!HX46</f>
        <v>1202.8463329267888</v>
      </c>
      <c r="Y36" s="296">
        <f>44/12*'Crops; pasture DISCOUNTED'!HY46</f>
        <v>77.683825668188433</v>
      </c>
      <c r="Z36" s="770">
        <f t="shared" ref="Z36:Z40" si="33">(AD36+AH36)/2</f>
        <v>3.3522084208585863</v>
      </c>
      <c r="AA36" s="220">
        <f t="shared" si="29"/>
        <v>6.1535062852809777</v>
      </c>
      <c r="AB36" s="296">
        <f t="shared" si="29"/>
        <v>240.30167891459399</v>
      </c>
      <c r="AC36" s="301">
        <f t="shared" si="29"/>
        <v>15.519483429900863</v>
      </c>
      <c r="AD36" s="220">
        <f>44/12*'Crops; pasture DISCOUNTED'!HN46</f>
        <v>4.6551168417171729</v>
      </c>
      <c r="AE36" s="220">
        <f>44/12*'Crops; pasture DISCOUNTED'!HO46</f>
        <v>5.1723520463524135</v>
      </c>
      <c r="AF36" s="221">
        <f>44/12*'Crops; pasture DISCOUNTED'!HP46</f>
        <v>333.7001320227364</v>
      </c>
      <c r="AG36" s="221">
        <f>44/12*'Crops; pasture DISCOUNTED'!HQ46</f>
        <v>21.551466859801724</v>
      </c>
      <c r="AH36" s="220">
        <f>44/12*'Crops; pasture DISCOUNTED'!HZ46</f>
        <v>2.0493000000000001</v>
      </c>
      <c r="AI36" s="220">
        <f>44/12*'Crops; pasture DISCOUNTED'!IA46</f>
        <v>7.1346605242095427</v>
      </c>
      <c r="AJ36" s="221">
        <f>44/12*'Crops; pasture DISCOUNTED'!IB46</f>
        <v>146.90322580645159</v>
      </c>
      <c r="AK36" s="221">
        <f>44/12*'Crops; pasture DISCOUNTED'!IC46</f>
        <v>9.4874999999999989</v>
      </c>
      <c r="AL36" s="759">
        <f>'Crops; pasture DISCOUNTED'!IQ46</f>
        <v>0.55551057379607116</v>
      </c>
      <c r="AM36" s="407">
        <f>'Crops; pasture DISCOUNTED'!IR46</f>
        <v>0.61723397088452348</v>
      </c>
      <c r="AN36" s="296">
        <f>'Crops; pasture DISCOUNTED'!IS46</f>
        <v>39.821546508678935</v>
      </c>
      <c r="AO36" s="301">
        <f>'Crops; pasture DISCOUNTED'!IT46</f>
        <v>2.5718082120188481</v>
      </c>
      <c r="AP36" s="761">
        <f>'Crops; pasture DISCOUNTED'!JY46</f>
        <v>0.62229013888000007</v>
      </c>
      <c r="AQ36" s="194">
        <f>'Crops; pasture DISCOUNTED'!JZ46</f>
        <v>0.69143348764444446</v>
      </c>
      <c r="AR36" s="193">
        <f>'Crops; pasture DISCOUNTED'!KA46</f>
        <v>44.60861210609319</v>
      </c>
      <c r="AS36" s="247">
        <f>'Crops; pasture DISCOUNTED'!KB46</f>
        <v>2.8809728651851851</v>
      </c>
      <c r="AT36" s="765">
        <f t="shared" si="30"/>
        <v>15.628336752816475</v>
      </c>
      <c r="AU36" s="189">
        <f t="shared" si="30"/>
        <v>17.36481861424053</v>
      </c>
      <c r="AV36" s="188">
        <f t="shared" si="30"/>
        <v>1120.3108783380985</v>
      </c>
      <c r="AW36" s="189">
        <f t="shared" si="30"/>
        <v>72.353410892668876</v>
      </c>
      <c r="AX36" s="189">
        <f t="shared" si="31"/>
        <v>14.81725206761597</v>
      </c>
      <c r="AY36" s="189">
        <f t="shared" si="31"/>
        <v>16.463613408462187</v>
      </c>
      <c r="AZ36" s="188">
        <f t="shared" si="31"/>
        <v>1062.1686069975603</v>
      </c>
      <c r="BA36" s="189">
        <f t="shared" si="31"/>
        <v>68.598389201925784</v>
      </c>
      <c r="BB36" s="250"/>
      <c r="BC36" s="250"/>
      <c r="BD36" s="250"/>
      <c r="BE36" s="250"/>
      <c r="BF36" s="250"/>
      <c r="BG36" s="250"/>
      <c r="BH36" s="250"/>
      <c r="BI36" s="250"/>
      <c r="BJ36" s="250"/>
      <c r="BK36" s="250"/>
      <c r="BL36" s="250"/>
      <c r="BM36" s="250"/>
      <c r="BN36" s="250"/>
      <c r="BO36" s="250"/>
      <c r="BP36" s="250"/>
      <c r="BQ36" s="250"/>
      <c r="BR36" s="250"/>
      <c r="BS36" s="250"/>
      <c r="BT36" s="250"/>
      <c r="BU36" s="250"/>
      <c r="BV36" s="250"/>
      <c r="BW36" s="250"/>
      <c r="BX36" s="250"/>
      <c r="BY36" s="250"/>
      <c r="BZ36" s="250"/>
    </row>
    <row r="37" spans="1:78" x14ac:dyDescent="0.25">
      <c r="A37" s="243" t="s">
        <v>325</v>
      </c>
      <c r="B37" s="770">
        <f t="shared" si="27"/>
        <v>6.3949224747827582</v>
      </c>
      <c r="C37" s="220">
        <f t="shared" si="27"/>
        <v>7.0273873349261082</v>
      </c>
      <c r="D37" s="296">
        <f t="shared" si="27"/>
        <v>447.60428884879673</v>
      </c>
      <c r="E37" s="299">
        <f t="shared" si="27"/>
        <v>30.5538579779396</v>
      </c>
      <c r="F37" s="220">
        <f>44/12*'Crops; pasture DISCOUNTED'!HF47</f>
        <v>3.7159399587398458</v>
      </c>
      <c r="G37" s="220">
        <f>44/12*'Crops; pasture DISCOUNTED'!HG47</f>
        <v>4.0834505041097202</v>
      </c>
      <c r="H37" s="221">
        <f>44/12*'Crops; pasture DISCOUNTED'!HH47</f>
        <v>260.09238879679748</v>
      </c>
      <c r="I37" s="221">
        <f>44/12*'Crops; pasture DISCOUNTED'!HI47</f>
        <v>17.754132626564001</v>
      </c>
      <c r="J37" s="220">
        <f>44/12*'Crops; pasture DISCOUNTED'!HR47</f>
        <v>9.073904990825671</v>
      </c>
      <c r="K37" s="220">
        <f>44/12*'Crops; pasture DISCOUNTED'!HS47</f>
        <v>9.9713241657424962</v>
      </c>
      <c r="L37" s="221">
        <f>44/12*'Crops; pasture DISCOUNTED'!HT47</f>
        <v>635.11618890079603</v>
      </c>
      <c r="M37" s="221">
        <f>44/12*'Crops; pasture DISCOUNTED'!HU47</f>
        <v>43.3535833293152</v>
      </c>
      <c r="N37" s="770">
        <f t="shared" si="32"/>
        <v>7.0641844823249462</v>
      </c>
      <c r="O37" s="220">
        <f t="shared" si="28"/>
        <v>7.7628400904669732</v>
      </c>
      <c r="P37" s="296">
        <f t="shared" si="28"/>
        <v>494.44841340553972</v>
      </c>
      <c r="Q37" s="301">
        <f t="shared" si="28"/>
        <v>33.751478654204234</v>
      </c>
      <c r="R37" s="220">
        <f>44/12*'Crops; pasture DISCOUNTED'!HJ47</f>
        <v>4.170112487525909</v>
      </c>
      <c r="S37" s="220">
        <f>44/12*'Crops; pasture DISCOUNTED'!HK47</f>
        <v>4.5825411950834161</v>
      </c>
      <c r="T37" s="221">
        <f>44/12*'Crops; pasture DISCOUNTED'!HL47</f>
        <v>291.88160478238319</v>
      </c>
      <c r="U37" s="296">
        <f>44/12*'Crops; pasture DISCOUNTED'!HM47</f>
        <v>19.924092152536591</v>
      </c>
      <c r="V37" s="192">
        <f>44/12*'Crops; pasture DISCOUNTED'!HV47</f>
        <v>9.9582564771239834</v>
      </c>
      <c r="W37" s="192">
        <f>44/12*'Crops; pasture DISCOUNTED'!HW47</f>
        <v>10.943138985850531</v>
      </c>
      <c r="X37" s="296">
        <f>44/12*'Crops; pasture DISCOUNTED'!HX47</f>
        <v>697.01522202869626</v>
      </c>
      <c r="Y37" s="296">
        <f>44/12*'Crops; pasture DISCOUNTED'!HY47</f>
        <v>47.578865155871874</v>
      </c>
      <c r="Z37" s="770">
        <f t="shared" si="33"/>
        <v>2.1624251729975894</v>
      </c>
      <c r="AA37" s="220">
        <f t="shared" si="29"/>
        <v>4.0307516528041472</v>
      </c>
      <c r="AB37" s="296">
        <f t="shared" si="29"/>
        <v>151.35614005722616</v>
      </c>
      <c r="AC37" s="301">
        <f t="shared" si="29"/>
        <v>10.331701734341088</v>
      </c>
      <c r="AD37" s="220">
        <f>44/12*'Crops; pasture DISCOUNTED'!HN47</f>
        <v>1.8653933459951793</v>
      </c>
      <c r="AE37" s="220">
        <f>44/12*'Crops; pasture DISCOUNTED'!HO47</f>
        <v>2.0498827977969003</v>
      </c>
      <c r="AF37" s="221">
        <f>44/12*'Crops; pasture DISCOUNTED'!HP47</f>
        <v>130.56578329916564</v>
      </c>
      <c r="AG37" s="221">
        <f>44/12*'Crops; pasture DISCOUNTED'!HQ47</f>
        <v>8.9125339034647837</v>
      </c>
      <c r="AH37" s="220">
        <f>44/12*'Crops; pasture DISCOUNTED'!HZ47</f>
        <v>2.459457</v>
      </c>
      <c r="AI37" s="220">
        <f>44/12*'Crops; pasture DISCOUNTED'!IA47</f>
        <v>6.0116205078113945</v>
      </c>
      <c r="AJ37" s="221">
        <f>44/12*'Crops; pasture DISCOUNTED'!IB47</f>
        <v>172.14649681528667</v>
      </c>
      <c r="AK37" s="221">
        <f>44/12*'Crops; pasture DISCOUNTED'!IC47</f>
        <v>11.750869565217391</v>
      </c>
      <c r="AL37" s="759">
        <f>'Crops; pasture DISCOUNTED'!IQ47</f>
        <v>0</v>
      </c>
      <c r="AM37" s="407">
        <f>'Crops; pasture DISCOUNTED'!IR47</f>
        <v>0</v>
      </c>
      <c r="AN37" s="296">
        <f>'Crops; pasture DISCOUNTED'!IS47</f>
        <v>0</v>
      </c>
      <c r="AO37" s="301">
        <f>'Crops; pasture DISCOUNTED'!IT47</f>
        <v>0</v>
      </c>
      <c r="AP37" s="761">
        <f>'Crops; pasture DISCOUNTED'!JY47</f>
        <v>0.47700412367999995</v>
      </c>
      <c r="AQ37" s="194">
        <f>'Crops; pasture DISCOUNTED'!JZ47</f>
        <v>0.52418035569230759</v>
      </c>
      <c r="AR37" s="193">
        <f>'Crops; pasture DISCOUNTED'!KA47</f>
        <v>33.387283802057809</v>
      </c>
      <c r="AS37" s="247">
        <f>'Crops; pasture DISCOUNTED'!KB47</f>
        <v>2.2790450247491632</v>
      </c>
      <c r="AT37" s="765">
        <f t="shared" si="30"/>
        <v>6.8719265984627578</v>
      </c>
      <c r="AU37" s="189">
        <f t="shared" si="30"/>
        <v>7.5515676906184162</v>
      </c>
      <c r="AV37" s="188">
        <f t="shared" si="30"/>
        <v>480.99157265085455</v>
      </c>
      <c r="AW37" s="189">
        <f t="shared" si="30"/>
        <v>32.832903002688766</v>
      </c>
      <c r="AX37" s="189">
        <f t="shared" si="31"/>
        <v>4.1929440824198458</v>
      </c>
      <c r="AY37" s="189">
        <f t="shared" si="31"/>
        <v>4.6076308598020281</v>
      </c>
      <c r="AZ37" s="188">
        <f t="shared" si="31"/>
        <v>293.4796725988553</v>
      </c>
      <c r="BA37" s="189">
        <f t="shared" si="31"/>
        <v>20.033177651313164</v>
      </c>
      <c r="BB37" s="250"/>
      <c r="BC37" s="250"/>
      <c r="BD37" s="250"/>
      <c r="BE37" s="250"/>
      <c r="BF37" s="250"/>
      <c r="BG37" s="250"/>
      <c r="BH37" s="250"/>
      <c r="BI37" s="250"/>
      <c r="BJ37" s="250"/>
      <c r="BK37" s="250"/>
      <c r="BL37" s="250"/>
      <c r="BM37" s="250"/>
      <c r="BN37" s="250"/>
      <c r="BO37" s="250"/>
      <c r="BP37" s="250"/>
      <c r="BQ37" s="250"/>
      <c r="BR37" s="250"/>
      <c r="BS37" s="250"/>
      <c r="BT37" s="250"/>
      <c r="BU37" s="250"/>
      <c r="BV37" s="250"/>
      <c r="BW37" s="250"/>
      <c r="BX37" s="250"/>
      <c r="BY37" s="250"/>
      <c r="BZ37" s="250"/>
    </row>
    <row r="38" spans="1:78" x14ac:dyDescent="0.25">
      <c r="A38" s="243" t="s">
        <v>324</v>
      </c>
      <c r="B38" s="770">
        <f t="shared" si="27"/>
        <v>14.445222770894016</v>
      </c>
      <c r="C38" s="220">
        <f t="shared" si="27"/>
        <v>16.415025876015925</v>
      </c>
      <c r="D38" s="296">
        <f t="shared" si="27"/>
        <v>1059.0339274848984</v>
      </c>
      <c r="E38" s="299">
        <f t="shared" si="27"/>
        <v>60.79639213339231</v>
      </c>
      <c r="F38" s="220">
        <f>44/12*'Crops; pasture DISCOUNTED'!HF48</f>
        <v>10.599770379723571</v>
      </c>
      <c r="G38" s="220">
        <f>44/12*'Crops; pasture DISCOUNTED'!HG48</f>
        <v>12.045193613322239</v>
      </c>
      <c r="H38" s="221">
        <f>44/12*'Crops; pasture DISCOUNTED'!HH48</f>
        <v>777.1092653756283</v>
      </c>
      <c r="I38" s="221">
        <f>44/12*'Crops; pasture DISCOUNTED'!HI48</f>
        <v>44.611828197489771</v>
      </c>
      <c r="J38" s="220">
        <f>44/12*'Crops; pasture DISCOUNTED'!HR48</f>
        <v>18.29067516206446</v>
      </c>
      <c r="K38" s="220">
        <f>44/12*'Crops; pasture DISCOUNTED'!HS48</f>
        <v>20.784858138709613</v>
      </c>
      <c r="L38" s="221">
        <f>44/12*'Crops; pasture DISCOUNTED'!HT48</f>
        <v>1340.9585895941684</v>
      </c>
      <c r="M38" s="221">
        <f>44/12*'Crops; pasture DISCOUNTED'!HU48</f>
        <v>76.980956069294848</v>
      </c>
      <c r="N38" s="770">
        <f t="shared" si="32"/>
        <v>14.445222770894016</v>
      </c>
      <c r="O38" s="220">
        <f t="shared" si="28"/>
        <v>16.415025876015925</v>
      </c>
      <c r="P38" s="296">
        <f t="shared" si="28"/>
        <v>1059.0339274848984</v>
      </c>
      <c r="Q38" s="301">
        <f t="shared" si="28"/>
        <v>60.79639213339231</v>
      </c>
      <c r="R38" s="220">
        <f>44/12*'Crops; pasture DISCOUNTED'!HJ48</f>
        <v>10.599770379723571</v>
      </c>
      <c r="S38" s="220">
        <f>44/12*'Crops; pasture DISCOUNTED'!HK48</f>
        <v>12.045193613322239</v>
      </c>
      <c r="T38" s="221">
        <f>44/12*'Crops; pasture DISCOUNTED'!HL48</f>
        <v>777.1092653756283</v>
      </c>
      <c r="U38" s="296">
        <f>44/12*'Crops; pasture DISCOUNTED'!HM48</f>
        <v>44.611828197489771</v>
      </c>
      <c r="V38" s="192">
        <f>44/12*'Crops; pasture DISCOUNTED'!HV48</f>
        <v>18.29067516206446</v>
      </c>
      <c r="W38" s="192">
        <f>44/12*'Crops; pasture DISCOUNTED'!HW48</f>
        <v>20.784858138709613</v>
      </c>
      <c r="X38" s="296">
        <f>44/12*'Crops; pasture DISCOUNTED'!HX48</f>
        <v>1340.9585895941684</v>
      </c>
      <c r="Y38" s="296">
        <f>44/12*'Crops; pasture DISCOUNTED'!HY48</f>
        <v>76.980956069294848</v>
      </c>
      <c r="Z38" s="770">
        <f t="shared" si="33"/>
        <v>2.9502732160990934</v>
      </c>
      <c r="AA38" s="220">
        <f t="shared" si="29"/>
        <v>5.7710582804848052</v>
      </c>
      <c r="AB38" s="296">
        <f t="shared" si="29"/>
        <v>216.29569032984557</v>
      </c>
      <c r="AC38" s="301">
        <f t="shared" si="29"/>
        <v>12.416974815231875</v>
      </c>
      <c r="AD38" s="220">
        <f>44/12*'Crops; pasture DISCOUNTED'!HN48</f>
        <v>4.4524184321981872</v>
      </c>
      <c r="AE38" s="220">
        <f>44/12*'Crops; pasture DISCOUNTED'!HO48</f>
        <v>5.0595664002252123</v>
      </c>
      <c r="AF38" s="221">
        <f>44/12*'Crops; pasture DISCOUNTED'!HP48</f>
        <v>326.42363872420725</v>
      </c>
      <c r="AG38" s="221">
        <f>44/12*'Crops; pasture DISCOUNTED'!HQ48</f>
        <v>18.739134815648935</v>
      </c>
      <c r="AH38" s="220">
        <f>44/12*'Crops; pasture DISCOUNTED'!HZ48</f>
        <v>1.4481280000000001</v>
      </c>
      <c r="AI38" s="220">
        <f>44/12*'Crops; pasture DISCOUNTED'!IA48</f>
        <v>6.4825501607443972</v>
      </c>
      <c r="AJ38" s="221">
        <f>44/12*'Crops; pasture DISCOUNTED'!IB48</f>
        <v>106.16774193548387</v>
      </c>
      <c r="AK38" s="221">
        <f>44/12*'Crops; pasture DISCOUNTED'!IC48</f>
        <v>6.0948148148148151</v>
      </c>
      <c r="AL38" s="759">
        <f>'Crops; pasture DISCOUNTED'!IQ48</f>
        <v>2.4711564705882352</v>
      </c>
      <c r="AM38" s="407">
        <f>'Crops; pasture DISCOUNTED'!IR48</f>
        <v>2.8081323529411764</v>
      </c>
      <c r="AN38" s="296">
        <f>'Crops; pasture DISCOUNTED'!IS48</f>
        <v>181.1698292220114</v>
      </c>
      <c r="AO38" s="301">
        <f>'Crops; pasture DISCOUNTED'!IT48</f>
        <v>10.40049019607843</v>
      </c>
      <c r="AP38" s="761">
        <f>'Crops; pasture DISCOUNTED'!JY48</f>
        <v>0.47700412368</v>
      </c>
      <c r="AQ38" s="194">
        <f>'Crops; pasture DISCOUNTED'!JZ48</f>
        <v>0.54205014054545453</v>
      </c>
      <c r="AR38" s="193">
        <f>'Crops; pasture DISCOUNTED'!KA48</f>
        <v>34.970976809384162</v>
      </c>
      <c r="AS38" s="247">
        <f>'Crops; pasture DISCOUNTED'!KB48</f>
        <v>2.0075931131313127</v>
      </c>
      <c r="AT38" s="765">
        <f t="shared" si="30"/>
        <v>17.393383365162251</v>
      </c>
      <c r="AU38" s="189">
        <f t="shared" si="30"/>
        <v>19.765208369502556</v>
      </c>
      <c r="AV38" s="188">
        <f t="shared" si="30"/>
        <v>1275.1747335162941</v>
      </c>
      <c r="AW38" s="189">
        <f t="shared" si="30"/>
        <v>73.204475442602046</v>
      </c>
      <c r="AX38" s="189">
        <f t="shared" si="31"/>
        <v>13.547930973991807</v>
      </c>
      <c r="AY38" s="189">
        <f t="shared" si="31"/>
        <v>15.39537610680887</v>
      </c>
      <c r="AZ38" s="188">
        <f t="shared" si="31"/>
        <v>993.25007140702382</v>
      </c>
      <c r="BA38" s="189">
        <f t="shared" si="31"/>
        <v>57.019911506699515</v>
      </c>
      <c r="BB38" s="250"/>
      <c r="BC38" s="250"/>
      <c r="BD38" s="250"/>
      <c r="BE38" s="250"/>
      <c r="BF38" s="250"/>
      <c r="BG38" s="250"/>
      <c r="BH38" s="250"/>
      <c r="BI38" s="250"/>
      <c r="BJ38" s="250"/>
      <c r="BK38" s="250"/>
      <c r="BL38" s="250"/>
      <c r="BM38" s="250"/>
      <c r="BN38" s="250"/>
      <c r="BO38" s="250"/>
      <c r="BP38" s="250"/>
      <c r="BQ38" s="250"/>
      <c r="BR38" s="250"/>
      <c r="BS38" s="250"/>
      <c r="BT38" s="250"/>
      <c r="BU38" s="250"/>
      <c r="BV38" s="250"/>
      <c r="BW38" s="250"/>
      <c r="BX38" s="250"/>
      <c r="BY38" s="250"/>
      <c r="BZ38" s="250"/>
    </row>
    <row r="39" spans="1:78" x14ac:dyDescent="0.25">
      <c r="A39" s="243" t="s">
        <v>313</v>
      </c>
      <c r="B39" s="770">
        <f t="shared" si="27"/>
        <v>10.861518259185631</v>
      </c>
      <c r="C39" s="220">
        <f t="shared" si="27"/>
        <v>12.203953100208574</v>
      </c>
      <c r="D39" s="296">
        <f t="shared" si="27"/>
        <v>787.35181291668221</v>
      </c>
      <c r="E39" s="299">
        <f t="shared" si="27"/>
        <v>50.849804584202403</v>
      </c>
      <c r="F39" s="220">
        <f>44/12*'Crops; pasture DISCOUNTED'!HF49</f>
        <v>7.4800819266781904</v>
      </c>
      <c r="G39" s="220">
        <f>44/12*'Crops; pasture DISCOUNTED'!HG49</f>
        <v>8.4045864344698771</v>
      </c>
      <c r="H39" s="221">
        <f>44/12*'Crops; pasture DISCOUNTED'!HH49</f>
        <v>542.2313828690244</v>
      </c>
      <c r="I39" s="221">
        <f>44/12*'Crops; pasture DISCOUNTED'!HI49</f>
        <v>35.019110143624495</v>
      </c>
      <c r="J39" s="220">
        <f>44/12*'Crops; pasture DISCOUNTED'!HR49</f>
        <v>14.242954591693072</v>
      </c>
      <c r="K39" s="220">
        <f>44/12*'Crops; pasture DISCOUNTED'!HS49</f>
        <v>16.003319765947271</v>
      </c>
      <c r="L39" s="221">
        <f>44/12*'Crops; pasture DISCOUNTED'!HT49</f>
        <v>1032.47224296434</v>
      </c>
      <c r="M39" s="221">
        <f>44/12*'Crops; pasture DISCOUNTED'!HU49</f>
        <v>66.680499024780303</v>
      </c>
      <c r="N39" s="770">
        <f t="shared" si="32"/>
        <v>11.557254921856817</v>
      </c>
      <c r="O39" s="220">
        <f t="shared" si="28"/>
        <v>12.985679687479568</v>
      </c>
      <c r="P39" s="296">
        <f t="shared" si="28"/>
        <v>837.78578628900436</v>
      </c>
      <c r="Q39" s="301">
        <f t="shared" si="28"/>
        <v>54.106998697831536</v>
      </c>
      <c r="R39" s="220">
        <f>44/12*'Crops; pasture DISCOUNTED'!HJ49</f>
        <v>8.0370613993091435</v>
      </c>
      <c r="S39" s="220">
        <f>44/12*'Crops; pasture DISCOUNTED'!HK49</f>
        <v>9.0304060666394861</v>
      </c>
      <c r="T39" s="221">
        <f>44/12*'Crops; pasture DISCOUNTED'!HL49</f>
        <v>582.60684300899914</v>
      </c>
      <c r="U39" s="296">
        <f>44/12*'Crops; pasture DISCOUNTED'!HM49</f>
        <v>37.626691944331199</v>
      </c>
      <c r="V39" s="192">
        <f>44/12*'Crops; pasture DISCOUNTED'!HV49</f>
        <v>15.077448444404489</v>
      </c>
      <c r="W39" s="192">
        <f>44/12*'Crops; pasture DISCOUNTED'!HW49</f>
        <v>16.940953308319649</v>
      </c>
      <c r="X39" s="296">
        <f>44/12*'Crops; pasture DISCOUNTED'!HX49</f>
        <v>1092.9647295690095</v>
      </c>
      <c r="Y39" s="296">
        <f>44/12*'Crops; pasture DISCOUNTED'!HY49</f>
        <v>70.587305451331872</v>
      </c>
      <c r="Z39" s="770">
        <f t="shared" si="33"/>
        <v>2.8973935032048637</v>
      </c>
      <c r="AA39" s="220">
        <f t="shared" si="29"/>
        <v>6.8221549023864814</v>
      </c>
      <c r="AB39" s="296">
        <f t="shared" si="29"/>
        <v>210.03214956178789</v>
      </c>
      <c r="AC39" s="301">
        <f t="shared" si="29"/>
        <v>13.564576325865467</v>
      </c>
      <c r="AD39" s="220">
        <f>44/12*'Crops; pasture DISCOUNTED'!HN49</f>
        <v>3.6455556730763945</v>
      </c>
      <c r="AE39" s="220">
        <f>44/12*'Crops; pasture DISCOUNTED'!HO49</f>
        <v>4.0961299697487581</v>
      </c>
      <c r="AF39" s="221">
        <f>44/12*'Crops; pasture DISCOUNTED'!HP49</f>
        <v>264.26644966121017</v>
      </c>
      <c r="AG39" s="221">
        <f>44/12*'Crops; pasture DISCOUNTED'!HQ49</f>
        <v>17.067208207286491</v>
      </c>
      <c r="AH39" s="220">
        <f>44/12*'Crops; pasture DISCOUNTED'!HZ49</f>
        <v>2.1492313333333333</v>
      </c>
      <c r="AI39" s="220">
        <f>44/12*'Crops; pasture DISCOUNTED'!IA49</f>
        <v>9.5481798350242055</v>
      </c>
      <c r="AJ39" s="221">
        <f>44/12*'Crops; pasture DISCOUNTED'!IB49</f>
        <v>155.79784946236558</v>
      </c>
      <c r="AK39" s="221">
        <f>44/12*'Crops; pasture DISCOUNTED'!IC49</f>
        <v>10.061944444444444</v>
      </c>
      <c r="AL39" s="759">
        <f>'Crops; pasture DISCOUNTED'!IQ49</f>
        <v>0</v>
      </c>
      <c r="AM39" s="407">
        <f>'Crops; pasture DISCOUNTED'!IR49</f>
        <v>0</v>
      </c>
      <c r="AN39" s="296">
        <f>'Crops; pasture DISCOUNTED'!IS49</f>
        <v>0</v>
      </c>
      <c r="AO39" s="301">
        <f>'Crops; pasture DISCOUNTED'!IT49</f>
        <v>0</v>
      </c>
      <c r="AP39" s="761">
        <f>'Crops; pasture DISCOUNTED'!JY49</f>
        <v>0.47700412367999995</v>
      </c>
      <c r="AQ39" s="194">
        <f>'Crops; pasture DISCOUNTED'!JZ49</f>
        <v>0.53595968952808981</v>
      </c>
      <c r="AR39" s="193">
        <f>'Crops; pasture DISCOUNTED'!KA49</f>
        <v>34.578044485683215</v>
      </c>
      <c r="AS39" s="247">
        <f>'Crops; pasture DISCOUNTED'!KB49</f>
        <v>2.2331653730337075</v>
      </c>
      <c r="AT39" s="765">
        <f t="shared" si="30"/>
        <v>11.338522382865632</v>
      </c>
      <c r="AU39" s="189">
        <f t="shared" si="30"/>
        <v>12.739912789736664</v>
      </c>
      <c r="AV39" s="188">
        <f t="shared" si="30"/>
        <v>821.92985740236543</v>
      </c>
      <c r="AW39" s="189">
        <f t="shared" si="30"/>
        <v>53.082969957236109</v>
      </c>
      <c r="AX39" s="189">
        <f t="shared" si="31"/>
        <v>7.9570860503581899</v>
      </c>
      <c r="AY39" s="189">
        <f t="shared" si="31"/>
        <v>8.9405461239979669</v>
      </c>
      <c r="AZ39" s="188">
        <f t="shared" si="31"/>
        <v>576.80942735470762</v>
      </c>
      <c r="BA39" s="189">
        <f t="shared" si="31"/>
        <v>37.252275516658202</v>
      </c>
      <c r="BB39" s="250"/>
      <c r="BC39" s="250"/>
      <c r="BD39" s="250"/>
      <c r="BE39" s="250"/>
      <c r="BF39" s="250"/>
      <c r="BG39" s="250"/>
      <c r="BH39" s="250"/>
      <c r="BI39" s="250"/>
      <c r="BJ39" s="250"/>
      <c r="BK39" s="250"/>
      <c r="BL39" s="250"/>
      <c r="BM39" s="250"/>
      <c r="BN39" s="250"/>
      <c r="BO39" s="250"/>
      <c r="BP39" s="250"/>
      <c r="BQ39" s="250"/>
      <c r="BR39" s="250"/>
      <c r="BS39" s="250"/>
      <c r="BT39" s="250"/>
      <c r="BU39" s="250"/>
      <c r="BV39" s="250"/>
      <c r="BW39" s="250"/>
      <c r="BX39" s="250"/>
      <c r="BY39" s="250"/>
      <c r="BZ39" s="250"/>
    </row>
    <row r="40" spans="1:78" x14ac:dyDescent="0.25">
      <c r="A40" s="243" t="s">
        <v>314</v>
      </c>
      <c r="B40" s="770">
        <f t="shared" si="27"/>
        <v>7.2671815395905668</v>
      </c>
      <c r="C40" s="220">
        <f t="shared" si="27"/>
        <v>8.0746461551006288</v>
      </c>
      <c r="D40" s="296">
        <f t="shared" si="27"/>
        <v>538.30974367337535</v>
      </c>
      <c r="E40" s="299">
        <f t="shared" si="27"/>
        <v>29.90609687074307</v>
      </c>
      <c r="F40" s="220">
        <f>44/12*'Crops; pasture DISCOUNTED'!HF50</f>
        <v>5.1931356446977066</v>
      </c>
      <c r="G40" s="220">
        <f>44/12*'Crops; pasture DISCOUNTED'!HG50</f>
        <v>5.770150716330785</v>
      </c>
      <c r="H40" s="221">
        <f>44/12*'Crops; pasture DISCOUNTED'!HH50</f>
        <v>384.67671442205238</v>
      </c>
      <c r="I40" s="221">
        <f>44/12*'Crops; pasture DISCOUNTED'!HI50</f>
        <v>21.370928579002904</v>
      </c>
      <c r="J40" s="220">
        <f>44/12*'Crops; pasture DISCOUNTED'!HR50</f>
        <v>9.341227434483427</v>
      </c>
      <c r="K40" s="220">
        <f>44/12*'Crops; pasture DISCOUNTED'!HS50</f>
        <v>10.379141593870473</v>
      </c>
      <c r="L40" s="221">
        <f>44/12*'Crops; pasture DISCOUNTED'!HT50</f>
        <v>691.94277292469826</v>
      </c>
      <c r="M40" s="221">
        <f>44/12*'Crops; pasture DISCOUNTED'!HU50</f>
        <v>38.441265162483241</v>
      </c>
      <c r="N40" s="770">
        <f t="shared" si="32"/>
        <v>8.0057564203610259</v>
      </c>
      <c r="O40" s="220">
        <f t="shared" si="28"/>
        <v>8.8952849115122508</v>
      </c>
      <c r="P40" s="296">
        <f t="shared" si="28"/>
        <v>593.01899410081671</v>
      </c>
      <c r="Q40" s="301">
        <f t="shared" si="28"/>
        <v>32.945499672267587</v>
      </c>
      <c r="R40" s="220">
        <f>44/12*'Crops; pasture DISCOUNTED'!HJ50</f>
        <v>5.881292750963274</v>
      </c>
      <c r="S40" s="220">
        <f>44/12*'Crops; pasture DISCOUNTED'!HK50</f>
        <v>6.5347697232925261</v>
      </c>
      <c r="T40" s="221">
        <f>44/12*'Crops; pasture DISCOUNTED'!HL50</f>
        <v>435.65131488616845</v>
      </c>
      <c r="U40" s="296">
        <f>44/12*'Crops; pasture DISCOUNTED'!HM50</f>
        <v>24.202850827009353</v>
      </c>
      <c r="V40" s="192">
        <f>44/12*'Crops; pasture DISCOUNTED'!HV50</f>
        <v>10.130220089758778</v>
      </c>
      <c r="W40" s="192">
        <f>44/12*'Crops; pasture DISCOUNTED'!HW50</f>
        <v>11.255800099731974</v>
      </c>
      <c r="X40" s="296">
        <f>44/12*'Crops; pasture DISCOUNTED'!HX50</f>
        <v>750.38667331546492</v>
      </c>
      <c r="Y40" s="296">
        <f>44/12*'Crops; pasture DISCOUNTED'!HY50</f>
        <v>41.688148517525825</v>
      </c>
      <c r="Z40" s="770">
        <f t="shared" si="33"/>
        <v>2.4905261907522442</v>
      </c>
      <c r="AA40" s="220">
        <f t="shared" si="29"/>
        <v>4.5987187970342394</v>
      </c>
      <c r="AB40" s="296">
        <f t="shared" si="29"/>
        <v>184.48342153720324</v>
      </c>
      <c r="AC40" s="301">
        <f t="shared" si="29"/>
        <v>10.24907897428907</v>
      </c>
      <c r="AD40" s="220">
        <f>44/12*'Crops; pasture DISCOUNTED'!HN50</f>
        <v>2.2783523815044879</v>
      </c>
      <c r="AE40" s="220">
        <f>44/12*'Crops; pasture DISCOUNTED'!HO50</f>
        <v>2.5315026461160977</v>
      </c>
      <c r="AF40" s="221">
        <f>44/12*'Crops; pasture DISCOUNTED'!HP50</f>
        <v>168.76684307440649</v>
      </c>
      <c r="AG40" s="221">
        <f>44/12*'Crops; pasture DISCOUNTED'!HQ50</f>
        <v>9.375935726355916</v>
      </c>
      <c r="AH40" s="220">
        <f>44/12*'Crops; pasture DISCOUNTED'!HZ50</f>
        <v>2.7027000000000001</v>
      </c>
      <c r="AI40" s="220">
        <f>44/12*'Crops; pasture DISCOUNTED'!IA50</f>
        <v>6.6659349479523806</v>
      </c>
      <c r="AJ40" s="221">
        <f>44/12*'Crops; pasture DISCOUNTED'!IB50</f>
        <v>200.20000000000002</v>
      </c>
      <c r="AK40" s="221">
        <f>44/12*'Crops; pasture DISCOUNTED'!IC50</f>
        <v>11.122222222222222</v>
      </c>
      <c r="AL40" s="759">
        <f>'Crops; pasture DISCOUNTED'!IQ50</f>
        <v>0.66933200277816374</v>
      </c>
      <c r="AM40" s="407">
        <f>'Crops; pasture DISCOUNTED'!IR50</f>
        <v>0.74370222530907082</v>
      </c>
      <c r="AN40" s="296">
        <f>'Crops; pasture DISCOUNTED'!IS50</f>
        <v>49.580148353938057</v>
      </c>
      <c r="AO40" s="301">
        <f>'Crops; pasture DISCOUNTED'!IT50</f>
        <v>2.7544526863298917</v>
      </c>
      <c r="AP40" s="761">
        <f>'Crops; pasture DISCOUNTED'!JY50</f>
        <v>0.47700412368</v>
      </c>
      <c r="AQ40" s="194">
        <f>'Crops; pasture DISCOUNTED'!JZ50</f>
        <v>0.53000458186666666</v>
      </c>
      <c r="AR40" s="193">
        <f>'Crops; pasture DISCOUNTED'!KA50</f>
        <v>35.333638791111106</v>
      </c>
      <c r="AS40" s="247">
        <f>'Crops; pasture DISCOUNTED'!KB50</f>
        <v>1.9629799328395061</v>
      </c>
      <c r="AT40" s="765">
        <f t="shared" si="30"/>
        <v>8.4135176660487314</v>
      </c>
      <c r="AU40" s="189">
        <f t="shared" si="30"/>
        <v>9.3483529622763655</v>
      </c>
      <c r="AV40" s="188">
        <f t="shared" si="30"/>
        <v>623.22353081842448</v>
      </c>
      <c r="AW40" s="189">
        <f t="shared" si="30"/>
        <v>34.623529489912471</v>
      </c>
      <c r="AX40" s="189">
        <f t="shared" si="31"/>
        <v>6.3394717711558712</v>
      </c>
      <c r="AY40" s="189">
        <f t="shared" si="31"/>
        <v>7.0438575235065226</v>
      </c>
      <c r="AZ40" s="188">
        <f t="shared" si="31"/>
        <v>469.59050156710157</v>
      </c>
      <c r="BA40" s="189">
        <f t="shared" si="31"/>
        <v>26.088361198172301</v>
      </c>
      <c r="BB40" s="250"/>
      <c r="BC40" s="250"/>
      <c r="BD40" s="250"/>
      <c r="BE40" s="250"/>
      <c r="BF40" s="250"/>
      <c r="BG40" s="250"/>
      <c r="BH40" s="250"/>
      <c r="BI40" s="250"/>
      <c r="BJ40" s="250"/>
      <c r="BK40" s="250"/>
      <c r="BL40" s="250"/>
      <c r="BM40" s="250"/>
      <c r="BN40" s="250"/>
      <c r="BO40" s="250"/>
      <c r="BP40" s="250"/>
      <c r="BQ40" s="250"/>
      <c r="BR40" s="250"/>
      <c r="BS40" s="250"/>
      <c r="BT40" s="250"/>
      <c r="BU40" s="250"/>
      <c r="BV40" s="250"/>
      <c r="BW40" s="250"/>
      <c r="BX40" s="250"/>
      <c r="BY40" s="250"/>
      <c r="BZ40" s="250"/>
    </row>
    <row r="41" spans="1:78" x14ac:dyDescent="0.25">
      <c r="A41" s="243"/>
      <c r="R41" s="222"/>
      <c r="S41" s="222"/>
      <c r="T41" s="223"/>
      <c r="U41" s="223"/>
      <c r="BB41" s="250"/>
      <c r="BC41" s="250"/>
      <c r="BD41" s="250"/>
      <c r="BE41" s="250"/>
      <c r="BF41" s="250"/>
      <c r="BG41" s="250"/>
      <c r="BH41" s="250"/>
      <c r="BI41" s="250"/>
      <c r="BJ41" s="250"/>
      <c r="BK41" s="250"/>
      <c r="BL41" s="250"/>
      <c r="BM41" s="250"/>
      <c r="BN41" s="250"/>
      <c r="BO41" s="250"/>
      <c r="BP41" s="250"/>
      <c r="BQ41" s="250"/>
      <c r="BR41" s="250"/>
      <c r="BS41" s="250"/>
      <c r="BT41" s="250"/>
      <c r="BU41" s="250"/>
      <c r="BV41" s="250"/>
      <c r="BW41" s="250"/>
      <c r="BX41" s="250"/>
      <c r="BY41" s="250"/>
      <c r="BZ41" s="250"/>
    </row>
    <row r="42" spans="1:78" ht="13.8" x14ac:dyDescent="0.3">
      <c r="A42" s="237" t="s">
        <v>81</v>
      </c>
      <c r="B42" s="771"/>
      <c r="C42" s="319">
        <f t="shared" ref="C42:E46" si="34">(G42+K42)/2</f>
        <v>5.1722495803100532</v>
      </c>
      <c r="D42" s="320">
        <f t="shared" si="34"/>
        <v>517.22495803100537</v>
      </c>
      <c r="E42" s="319"/>
      <c r="F42" s="319"/>
      <c r="G42" s="319">
        <f>44/12*'Crops; pasture DISCOUNTED'!HG52</f>
        <v>5.2448050494495986</v>
      </c>
      <c r="H42" s="321">
        <f>44/12*'Crops; pasture DISCOUNTED'!HH52</f>
        <v>524.48050494495988</v>
      </c>
      <c r="I42" s="321"/>
      <c r="J42" s="319"/>
      <c r="K42" s="319">
        <f>44/12*'Crops; pasture DISCOUNTED'!HS52</f>
        <v>5.099694111170507</v>
      </c>
      <c r="L42" s="321">
        <f>44/12*'Crops; pasture DISCOUNTED'!HT52</f>
        <v>509.96941111705075</v>
      </c>
      <c r="M42" s="321"/>
      <c r="N42" s="771"/>
      <c r="O42" s="319">
        <f t="shared" ref="O42:Q46" si="35">(S42+W42)/2</f>
        <v>5.7913369560689141</v>
      </c>
      <c r="P42" s="329">
        <f t="shared" si="35"/>
        <v>579.13369560689148</v>
      </c>
      <c r="Q42" s="319"/>
      <c r="R42" s="319"/>
      <c r="S42" s="319">
        <f>44/12*'Crops; pasture DISCOUNTED'!HK52</f>
        <v>5.9483680898293541</v>
      </c>
      <c r="T42" s="320">
        <f>44/12*'Crops; pasture DISCOUNTED'!HL52</f>
        <v>594.83680898293551</v>
      </c>
      <c r="U42" s="320"/>
      <c r="V42" s="322"/>
      <c r="W42" s="322">
        <f>44/12*'Crops; pasture DISCOUNTED'!HW52</f>
        <v>5.6343058223084732</v>
      </c>
      <c r="X42" s="320">
        <f>44/12*'Crops; pasture DISCOUNTED'!HX52</f>
        <v>563.43058223084734</v>
      </c>
      <c r="Y42" s="321"/>
      <c r="Z42" s="771"/>
      <c r="AA42" s="319">
        <f t="shared" ref="AA42:AC46" si="36">(AE42+AI42)/2</f>
        <v>2.0927388150496324</v>
      </c>
      <c r="AB42" s="329">
        <f t="shared" si="36"/>
        <v>489.32409568738234</v>
      </c>
      <c r="AC42" s="319"/>
      <c r="AD42" s="319"/>
      <c r="AE42" s="319">
        <f>44/12*'Crops; pasture DISCOUNTED'!HO52</f>
        <v>1.7450891099458832</v>
      </c>
      <c r="AF42" s="321">
        <f>44/12*'Crops; pasture DISCOUNTED'!HP52</f>
        <v>174.50891099458832</v>
      </c>
      <c r="AG42" s="321"/>
      <c r="AH42" s="319"/>
      <c r="AI42" s="319">
        <f>44/12*'Crops; pasture DISCOUNTED'!IA52</f>
        <v>2.4403885201533817</v>
      </c>
      <c r="AJ42" s="321">
        <f>44/12*'Crops; pasture DISCOUNTED'!IB52</f>
        <v>804.13928038017639</v>
      </c>
      <c r="AK42" s="321"/>
      <c r="AL42" s="758">
        <f>'Crops; pasture DISCOUNTED'!IQ52</f>
        <v>6.8684797930187683E-2</v>
      </c>
      <c r="AM42" s="320"/>
      <c r="AN42" s="320"/>
      <c r="AO42" s="320"/>
      <c r="AP42" s="766">
        <f>'Crops; pasture DISCOUNTED'!JY52</f>
        <v>0.1232951944650684</v>
      </c>
      <c r="AQ42" s="324">
        <f>'Crops; pasture DISCOUNTED'!JZ52</f>
        <v>0.64247476207774312</v>
      </c>
      <c r="AR42" s="325">
        <f>'Crops; pasture DISCOUNTED'!KA52</f>
        <v>64.247476207774312</v>
      </c>
      <c r="AS42" s="323"/>
      <c r="AT42" s="764"/>
      <c r="AU42" s="323"/>
      <c r="AV42" s="323"/>
      <c r="AW42" s="323"/>
      <c r="AX42" s="323"/>
      <c r="AY42" s="323"/>
      <c r="AZ42" s="323"/>
      <c r="BA42" s="323"/>
      <c r="BB42" s="250"/>
      <c r="BC42" s="250"/>
      <c r="BD42" s="250"/>
      <c r="BE42" s="250"/>
      <c r="BF42" s="250"/>
      <c r="BG42" s="250"/>
      <c r="BH42" s="250"/>
      <c r="BI42" s="250"/>
      <c r="BJ42" s="250"/>
      <c r="BK42" s="250"/>
      <c r="BL42" s="250"/>
      <c r="BM42" s="250"/>
      <c r="BN42" s="250"/>
      <c r="BO42" s="250"/>
      <c r="BP42" s="250"/>
      <c r="BQ42" s="250"/>
      <c r="BR42" s="250"/>
      <c r="BS42" s="250"/>
      <c r="BT42" s="250"/>
      <c r="BU42" s="250"/>
      <c r="BV42" s="250"/>
      <c r="BW42" s="250"/>
      <c r="BX42" s="250"/>
      <c r="BY42" s="250"/>
      <c r="BZ42" s="250"/>
    </row>
    <row r="43" spans="1:78" x14ac:dyDescent="0.25">
      <c r="A43" s="243" t="s">
        <v>71</v>
      </c>
      <c r="B43" s="770">
        <f t="shared" ref="B43:B46" si="37">(F43+J43)/2</f>
        <v>0.97288931139701951</v>
      </c>
      <c r="C43" s="220">
        <f t="shared" si="34"/>
        <v>3.891557245588078</v>
      </c>
      <c r="D43" s="297">
        <f t="shared" si="34"/>
        <v>389.15572455880778</v>
      </c>
      <c r="E43" s="220">
        <f t="shared" si="34"/>
        <v>129.71857485293594</v>
      </c>
      <c r="F43" s="220">
        <f>44/12*'Crops; pasture DISCOUNTED'!HF53</f>
        <v>1.0411130171274465</v>
      </c>
      <c r="G43" s="220">
        <f>44/12*'Crops; pasture DISCOUNTED'!HG53</f>
        <v>4.1644520685097861</v>
      </c>
      <c r="H43" s="221">
        <f>44/12*'Crops; pasture DISCOUNTED'!HH53</f>
        <v>416.44520685097859</v>
      </c>
      <c r="I43" s="221">
        <f>44/12*'Crops; pasture DISCOUNTED'!HI53</f>
        <v>138.81506895032621</v>
      </c>
      <c r="J43" s="220">
        <f>44/12*'Crops; pasture DISCOUNTED'!HR53</f>
        <v>0.90466560566659249</v>
      </c>
      <c r="K43" s="220">
        <f>44/12*'Crops; pasture DISCOUNTED'!HS53</f>
        <v>3.6186624226663699</v>
      </c>
      <c r="L43" s="221">
        <f>44/12*'Crops; pasture DISCOUNTED'!HT53</f>
        <v>361.86624226663696</v>
      </c>
      <c r="M43" s="221">
        <f>44/12*'Crops; pasture DISCOUNTED'!HU53</f>
        <v>120.62208075554568</v>
      </c>
      <c r="N43" s="770">
        <f t="shared" ref="N43:N46" si="38">(R43+V43)/2</f>
        <v>1.0597040788801926</v>
      </c>
      <c r="O43" s="220">
        <f t="shared" si="35"/>
        <v>4.2388163155207703</v>
      </c>
      <c r="P43" s="249">
        <f t="shared" si="35"/>
        <v>423.88163155207701</v>
      </c>
      <c r="Q43" s="220">
        <f t="shared" si="35"/>
        <v>141.29387718402569</v>
      </c>
      <c r="R43" s="220">
        <f>44/12*'Crops; pasture DISCOUNTED'!HJ53</f>
        <v>1.1406965920709708</v>
      </c>
      <c r="S43" s="220">
        <f>44/12*'Crops; pasture DISCOUNTED'!HK53</f>
        <v>4.5627863682838834</v>
      </c>
      <c r="T43" s="296">
        <f>44/12*'Crops; pasture DISCOUNTED'!HL53</f>
        <v>456.27863682838836</v>
      </c>
      <c r="U43" s="296">
        <f>44/12*'Crops; pasture DISCOUNTED'!HM53</f>
        <v>152.09287894279612</v>
      </c>
      <c r="V43" s="192">
        <f>44/12*'Crops; pasture DISCOUNTED'!HV53</f>
        <v>0.97871156568941409</v>
      </c>
      <c r="W43" s="192">
        <f>44/12*'Crops; pasture DISCOUNTED'!HW53</f>
        <v>3.9148462627576563</v>
      </c>
      <c r="X43" s="296">
        <f>44/12*'Crops; pasture DISCOUNTED'!HX53</f>
        <v>391.48462627576566</v>
      </c>
      <c r="Y43" s="221">
        <f>44/12*'Crops; pasture DISCOUNTED'!HY53</f>
        <v>130.49487542525523</v>
      </c>
      <c r="Z43" s="770">
        <f t="shared" ref="Z43:Z46" si="39">(AD43+AH43)/2</f>
        <v>2.1953594611816598</v>
      </c>
      <c r="AA43" s="220">
        <f t="shared" si="36"/>
        <v>1.9068880959059153</v>
      </c>
      <c r="AB43" s="249">
        <f t="shared" si="36"/>
        <v>878.14378447266392</v>
      </c>
      <c r="AC43" s="220">
        <f t="shared" si="36"/>
        <v>292.71459482422136</v>
      </c>
      <c r="AD43" s="220">
        <f>44/12*'Crops; pasture DISCOUNTED'!HN53</f>
        <v>0.47196892236331967</v>
      </c>
      <c r="AE43" s="220">
        <f>44/12*'Crops; pasture DISCOUNTED'!HO53</f>
        <v>1.8878756894532787</v>
      </c>
      <c r="AF43" s="221">
        <f>44/12*'Crops; pasture DISCOUNTED'!HP53</f>
        <v>188.78756894532785</v>
      </c>
      <c r="AG43" s="221">
        <f>44/12*'Crops; pasture DISCOUNTED'!HQ53</f>
        <v>62.92918964844263</v>
      </c>
      <c r="AH43" s="220">
        <f>44/12*'Crops; pasture DISCOUNTED'!HZ53</f>
        <v>3.9187500000000002</v>
      </c>
      <c r="AI43" s="220">
        <f>44/12*'Crops; pasture DISCOUNTED'!IA53</f>
        <v>1.925900502358552</v>
      </c>
      <c r="AJ43" s="221">
        <f>44/12*'Crops; pasture DISCOUNTED'!IB53</f>
        <v>1567.5</v>
      </c>
      <c r="AK43" s="221">
        <f>44/12*'Crops; pasture DISCOUNTED'!IC53</f>
        <v>522.50000000000011</v>
      </c>
      <c r="AL43" s="759">
        <f>'Crops; pasture DISCOUNTED'!IQ53</f>
        <v>0.10156173183356558</v>
      </c>
      <c r="AM43" s="407">
        <f>'Crops; pasture DISCOUNTED'!IR53</f>
        <v>0.40624692733426232</v>
      </c>
      <c r="AN43" s="249">
        <f>'Crops; pasture DISCOUNTED'!IS53</f>
        <v>40.62469273342623</v>
      </c>
      <c r="AO43" s="220">
        <f>'Crops; pasture DISCOUNTED'!IT53</f>
        <v>13.541564244475412</v>
      </c>
      <c r="AP43" s="761">
        <f>'Crops; pasture DISCOUNTED'!JY53</f>
        <v>7.9377231520000008E-2</v>
      </c>
      <c r="AQ43" s="194">
        <f>'Crops; pasture DISCOUNTED'!JZ53</f>
        <v>0.31750892608000003</v>
      </c>
      <c r="AR43" s="248">
        <f>'Crops; pasture DISCOUNTED'!KA53</f>
        <v>31.750892608000004</v>
      </c>
      <c r="AS43" s="189">
        <f>'Crops; pasture DISCOUNTED'!KB53</f>
        <v>10.583630869333335</v>
      </c>
      <c r="AT43" s="765">
        <f t="shared" ref="AT43:AW46" si="40">B43+AL43+AP43</f>
        <v>1.1538282747505852</v>
      </c>
      <c r="AU43" s="189">
        <f t="shared" si="40"/>
        <v>4.615313099002341</v>
      </c>
      <c r="AV43" s="188">
        <f t="shared" si="40"/>
        <v>461.53130990023402</v>
      </c>
      <c r="AW43" s="189">
        <f t="shared" si="40"/>
        <v>153.8437699667447</v>
      </c>
      <c r="AX43" s="189">
        <f t="shared" ref="AX43:BA46" si="41">F43+AL43+AP43</f>
        <v>1.2220519804810122</v>
      </c>
      <c r="AY43" s="189">
        <f t="shared" si="41"/>
        <v>4.8882079219240486</v>
      </c>
      <c r="AZ43" s="188">
        <f t="shared" si="41"/>
        <v>488.82079219240484</v>
      </c>
      <c r="BA43" s="189">
        <f t="shared" si="41"/>
        <v>162.94026406413496</v>
      </c>
      <c r="BB43" s="250"/>
      <c r="BC43" s="250"/>
      <c r="BD43" s="250"/>
      <c r="BE43" s="250"/>
      <c r="BF43" s="250"/>
      <c r="BG43" s="250"/>
      <c r="BH43" s="250"/>
      <c r="BI43" s="250"/>
      <c r="BJ43" s="250"/>
      <c r="BK43" s="250"/>
      <c r="BL43" s="250"/>
      <c r="BM43" s="250"/>
      <c r="BN43" s="250"/>
      <c r="BO43" s="250"/>
      <c r="BP43" s="250"/>
      <c r="BQ43" s="250"/>
      <c r="BR43" s="250"/>
      <c r="BS43" s="250"/>
      <c r="BT43" s="250"/>
      <c r="BU43" s="250"/>
      <c r="BV43" s="250"/>
      <c r="BW43" s="250"/>
      <c r="BX43" s="250"/>
      <c r="BY43" s="250"/>
      <c r="BZ43" s="250"/>
    </row>
    <row r="44" spans="1:78" x14ac:dyDescent="0.25">
      <c r="A44" s="243" t="s">
        <v>312</v>
      </c>
      <c r="B44" s="770">
        <f t="shared" si="37"/>
        <v>2.566390894709258</v>
      </c>
      <c r="C44" s="220">
        <f t="shared" si="34"/>
        <v>7.3325454134550236</v>
      </c>
      <c r="D44" s="297">
        <f t="shared" si="34"/>
        <v>733.25454134550239</v>
      </c>
      <c r="E44" s="220">
        <f t="shared" si="34"/>
        <v>366.62727067275114</v>
      </c>
      <c r="F44" s="220">
        <f>44/12*'Crops; pasture DISCOUNTED'!HF54</f>
        <v>2.8637210407098741</v>
      </c>
      <c r="G44" s="220">
        <f>44/12*'Crops; pasture DISCOUNTED'!HG54</f>
        <v>8.1820601163139273</v>
      </c>
      <c r="H44" s="221">
        <f>44/12*'Crops; pasture DISCOUNTED'!HH54</f>
        <v>818.2060116313927</v>
      </c>
      <c r="I44" s="221">
        <f>44/12*'Crops; pasture DISCOUNTED'!HI54</f>
        <v>409.10300581569635</v>
      </c>
      <c r="J44" s="220">
        <f>44/12*'Crops; pasture DISCOUNTED'!HR54</f>
        <v>2.2690607487086418</v>
      </c>
      <c r="K44" s="220">
        <f>44/12*'Crops; pasture DISCOUNTED'!HS54</f>
        <v>6.48303071059612</v>
      </c>
      <c r="L44" s="221">
        <f>44/12*'Crops; pasture DISCOUNTED'!HT54</f>
        <v>648.30307105961208</v>
      </c>
      <c r="M44" s="221">
        <f>44/12*'Crops; pasture DISCOUNTED'!HU54</f>
        <v>324.15153552980598</v>
      </c>
      <c r="N44" s="770">
        <f t="shared" si="38"/>
        <v>2.5902002640177662</v>
      </c>
      <c r="O44" s="220">
        <f t="shared" si="35"/>
        <v>7.4005721829079043</v>
      </c>
      <c r="P44" s="249">
        <f t="shared" si="35"/>
        <v>740.05721829079039</v>
      </c>
      <c r="Q44" s="220">
        <f t="shared" si="35"/>
        <v>370.02860914539519</v>
      </c>
      <c r="R44" s="220">
        <f>44/12*'Crops; pasture DISCOUNTED'!HJ54</f>
        <v>2.8940661327774748</v>
      </c>
      <c r="S44" s="220">
        <f>44/12*'Crops; pasture DISCOUNTED'!HK54</f>
        <v>8.268760379364215</v>
      </c>
      <c r="T44" s="296">
        <f>44/12*'Crops; pasture DISCOUNTED'!HL54</f>
        <v>826.87603793642143</v>
      </c>
      <c r="U44" s="296">
        <f>44/12*'Crops; pasture DISCOUNTED'!HM54</f>
        <v>413.43801896821071</v>
      </c>
      <c r="V44" s="192">
        <f>44/12*'Crops; pasture DISCOUNTED'!HV54</f>
        <v>2.2863343952580579</v>
      </c>
      <c r="W44" s="192">
        <f>44/12*'Crops; pasture DISCOUNTED'!HW54</f>
        <v>6.5323839864515936</v>
      </c>
      <c r="X44" s="296">
        <f>44/12*'Crops; pasture DISCOUNTED'!HX54</f>
        <v>653.23839864515935</v>
      </c>
      <c r="Y44" s="221">
        <f>44/12*'Crops; pasture DISCOUNTED'!HY54</f>
        <v>326.61919932257962</v>
      </c>
      <c r="Z44" s="770">
        <f t="shared" si="39"/>
        <v>2.3627189471753001</v>
      </c>
      <c r="AA44" s="220">
        <f t="shared" si="36"/>
        <v>3.8131510353982971</v>
      </c>
      <c r="AB44" s="249">
        <f t="shared" si="36"/>
        <v>675.06255633580008</v>
      </c>
      <c r="AC44" s="220">
        <f t="shared" si="36"/>
        <v>337.53127816790004</v>
      </c>
      <c r="AD44" s="220">
        <f>44/12*'Crops; pasture DISCOUNTED'!HN54</f>
        <v>1.2938045610172675</v>
      </c>
      <c r="AE44" s="220">
        <f>44/12*'Crops; pasture DISCOUNTED'!HO54</f>
        <v>3.6965844600493356</v>
      </c>
      <c r="AF44" s="221">
        <f>44/12*'Crops; pasture DISCOUNTED'!HP54</f>
        <v>369.65844600493358</v>
      </c>
      <c r="AG44" s="221">
        <f>44/12*'Crops; pasture DISCOUNTED'!HQ54</f>
        <v>184.82922300246679</v>
      </c>
      <c r="AH44" s="220">
        <f>44/12*'Crops; pasture DISCOUNTED'!HZ54</f>
        <v>3.4316333333333331</v>
      </c>
      <c r="AI44" s="220">
        <f>44/12*'Crops; pasture DISCOUNTED'!IA54</f>
        <v>3.9297176107472582</v>
      </c>
      <c r="AJ44" s="221">
        <f>44/12*'Crops; pasture DISCOUNTED'!IB54</f>
        <v>980.46666666666658</v>
      </c>
      <c r="AK44" s="221">
        <f>44/12*'Crops; pasture DISCOUNTED'!IC54</f>
        <v>490.23333333333329</v>
      </c>
      <c r="AL44" s="759">
        <f>'Crops; pasture DISCOUNTED'!IQ54</f>
        <v>0.21367341654970581</v>
      </c>
      <c r="AM44" s="407">
        <f>'Crops; pasture DISCOUNTED'!IR54</f>
        <v>0.61049547585630237</v>
      </c>
      <c r="AN44" s="249">
        <f>'Crops; pasture DISCOUNTED'!IS54</f>
        <v>61.049547585630236</v>
      </c>
      <c r="AO44" s="220">
        <f>'Crops; pasture DISCOUNTED'!IT54</f>
        <v>30.524773792815118</v>
      </c>
      <c r="AP44" s="761">
        <f>'Crops; pasture DISCOUNTED'!JY54</f>
        <v>9.5344731240000008E-2</v>
      </c>
      <c r="AQ44" s="194">
        <f>'Crops; pasture DISCOUNTED'!JZ54</f>
        <v>0.27241351782857148</v>
      </c>
      <c r="AR44" s="248">
        <f>'Crops; pasture DISCOUNTED'!KA54</f>
        <v>27.241351782857144</v>
      </c>
      <c r="AS44" s="189">
        <f>'Crops; pasture DISCOUNTED'!KB54</f>
        <v>13.620675891428574</v>
      </c>
      <c r="AT44" s="765">
        <f t="shared" si="40"/>
        <v>2.8754090424989638</v>
      </c>
      <c r="AU44" s="189">
        <f t="shared" si="40"/>
        <v>8.2154544071398981</v>
      </c>
      <c r="AV44" s="188">
        <f t="shared" si="40"/>
        <v>821.54544071398971</v>
      </c>
      <c r="AW44" s="189">
        <f t="shared" si="40"/>
        <v>410.7727203569948</v>
      </c>
      <c r="AX44" s="189">
        <f t="shared" si="41"/>
        <v>3.1727391884995799</v>
      </c>
      <c r="AY44" s="189">
        <f t="shared" si="41"/>
        <v>9.0649691099988008</v>
      </c>
      <c r="AZ44" s="188">
        <f t="shared" si="41"/>
        <v>906.49691099988001</v>
      </c>
      <c r="BA44" s="189">
        <f t="shared" si="41"/>
        <v>453.24845549994001</v>
      </c>
      <c r="BB44" s="250"/>
      <c r="BC44" s="250"/>
      <c r="BD44" s="250"/>
      <c r="BE44" s="250"/>
      <c r="BF44" s="250"/>
      <c r="BG44" s="250"/>
      <c r="BH44" s="250"/>
      <c r="BI44" s="250"/>
      <c r="BJ44" s="250"/>
      <c r="BK44" s="250"/>
      <c r="BL44" s="250"/>
      <c r="BM44" s="250"/>
      <c r="BN44" s="250"/>
      <c r="BO44" s="250"/>
      <c r="BP44" s="250"/>
      <c r="BQ44" s="250"/>
      <c r="BR44" s="250"/>
      <c r="BS44" s="250"/>
      <c r="BT44" s="250"/>
      <c r="BU44" s="250"/>
      <c r="BV44" s="250"/>
      <c r="BW44" s="250"/>
      <c r="BX44" s="250"/>
      <c r="BY44" s="250"/>
      <c r="BZ44" s="250"/>
    </row>
    <row r="45" spans="1:78" x14ac:dyDescent="0.25">
      <c r="A45" s="244" t="s">
        <v>357</v>
      </c>
      <c r="B45" s="770">
        <f t="shared" si="37"/>
        <v>0.97968766004697483</v>
      </c>
      <c r="C45" s="220">
        <f t="shared" si="34"/>
        <v>5.4427092224831934</v>
      </c>
      <c r="D45" s="297">
        <f t="shared" si="34"/>
        <v>544.27092224831938</v>
      </c>
      <c r="E45" s="220">
        <f t="shared" si="34"/>
        <v>155.50597778523408</v>
      </c>
      <c r="F45" s="220">
        <f>44/12*'Crops; pasture DISCOUNTED'!HF55</f>
        <v>0.90179931835592242</v>
      </c>
      <c r="G45" s="220">
        <f>44/12*'Crops; pasture DISCOUNTED'!HG55</f>
        <v>5.0099962130884581</v>
      </c>
      <c r="H45" s="221">
        <f>44/12*'Crops; pasture DISCOUNTED'!HH55</f>
        <v>500.99962130884586</v>
      </c>
      <c r="I45" s="221">
        <f>44/12*'Crops; pasture DISCOUNTED'!HI55</f>
        <v>143.14274894538448</v>
      </c>
      <c r="J45" s="220">
        <f>44/12*'Crops; pasture DISCOUNTED'!HR55</f>
        <v>1.0575760017380271</v>
      </c>
      <c r="K45" s="220">
        <f>44/12*'Crops; pasture DISCOUNTED'!HS55</f>
        <v>5.8754222318779288</v>
      </c>
      <c r="L45" s="221">
        <f>44/12*'Crops; pasture DISCOUNTED'!HT55</f>
        <v>587.54222318779284</v>
      </c>
      <c r="M45" s="221">
        <f>44/12*'Crops; pasture DISCOUNTED'!HU55</f>
        <v>167.86920662508368</v>
      </c>
      <c r="N45" s="770">
        <f t="shared" si="38"/>
        <v>1.1010620082543778</v>
      </c>
      <c r="O45" s="220">
        <f t="shared" si="35"/>
        <v>6.1170111569687657</v>
      </c>
      <c r="P45" s="249">
        <f t="shared" si="35"/>
        <v>611.70111569687651</v>
      </c>
      <c r="Q45" s="220">
        <f t="shared" si="35"/>
        <v>174.77174734196473</v>
      </c>
      <c r="R45" s="220">
        <f>44/12*'Crops; pasture DISCOUNTED'!HJ55</f>
        <v>1.0279335813614019</v>
      </c>
      <c r="S45" s="220">
        <f>44/12*'Crops; pasture DISCOUNTED'!HK55</f>
        <v>5.7107421186744558</v>
      </c>
      <c r="T45" s="296">
        <f>44/12*'Crops; pasture DISCOUNTED'!HL55</f>
        <v>571.07421186744546</v>
      </c>
      <c r="U45" s="296">
        <f>44/12*'Crops; pasture DISCOUNTED'!HM55</f>
        <v>163.16406053355584</v>
      </c>
      <c r="V45" s="192">
        <f>44/12*'Crops; pasture DISCOUNTED'!HV55</f>
        <v>1.1741904351473536</v>
      </c>
      <c r="W45" s="192">
        <f>44/12*'Crops; pasture DISCOUNTED'!HW55</f>
        <v>6.5232801952630757</v>
      </c>
      <c r="X45" s="296">
        <f>44/12*'Crops; pasture DISCOUNTED'!HX55</f>
        <v>652.32801952630757</v>
      </c>
      <c r="Y45" s="221">
        <f>44/12*'Crops; pasture DISCOUNTED'!HY55</f>
        <v>186.37943415037358</v>
      </c>
      <c r="Z45" s="770">
        <f t="shared" si="39"/>
        <v>0.70694362504049479</v>
      </c>
      <c r="AA45" s="220">
        <f t="shared" si="36"/>
        <v>2.6105119210279835</v>
      </c>
      <c r="AB45" s="249">
        <f t="shared" si="36"/>
        <v>392.74645835583044</v>
      </c>
      <c r="AC45" s="220">
        <f t="shared" si="36"/>
        <v>112.21327381595155</v>
      </c>
      <c r="AD45" s="220">
        <f>44/12*'Crops; pasture DISCOUNTED'!HN55</f>
        <v>0.37201125008098984</v>
      </c>
      <c r="AE45" s="220">
        <f>44/12*'Crops; pasture DISCOUNTED'!HO55</f>
        <v>2.0667291671166104</v>
      </c>
      <c r="AF45" s="221">
        <f>44/12*'Crops; pasture DISCOUNTED'!HP55</f>
        <v>206.67291671166106</v>
      </c>
      <c r="AG45" s="221">
        <f>44/12*'Crops; pasture DISCOUNTED'!HQ55</f>
        <v>59.049404774760298</v>
      </c>
      <c r="AH45" s="220">
        <f>44/12*'Crops; pasture DISCOUNTED'!HZ55</f>
        <v>1.0418759999999998</v>
      </c>
      <c r="AI45" s="220">
        <f>44/12*'Crops; pasture DISCOUNTED'!IA55</f>
        <v>3.154294674939357</v>
      </c>
      <c r="AJ45" s="221">
        <f>44/12*'Crops; pasture DISCOUNTED'!IB55</f>
        <v>578.81999999999982</v>
      </c>
      <c r="AK45" s="221">
        <f>44/12*'Crops; pasture DISCOUNTED'!IC55</f>
        <v>165.37714285714281</v>
      </c>
      <c r="AL45" s="759">
        <f>'Crops; pasture DISCOUNTED'!IQ55</f>
        <v>3.3639376823540255E-2</v>
      </c>
      <c r="AM45" s="407">
        <f>'Crops; pasture DISCOUNTED'!IR55</f>
        <v>0.18688542679744585</v>
      </c>
      <c r="AN45" s="249">
        <f>'Crops; pasture DISCOUNTED'!IS55</f>
        <v>18.688542679744586</v>
      </c>
      <c r="AO45" s="220">
        <f>'Crops; pasture DISCOUNTED'!IT55</f>
        <v>5.3395836227841666</v>
      </c>
      <c r="AP45" s="761">
        <f>'Crops; pasture DISCOUNTED'!JY55</f>
        <v>0.22792678763000104</v>
      </c>
      <c r="AQ45" s="194">
        <f>'Crops; pasture DISCOUNTED'!JZ55</f>
        <v>1.2662599312777836</v>
      </c>
      <c r="AR45" s="248">
        <f>'Crops; pasture DISCOUNTED'!KA55</f>
        <v>126.62599312777836</v>
      </c>
      <c r="AS45" s="189">
        <f>'Crops; pasture DISCOUNTED'!KB55</f>
        <v>36.178855179365243</v>
      </c>
      <c r="AT45" s="765">
        <f t="shared" si="40"/>
        <v>1.2412538245005162</v>
      </c>
      <c r="AU45" s="189">
        <f t="shared" si="40"/>
        <v>6.8958545805584226</v>
      </c>
      <c r="AV45" s="188">
        <f t="shared" si="40"/>
        <v>689.58545805584231</v>
      </c>
      <c r="AW45" s="189">
        <f t="shared" si="40"/>
        <v>197.02441658738348</v>
      </c>
      <c r="AX45" s="189">
        <f t="shared" si="41"/>
        <v>1.1633654828094637</v>
      </c>
      <c r="AY45" s="189">
        <f t="shared" si="41"/>
        <v>6.4631415711636873</v>
      </c>
      <c r="AZ45" s="188">
        <f t="shared" si="41"/>
        <v>646.31415711636873</v>
      </c>
      <c r="BA45" s="189">
        <f t="shared" si="41"/>
        <v>184.66118774753392</v>
      </c>
      <c r="BB45" s="250"/>
      <c r="BC45" s="250"/>
      <c r="BD45" s="250"/>
      <c r="BE45" s="250"/>
      <c r="BF45" s="250"/>
      <c r="BG45" s="250"/>
      <c r="BH45" s="250"/>
      <c r="BI45" s="250"/>
      <c r="BJ45" s="250"/>
      <c r="BK45" s="250"/>
      <c r="BL45" s="250"/>
      <c r="BM45" s="250"/>
      <c r="BN45" s="250"/>
      <c r="BO45" s="250"/>
      <c r="BP45" s="250"/>
      <c r="BQ45" s="250"/>
      <c r="BR45" s="250"/>
      <c r="BS45" s="250"/>
      <c r="BT45" s="250"/>
      <c r="BU45" s="250"/>
      <c r="BV45" s="250"/>
      <c r="BW45" s="250"/>
      <c r="BX45" s="250"/>
      <c r="BY45" s="250"/>
      <c r="BZ45" s="250"/>
    </row>
    <row r="46" spans="1:78" x14ac:dyDescent="0.25">
      <c r="A46" s="244" t="s">
        <v>358</v>
      </c>
      <c r="B46" s="770">
        <f t="shared" si="37"/>
        <v>0.89970513465504709</v>
      </c>
      <c r="C46" s="220">
        <f t="shared" si="34"/>
        <v>4.9983618591947057</v>
      </c>
      <c r="D46" s="297">
        <f t="shared" si="34"/>
        <v>499.83618591947061</v>
      </c>
      <c r="E46" s="220">
        <f t="shared" si="34"/>
        <v>142.81033883413443</v>
      </c>
      <c r="F46" s="220">
        <f>44/12*'Crops; pasture DISCOUNTED'!HF56</f>
        <v>0.93315577947198769</v>
      </c>
      <c r="G46" s="220">
        <f>44/12*'Crops; pasture DISCOUNTED'!HG56</f>
        <v>5.1841987748443756</v>
      </c>
      <c r="H46" s="221">
        <f>44/12*'Crops; pasture DISCOUNTED'!HH56</f>
        <v>518.41987748443762</v>
      </c>
      <c r="I46" s="221">
        <f>44/12*'Crops; pasture DISCOUNTED'!HI56</f>
        <v>148.11996499555357</v>
      </c>
      <c r="J46" s="220">
        <f>44/12*'Crops; pasture DISCOUNTED'!HR56</f>
        <v>0.86625448983810649</v>
      </c>
      <c r="K46" s="220">
        <f>44/12*'Crops; pasture DISCOUNTED'!HS56</f>
        <v>4.8125249435450366</v>
      </c>
      <c r="L46" s="221">
        <f>44/12*'Crops; pasture DISCOUNTED'!HT56</f>
        <v>481.2524943545036</v>
      </c>
      <c r="M46" s="221">
        <f>44/12*'Crops; pasture DISCOUNTED'!HU56</f>
        <v>137.50071267271531</v>
      </c>
      <c r="N46" s="770">
        <f t="shared" si="38"/>
        <v>1.0339641434746372</v>
      </c>
      <c r="O46" s="220">
        <f t="shared" si="35"/>
        <v>5.7442452415257623</v>
      </c>
      <c r="P46" s="249">
        <f t="shared" si="35"/>
        <v>574.42452415257617</v>
      </c>
      <c r="Q46" s="220">
        <f t="shared" si="35"/>
        <v>164.12129261502176</v>
      </c>
      <c r="R46" s="220">
        <f>44/12*'Crops; pasture DISCOUNTED'!HJ56</f>
        <v>1.0878133058457415</v>
      </c>
      <c r="S46" s="220">
        <f>44/12*'Crops; pasture DISCOUNTED'!HK56</f>
        <v>6.0434072546985638</v>
      </c>
      <c r="T46" s="296">
        <f>44/12*'Crops; pasture DISCOUNTED'!HL56</f>
        <v>604.34072546985635</v>
      </c>
      <c r="U46" s="296">
        <f>44/12*'Crops; pasture DISCOUNTED'!HM56</f>
        <v>172.66877870567322</v>
      </c>
      <c r="V46" s="192">
        <f>44/12*'Crops; pasture DISCOUNTED'!HV56</f>
        <v>0.98011498110353279</v>
      </c>
      <c r="W46" s="192">
        <f>44/12*'Crops; pasture DISCOUNTED'!HW56</f>
        <v>5.4450832283529609</v>
      </c>
      <c r="X46" s="296">
        <f>44/12*'Crops; pasture DISCOUNTED'!HX56</f>
        <v>544.50832283529598</v>
      </c>
      <c r="Y46" s="221">
        <f>44/12*'Crops; pasture DISCOUNTED'!HY56</f>
        <v>155.5738065243703</v>
      </c>
      <c r="Z46" s="770">
        <f t="shared" si="39"/>
        <v>0.88381393424360311</v>
      </c>
      <c r="AA46" s="220">
        <f t="shared" si="36"/>
        <v>1.7521309771697939</v>
      </c>
      <c r="AB46" s="249">
        <f t="shared" si="36"/>
        <v>491.00774124644613</v>
      </c>
      <c r="AC46" s="220">
        <f t="shared" si="36"/>
        <v>140.28792607041316</v>
      </c>
      <c r="AD46" s="220">
        <f>44/12*'Crops; pasture DISCOUNTED'!HN56</f>
        <v>0.26005586848720624</v>
      </c>
      <c r="AE46" s="220">
        <f>44/12*'Crops; pasture DISCOUNTED'!HO56</f>
        <v>1.4447548249289235</v>
      </c>
      <c r="AF46" s="221">
        <f>44/12*'Crops; pasture DISCOUNTED'!HP56</f>
        <v>144.47548249289235</v>
      </c>
      <c r="AG46" s="221">
        <f>44/12*'Crops; pasture DISCOUNTED'!HQ56</f>
        <v>41.278709283683526</v>
      </c>
      <c r="AH46" s="220">
        <f>44/12*'Crops; pasture DISCOUNTED'!HZ56</f>
        <v>1.5075719999999999</v>
      </c>
      <c r="AI46" s="220">
        <f>44/12*'Crops; pasture DISCOUNTED'!IA56</f>
        <v>2.0595071294106644</v>
      </c>
      <c r="AJ46" s="221">
        <f>44/12*'Crops; pasture DISCOUNTED'!IB56</f>
        <v>837.54</v>
      </c>
      <c r="AK46" s="221">
        <f>44/12*'Crops; pasture DISCOUNTED'!IC56</f>
        <v>239.2971428571428</v>
      </c>
      <c r="AL46" s="759">
        <f>'Crops; pasture DISCOUNTED'!IQ56</f>
        <v>6.9032845841035098E-2</v>
      </c>
      <c r="AM46" s="407">
        <f>'Crops; pasture DISCOUNTED'!IR56</f>
        <v>0.38351581022797282</v>
      </c>
      <c r="AN46" s="249">
        <f>'Crops; pasture DISCOUNTED'!IS56</f>
        <v>38.351581022797276</v>
      </c>
      <c r="AO46" s="220">
        <f>'Crops; pasture DISCOUNTED'!IT56</f>
        <v>10.95759457794208</v>
      </c>
      <c r="AP46" s="761">
        <f>'Crops; pasture DISCOUNTED'!JY56</f>
        <v>7.4004927799995998E-2</v>
      </c>
      <c r="AQ46" s="194">
        <f>'Crops; pasture DISCOUNTED'!JZ56</f>
        <v>0.41113848777775552</v>
      </c>
      <c r="AR46" s="248">
        <f>'Crops; pasture DISCOUNTED'!KA56</f>
        <v>41.113848777775551</v>
      </c>
      <c r="AS46" s="189">
        <f>'Crops; pasture DISCOUNTED'!KB56</f>
        <v>11.7468139365073</v>
      </c>
      <c r="AT46" s="765">
        <f t="shared" si="40"/>
        <v>1.0427429082960782</v>
      </c>
      <c r="AU46" s="189">
        <f t="shared" si="40"/>
        <v>5.7930161572004337</v>
      </c>
      <c r="AV46" s="188">
        <f t="shared" si="40"/>
        <v>579.3016157200434</v>
      </c>
      <c r="AW46" s="189">
        <f t="shared" si="40"/>
        <v>165.5147473485838</v>
      </c>
      <c r="AX46" s="189">
        <f t="shared" si="41"/>
        <v>1.0761935531130187</v>
      </c>
      <c r="AY46" s="189">
        <f t="shared" si="41"/>
        <v>5.9788530728501037</v>
      </c>
      <c r="AZ46" s="188">
        <f t="shared" si="41"/>
        <v>597.88530728501041</v>
      </c>
      <c r="BA46" s="189">
        <f t="shared" si="41"/>
        <v>170.82437351000294</v>
      </c>
      <c r="BB46" s="250"/>
      <c r="BC46" s="250"/>
      <c r="BD46" s="250"/>
      <c r="BE46" s="250"/>
      <c r="BF46" s="250"/>
      <c r="BG46" s="250"/>
      <c r="BH46" s="250"/>
      <c r="BI46" s="250"/>
      <c r="BJ46" s="250"/>
      <c r="BK46" s="250"/>
      <c r="BL46" s="250"/>
      <c r="BM46" s="250"/>
      <c r="BN46" s="250"/>
      <c r="BO46" s="250"/>
      <c r="BP46" s="250"/>
      <c r="BQ46" s="250"/>
      <c r="BR46" s="250"/>
      <c r="BS46" s="250"/>
      <c r="BT46" s="250"/>
      <c r="BU46" s="250"/>
      <c r="BV46" s="250"/>
      <c r="BW46" s="250"/>
      <c r="BX46" s="250"/>
      <c r="BY46" s="250"/>
      <c r="BZ46" s="250"/>
    </row>
    <row r="47" spans="1:78" x14ac:dyDescent="0.25">
      <c r="A47" s="243"/>
      <c r="R47" s="222"/>
      <c r="S47" s="222"/>
      <c r="T47" s="223"/>
      <c r="U47" s="223"/>
      <c r="BB47" s="250"/>
      <c r="BC47" s="250"/>
      <c r="BD47" s="250"/>
      <c r="BE47" s="250"/>
      <c r="BF47" s="250"/>
      <c r="BG47" s="250"/>
      <c r="BH47" s="250"/>
      <c r="BI47" s="250"/>
      <c r="BJ47" s="250"/>
      <c r="BK47" s="250"/>
      <c r="BL47" s="250"/>
      <c r="BM47" s="250"/>
      <c r="BN47" s="250"/>
      <c r="BO47" s="250"/>
      <c r="BP47" s="250"/>
      <c r="BQ47" s="250"/>
      <c r="BR47" s="250"/>
      <c r="BS47" s="250"/>
      <c r="BT47" s="250"/>
      <c r="BU47" s="250"/>
      <c r="BV47" s="250"/>
      <c r="BW47" s="250"/>
      <c r="BX47" s="250"/>
      <c r="BY47" s="250"/>
      <c r="BZ47" s="250"/>
    </row>
    <row r="48" spans="1:78" ht="13.8" x14ac:dyDescent="0.3">
      <c r="A48" s="237" t="s">
        <v>83</v>
      </c>
      <c r="R48" s="222"/>
      <c r="S48" s="222"/>
      <c r="T48" s="223"/>
      <c r="U48" s="223"/>
      <c r="BB48" s="250"/>
      <c r="BC48" s="250"/>
      <c r="BD48" s="250"/>
      <c r="BE48" s="250"/>
      <c r="BF48" s="250"/>
      <c r="BG48" s="250"/>
      <c r="BH48" s="250"/>
      <c r="BI48" s="250"/>
      <c r="BJ48" s="250"/>
      <c r="BK48" s="250"/>
      <c r="BL48" s="250"/>
      <c r="BM48" s="250"/>
      <c r="BN48" s="250"/>
      <c r="BO48" s="250"/>
      <c r="BP48" s="250"/>
      <c r="BQ48" s="250"/>
      <c r="BR48" s="250"/>
      <c r="BS48" s="250"/>
      <c r="BT48" s="250"/>
      <c r="BU48" s="250"/>
      <c r="BV48" s="250"/>
      <c r="BW48" s="250"/>
      <c r="BX48" s="250"/>
      <c r="BY48" s="250"/>
      <c r="BZ48" s="250"/>
    </row>
    <row r="49" spans="1:78" x14ac:dyDescent="0.25">
      <c r="A49" s="243" t="s">
        <v>83</v>
      </c>
      <c r="B49" s="770">
        <f t="shared" ref="B49:E49" si="42">(F49+J49)/2</f>
        <v>0.65541228704694232</v>
      </c>
      <c r="C49" s="220">
        <f t="shared" si="42"/>
        <v>8.1926535880867775</v>
      </c>
      <c r="D49" s="297">
        <f t="shared" si="42"/>
        <v>630.20412216052137</v>
      </c>
      <c r="E49" s="220">
        <f t="shared" si="42"/>
        <v>54.617690587245185</v>
      </c>
      <c r="F49" s="220">
        <f>44/12*'Crops; pasture DISCOUNTED'!HF59</f>
        <v>0.67565275705525429</v>
      </c>
      <c r="G49" s="220">
        <f>44/12*'Crops; pasture DISCOUNTED'!HG59</f>
        <v>8.4456594631906778</v>
      </c>
      <c r="H49" s="221">
        <f>44/12*'Crops; pasture DISCOUNTED'!HH59</f>
        <v>649.6661125531291</v>
      </c>
      <c r="I49" s="221">
        <f>44/12*'Crops; pasture DISCOUNTED'!HI59</f>
        <v>56.304396421271193</v>
      </c>
      <c r="J49" s="220">
        <f>44/12*'Crops; pasture DISCOUNTED'!HR59</f>
        <v>0.63517181703863024</v>
      </c>
      <c r="K49" s="220">
        <f>44/12*'Crops; pasture DISCOUNTED'!HS59</f>
        <v>7.9396477129828771</v>
      </c>
      <c r="L49" s="221">
        <f>44/12*'Crops; pasture DISCOUNTED'!HT59</f>
        <v>610.74213176791363</v>
      </c>
      <c r="M49" s="221">
        <f>44/12*'Crops; pasture DISCOUNTED'!HU59</f>
        <v>52.930984753219178</v>
      </c>
      <c r="N49" s="770">
        <f t="shared" ref="N49:Q49" si="43">(R49+V49)/2</f>
        <v>0.74554052383529268</v>
      </c>
      <c r="O49" s="220">
        <f t="shared" si="43"/>
        <v>9.3192565479411584</v>
      </c>
      <c r="P49" s="249">
        <f t="shared" si="43"/>
        <v>716.865888303166</v>
      </c>
      <c r="Q49" s="220">
        <f t="shared" si="43"/>
        <v>62.12837698627439</v>
      </c>
      <c r="R49" s="220">
        <f>44/12*'Crops; pasture DISCOUNTED'!HJ59</f>
        <v>0.77977701359030083</v>
      </c>
      <c r="S49" s="220">
        <f>44/12*'Crops; pasture DISCOUNTED'!HK59</f>
        <v>9.7472126698787598</v>
      </c>
      <c r="T49" s="296">
        <f>44/12*'Crops; pasture DISCOUNTED'!HL59</f>
        <v>749.78558999067377</v>
      </c>
      <c r="U49" s="296">
        <f>44/12*'Crops; pasture DISCOUNTED'!HM59</f>
        <v>64.981417799191732</v>
      </c>
      <c r="V49" s="192">
        <f>44/12*'Crops; pasture DISCOUNTED'!HV59</f>
        <v>0.71130403408028453</v>
      </c>
      <c r="W49" s="192">
        <f>44/12*'Crops; pasture DISCOUNTED'!HW59</f>
        <v>8.8913004260035571</v>
      </c>
      <c r="X49" s="296">
        <f>44/12*'Crops; pasture DISCOUNTED'!HX59</f>
        <v>683.94618661565823</v>
      </c>
      <c r="Y49" s="221">
        <f>44/12*'Crops; pasture DISCOUNTED'!HY59</f>
        <v>59.27533617335704</v>
      </c>
      <c r="Z49" s="770">
        <f t="shared" ref="Z49:AC49" si="44">(AD49+AH49)/2</f>
        <v>0.36782714296191082</v>
      </c>
      <c r="AA49" s="220">
        <f t="shared" si="44"/>
        <v>4.7286050253225174</v>
      </c>
      <c r="AB49" s="249">
        <f t="shared" si="44"/>
        <v>353.67994515568353</v>
      </c>
      <c r="AC49" s="220">
        <f t="shared" si="44"/>
        <v>30.652261913492566</v>
      </c>
      <c r="AD49" s="220">
        <f>44/12*'Crops; pasture DISCOUNTED'!HN59</f>
        <v>0.35549428592382165</v>
      </c>
      <c r="AE49" s="220">
        <f>44/12*'Crops; pasture DISCOUNTED'!HO59</f>
        <v>4.4436785740477704</v>
      </c>
      <c r="AF49" s="221">
        <f>44/12*'Crops; pasture DISCOUNTED'!HP59</f>
        <v>341.82142877290545</v>
      </c>
      <c r="AG49" s="221">
        <f>44/12*'Crops; pasture DISCOUNTED'!HQ59</f>
        <v>29.624523826985136</v>
      </c>
      <c r="AH49" s="220">
        <f>44/12*'Crops; pasture DISCOUNTED'!HZ59</f>
        <v>0.38016</v>
      </c>
      <c r="AI49" s="220">
        <f>44/12*'Crops; pasture DISCOUNTED'!IA59</f>
        <v>5.0135314765972652</v>
      </c>
      <c r="AJ49" s="221">
        <f>44/12*'Crops; pasture DISCOUNTED'!IB59</f>
        <v>365.53846153846155</v>
      </c>
      <c r="AK49" s="221">
        <f>44/12*'Crops; pasture DISCOUNTED'!IC59</f>
        <v>31.68</v>
      </c>
      <c r="AL49" s="759">
        <f>'Crops; pasture DISCOUNTED'!IQ59</f>
        <v>3.1323841311534817E-2</v>
      </c>
      <c r="AM49" s="407">
        <f>'Crops; pasture DISCOUNTED'!IR59</f>
        <v>0.39154801639418524</v>
      </c>
      <c r="AN49" s="249">
        <f>'Crops; pasture DISCOUNTED'!IS59</f>
        <v>30.119078184168096</v>
      </c>
      <c r="AO49" s="220">
        <f>'Crops; pasture DISCOUNTED'!IT59</f>
        <v>2.6103201092945683</v>
      </c>
      <c r="AP49" s="761">
        <f>'Crops; pasture DISCOUNTED'!JY59</f>
        <v>0.20398691616</v>
      </c>
      <c r="AQ49" s="194">
        <f>'Crops; pasture DISCOUNTED'!JZ59</f>
        <v>2.5498364520000001</v>
      </c>
      <c r="AR49" s="248">
        <f>'Crops; pasture DISCOUNTED'!KA59</f>
        <v>196.14126553846154</v>
      </c>
      <c r="AS49" s="189">
        <f>'Crops; pasture DISCOUNTED'!KB59</f>
        <v>16.998909680000001</v>
      </c>
      <c r="AT49" s="765">
        <f>B49+AL49+AP49</f>
        <v>0.89072304451847717</v>
      </c>
      <c r="AU49" s="189">
        <f t="shared" ref="AU49:AW49" si="45">C49+AM49+AQ49</f>
        <v>11.134038056480964</v>
      </c>
      <c r="AV49" s="188">
        <f t="shared" si="45"/>
        <v>856.46446588315098</v>
      </c>
      <c r="AW49" s="189">
        <f t="shared" si="45"/>
        <v>74.226920376539752</v>
      </c>
      <c r="AX49" s="189">
        <f>F49+AL49+AP49</f>
        <v>0.91096351452678903</v>
      </c>
      <c r="AY49" s="189">
        <f t="shared" ref="AY49:BA49" si="46">G49+AM49+AQ49</f>
        <v>11.387043931584863</v>
      </c>
      <c r="AZ49" s="188">
        <f t="shared" si="46"/>
        <v>875.92645627575871</v>
      </c>
      <c r="BA49" s="189">
        <f t="shared" si="46"/>
        <v>75.913626210565766</v>
      </c>
      <c r="BB49" s="250"/>
      <c r="BC49" s="250"/>
      <c r="BD49" s="250"/>
      <c r="BE49" s="250"/>
      <c r="BF49" s="250"/>
      <c r="BG49" s="250"/>
      <c r="BH49" s="250"/>
      <c r="BI49" s="250"/>
      <c r="BJ49" s="250"/>
      <c r="BK49" s="250"/>
      <c r="BL49" s="250"/>
      <c r="BM49" s="250"/>
      <c r="BN49" s="250"/>
      <c r="BO49" s="250"/>
      <c r="BP49" s="250"/>
      <c r="BQ49" s="250"/>
      <c r="BR49" s="250"/>
      <c r="BS49" s="250"/>
      <c r="BT49" s="250"/>
      <c r="BU49" s="250"/>
      <c r="BV49" s="250"/>
      <c r="BW49" s="250"/>
      <c r="BX49" s="250"/>
      <c r="BY49" s="250"/>
      <c r="BZ49" s="250"/>
    </row>
    <row r="50" spans="1:78" x14ac:dyDescent="0.25">
      <c r="A50" s="243"/>
      <c r="R50" s="222"/>
      <c r="S50" s="222"/>
      <c r="T50" s="223"/>
      <c r="U50" s="223"/>
      <c r="BB50" s="250"/>
      <c r="BC50" s="250"/>
      <c r="BD50" s="250"/>
      <c r="BE50" s="250"/>
      <c r="BF50" s="250"/>
      <c r="BG50" s="250"/>
      <c r="BH50" s="250"/>
      <c r="BI50" s="250"/>
      <c r="BJ50" s="250"/>
      <c r="BK50" s="250"/>
      <c r="BL50" s="250"/>
      <c r="BM50" s="250"/>
      <c r="BN50" s="250"/>
      <c r="BO50" s="250"/>
      <c r="BP50" s="250"/>
      <c r="BQ50" s="250"/>
      <c r="BR50" s="250"/>
      <c r="BS50" s="250"/>
      <c r="BT50" s="250"/>
      <c r="BU50" s="250"/>
      <c r="BV50" s="250"/>
      <c r="BW50" s="250"/>
      <c r="BX50" s="250"/>
      <c r="BY50" s="250"/>
      <c r="BZ50" s="250"/>
    </row>
    <row r="51" spans="1:78" ht="13.8" x14ac:dyDescent="0.3">
      <c r="A51" s="237" t="s">
        <v>309</v>
      </c>
      <c r="R51" s="222"/>
      <c r="S51" s="222"/>
      <c r="T51" s="223"/>
      <c r="U51" s="223"/>
      <c r="BB51" s="250"/>
      <c r="BC51" s="250"/>
      <c r="BD51" s="250"/>
      <c r="BE51" s="250"/>
      <c r="BF51" s="250"/>
      <c r="BG51" s="250"/>
      <c r="BH51" s="250"/>
      <c r="BI51" s="250"/>
      <c r="BJ51" s="250"/>
      <c r="BK51" s="250"/>
      <c r="BL51" s="250"/>
      <c r="BM51" s="250"/>
      <c r="BN51" s="250"/>
      <c r="BO51" s="250"/>
      <c r="BP51" s="250"/>
      <c r="BQ51" s="250"/>
      <c r="BR51" s="250"/>
      <c r="BS51" s="250"/>
      <c r="BT51" s="250"/>
      <c r="BU51" s="250"/>
      <c r="BV51" s="250"/>
      <c r="BW51" s="250"/>
      <c r="BX51" s="250"/>
      <c r="BY51" s="250"/>
      <c r="BZ51" s="250"/>
    </row>
    <row r="52" spans="1:78" x14ac:dyDescent="0.25">
      <c r="A52" s="14" t="s">
        <v>471</v>
      </c>
      <c r="B52" s="770">
        <f t="shared" ref="B52:C55" si="47">(F52+J52)/2</f>
        <v>27.133734564814553</v>
      </c>
      <c r="C52" s="220">
        <f t="shared" si="47"/>
        <v>30.14859396090506</v>
      </c>
      <c r="F52" s="220">
        <f>44/12*'Crops; pasture DISCOUNTED'!HF66</f>
        <v>29.414601331769791</v>
      </c>
      <c r="G52" s="220">
        <f>44/12*'Crops; pasture DISCOUNTED'!HG66</f>
        <v>32.682890368633103</v>
      </c>
      <c r="J52" s="220">
        <f>44/12*'Crops; pasture DISCOUNTED'!HR66</f>
        <v>24.852867797859314</v>
      </c>
      <c r="K52" s="220">
        <f>44/12*'Crops; pasture DISCOUNTED'!HS66</f>
        <v>27.614297553177014</v>
      </c>
      <c r="N52" s="770">
        <f t="shared" ref="N52:O55" si="48">(R52+V52)/2</f>
        <v>29.480658257325672</v>
      </c>
      <c r="O52" s="220">
        <f t="shared" si="48"/>
        <v>32.756286952584077</v>
      </c>
      <c r="Q52" s="220"/>
      <c r="R52" s="220">
        <f>44/12*'Crops; pasture DISCOUNTED'!HJ66</f>
        <v>31.962096014230816</v>
      </c>
      <c r="S52" s="220">
        <f>44/12*'Crops; pasture DISCOUNTED'!HK66</f>
        <v>35.513440015812016</v>
      </c>
      <c r="T52" s="221"/>
      <c r="U52" s="221"/>
      <c r="V52" s="189">
        <f>44/12*'Crops; pasture DISCOUNTED'!HV66</f>
        <v>26.999220500420527</v>
      </c>
      <c r="W52" s="189">
        <f>44/12*'Crops; pasture DISCOUNTED'!HW66</f>
        <v>29.999133889356138</v>
      </c>
      <c r="Z52" s="770">
        <f t="shared" ref="Z52:AA55" si="49">(AD52+AH52)/2</f>
        <v>6.3013835296825862</v>
      </c>
      <c r="AA52" s="220">
        <f t="shared" si="49"/>
        <v>10.902567254307282</v>
      </c>
      <c r="AD52" s="220">
        <f>44/12*'Crops; pasture DISCOUNTED'!HN66</f>
        <v>10.612867059365172</v>
      </c>
      <c r="AE52" s="220">
        <f>44/12*'Crops; pasture DISCOUNTED'!HO66</f>
        <v>11.792074510405746</v>
      </c>
      <c r="AH52" s="220">
        <f>44/12*'Crops; pasture DISCOUNTED'!HZ66</f>
        <v>1.9899000000000002</v>
      </c>
      <c r="AI52" s="220">
        <f>44/12*'Crops; pasture DISCOUNTED'!IA66</f>
        <v>10.013059998208819</v>
      </c>
      <c r="AL52" s="759">
        <f>'Crops; pasture DISCOUNTED'!IQ66</f>
        <v>1.713860420095165</v>
      </c>
      <c r="AM52" s="407">
        <f>'Crops; pasture DISCOUNTED'!IR66</f>
        <v>1.9042893556612945</v>
      </c>
      <c r="AN52" s="296"/>
      <c r="AO52" s="314"/>
      <c r="AP52" s="761">
        <f>'Crops; pasture DISCOUNTED'!JY66</f>
        <v>0.68300884288000008</v>
      </c>
      <c r="AQ52" s="194">
        <f>'Crops; pasture DISCOUNTED'!JZ66</f>
        <v>0.75889871431111122</v>
      </c>
      <c r="AR52" s="193"/>
      <c r="AS52" s="189"/>
      <c r="AT52" s="765">
        <f t="shared" ref="AT52:AU55" si="50">B52+AL52+AP52</f>
        <v>29.530603827789719</v>
      </c>
      <c r="AU52" s="189">
        <f t="shared" si="50"/>
        <v>32.81178203087746</v>
      </c>
      <c r="AV52" s="188"/>
      <c r="AW52" s="189"/>
      <c r="AX52" s="189">
        <f t="shared" ref="AX52:AY55" si="51">F52+AL52+AP52</f>
        <v>31.811470594744957</v>
      </c>
      <c r="AY52" s="189">
        <f t="shared" si="51"/>
        <v>35.34607843860551</v>
      </c>
      <c r="AZ52" s="188"/>
      <c r="BA52" s="189"/>
      <c r="BB52" s="250"/>
      <c r="BC52" s="250"/>
      <c r="BD52" s="250"/>
      <c r="BE52" s="250"/>
      <c r="BF52" s="250"/>
      <c r="BG52" s="250"/>
      <c r="BH52" s="250"/>
      <c r="BI52" s="250"/>
      <c r="BJ52" s="192"/>
      <c r="BK52" s="192"/>
      <c r="BL52" s="250"/>
      <c r="BM52" s="250"/>
      <c r="BN52" s="250"/>
      <c r="BO52" s="250"/>
      <c r="BP52" s="250"/>
      <c r="BQ52" s="250"/>
      <c r="BR52" s="250"/>
      <c r="BS52" s="250"/>
      <c r="BT52" s="250"/>
      <c r="BU52" s="250"/>
      <c r="BV52" s="250"/>
      <c r="BW52" s="250"/>
      <c r="BX52" s="250"/>
      <c r="BY52" s="250"/>
      <c r="BZ52" s="250"/>
    </row>
    <row r="53" spans="1:78" x14ac:dyDescent="0.25">
      <c r="A53" s="14" t="s">
        <v>473</v>
      </c>
      <c r="B53" s="770">
        <f t="shared" si="47"/>
        <v>12.812499932647643</v>
      </c>
      <c r="C53" s="220">
        <f t="shared" si="47"/>
        <v>14.236111036275158</v>
      </c>
      <c r="F53" s="220">
        <f>44/12*'Crops; pasture DISCOUNTED'!HF67</f>
        <v>14.603402805069404</v>
      </c>
      <c r="G53" s="220">
        <f>44/12*'Crops; pasture DISCOUNTED'!HG67</f>
        <v>16.226003116743783</v>
      </c>
      <c r="J53" s="220">
        <f>44/12*'Crops; pasture DISCOUNTED'!HR67</f>
        <v>11.021597060225881</v>
      </c>
      <c r="K53" s="220">
        <f>44/12*'Crops; pasture DISCOUNTED'!HS67</f>
        <v>12.246218955806533</v>
      </c>
      <c r="N53" s="770">
        <f t="shared" si="48"/>
        <v>12.93624873901868</v>
      </c>
      <c r="O53" s="220">
        <f t="shared" si="48"/>
        <v>14.373609710020755</v>
      </c>
      <c r="Q53" s="220"/>
      <c r="R53" s="220">
        <f>44/12*'Crops; pasture DISCOUNTED'!HJ67</f>
        <v>14.746816120059803</v>
      </c>
      <c r="S53" s="220">
        <f>44/12*'Crops; pasture DISCOUNTED'!HK67</f>
        <v>16.385351244510893</v>
      </c>
      <c r="T53" s="221"/>
      <c r="U53" s="221"/>
      <c r="V53" s="189">
        <f>44/12*'Crops; pasture DISCOUNTED'!HV67</f>
        <v>11.125681357977555</v>
      </c>
      <c r="W53" s="189">
        <f>44/12*'Crops; pasture DISCOUNTED'!HW67</f>
        <v>12.361868175530615</v>
      </c>
      <c r="Z53" s="770">
        <f t="shared" si="49"/>
        <v>7.7461241085940236</v>
      </c>
      <c r="AA53" s="220">
        <f t="shared" si="49"/>
        <v>11.30110848187849</v>
      </c>
      <c r="AD53" s="220">
        <f>44/12*'Crops; pasture DISCOUNTED'!HN67</f>
        <v>11.542148217188046</v>
      </c>
      <c r="AE53" s="220">
        <f>44/12*'Crops; pasture DISCOUNTED'!HO67</f>
        <v>12.824609130208941</v>
      </c>
      <c r="AH53" s="220">
        <f>44/12*'Crops; pasture DISCOUNTED'!HZ67</f>
        <v>3.9501000000000004</v>
      </c>
      <c r="AI53" s="220">
        <f>44/12*'Crops; pasture DISCOUNTED'!IA67</f>
        <v>9.7776078335480374</v>
      </c>
      <c r="AL53" s="759">
        <f>'Crops; pasture DISCOUNTED'!IQ67</f>
        <v>0.30139527182320447</v>
      </c>
      <c r="AM53" s="407">
        <f>'Crops; pasture DISCOUNTED'!IR67</f>
        <v>0.33488363535911608</v>
      </c>
      <c r="AN53" s="296"/>
      <c r="AO53" s="314"/>
      <c r="AP53" s="761">
        <f>'Crops; pasture DISCOUNTED'!JY67</f>
        <v>0.96260806339999994</v>
      </c>
      <c r="AQ53" s="194">
        <f>'Crops; pasture DISCOUNTED'!JZ67</f>
        <v>1.0695645148888888</v>
      </c>
      <c r="AR53" s="193"/>
      <c r="AS53" s="189"/>
      <c r="AT53" s="765">
        <f t="shared" si="50"/>
        <v>14.076503267870848</v>
      </c>
      <c r="AU53" s="189">
        <f t="shared" si="50"/>
        <v>15.640559186523163</v>
      </c>
      <c r="AV53" s="188"/>
      <c r="AW53" s="189"/>
      <c r="AX53" s="189">
        <f t="shared" si="51"/>
        <v>15.867406140292609</v>
      </c>
      <c r="AY53" s="189">
        <f t="shared" si="51"/>
        <v>17.630451266991788</v>
      </c>
      <c r="AZ53" s="188"/>
      <c r="BA53" s="189"/>
      <c r="BB53" s="250"/>
      <c r="BC53" s="250"/>
      <c r="BD53" s="250"/>
      <c r="BE53" s="250"/>
      <c r="BF53" s="250"/>
      <c r="BG53" s="250"/>
      <c r="BH53" s="250"/>
      <c r="BI53" s="250"/>
      <c r="BJ53" s="192"/>
      <c r="BK53" s="192"/>
      <c r="BL53" s="250"/>
      <c r="BM53" s="250"/>
      <c r="BN53" s="250"/>
      <c r="BO53" s="250"/>
      <c r="BP53" s="250"/>
      <c r="BQ53" s="250"/>
      <c r="BR53" s="250"/>
      <c r="BS53" s="250"/>
      <c r="BT53" s="250"/>
      <c r="BU53" s="250"/>
      <c r="BV53" s="250"/>
      <c r="BW53" s="250"/>
      <c r="BX53" s="250"/>
      <c r="BY53" s="250"/>
      <c r="BZ53" s="250"/>
    </row>
    <row r="54" spans="1:78" x14ac:dyDescent="0.25">
      <c r="A54" s="14" t="s">
        <v>472</v>
      </c>
      <c r="B54" s="770">
        <f t="shared" si="47"/>
        <v>36.458435391841391</v>
      </c>
      <c r="C54" s="220">
        <f t="shared" si="47"/>
        <v>39.628734121566737</v>
      </c>
      <c r="F54" s="220">
        <f>44/12*'Crops; pasture DISCOUNTED'!HF68</f>
        <v>38.502080086874656</v>
      </c>
      <c r="G54" s="220">
        <f>44/12*'Crops; pasture DISCOUNTED'!HG68</f>
        <v>41.850087050950712</v>
      </c>
      <c r="J54" s="220">
        <f>44/12*'Crops; pasture DISCOUNTED'!HR68</f>
        <v>34.414790696808133</v>
      </c>
      <c r="K54" s="220">
        <f>44/12*'Crops; pasture DISCOUNTED'!HS68</f>
        <v>37.407381192182754</v>
      </c>
      <c r="N54" s="770">
        <f t="shared" si="48"/>
        <v>36.537550957446271</v>
      </c>
      <c r="O54" s="220">
        <f t="shared" si="48"/>
        <v>39.714729301572028</v>
      </c>
      <c r="Q54" s="220"/>
      <c r="R54" s="220">
        <f>44/12*'Crops; pasture DISCOUNTED'!HJ68</f>
        <v>38.589558119750166</v>
      </c>
      <c r="S54" s="220">
        <f>44/12*'Crops; pasture DISCOUNTED'!HK68</f>
        <v>41.945171869293652</v>
      </c>
      <c r="T54" s="221"/>
      <c r="U54" s="221"/>
      <c r="V54" s="189">
        <f>44/12*'Crops; pasture DISCOUNTED'!HV68</f>
        <v>34.48554379514237</v>
      </c>
      <c r="W54" s="189">
        <f>44/12*'Crops; pasture DISCOUNTED'!HW68</f>
        <v>37.484286733850404</v>
      </c>
      <c r="Z54" s="770">
        <f t="shared" si="49"/>
        <v>16.617410084107355</v>
      </c>
      <c r="AA54" s="220">
        <f t="shared" si="49"/>
        <v>32.986347803916516</v>
      </c>
      <c r="AD54" s="220">
        <f>44/12*'Crops; pasture DISCOUNTED'!HN68</f>
        <v>31.745156168214713</v>
      </c>
      <c r="AE54" s="220">
        <f>44/12*'Crops; pasture DISCOUNTED'!HO68</f>
        <v>34.505604530668165</v>
      </c>
      <c r="AH54" s="220">
        <f>44/12*'Crops; pasture DISCOUNTED'!HZ68</f>
        <v>1.4896640000000001</v>
      </c>
      <c r="AI54" s="220">
        <f>44/12*'Crops; pasture DISCOUNTED'!IA68</f>
        <v>31.467091077164866</v>
      </c>
      <c r="AL54" s="759">
        <f>'Crops; pasture DISCOUNTED'!IQ68</f>
        <v>1.8616003922432789</v>
      </c>
      <c r="AM54" s="407">
        <f>'Crops; pasture DISCOUNTED'!IR68</f>
        <v>2.0234786872209551</v>
      </c>
      <c r="AN54" s="296"/>
      <c r="AO54" s="314"/>
      <c r="AP54" s="761">
        <f>'Crops; pasture DISCOUNTED'!JY68</f>
        <v>0.68300884288000008</v>
      </c>
      <c r="AQ54" s="194">
        <f>'Crops; pasture DISCOUNTED'!JZ68</f>
        <v>0.74240091617391313</v>
      </c>
      <c r="AR54" s="193"/>
      <c r="AS54" s="189"/>
      <c r="AT54" s="765">
        <f t="shared" si="50"/>
        <v>39.003044626964666</v>
      </c>
      <c r="AU54" s="189">
        <f t="shared" si="50"/>
        <v>42.394613724961609</v>
      </c>
      <c r="AV54" s="188"/>
      <c r="AW54" s="189"/>
      <c r="AX54" s="189">
        <f t="shared" si="51"/>
        <v>41.046689321997931</v>
      </c>
      <c r="AY54" s="189">
        <f t="shared" si="51"/>
        <v>44.615966654345584</v>
      </c>
      <c r="AZ54" s="188"/>
      <c r="BA54" s="189"/>
      <c r="BB54" s="250"/>
      <c r="BC54" s="250"/>
      <c r="BD54" s="250"/>
      <c r="BE54" s="250"/>
      <c r="BF54" s="250"/>
      <c r="BG54" s="250"/>
      <c r="BH54" s="250"/>
      <c r="BI54" s="250"/>
      <c r="BJ54" s="192"/>
      <c r="BK54" s="192"/>
      <c r="BL54" s="250"/>
      <c r="BM54" s="250"/>
      <c r="BN54" s="250"/>
      <c r="BO54" s="250"/>
      <c r="BP54" s="250"/>
      <c r="BQ54" s="250"/>
      <c r="BR54" s="250"/>
      <c r="BS54" s="250"/>
      <c r="BT54" s="250"/>
      <c r="BU54" s="250"/>
      <c r="BV54" s="250"/>
      <c r="BW54" s="250"/>
      <c r="BX54" s="250"/>
      <c r="BY54" s="250"/>
      <c r="BZ54" s="250"/>
    </row>
    <row r="55" spans="1:78" x14ac:dyDescent="0.25">
      <c r="A55" s="243" t="s">
        <v>347</v>
      </c>
      <c r="B55" s="770">
        <f t="shared" si="47"/>
        <v>3.3558100263378705</v>
      </c>
      <c r="C55" s="220">
        <f t="shared" si="47"/>
        <v>3.6877033256460114</v>
      </c>
      <c r="F55" s="220">
        <f>44/12*'Crops; pasture DISCOUNTED'!HF69</f>
        <v>2.7782033178265459</v>
      </c>
      <c r="G55" s="220">
        <f>44/12*'Crops; pasture DISCOUNTED'!HG69</f>
        <v>3.05297067893027</v>
      </c>
      <c r="J55" s="220">
        <f>44/12*'Crops; pasture DISCOUNTED'!HR69</f>
        <v>3.9334167348491946</v>
      </c>
      <c r="K55" s="220">
        <f>44/12*'Crops; pasture DISCOUNTED'!HS69</f>
        <v>4.3224359723617525</v>
      </c>
      <c r="N55" s="770">
        <f t="shared" si="48"/>
        <v>6.3948292649194034</v>
      </c>
      <c r="O55" s="220">
        <f t="shared" si="48"/>
        <v>7.0272849065048382</v>
      </c>
      <c r="Q55" s="220"/>
      <c r="R55" s="220">
        <f>44/12*'Crops; pasture DISCOUNTED'!HJ69</f>
        <v>5.208489031631399</v>
      </c>
      <c r="S55" s="220">
        <f>44/12*'Crops; pasture DISCOUNTED'!HK69</f>
        <v>5.7236143204740646</v>
      </c>
      <c r="T55" s="221"/>
      <c r="U55" s="221"/>
      <c r="V55" s="189">
        <f>44/12*'Crops; pasture DISCOUNTED'!HV69</f>
        <v>7.5811694982074078</v>
      </c>
      <c r="W55" s="189">
        <f>44/12*'Crops; pasture DISCOUNTED'!HW69</f>
        <v>8.3309554925356117</v>
      </c>
      <c r="Z55" s="770">
        <f t="shared" si="49"/>
        <v>2.8786614826148318</v>
      </c>
      <c r="AA55" s="220">
        <f t="shared" si="49"/>
        <v>1.7314442525601095</v>
      </c>
      <c r="AD55" s="220">
        <f>44/12*'Crops; pasture DISCOUNTED'!HN69</f>
        <v>1.3545912985629971</v>
      </c>
      <c r="AE55" s="220">
        <f>44/12*'Crops; pasture DISCOUNTED'!HO69</f>
        <v>1.4885618665527438</v>
      </c>
      <c r="AH55" s="220">
        <f>44/12*'Crops; pasture DISCOUNTED'!HZ69</f>
        <v>4.402731666666666</v>
      </c>
      <c r="AI55" s="220">
        <f>44/12*'Crops; pasture DISCOUNTED'!IA69</f>
        <v>1.9743266385674754</v>
      </c>
      <c r="AL55" s="759">
        <f>'Crops; pasture DISCOUNTED'!IQ69</f>
        <v>8.4335721807065236E-2</v>
      </c>
      <c r="AM55" s="407">
        <f>'Crops; pasture DISCOUNTED'!IR69</f>
        <v>9.2676617370401351E-2</v>
      </c>
      <c r="AN55" s="296"/>
      <c r="AO55" s="314"/>
      <c r="AP55" s="761">
        <f>'Crops; pasture DISCOUNTED'!JY69</f>
        <v>1.1236187909400002</v>
      </c>
      <c r="AQ55" s="194">
        <f>'Crops; pasture DISCOUNTED'!JZ69</f>
        <v>1.2347459241098901</v>
      </c>
      <c r="AR55" s="193"/>
      <c r="AS55" s="189"/>
      <c r="AT55" s="765">
        <f t="shared" si="50"/>
        <v>4.5637645390849357</v>
      </c>
      <c r="AU55" s="189">
        <f t="shared" si="50"/>
        <v>5.0151258671263026</v>
      </c>
      <c r="AV55" s="188"/>
      <c r="AW55" s="189"/>
      <c r="AX55" s="189">
        <f t="shared" si="51"/>
        <v>3.9861578305736112</v>
      </c>
      <c r="AY55" s="189">
        <f t="shared" si="51"/>
        <v>4.3803932204105616</v>
      </c>
      <c r="AZ55" s="188"/>
      <c r="BA55" s="189"/>
      <c r="BB55" s="250"/>
      <c r="BC55" s="250"/>
      <c r="BD55" s="250"/>
      <c r="BE55" s="250"/>
      <c r="BF55" s="250"/>
      <c r="BG55" s="250"/>
      <c r="BH55" s="250"/>
      <c r="BI55" s="250"/>
      <c r="BJ55" s="192"/>
      <c r="BK55" s="192"/>
      <c r="BL55" s="250"/>
      <c r="BM55" s="250"/>
      <c r="BN55" s="250"/>
      <c r="BO55" s="250"/>
      <c r="BP55" s="250"/>
      <c r="BQ55" s="250"/>
      <c r="BR55" s="250"/>
      <c r="BS55" s="250"/>
      <c r="BT55" s="250"/>
      <c r="BU55" s="250"/>
      <c r="BV55" s="250"/>
      <c r="BW55" s="250"/>
      <c r="BX55" s="250"/>
      <c r="BY55" s="250"/>
      <c r="BZ55" s="250"/>
    </row>
    <row r="56" spans="1:78" x14ac:dyDescent="0.25">
      <c r="BB56" s="250"/>
      <c r="BC56" s="250"/>
      <c r="BD56" s="250"/>
      <c r="BE56" s="250"/>
      <c r="BF56" s="250"/>
      <c r="BG56" s="250"/>
      <c r="BH56" s="250"/>
      <c r="BI56" s="250"/>
      <c r="BJ56" s="250"/>
      <c r="BK56" s="250"/>
      <c r="BL56" s="250"/>
      <c r="BM56" s="250"/>
      <c r="BN56" s="250"/>
      <c r="BO56" s="250"/>
      <c r="BP56" s="250"/>
      <c r="BQ56" s="250"/>
      <c r="BR56" s="250"/>
      <c r="BS56" s="250"/>
      <c r="BT56" s="250"/>
      <c r="BU56" s="250"/>
      <c r="BV56" s="250"/>
      <c r="BW56" s="250"/>
      <c r="BX56" s="250"/>
      <c r="BY56" s="250"/>
      <c r="BZ56" s="250"/>
    </row>
    <row r="57" spans="1:78" x14ac:dyDescent="0.25">
      <c r="BB57" s="250"/>
      <c r="BC57" s="250"/>
      <c r="BD57" s="250"/>
      <c r="BE57" s="250"/>
      <c r="BF57" s="250"/>
      <c r="BG57" s="250"/>
      <c r="BH57" s="250"/>
      <c r="BI57" s="250"/>
      <c r="BJ57" s="250"/>
      <c r="BK57" s="250"/>
      <c r="BL57" s="250"/>
      <c r="BM57" s="250"/>
      <c r="BN57" s="250"/>
      <c r="BO57" s="250"/>
      <c r="BP57" s="250"/>
      <c r="BQ57" s="250"/>
      <c r="BR57" s="250"/>
      <c r="BS57" s="250"/>
      <c r="BT57" s="250"/>
      <c r="BU57" s="250"/>
      <c r="BV57" s="250"/>
      <c r="BW57" s="250"/>
      <c r="BX57" s="250"/>
      <c r="BY57" s="250"/>
      <c r="BZ57" s="250"/>
    </row>
    <row r="58" spans="1:78" ht="14.4" x14ac:dyDescent="0.3">
      <c r="A58" s="245" t="s">
        <v>422</v>
      </c>
      <c r="B58" s="756"/>
      <c r="C58" s="230"/>
      <c r="D58" s="230"/>
      <c r="E58" s="230"/>
      <c r="F58" s="230"/>
      <c r="G58" s="230"/>
      <c r="H58" s="230"/>
      <c r="I58" s="230"/>
      <c r="J58" s="230"/>
      <c r="K58" s="230"/>
      <c r="L58" s="230"/>
      <c r="M58" s="230"/>
      <c r="N58" s="756"/>
      <c r="O58" s="230"/>
      <c r="P58" s="230"/>
      <c r="Q58" s="230"/>
      <c r="R58" s="232"/>
      <c r="S58" s="232"/>
      <c r="T58" s="230"/>
      <c r="U58" s="230"/>
      <c r="V58" s="232"/>
      <c r="W58" s="232"/>
      <c r="X58" s="230"/>
      <c r="Y58" s="230"/>
      <c r="Z58" s="756"/>
      <c r="AA58" s="230"/>
      <c r="AB58" s="230"/>
      <c r="AC58" s="230"/>
      <c r="AD58" s="230"/>
      <c r="AE58" s="230"/>
      <c r="AF58" s="230"/>
      <c r="AG58" s="230"/>
      <c r="AH58" s="230"/>
      <c r="AI58" s="230"/>
      <c r="AJ58" s="230"/>
      <c r="AK58" s="230"/>
      <c r="AL58" s="756"/>
      <c r="AM58" s="230"/>
      <c r="AN58" s="230"/>
      <c r="AO58" s="230"/>
      <c r="AP58" s="778"/>
      <c r="AQ58" s="231"/>
      <c r="AR58" s="231"/>
      <c r="AS58" s="231"/>
      <c r="AT58" s="775"/>
      <c r="AU58" s="231"/>
      <c r="AV58" s="231"/>
      <c r="AW58" s="231"/>
      <c r="AX58" s="231"/>
      <c r="AY58" s="231"/>
      <c r="AZ58" s="231"/>
      <c r="BA58" s="231"/>
      <c r="BB58" s="250"/>
      <c r="BC58" s="250"/>
      <c r="BD58" s="250"/>
      <c r="BE58" s="250"/>
      <c r="BF58" s="250"/>
      <c r="BG58" s="250"/>
      <c r="BH58" s="250"/>
      <c r="BI58" s="250"/>
      <c r="BJ58" s="250"/>
      <c r="BK58" s="250"/>
      <c r="BL58" s="250"/>
      <c r="BM58" s="250"/>
      <c r="BN58" s="250"/>
      <c r="BO58" s="250"/>
      <c r="BP58" s="250"/>
      <c r="BQ58" s="250"/>
      <c r="BR58" s="250"/>
      <c r="BS58" s="250"/>
      <c r="BT58" s="250"/>
      <c r="BU58" s="250"/>
      <c r="BV58" s="250"/>
      <c r="BW58" s="250"/>
      <c r="BX58" s="250"/>
      <c r="BY58" s="250"/>
      <c r="BZ58" s="250"/>
    </row>
    <row r="59" spans="1:78" x14ac:dyDescent="0.25">
      <c r="A59" s="186"/>
      <c r="BB59" s="250"/>
      <c r="BC59" s="250"/>
      <c r="BD59" s="250"/>
      <c r="BE59" s="250"/>
      <c r="BF59" s="250"/>
      <c r="BG59" s="250"/>
      <c r="BH59" s="250"/>
      <c r="BI59" s="250"/>
      <c r="BJ59" s="250"/>
      <c r="BK59" s="250"/>
      <c r="BL59" s="250"/>
      <c r="BM59" s="250"/>
      <c r="BN59" s="250"/>
      <c r="BO59" s="250"/>
      <c r="BP59" s="250"/>
      <c r="BQ59" s="250"/>
      <c r="BR59" s="250"/>
      <c r="BS59" s="250"/>
      <c r="BT59" s="250"/>
      <c r="BU59" s="250"/>
      <c r="BV59" s="250"/>
      <c r="BW59" s="250"/>
      <c r="BX59" s="250"/>
      <c r="BY59" s="250"/>
      <c r="BZ59" s="250"/>
    </row>
    <row r="60" spans="1:78" ht="13.8" x14ac:dyDescent="0.3">
      <c r="A60" s="190" t="s">
        <v>446</v>
      </c>
      <c r="BB60" s="250"/>
      <c r="BC60" s="250"/>
      <c r="BD60" s="250"/>
      <c r="BE60" s="250"/>
      <c r="BF60" s="250"/>
      <c r="BG60" s="250"/>
      <c r="BH60" s="250"/>
      <c r="BI60" s="250"/>
      <c r="BJ60" s="250"/>
      <c r="BK60" s="250"/>
      <c r="BL60" s="250"/>
      <c r="BM60" s="250"/>
      <c r="BN60" s="250"/>
      <c r="BO60" s="250"/>
      <c r="BP60" s="250"/>
      <c r="BQ60" s="250"/>
      <c r="BR60" s="250"/>
      <c r="BS60" s="250"/>
      <c r="BT60" s="250"/>
      <c r="BU60" s="250"/>
      <c r="BV60" s="250"/>
      <c r="BW60" s="250"/>
      <c r="BX60" s="250"/>
      <c r="BY60" s="250"/>
      <c r="BZ60" s="250"/>
    </row>
    <row r="61" spans="1:78" x14ac:dyDescent="0.25">
      <c r="A61" s="186"/>
      <c r="BB61" s="250"/>
      <c r="BC61" s="250"/>
      <c r="BD61" s="250"/>
      <c r="BE61" s="250"/>
      <c r="BF61" s="250"/>
      <c r="BG61" s="250"/>
      <c r="BH61" s="250"/>
      <c r="BI61" s="250"/>
      <c r="BJ61" s="250"/>
      <c r="BK61" s="250"/>
      <c r="BL61" s="250"/>
      <c r="BM61" s="250"/>
      <c r="BN61" s="250"/>
      <c r="BO61" s="250"/>
      <c r="BP61" s="250"/>
      <c r="BQ61" s="250"/>
      <c r="BR61" s="250"/>
      <c r="BS61" s="250"/>
      <c r="BT61" s="250"/>
      <c r="BU61" s="250"/>
      <c r="BV61" s="250"/>
      <c r="BW61" s="250"/>
      <c r="BX61" s="250"/>
      <c r="BY61" s="250"/>
      <c r="BZ61" s="250"/>
    </row>
    <row r="62" spans="1:78" ht="13.8" x14ac:dyDescent="0.3">
      <c r="A62" s="206" t="s">
        <v>433</v>
      </c>
      <c r="BB62" s="250"/>
      <c r="BC62" s="250"/>
      <c r="BD62" s="250"/>
      <c r="BE62" s="250"/>
      <c r="BF62" s="250"/>
      <c r="BG62" s="250"/>
      <c r="BH62" s="250"/>
      <c r="BI62" s="250"/>
      <c r="BJ62" s="250"/>
      <c r="BK62" s="250"/>
      <c r="BL62" s="250"/>
      <c r="BM62" s="250"/>
      <c r="BN62" s="250"/>
      <c r="BO62" s="250"/>
      <c r="BP62" s="250"/>
      <c r="BQ62" s="250"/>
      <c r="BR62" s="250"/>
      <c r="BS62" s="250"/>
      <c r="BT62" s="250"/>
      <c r="BU62" s="250"/>
      <c r="BV62" s="250"/>
      <c r="BW62" s="250"/>
      <c r="BX62" s="250"/>
      <c r="BY62" s="250"/>
      <c r="BZ62" s="250"/>
    </row>
    <row r="63" spans="1:78" x14ac:dyDescent="0.25">
      <c r="A63" s="191" t="s">
        <v>164</v>
      </c>
      <c r="B63" s="770">
        <f t="shared" ref="B63:E65" si="52">(F63+J63)/2</f>
        <v>2.0383291721566739</v>
      </c>
      <c r="C63" s="220">
        <f t="shared" si="52"/>
        <v>2.3429070944329586</v>
      </c>
      <c r="D63" s="306">
        <f t="shared" si="52"/>
        <v>146.43169340205992</v>
      </c>
      <c r="E63" s="221">
        <f t="shared" si="52"/>
        <v>26.929966602677688</v>
      </c>
      <c r="F63" s="189">
        <f>44/12*'Crops proc. &amp; prod. DISCOUNTED'!BV44</f>
        <v>1.8892379089566362</v>
      </c>
      <c r="G63" s="189">
        <f>44/12*'Crops proc. &amp; prod. DISCOUNTED'!BW44</f>
        <v>2.1715378263869383</v>
      </c>
      <c r="H63" s="188">
        <f>44/12*'Crops proc. &amp; prod. DISCOUNTED'!BX44</f>
        <v>135.72111414918362</v>
      </c>
      <c r="I63" s="188">
        <f>44/12*'Crops proc. &amp; prod. DISCOUNTED'!BY44</f>
        <v>24.96020490099929</v>
      </c>
      <c r="J63" s="192">
        <f>44/12*'Crops proc. &amp; prod. DISCOUNTED'!DL44</f>
        <v>2.1874204353567119</v>
      </c>
      <c r="K63" s="192">
        <f>44/12*'Crops proc. &amp; prod. DISCOUNTED'!DM44</f>
        <v>2.5142763624789795</v>
      </c>
      <c r="L63" s="193">
        <f>44/12*'Crops proc. &amp; prod. DISCOUNTED'!DN44</f>
        <v>157.14227265493619</v>
      </c>
      <c r="M63" s="193">
        <f>44/12*'Crops proc. &amp; prod. DISCOUNTED'!DO44</f>
        <v>28.899728304356088</v>
      </c>
      <c r="N63" s="770">
        <f t="shared" ref="N63:Q65" si="53">(R63+V63)/2</f>
        <v>2.3721787753603882</v>
      </c>
      <c r="O63" s="220">
        <f t="shared" si="53"/>
        <v>2.7266422705291813</v>
      </c>
      <c r="P63" s="305">
        <f t="shared" si="53"/>
        <v>170.41514190807385</v>
      </c>
      <c r="Q63" s="221">
        <f t="shared" si="53"/>
        <v>31.340715753208986</v>
      </c>
      <c r="R63" s="189">
        <f>44/12*'Crops proc. &amp; prod. DISCOUNTED'!CJ44</f>
        <v>2.2002424515625432</v>
      </c>
      <c r="S63" s="189">
        <f>44/12*'Crops proc. &amp; prod. DISCOUNTED'!CK44</f>
        <v>2.5290143121408541</v>
      </c>
      <c r="T63" s="193">
        <f>44/12*'Crops proc. &amp; prod. DISCOUNTED'!CL44</f>
        <v>158.06339450880338</v>
      </c>
      <c r="U63" s="193">
        <f>44/12*'Crops proc. &amp; prod. DISCOUNTED'!CM44</f>
        <v>29.069130024607524</v>
      </c>
      <c r="V63" s="192">
        <f>44/12*'Crops proc. &amp; prod. DISCOUNTED'!DZ44</f>
        <v>2.5441150991582329</v>
      </c>
      <c r="W63" s="192">
        <f>44/12*'Crops proc. &amp; prod. DISCOUNTED'!EA44</f>
        <v>2.9242702289175089</v>
      </c>
      <c r="X63" s="193">
        <f>44/12*'Crops proc. &amp; prod. DISCOUNTED'!EB44</f>
        <v>182.76688930734429</v>
      </c>
      <c r="Y63" s="188">
        <f>44/12*'Crops proc. &amp; prod. DISCOUNTED'!EC44</f>
        <v>33.612301481810448</v>
      </c>
      <c r="Z63" s="770">
        <f t="shared" ref="Z63:AC65" si="54">(AD63+AH63)/2</f>
        <v>6.7804707932792514</v>
      </c>
      <c r="AA63" s="220">
        <f t="shared" si="54"/>
        <v>7.7936445899761511</v>
      </c>
      <c r="AB63" s="305">
        <f t="shared" si="54"/>
        <v>487.10278687350944</v>
      </c>
      <c r="AC63" s="220">
        <f t="shared" si="54"/>
        <v>89.582121723863807</v>
      </c>
      <c r="AD63" s="189">
        <f>44/12*'Crops proc. &amp; prod. DISCOUNTED'!CX44</f>
        <v>0.93609419259353199</v>
      </c>
      <c r="AE63" s="189">
        <f>44/12*'Crops proc. &amp; prod. DISCOUNTED'!CY44</f>
        <v>1.0759703363144044</v>
      </c>
      <c r="AF63" s="188">
        <f>44/12*'Crops proc. &amp; prod. DISCOUNTED'!CZ44</f>
        <v>67.248146019650278</v>
      </c>
      <c r="AG63" s="188">
        <f>44/12*'Crops proc. &amp; prod. DISCOUNTED'!DA44</f>
        <v>12.367475130050627</v>
      </c>
      <c r="AH63" s="189">
        <f>44/12*'Crops proc. &amp; prod. DISCOUNTED'!EN44</f>
        <v>12.62484739396497</v>
      </c>
      <c r="AI63" s="189">
        <f>44/12*'Crops proc. &amp; prod. DISCOUNTED'!EO44</f>
        <v>14.511318843637898</v>
      </c>
      <c r="AJ63" s="188">
        <f>44/12*'Crops proc. &amp; prod. DISCOUNTED'!EP44</f>
        <v>906.95742772736855</v>
      </c>
      <c r="AK63" s="188">
        <f>44/12*'Crops proc. &amp; prod. DISCOUNTED'!EQ44</f>
        <v>166.79676831767699</v>
      </c>
      <c r="AL63" s="761">
        <f>'Crops proc. &amp; prod. DISCOUNTED'!GY44</f>
        <v>0.1047888626988603</v>
      </c>
      <c r="AM63" s="194">
        <f>'Crops proc. &amp; prod. DISCOUNTED'!GZ44</f>
        <v>0.12044696861937966</v>
      </c>
      <c r="AN63" s="226">
        <f>'Crops proc. &amp; prod. DISCOUNTED'!HA44</f>
        <v>7.5279355387112288</v>
      </c>
      <c r="AO63" s="189">
        <f>'Crops proc. &amp; prod. DISCOUNTED'!HB44</f>
        <v>1.3844479151652835</v>
      </c>
      <c r="AP63" s="761">
        <f>'Crops proc. &amp; prod. DISCOUNTED'!IV44</f>
        <v>0.43593657141503528</v>
      </c>
      <c r="AQ63" s="194">
        <f>'Crops proc. &amp; prod. DISCOUNTED'!IW44</f>
        <v>0.50107651886785665</v>
      </c>
      <c r="AR63" s="225">
        <f>'Crops proc. &amp; prod. DISCOUNTED'!IX44</f>
        <v>31.31728242924104</v>
      </c>
      <c r="AS63" s="189">
        <f>'Crops proc. &amp; prod. DISCOUNTED'!IY44</f>
        <v>5.759500216871916</v>
      </c>
      <c r="AT63" s="765">
        <f t="shared" ref="AT63:AW65" si="55">B63+AL63+AP63</f>
        <v>2.5790546062705695</v>
      </c>
      <c r="AU63" s="189">
        <f t="shared" si="55"/>
        <v>2.9644305819201948</v>
      </c>
      <c r="AV63" s="188">
        <f t="shared" si="55"/>
        <v>185.27691137001219</v>
      </c>
      <c r="AW63" s="189">
        <f t="shared" si="55"/>
        <v>34.073914734714883</v>
      </c>
      <c r="AX63" s="189">
        <f t="shared" ref="AX63:BA65" si="56">F63+AL63+AP63</f>
        <v>2.4299633430705319</v>
      </c>
      <c r="AY63" s="189">
        <f t="shared" si="56"/>
        <v>2.7930613138741744</v>
      </c>
      <c r="AZ63" s="188">
        <f t="shared" si="56"/>
        <v>174.56633211713589</v>
      </c>
      <c r="BA63" s="189">
        <f t="shared" si="56"/>
        <v>32.104153033036489</v>
      </c>
      <c r="BB63" s="250"/>
      <c r="BC63" s="250"/>
      <c r="BD63" s="250"/>
      <c r="BE63" s="250"/>
      <c r="BF63" s="250"/>
      <c r="BG63" s="250"/>
      <c r="BH63" s="250"/>
      <c r="BI63" s="250"/>
      <c r="BJ63" s="193"/>
      <c r="BK63" s="193"/>
      <c r="BL63" s="193"/>
      <c r="BM63" s="193"/>
      <c r="BN63" s="250"/>
      <c r="BO63" s="250"/>
      <c r="BP63" s="250"/>
      <c r="BQ63" s="250"/>
      <c r="BR63" s="250"/>
      <c r="BS63" s="250"/>
      <c r="BT63" s="250"/>
      <c r="BU63" s="250"/>
      <c r="BV63" s="290"/>
      <c r="BW63" s="250"/>
      <c r="BX63" s="250"/>
      <c r="BY63" s="250"/>
      <c r="BZ63" s="250"/>
    </row>
    <row r="64" spans="1:78" x14ac:dyDescent="0.25">
      <c r="A64" s="191" t="s">
        <v>163</v>
      </c>
      <c r="B64" s="770">
        <f t="shared" si="52"/>
        <v>2.8556461227866583</v>
      </c>
      <c r="C64" s="220">
        <f t="shared" si="52"/>
        <v>3.2450524122575661</v>
      </c>
      <c r="D64" s="306">
        <f t="shared" si="52"/>
        <v>196.66984316712524</v>
      </c>
      <c r="E64" s="221">
        <f t="shared" si="52"/>
        <v>40.563155153219576</v>
      </c>
      <c r="F64" s="189">
        <f>44/12*'Crops proc. &amp; prod. DISCOUNTED'!BV49</f>
        <v>2.9616157618842878</v>
      </c>
      <c r="G64" s="189">
        <f>44/12*'Crops proc. &amp; prod. DISCOUNTED'!BW49</f>
        <v>3.3654724566866903</v>
      </c>
      <c r="H64" s="188">
        <f>44/12*'Crops proc. &amp; prod. DISCOUNTED'!BX49</f>
        <v>203.96802767798127</v>
      </c>
      <c r="I64" s="188">
        <f>44/12*'Crops proc. &amp; prod. DISCOUNTED'!BY49</f>
        <v>42.068405708583626</v>
      </c>
      <c r="J64" s="192">
        <f>44/12*'Crops proc. &amp; prod. DISCOUNTED'!DL49</f>
        <v>2.7496764836890293</v>
      </c>
      <c r="K64" s="192">
        <f>44/12*'Crops proc. &amp; prod. DISCOUNTED'!DM49</f>
        <v>3.1246323678284424</v>
      </c>
      <c r="L64" s="193">
        <f>44/12*'Crops proc. &amp; prod. DISCOUNTED'!DN49</f>
        <v>189.37165865626923</v>
      </c>
      <c r="M64" s="193">
        <f>44/12*'Crops proc. &amp; prod. DISCOUNTED'!DO49</f>
        <v>39.057904597855526</v>
      </c>
      <c r="N64" s="770">
        <f t="shared" si="53"/>
        <v>5.6296637744931903</v>
      </c>
      <c r="O64" s="220">
        <f t="shared" si="53"/>
        <v>6.3973451982877156</v>
      </c>
      <c r="P64" s="305">
        <f t="shared" si="53"/>
        <v>387.71789080531607</v>
      </c>
      <c r="Q64" s="221">
        <f t="shared" si="53"/>
        <v>79.966814978596432</v>
      </c>
      <c r="R64" s="189">
        <f>44/12*'Crops proc. &amp; prod. DISCOUNTED'!CJ49</f>
        <v>5.7181658392940227</v>
      </c>
      <c r="S64" s="189">
        <f>44/12*'Crops proc. &amp; prod. DISCOUNTED'!CK49</f>
        <v>6.4979157264704801</v>
      </c>
      <c r="T64" s="193">
        <f>44/12*'Crops proc. &amp; prod. DISCOUNTED'!CL49</f>
        <v>393.81307433154421</v>
      </c>
      <c r="U64" s="193">
        <f>44/12*'Crops proc. &amp; prod. DISCOUNTED'!CM49</f>
        <v>81.223946580880991</v>
      </c>
      <c r="V64" s="192">
        <f>44/12*'Crops proc. &amp; prod. DISCOUNTED'!DZ49</f>
        <v>5.5411617096923571</v>
      </c>
      <c r="W64" s="192">
        <f>44/12*'Crops proc. &amp; prod. DISCOUNTED'!EA49</f>
        <v>6.2967746701049512</v>
      </c>
      <c r="X64" s="193">
        <f>44/12*'Crops proc. &amp; prod. DISCOUNTED'!EB49</f>
        <v>381.62270727908799</v>
      </c>
      <c r="Y64" s="188">
        <f>44/12*'Crops proc. &amp; prod. DISCOUNTED'!EC49</f>
        <v>78.709683376311887</v>
      </c>
      <c r="Z64" s="770">
        <f t="shared" si="54"/>
        <v>6.4659503924962101</v>
      </c>
      <c r="AA64" s="220">
        <f t="shared" si="54"/>
        <v>7.347670900563875</v>
      </c>
      <c r="AB64" s="305">
        <f t="shared" si="54"/>
        <v>445.31338791296218</v>
      </c>
      <c r="AC64" s="220">
        <f t="shared" si="54"/>
        <v>91.845886257048434</v>
      </c>
      <c r="AD64" s="189">
        <f>44/12*'Crops proc. &amp; prod. DISCOUNTED'!CX49</f>
        <v>2.158739849641663</v>
      </c>
      <c r="AE64" s="189">
        <f>44/12*'Crops proc. &amp; prod. DISCOUNTED'!CY49</f>
        <v>2.4531134655018896</v>
      </c>
      <c r="AF64" s="188">
        <f>44/12*'Crops proc. &amp; prod. DISCOUNTED'!CZ49</f>
        <v>148.67354336375089</v>
      </c>
      <c r="AG64" s="188">
        <f>44/12*'Crops proc. &amp; prod. DISCOUNTED'!DA49</f>
        <v>30.663918318773622</v>
      </c>
      <c r="AH64" s="189">
        <f>44/12*'Crops proc. &amp; prod. DISCOUNTED'!EN49</f>
        <v>10.773160935350758</v>
      </c>
      <c r="AI64" s="189">
        <f>44/12*'Crops proc. &amp; prod. DISCOUNTED'!EO49</f>
        <v>12.24222833562586</v>
      </c>
      <c r="AJ64" s="188">
        <f>44/12*'Crops proc. &amp; prod. DISCOUNTED'!EP49</f>
        <v>741.95323246217345</v>
      </c>
      <c r="AK64" s="188">
        <f>44/12*'Crops proc. &amp; prod. DISCOUNTED'!EQ49</f>
        <v>153.02785419532324</v>
      </c>
      <c r="AL64" s="761">
        <f>'Crops proc. &amp; prod. DISCOUNTED'!GY49</f>
        <v>0.30507764013981525</v>
      </c>
      <c r="AM64" s="194">
        <f>'Crops proc. &amp; prod. DISCOUNTED'!GZ49</f>
        <v>0.34667913652251736</v>
      </c>
      <c r="AN64" s="225">
        <f>'Crops proc. &amp; prod. DISCOUNTED'!HA49</f>
        <v>21.010856758940445</v>
      </c>
      <c r="AO64" s="189">
        <f>'Crops proc. &amp; prod. DISCOUNTED'!HB49</f>
        <v>4.3334892065314667</v>
      </c>
      <c r="AP64" s="761">
        <f>'Crops proc. &amp; prod. DISCOUNTED'!IV49</f>
        <v>2.7223832518195707</v>
      </c>
      <c r="AQ64" s="194">
        <f>'Crops proc. &amp; prod. DISCOUNTED'!IW49</f>
        <v>3.0936173316131486</v>
      </c>
      <c r="AR64" s="225">
        <f>'Crops proc. &amp; prod. DISCOUNTED'!IX49</f>
        <v>187.49195949170598</v>
      </c>
      <c r="AS64" s="189">
        <f>'Crops proc. &amp; prod. DISCOUNTED'!IY49</f>
        <v>38.670216645164359</v>
      </c>
      <c r="AT64" s="765">
        <f t="shared" si="55"/>
        <v>5.8831070147460442</v>
      </c>
      <c r="AU64" s="189">
        <f t="shared" si="55"/>
        <v>6.6853488803932315</v>
      </c>
      <c r="AV64" s="188">
        <f t="shared" si="55"/>
        <v>405.17265941777168</v>
      </c>
      <c r="AW64" s="189">
        <f t="shared" si="55"/>
        <v>83.56686100491541</v>
      </c>
      <c r="AX64" s="189">
        <f t="shared" si="56"/>
        <v>5.9890766538436733</v>
      </c>
      <c r="AY64" s="189">
        <f t="shared" si="56"/>
        <v>6.8057689248223561</v>
      </c>
      <c r="AZ64" s="188">
        <f t="shared" si="56"/>
        <v>412.47084392862769</v>
      </c>
      <c r="BA64" s="189">
        <f t="shared" si="56"/>
        <v>85.072111560279453</v>
      </c>
      <c r="BB64" s="250"/>
      <c r="BC64" s="250"/>
      <c r="BD64" s="250"/>
      <c r="BE64" s="250"/>
      <c r="BF64" s="250"/>
      <c r="BG64" s="250"/>
      <c r="BH64" s="250"/>
      <c r="BI64" s="250"/>
      <c r="BJ64" s="193"/>
      <c r="BK64" s="193"/>
      <c r="BL64" s="250"/>
      <c r="BM64" s="250"/>
      <c r="BN64" s="250"/>
      <c r="BO64" s="250"/>
      <c r="BP64" s="250"/>
      <c r="BQ64" s="250"/>
      <c r="BR64" s="250"/>
      <c r="BS64" s="250"/>
      <c r="BT64" s="250"/>
      <c r="BU64" s="250"/>
      <c r="BV64" s="290"/>
      <c r="BW64" s="250"/>
      <c r="BX64" s="250"/>
      <c r="BY64" s="250"/>
      <c r="BZ64" s="250"/>
    </row>
    <row r="65" spans="1:78" x14ac:dyDescent="0.25">
      <c r="A65" s="191" t="s">
        <v>161</v>
      </c>
      <c r="B65" s="770">
        <f t="shared" si="52"/>
        <v>2.1069173497630853</v>
      </c>
      <c r="C65" s="220">
        <f t="shared" si="52"/>
        <v>2.4499038950733554</v>
      </c>
      <c r="D65" s="306">
        <f t="shared" si="52"/>
        <v>153.1189934420847</v>
      </c>
      <c r="E65" s="221">
        <f t="shared" si="52"/>
        <v>21.303512131072651</v>
      </c>
      <c r="F65" s="189">
        <f>44/12*'Crops proc. &amp; prod. DISCOUNTED'!BV54</f>
        <v>1.741110056107678</v>
      </c>
      <c r="G65" s="189">
        <f>44/12*'Crops proc. &amp; prod. DISCOUNTED'!BW54</f>
        <v>2.0245465768693931</v>
      </c>
      <c r="H65" s="188">
        <f>44/12*'Crops proc. &amp; prod. DISCOUNTED'!BX54</f>
        <v>126.53416105433706</v>
      </c>
      <c r="I65" s="188">
        <f>44/12*'Crops proc. &amp; prod. DISCOUNTED'!BY54</f>
        <v>17.604752842342545</v>
      </c>
      <c r="J65" s="192">
        <f>44/12*'Crops proc. &amp; prod. DISCOUNTED'!DL54</f>
        <v>2.4727246434184931</v>
      </c>
      <c r="K65" s="192">
        <f>44/12*'Crops proc. &amp; prod. DISCOUNTED'!DM54</f>
        <v>2.8752612132773177</v>
      </c>
      <c r="L65" s="193">
        <f>44/12*'Crops proc. &amp; prod. DISCOUNTED'!DN54</f>
        <v>179.70382582983234</v>
      </c>
      <c r="M65" s="193">
        <f>44/12*'Crops proc. &amp; prod. DISCOUNTED'!DO54</f>
        <v>25.00227141980276</v>
      </c>
      <c r="N65" s="770">
        <f t="shared" si="53"/>
        <v>2.7458947370122382</v>
      </c>
      <c r="O65" s="220">
        <f t="shared" si="53"/>
        <v>3.1929008569909749</v>
      </c>
      <c r="P65" s="305">
        <f t="shared" si="53"/>
        <v>199.55630356193592</v>
      </c>
      <c r="Q65" s="221">
        <f t="shared" si="53"/>
        <v>27.764355278182386</v>
      </c>
      <c r="R65" s="189">
        <f>44/12*'Crops proc. &amp; prod. DISCOUNTED'!CJ54</f>
        <v>2.3202013830762089</v>
      </c>
      <c r="S65" s="189">
        <f>44/12*'Crops proc. &amp; prod. DISCOUNTED'!CK54</f>
        <v>2.6979085849723359</v>
      </c>
      <c r="T65" s="193">
        <f>44/12*'Crops proc. &amp; prod. DISCOUNTED'!CL54</f>
        <v>168.61928656077097</v>
      </c>
      <c r="U65" s="193">
        <f>44/12*'Crops proc. &amp; prod. DISCOUNTED'!CM54</f>
        <v>23.460074651933354</v>
      </c>
      <c r="V65" s="192">
        <f>44/12*'Crops proc. &amp; prod. DISCOUNTED'!DZ54</f>
        <v>3.1715880909482674</v>
      </c>
      <c r="W65" s="192">
        <f>44/12*'Crops proc. &amp; prod. DISCOUNTED'!EA54</f>
        <v>3.6878931290096135</v>
      </c>
      <c r="X65" s="193">
        <f>44/12*'Crops proc. &amp; prod. DISCOUNTED'!EB54</f>
        <v>230.49332056310084</v>
      </c>
      <c r="Y65" s="188">
        <f>44/12*'Crops proc. &amp; prod. DISCOUNTED'!EC54</f>
        <v>32.068635904431417</v>
      </c>
      <c r="Z65" s="770">
        <f t="shared" si="54"/>
        <v>4.006035797547681</v>
      </c>
      <c r="AA65" s="220">
        <f t="shared" si="54"/>
        <v>4.6581811599391649</v>
      </c>
      <c r="AB65" s="305">
        <f t="shared" si="54"/>
        <v>291.13632249619775</v>
      </c>
      <c r="AC65" s="220">
        <f t="shared" si="54"/>
        <v>40.505923129905774</v>
      </c>
      <c r="AD65" s="189">
        <f>44/12*'Crops proc. &amp; prod. DISCOUNTED'!CX54</f>
        <v>0.64684777830146956</v>
      </c>
      <c r="AE65" s="189">
        <f>44/12*'Crops proc. &amp; prod. DISCOUNTED'!CY54</f>
        <v>0.75214857942031355</v>
      </c>
      <c r="AF65" s="188">
        <f>44/12*'Crops proc. &amp; prod. DISCOUNTED'!CZ54</f>
        <v>47.009286213769599</v>
      </c>
      <c r="AG65" s="188">
        <f>44/12*'Crops proc. &amp; prod. DISCOUNTED'!DA54</f>
        <v>6.5404224297418558</v>
      </c>
      <c r="AH65" s="189">
        <f>44/12*'Crops proc. &amp; prod. DISCOUNTED'!EN54</f>
        <v>7.3652238167938924</v>
      </c>
      <c r="AI65" s="189">
        <f>44/12*'Crops proc. &amp; prod. DISCOUNTED'!EO54</f>
        <v>8.5642137404580154</v>
      </c>
      <c r="AJ65" s="188">
        <f>44/12*'Crops proc. &amp; prod. DISCOUNTED'!EP54</f>
        <v>535.26335877862596</v>
      </c>
      <c r="AK65" s="188">
        <f>44/12*'Crops proc. &amp; prod. DISCOUNTED'!EQ54</f>
        <v>74.471423830069696</v>
      </c>
      <c r="AL65" s="761">
        <f>'Crops proc. &amp; prod. DISCOUNTED'!GY54</f>
        <v>0.1092428611421294</v>
      </c>
      <c r="AM65" s="194">
        <f>'Crops proc. &amp; prod. DISCOUNTED'!GZ54</f>
        <v>0.12702658272340628</v>
      </c>
      <c r="AN65" s="226">
        <f>'Crops proc. &amp; prod. DISCOUNTED'!HA54</f>
        <v>7.9391614202128924</v>
      </c>
      <c r="AO65" s="189">
        <f>'Crops proc. &amp; prod. DISCOUNTED'!HB54</f>
        <v>1.1045789802035328</v>
      </c>
      <c r="AP65" s="761">
        <f>'Crops proc. &amp; prod. DISCOUNTED'!IV54</f>
        <v>0.6714203710989467</v>
      </c>
      <c r="AQ65" s="194">
        <f>'Crops proc. &amp; prod. DISCOUNTED'!IW54</f>
        <v>0.78072136174296125</v>
      </c>
      <c r="AR65" s="225">
        <f>'Crops proc. &amp; prod. DISCOUNTED'!IX54</f>
        <v>48.795085108935076</v>
      </c>
      <c r="AS65" s="189">
        <f>'Crops proc. &amp; prod. DISCOUNTED'!IY54</f>
        <v>6.7888814064605327</v>
      </c>
      <c r="AT65" s="765">
        <f t="shared" si="55"/>
        <v>2.8875805820041611</v>
      </c>
      <c r="AU65" s="189">
        <f t="shared" si="55"/>
        <v>3.3576518395397228</v>
      </c>
      <c r="AV65" s="188">
        <f t="shared" si="55"/>
        <v>209.85323997123265</v>
      </c>
      <c r="AW65" s="189">
        <f t="shared" si="55"/>
        <v>29.196972517736718</v>
      </c>
      <c r="AX65" s="189">
        <f t="shared" si="56"/>
        <v>2.5217732883487542</v>
      </c>
      <c r="AY65" s="189">
        <f t="shared" si="56"/>
        <v>2.9322945213357605</v>
      </c>
      <c r="AZ65" s="188">
        <f t="shared" si="56"/>
        <v>183.26840758348501</v>
      </c>
      <c r="BA65" s="189">
        <f t="shared" si="56"/>
        <v>25.498213229006613</v>
      </c>
      <c r="BB65" s="250"/>
      <c r="BC65" s="250"/>
      <c r="BD65" s="250"/>
      <c r="BE65" s="250"/>
      <c r="BF65" s="250"/>
      <c r="BG65" s="250"/>
      <c r="BH65" s="250"/>
      <c r="BI65" s="250"/>
      <c r="BJ65" s="193"/>
      <c r="BK65" s="193"/>
      <c r="BL65" s="250"/>
      <c r="BM65" s="250"/>
      <c r="BN65" s="250"/>
      <c r="BO65" s="250"/>
      <c r="BP65" s="250"/>
      <c r="BQ65" s="250"/>
      <c r="BR65" s="250"/>
      <c r="BS65" s="250"/>
      <c r="BT65" s="250"/>
      <c r="BU65" s="250"/>
      <c r="BV65" s="290"/>
      <c r="BW65" s="250"/>
      <c r="BX65" s="250"/>
      <c r="BY65" s="250"/>
      <c r="BZ65" s="250"/>
    </row>
    <row r="66" spans="1:78" x14ac:dyDescent="0.25">
      <c r="A66" s="229"/>
      <c r="AP66" s="776"/>
      <c r="AQ66" s="195"/>
      <c r="AR66" s="196"/>
      <c r="AS66" s="195"/>
      <c r="AT66" s="776"/>
      <c r="AU66" s="195"/>
      <c r="AV66" s="195"/>
      <c r="AW66" s="195"/>
      <c r="AX66" s="195"/>
      <c r="AY66" s="195"/>
      <c r="AZ66" s="195"/>
      <c r="BA66" s="195"/>
      <c r="BB66" s="250"/>
      <c r="BC66" s="250"/>
      <c r="BD66" s="250"/>
      <c r="BE66" s="250"/>
      <c r="BF66" s="250"/>
      <c r="BG66" s="250"/>
      <c r="BH66" s="250"/>
      <c r="BI66" s="250"/>
      <c r="BJ66" s="250"/>
      <c r="BK66" s="250"/>
      <c r="BL66" s="250"/>
      <c r="BM66" s="250"/>
      <c r="BN66" s="250"/>
      <c r="BO66" s="250"/>
      <c r="BP66" s="250"/>
      <c r="BQ66" s="250"/>
      <c r="BR66" s="250"/>
      <c r="BS66" s="250"/>
      <c r="BT66" s="250"/>
      <c r="BU66" s="250"/>
      <c r="BV66" s="290"/>
      <c r="BW66" s="250"/>
      <c r="BX66" s="250"/>
      <c r="BY66" s="250"/>
      <c r="BZ66" s="250"/>
    </row>
    <row r="67" spans="1:78" ht="13.8" x14ac:dyDescent="0.3">
      <c r="A67" s="190" t="s">
        <v>434</v>
      </c>
      <c r="B67" s="771"/>
      <c r="C67" s="327">
        <f t="shared" ref="C67:D69" si="57">(G67+K67)/2</f>
        <v>0.80748917172828139</v>
      </c>
      <c r="D67" s="320">
        <f t="shared" si="57"/>
        <v>95.655787930928142</v>
      </c>
      <c r="E67" s="320"/>
      <c r="F67" s="322"/>
      <c r="G67" s="322"/>
      <c r="H67" s="328">
        <f>44/12*'Crops proc. &amp; prod. DISCOUNTED'!BX59</f>
        <v>91.621554660833894</v>
      </c>
      <c r="I67" s="328"/>
      <c r="J67" s="322"/>
      <c r="K67" s="322">
        <f>44/12*'Crops proc. &amp; prod. DISCOUNTED'!DM59</f>
        <v>1.6149783434565628</v>
      </c>
      <c r="L67" s="328">
        <f>44/12*'Crops proc. &amp; prod. DISCOUNTED'!DN59</f>
        <v>99.690021201022404</v>
      </c>
      <c r="M67" s="328"/>
      <c r="N67" s="771"/>
      <c r="O67" s="327"/>
      <c r="P67" s="320"/>
      <c r="Q67" s="320"/>
      <c r="R67" s="322"/>
      <c r="S67" s="322"/>
      <c r="T67" s="328"/>
      <c r="U67" s="328"/>
      <c r="V67" s="322"/>
      <c r="W67" s="322"/>
      <c r="X67" s="328"/>
      <c r="Y67" s="328"/>
      <c r="Z67" s="771"/>
      <c r="AA67" s="327"/>
      <c r="AB67" s="320"/>
      <c r="AC67" s="327"/>
      <c r="AD67" s="322"/>
      <c r="AE67" s="322"/>
      <c r="AF67" s="328"/>
      <c r="AG67" s="328"/>
      <c r="AH67" s="322"/>
      <c r="AI67" s="322"/>
      <c r="AJ67" s="328"/>
      <c r="AK67" s="328"/>
      <c r="AL67" s="762"/>
      <c r="AM67" s="328"/>
      <c r="AN67" s="322">
        <f>'Crops proc. &amp; prod. DISCOUNTED'!HA59</f>
        <v>8.5390768271189614</v>
      </c>
      <c r="AO67" s="328"/>
      <c r="AP67" s="776"/>
      <c r="AQ67" s="290"/>
      <c r="AR67" s="328"/>
      <c r="AS67" s="290"/>
      <c r="AT67" s="776"/>
      <c r="AU67" s="290"/>
      <c r="AV67" s="290"/>
      <c r="AW67" s="290"/>
      <c r="AX67" s="290"/>
      <c r="AY67" s="290"/>
      <c r="AZ67" s="290"/>
      <c r="BA67" s="290"/>
      <c r="BB67" s="250"/>
      <c r="BC67" s="250"/>
      <c r="BD67" s="250"/>
      <c r="BE67" s="250"/>
      <c r="BF67" s="250"/>
      <c r="BG67" s="250"/>
      <c r="BH67" s="250"/>
      <c r="BI67" s="250"/>
      <c r="BJ67" s="250"/>
      <c r="BK67" s="250"/>
      <c r="BL67" s="250"/>
      <c r="BM67" s="250"/>
      <c r="BN67" s="250"/>
      <c r="BO67" s="250"/>
      <c r="BP67" s="250"/>
      <c r="BQ67" s="250"/>
      <c r="BR67" s="250"/>
      <c r="BS67" s="250"/>
      <c r="BT67" s="250"/>
      <c r="BU67" s="250"/>
      <c r="BV67" s="290"/>
      <c r="BW67" s="250"/>
      <c r="BX67" s="250"/>
      <c r="BY67" s="250"/>
      <c r="BZ67" s="250"/>
    </row>
    <row r="68" spans="1:78" x14ac:dyDescent="0.25">
      <c r="A68" s="191" t="s">
        <v>175</v>
      </c>
      <c r="B68" s="770">
        <f t="shared" ref="B68:B69" si="58">(F68+J68)/2</f>
        <v>1.7604851821538388</v>
      </c>
      <c r="C68" s="220">
        <f t="shared" si="57"/>
        <v>1.7604851821538388</v>
      </c>
      <c r="D68" s="306">
        <f t="shared" si="57"/>
        <v>108.67192482431103</v>
      </c>
      <c r="E68" s="221"/>
      <c r="F68" s="189">
        <f>44/12*'Crops proc. &amp; prod. DISCOUNTED'!BV63</f>
        <v>1.6973747339018679</v>
      </c>
      <c r="G68" s="189">
        <f>44/12*'Crops proc. &amp; prod. DISCOUNTED'!BW63</f>
        <v>1.6973747339018679</v>
      </c>
      <c r="H68" s="188">
        <f>44/12*'Crops proc. &amp; prod. DISCOUNTED'!BX63</f>
        <v>104.77621814209061</v>
      </c>
      <c r="J68" s="192">
        <f>44/12*'Crops proc. &amp; prod. DISCOUNTED'!DL63</f>
        <v>1.8235956304058096</v>
      </c>
      <c r="K68" s="192">
        <f>44/12*'Crops proc. &amp; prod. DISCOUNTED'!DM63</f>
        <v>1.8235956304058096</v>
      </c>
      <c r="L68" s="193">
        <f>44/12*'Crops proc. &amp; prod. DISCOUNTED'!DN63</f>
        <v>112.56763150653146</v>
      </c>
      <c r="M68" s="193"/>
      <c r="N68" s="770">
        <f t="shared" ref="N68:P69" si="59">(R68+V68)/2</f>
        <v>2.3810040367312455</v>
      </c>
      <c r="O68" s="220">
        <f t="shared" si="59"/>
        <v>2.3810040367312455</v>
      </c>
      <c r="P68" s="305">
        <f t="shared" si="59"/>
        <v>146.97555782291641</v>
      </c>
      <c r="Q68" s="221"/>
      <c r="R68" s="189">
        <f>44/12*'Crops proc. &amp; prod. DISCOUNTED'!CJ63</f>
        <v>2.4069449502416496</v>
      </c>
      <c r="S68" s="189">
        <f>44/12*'Crops proc. &amp; prod. DISCOUNTED'!CK63</f>
        <v>2.4069449502416496</v>
      </c>
      <c r="T68" s="193">
        <f>44/12*'Crops proc. &amp; prod. DISCOUNTED'!CL63</f>
        <v>148.57684878034874</v>
      </c>
      <c r="U68" s="193"/>
      <c r="V68" s="192">
        <f>44/12*'Crops proc. &amp; prod. DISCOUNTED'!DZ63</f>
        <v>2.3550631232208419</v>
      </c>
      <c r="W68" s="192">
        <f>44/12*'Crops proc. &amp; prod. DISCOUNTED'!EA63</f>
        <v>2.3550631232208419</v>
      </c>
      <c r="X68" s="193">
        <f>44/12*'Crops proc. &amp; prod. DISCOUNTED'!EB63</f>
        <v>145.37426686548409</v>
      </c>
      <c r="Z68" s="770">
        <f t="shared" ref="Z68:AB69" si="60">(AD68+AH68)/2</f>
        <v>75.766509002780197</v>
      </c>
      <c r="AA68" s="220">
        <f t="shared" si="60"/>
        <v>75.766509002780197</v>
      </c>
      <c r="AB68" s="305">
        <f t="shared" si="60"/>
        <v>4676.9450001716159</v>
      </c>
      <c r="AC68" s="220"/>
      <c r="AD68" s="189">
        <f>44/12*'Crops proc. &amp; prod. DISCOUNTED'!CX63</f>
        <v>0.90210763153071216</v>
      </c>
      <c r="AE68" s="189">
        <f>44/12*'Crops proc. &amp; prod. DISCOUNTED'!CY63</f>
        <v>0.90210763153071216</v>
      </c>
      <c r="AF68" s="188">
        <f>44/12*'Crops proc. &amp; prod. DISCOUNTED'!CZ63</f>
        <v>55.685656267327921</v>
      </c>
      <c r="AH68" s="189">
        <f>44/12*'Crops proc. &amp; prod. DISCOUNTED'!EN63</f>
        <v>150.63091037402967</v>
      </c>
      <c r="AI68" s="189">
        <f>44/12*'Crops proc. &amp; prod. DISCOUNTED'!EO63</f>
        <v>150.63091037402967</v>
      </c>
      <c r="AJ68" s="188">
        <f>44/12*'Crops proc. &amp; prod. DISCOUNTED'!EP63</f>
        <v>9298.2043440759044</v>
      </c>
      <c r="AL68" s="761">
        <f>'Crops proc. &amp; prod. DISCOUNTED'!GY63</f>
        <v>0.1641262303721216</v>
      </c>
      <c r="AM68" s="194">
        <f>'Crops proc. &amp; prod. DISCOUNTED'!GZ63</f>
        <v>0.1641262303721216</v>
      </c>
      <c r="AN68" s="225">
        <f>'Crops proc. &amp; prod. DISCOUNTED'!HA63</f>
        <v>10.131248788402567</v>
      </c>
      <c r="AP68" s="761">
        <f>'Crops proc. &amp; prod. DISCOUNTED'!IV63</f>
        <v>0.27029269735225697</v>
      </c>
      <c r="AQ68" s="194">
        <f>'Crops proc. &amp; prod. DISCOUNTED'!IW63</f>
        <v>0.27029269735225697</v>
      </c>
      <c r="AR68" s="225">
        <f>'Crops proc. &amp; prod. DISCOUNTED'!IX63</f>
        <v>16.684734404460308</v>
      </c>
      <c r="AS68" s="195"/>
      <c r="AT68" s="765">
        <f t="shared" ref="AT68:AV69" si="61">B68+AL68+AP68</f>
        <v>2.1949041098782174</v>
      </c>
      <c r="AU68" s="189">
        <f t="shared" si="61"/>
        <v>2.1949041098782174</v>
      </c>
      <c r="AV68" s="188">
        <f t="shared" si="61"/>
        <v>135.48790801717391</v>
      </c>
      <c r="AW68" s="189"/>
      <c r="AX68" s="189">
        <f t="shared" ref="AX68:AZ69" si="62">F68+AL68+AP68</f>
        <v>2.1317936616262463</v>
      </c>
      <c r="AY68" s="189">
        <f t="shared" si="62"/>
        <v>2.1317936616262463</v>
      </c>
      <c r="AZ68" s="188">
        <f t="shared" si="62"/>
        <v>131.5922013349535</v>
      </c>
      <c r="BA68" s="189"/>
      <c r="BB68" s="250"/>
      <c r="BC68" s="250"/>
      <c r="BD68" s="250"/>
      <c r="BE68" s="250"/>
      <c r="BF68" s="250"/>
      <c r="BG68" s="250"/>
      <c r="BH68" s="250"/>
      <c r="BI68" s="250"/>
      <c r="BJ68" s="193"/>
      <c r="BK68" s="193"/>
      <c r="BL68" s="250"/>
      <c r="BM68" s="250"/>
      <c r="BN68" s="250"/>
      <c r="BO68" s="250"/>
      <c r="BP68" s="250"/>
      <c r="BQ68" s="250"/>
      <c r="BR68" s="250"/>
      <c r="BS68" s="250"/>
      <c r="BT68" s="250"/>
      <c r="BU68" s="250"/>
      <c r="BV68" s="290"/>
      <c r="BW68" s="250"/>
      <c r="BX68" s="250"/>
      <c r="BY68" s="250"/>
      <c r="BZ68" s="250"/>
    </row>
    <row r="69" spans="1:78" x14ac:dyDescent="0.25">
      <c r="A69" s="191" t="s">
        <v>178</v>
      </c>
      <c r="B69" s="770">
        <f t="shared" si="58"/>
        <v>0.90386067285807759</v>
      </c>
      <c r="C69" s="220">
        <f t="shared" si="57"/>
        <v>0.90386067285807759</v>
      </c>
      <c r="D69" s="306">
        <f t="shared" si="57"/>
        <v>55.793868694943065</v>
      </c>
      <c r="E69" s="221"/>
      <c r="F69" s="189">
        <f>44/12*'Crops proc. &amp; prod. DISCOUNTED'!BV68</f>
        <v>0.83163344354166002</v>
      </c>
      <c r="G69" s="189">
        <f>44/12*'Crops proc. &amp; prod. DISCOUNTED'!BW68</f>
        <v>0.83163344354166002</v>
      </c>
      <c r="H69" s="188">
        <f>44/12*'Crops proc. &amp; prod. DISCOUNTED'!BX68</f>
        <v>51.335397749485189</v>
      </c>
      <c r="J69" s="192">
        <f>44/12*'Crops proc. &amp; prod. DISCOUNTED'!DL68</f>
        <v>0.97608790217449526</v>
      </c>
      <c r="K69" s="192">
        <f>44/12*'Crops proc. &amp; prod. DISCOUNTED'!DM68</f>
        <v>0.97608790217449526</v>
      </c>
      <c r="L69" s="193">
        <f>44/12*'Crops proc. &amp; prod. DISCOUNTED'!DN68</f>
        <v>60.25233964040094</v>
      </c>
      <c r="M69" s="193"/>
      <c r="N69" s="770">
        <f t="shared" si="59"/>
        <v>1.0423177787975595</v>
      </c>
      <c r="O69" s="220">
        <f t="shared" si="59"/>
        <v>1.0423177787975595</v>
      </c>
      <c r="P69" s="305">
        <f t="shared" si="59"/>
        <v>64.340603629478977</v>
      </c>
      <c r="Q69" s="221"/>
      <c r="R69" s="189">
        <f>44/12*'Crops proc. &amp; prod. DISCOUNTED'!CJ68</f>
        <v>0.96937424960599794</v>
      </c>
      <c r="S69" s="189">
        <f>44/12*'Crops proc. &amp; prod. DISCOUNTED'!CK68</f>
        <v>0.96937424960599794</v>
      </c>
      <c r="T69" s="193">
        <f>44/12*'Crops proc. &amp; prod. DISCOUNTED'!CL68</f>
        <v>59.837916642345554</v>
      </c>
      <c r="U69" s="193"/>
      <c r="V69" s="192">
        <f>44/12*'Crops proc. &amp; prod. DISCOUNTED'!DZ68</f>
        <v>1.1152613079891209</v>
      </c>
      <c r="W69" s="192">
        <f>44/12*'Crops proc. &amp; prod. DISCOUNTED'!EA68</f>
        <v>1.1152613079891209</v>
      </c>
      <c r="X69" s="193">
        <f>44/12*'Crops proc. &amp; prod. DISCOUNTED'!EB68</f>
        <v>68.843290616612393</v>
      </c>
      <c r="Z69" s="770">
        <f t="shared" si="60"/>
        <v>22.158451530425115</v>
      </c>
      <c r="AA69" s="220">
        <f t="shared" si="60"/>
        <v>22.158451530425115</v>
      </c>
      <c r="AB69" s="305">
        <f t="shared" si="60"/>
        <v>1367.8056500262417</v>
      </c>
      <c r="AC69" s="220"/>
      <c r="AD69" s="189">
        <f>44/12*'Crops proc. &amp; prod. DISCOUNTED'!CX68</f>
        <v>0.48962141217505917</v>
      </c>
      <c r="AE69" s="189">
        <f>44/12*'Crops proc. &amp; prod. DISCOUNTED'!CY68</f>
        <v>0.48962141217505917</v>
      </c>
      <c r="AF69" s="188">
        <f>44/12*'Crops proc. &amp; prod. DISCOUNTED'!CZ68</f>
        <v>30.223543961423399</v>
      </c>
      <c r="AH69" s="189">
        <f>44/12*'Crops proc. &amp; prod. DISCOUNTED'!EN68</f>
        <v>43.827281648675168</v>
      </c>
      <c r="AI69" s="189">
        <f>44/12*'Crops proc. &amp; prod. DISCOUNTED'!EO68</f>
        <v>43.827281648675168</v>
      </c>
      <c r="AJ69" s="188">
        <f>44/12*'Crops proc. &amp; prod. DISCOUNTED'!EP68</f>
        <v>2705.3877560910601</v>
      </c>
      <c r="AL69" s="763">
        <f>'Crops proc. &amp; prod. DISCOUNTED'!GY68</f>
        <v>5.9341413170144297E-2</v>
      </c>
      <c r="AM69" s="414">
        <f>'Crops proc. &amp; prod. DISCOUNTED'!GZ68</f>
        <v>5.9341413170144297E-2</v>
      </c>
      <c r="AN69" s="226">
        <f>'Crops proc. &amp; prod. DISCOUNTED'!HA68</f>
        <v>3.6630501956879198</v>
      </c>
      <c r="AP69" s="761">
        <f>'Crops proc. &amp; prod. DISCOUNTED'!IV68</f>
        <v>0.28337052814578567</v>
      </c>
      <c r="AQ69" s="194">
        <f>'Crops proc. &amp; prod. DISCOUNTED'!IW68</f>
        <v>0.28337052814578567</v>
      </c>
      <c r="AR69" s="225">
        <f>'Crops proc. &amp; prod. DISCOUNTED'!IX68</f>
        <v>17.492007910233685</v>
      </c>
      <c r="AS69" s="195"/>
      <c r="AT69" s="765">
        <f t="shared" si="61"/>
        <v>1.2465726141740077</v>
      </c>
      <c r="AU69" s="189">
        <f t="shared" si="61"/>
        <v>1.2465726141740077</v>
      </c>
      <c r="AV69" s="188">
        <f t="shared" si="61"/>
        <v>76.948926800864669</v>
      </c>
      <c r="AW69" s="189"/>
      <c r="AX69" s="189">
        <f t="shared" si="62"/>
        <v>1.17434538485759</v>
      </c>
      <c r="AY69" s="189">
        <f t="shared" si="62"/>
        <v>1.17434538485759</v>
      </c>
      <c r="AZ69" s="188">
        <f t="shared" si="62"/>
        <v>72.490455855406793</v>
      </c>
      <c r="BA69" s="189"/>
      <c r="BB69" s="250"/>
      <c r="BC69" s="250"/>
      <c r="BD69" s="250"/>
      <c r="BE69" s="250"/>
      <c r="BF69" s="250"/>
      <c r="BG69" s="250"/>
      <c r="BH69" s="250"/>
      <c r="BI69" s="250"/>
      <c r="BJ69" s="193"/>
      <c r="BK69" s="193"/>
      <c r="BL69" s="250"/>
      <c r="BM69" s="250"/>
      <c r="BN69" s="250"/>
      <c r="BO69" s="250"/>
      <c r="BP69" s="250"/>
      <c r="BQ69" s="250"/>
      <c r="BR69" s="250"/>
      <c r="BS69" s="250"/>
      <c r="BT69" s="250"/>
      <c r="BU69" s="250"/>
      <c r="BV69" s="290"/>
      <c r="BW69" s="250"/>
      <c r="BX69" s="250"/>
      <c r="BY69" s="250"/>
      <c r="BZ69" s="250"/>
    </row>
    <row r="70" spans="1:78" x14ac:dyDescent="0.25">
      <c r="A70" s="202"/>
      <c r="AR70" s="188"/>
      <c r="BB70" s="250"/>
      <c r="BC70" s="250"/>
      <c r="BD70" s="250"/>
      <c r="BE70" s="250"/>
      <c r="BF70" s="250"/>
      <c r="BG70" s="250"/>
      <c r="BH70" s="250"/>
      <c r="BI70" s="250"/>
      <c r="BJ70" s="250"/>
      <c r="BK70" s="250"/>
      <c r="BL70" s="250"/>
      <c r="BM70" s="250"/>
      <c r="BN70" s="250"/>
      <c r="BO70" s="250"/>
      <c r="BP70" s="250"/>
      <c r="BQ70" s="250"/>
      <c r="BR70" s="250"/>
      <c r="BS70" s="250"/>
      <c r="BT70" s="250"/>
      <c r="BU70" s="250"/>
      <c r="BV70" s="250"/>
      <c r="BW70" s="250"/>
      <c r="BX70" s="250"/>
      <c r="BY70" s="250"/>
      <c r="BZ70" s="250"/>
    </row>
    <row r="71" spans="1:78" ht="13.8" x14ac:dyDescent="0.3">
      <c r="A71" s="206" t="s">
        <v>435</v>
      </c>
      <c r="B71" s="771">
        <f t="shared" ref="B71:D78" si="63">(F71+J71)/2</f>
        <v>8.5494992497040077</v>
      </c>
      <c r="C71" s="327">
        <f t="shared" si="63"/>
        <v>8.5494992497040077</v>
      </c>
      <c r="D71" s="320">
        <f t="shared" si="63"/>
        <v>231.06754728929752</v>
      </c>
      <c r="E71" s="320"/>
      <c r="F71" s="323">
        <f>44/12*'Crops proc. &amp; prod. DISCOUNTED'!BV75</f>
        <v>8.672573088371113</v>
      </c>
      <c r="G71" s="322">
        <f>44/12*'Crops proc. &amp; prod. DISCOUNTED'!BW75</f>
        <v>8.672573088371113</v>
      </c>
      <c r="H71" s="328">
        <f>44/12*'Crops proc. &amp; prod. DISCOUNTED'!BX75</f>
        <v>234.39386725327333</v>
      </c>
      <c r="I71" s="328"/>
      <c r="J71" s="322">
        <f>44/12*'Crops proc. &amp; prod. DISCOUNTED'!DL75</f>
        <v>8.4264254110369023</v>
      </c>
      <c r="K71" s="322">
        <f>44/12*'Crops proc. &amp; prod. DISCOUNTED'!DM75</f>
        <v>8.4264254110369023</v>
      </c>
      <c r="L71" s="328">
        <f>44/12*'Crops proc. &amp; prod. DISCOUNTED'!DN75</f>
        <v>227.74122732532169</v>
      </c>
      <c r="M71" s="328"/>
      <c r="N71" s="771"/>
      <c r="O71" s="327"/>
      <c r="P71" s="320"/>
      <c r="Q71" s="320"/>
      <c r="R71" s="322"/>
      <c r="S71" s="322"/>
      <c r="T71" s="328"/>
      <c r="U71" s="328"/>
      <c r="V71" s="322"/>
      <c r="W71" s="322"/>
      <c r="X71" s="328"/>
      <c r="Y71" s="328"/>
      <c r="Z71" s="771"/>
      <c r="AA71" s="327"/>
      <c r="AB71" s="320"/>
      <c r="AC71" s="327"/>
      <c r="AD71" s="322"/>
      <c r="AE71" s="322"/>
      <c r="AF71" s="328"/>
      <c r="AG71" s="328"/>
      <c r="AH71" s="322"/>
      <c r="AI71" s="322"/>
      <c r="AJ71" s="328"/>
      <c r="AK71" s="328"/>
      <c r="AL71" s="764">
        <f>'Crops proc. &amp; prod. DISCOUNTED'!GY75</f>
        <v>1.0684117778794353</v>
      </c>
      <c r="AM71" s="328"/>
      <c r="AN71" s="325">
        <f>'Crops proc. &amp; prod. DISCOUNTED'!HA75</f>
        <v>28.875993996741492</v>
      </c>
      <c r="AO71" s="328"/>
      <c r="AP71" s="764">
        <f>'Crops proc. &amp; prod. DISCOUNTED'!IV75</f>
        <v>1.2960968347280932</v>
      </c>
      <c r="AQ71" s="322"/>
      <c r="AR71" s="328">
        <f>'Crops proc. &amp; prod. DISCOUNTED'!IX75</f>
        <v>35.029644181840354</v>
      </c>
      <c r="AS71" s="322"/>
      <c r="AT71" s="764">
        <f t="shared" ref="AT71:AV78" si="64">B71+AL71+AP71</f>
        <v>10.914007862311536</v>
      </c>
      <c r="AU71" s="323">
        <f t="shared" si="64"/>
        <v>8.5494992497040077</v>
      </c>
      <c r="AV71" s="325">
        <f t="shared" si="64"/>
        <v>294.97318546787938</v>
      </c>
      <c r="AW71" s="323"/>
      <c r="AX71" s="323">
        <f t="shared" ref="AX71:AZ78" si="65">F71+AL71+AP71</f>
        <v>11.037081700978641</v>
      </c>
      <c r="AY71" s="323">
        <f t="shared" si="65"/>
        <v>8.672573088371113</v>
      </c>
      <c r="AZ71" s="325">
        <f t="shared" si="65"/>
        <v>298.29950543185515</v>
      </c>
      <c r="BA71" s="322"/>
      <c r="BB71" s="250"/>
      <c r="BC71" s="250"/>
      <c r="BD71" s="250"/>
      <c r="BE71" s="250"/>
      <c r="BF71" s="250"/>
      <c r="BG71" s="250"/>
      <c r="BH71" s="250"/>
      <c r="BI71" s="250"/>
      <c r="BJ71" s="250"/>
      <c r="BK71" s="250"/>
      <c r="BL71" s="250"/>
      <c r="BM71" s="250"/>
      <c r="BN71" s="250"/>
      <c r="BO71" s="250"/>
      <c r="BP71" s="250"/>
      <c r="BQ71" s="250"/>
      <c r="BR71" s="250"/>
      <c r="BS71" s="250"/>
      <c r="BT71" s="250"/>
      <c r="BU71" s="250"/>
      <c r="BV71" s="250"/>
      <c r="BW71" s="250"/>
      <c r="BX71" s="250"/>
      <c r="BY71" s="250"/>
      <c r="BZ71" s="250"/>
    </row>
    <row r="72" spans="1:78" x14ac:dyDescent="0.25">
      <c r="A72" s="246" t="s">
        <v>124</v>
      </c>
      <c r="B72" s="770">
        <f t="shared" si="63"/>
        <v>10.113411000664563</v>
      </c>
      <c r="C72" s="220">
        <f t="shared" si="63"/>
        <v>10.113411000664563</v>
      </c>
      <c r="D72" s="306">
        <f t="shared" si="63"/>
        <v>273.33543245039357</v>
      </c>
      <c r="E72" s="221"/>
      <c r="F72" s="189">
        <f>44/12*'Crops proc. &amp; prod. DISCOUNTED'!BV79</f>
        <v>10.469764073119851</v>
      </c>
      <c r="G72" s="189">
        <f>44/12*'Crops proc. &amp; prod. DISCOUNTED'!BW79</f>
        <v>10.469764073119851</v>
      </c>
      <c r="H72" s="188">
        <f>44/12*'Crops proc. &amp; prod. DISCOUNTED'!BX79</f>
        <v>282.96659657080681</v>
      </c>
      <c r="J72" s="192">
        <f>44/12*'Crops proc. &amp; prod. DISCOUNTED'!DL79</f>
        <v>9.7570579282092744</v>
      </c>
      <c r="K72" s="192">
        <f>44/12*'Crops proc. &amp; prod. DISCOUNTED'!DM79</f>
        <v>9.7570579282092744</v>
      </c>
      <c r="L72" s="193">
        <f>44/12*'Crops proc. &amp; prod. DISCOUNTED'!DN79</f>
        <v>263.70426832998038</v>
      </c>
      <c r="M72" s="193"/>
      <c r="N72" s="770">
        <f t="shared" ref="N72:P78" si="66">(R72+V72)/2</f>
        <v>10.215193680311238</v>
      </c>
      <c r="O72" s="220">
        <f t="shared" si="66"/>
        <v>10.215193680311238</v>
      </c>
      <c r="P72" s="305">
        <f t="shared" si="66"/>
        <v>276.08631568408754</v>
      </c>
      <c r="Q72" s="221"/>
      <c r="R72" s="189">
        <f>44/12*'Crops proc. &amp; prod. DISCOUNTED'!CJ79</f>
        <v>10.569665517157848</v>
      </c>
      <c r="S72" s="189">
        <f>44/12*'Crops proc. &amp; prod. DISCOUNTED'!CK79</f>
        <v>10.569665517157848</v>
      </c>
      <c r="T72" s="193">
        <f>44/12*'Crops proc. &amp; prod. DISCOUNTED'!CL79</f>
        <v>285.66663559886075</v>
      </c>
      <c r="U72" s="193"/>
      <c r="V72" s="192">
        <f>44/12*'Crops proc. &amp; prod. DISCOUNTED'!DZ79</f>
        <v>9.8607218434646295</v>
      </c>
      <c r="W72" s="192">
        <f>44/12*'Crops proc. &amp; prod. DISCOUNTED'!EA79</f>
        <v>9.8607218434646295</v>
      </c>
      <c r="X72" s="193">
        <f>44/12*'Crops proc. &amp; prod. DISCOUNTED'!EB79</f>
        <v>266.50599576931432</v>
      </c>
      <c r="Z72" s="770">
        <f t="shared" ref="Z72:AB78" si="67">(AD72+AH72)/2</f>
        <v>10.995253008407339</v>
      </c>
      <c r="AA72" s="220">
        <f t="shared" si="67"/>
        <v>10.995253008407339</v>
      </c>
      <c r="AB72" s="305">
        <f t="shared" si="67"/>
        <v>297.16900022722541</v>
      </c>
      <c r="AC72" s="220"/>
      <c r="AD72" s="189">
        <f>44/12*'Crops proc. &amp; prod. DISCOUNTED'!CX79</f>
        <v>8.6873610892784487</v>
      </c>
      <c r="AE72" s="189">
        <f>44/12*'Crops proc. &amp; prod. DISCOUNTED'!CY79</f>
        <v>8.6873610892784487</v>
      </c>
      <c r="AF72" s="188">
        <f>44/12*'Crops proc. &amp; prod. DISCOUNTED'!CZ79</f>
        <v>234.79354295347161</v>
      </c>
      <c r="AH72" s="189">
        <f>44/12*'Crops proc. &amp; prod. DISCOUNTED'!EN79</f>
        <v>13.303144927536231</v>
      </c>
      <c r="AI72" s="189">
        <f>44/12*'Crops proc. &amp; prod. DISCOUNTED'!EO79</f>
        <v>13.303144927536231</v>
      </c>
      <c r="AJ72" s="188">
        <f>44/12*'Crops proc. &amp; prod. DISCOUNTED'!EP79</f>
        <v>359.54445750097921</v>
      </c>
      <c r="AL72" s="761">
        <f>'Crops proc. &amp; prod. DISCOUNTED'!GY79</f>
        <v>0.30541267665373006</v>
      </c>
      <c r="AM72" s="194">
        <f>'Crops proc. &amp; prod. DISCOUNTED'!GZ79</f>
        <v>0.30541267665373006</v>
      </c>
      <c r="AN72" s="225">
        <f>'Crops proc. &amp; prod. DISCOUNTED'!HA79</f>
        <v>8.2543966663170281</v>
      </c>
      <c r="AP72" s="765">
        <f>'Crops proc. &amp; prod. DISCOUNTED'!IV79</f>
        <v>0.75472343355442506</v>
      </c>
      <c r="AQ72" s="189">
        <f>'Crops proc. &amp; prod. DISCOUNTED'!IW79</f>
        <v>0.75472343355442506</v>
      </c>
      <c r="AR72" s="225">
        <f>'Crops proc. &amp; prod. DISCOUNTED'!IX79</f>
        <v>20.39793063660608</v>
      </c>
      <c r="AS72" s="189"/>
      <c r="AT72" s="765">
        <f t="shared" si="64"/>
        <v>11.173547110872718</v>
      </c>
      <c r="AU72" s="189">
        <f t="shared" si="64"/>
        <v>11.173547110872718</v>
      </c>
      <c r="AV72" s="188">
        <f t="shared" si="64"/>
        <v>301.98775975331665</v>
      </c>
      <c r="AW72" s="189"/>
      <c r="AX72" s="189">
        <f t="shared" si="65"/>
        <v>11.529900183328007</v>
      </c>
      <c r="AY72" s="189">
        <f t="shared" si="65"/>
        <v>11.529900183328007</v>
      </c>
      <c r="AZ72" s="188">
        <f t="shared" si="65"/>
        <v>311.6189238737299</v>
      </c>
      <c r="BA72" s="189"/>
      <c r="BB72" s="250"/>
      <c r="BC72" s="250"/>
      <c r="BD72" s="250"/>
      <c r="BE72" s="250"/>
      <c r="BF72" s="250"/>
      <c r="BG72" s="250"/>
      <c r="BH72" s="250"/>
      <c r="BI72" s="250"/>
      <c r="BJ72" s="193"/>
      <c r="BK72" s="193"/>
      <c r="BL72" s="250"/>
      <c r="BM72" s="250"/>
      <c r="BN72" s="250"/>
      <c r="BO72" s="250"/>
      <c r="BP72" s="250"/>
      <c r="BQ72" s="250"/>
      <c r="BR72" s="250"/>
      <c r="BS72" s="250"/>
      <c r="BT72" s="250"/>
      <c r="BU72" s="250"/>
      <c r="BV72" s="192"/>
      <c r="BW72" s="250"/>
      <c r="BX72" s="250"/>
      <c r="BY72" s="250"/>
      <c r="BZ72" s="250"/>
    </row>
    <row r="73" spans="1:78" x14ac:dyDescent="0.25">
      <c r="A73" s="246" t="s">
        <v>138</v>
      </c>
      <c r="B73" s="770">
        <f t="shared" si="63"/>
        <v>6.2244911068818158</v>
      </c>
      <c r="C73" s="220">
        <f t="shared" si="63"/>
        <v>6.2244911068818158</v>
      </c>
      <c r="D73" s="306">
        <f t="shared" si="63"/>
        <v>168.22948937518419</v>
      </c>
      <c r="E73" s="221"/>
      <c r="F73" s="189">
        <f>44/12*'Crops proc. &amp; prod. DISCOUNTED'!BV83</f>
        <v>6.9935186880124895</v>
      </c>
      <c r="G73" s="189">
        <f>44/12*'Crops proc. &amp; prod. DISCOUNTED'!BW83</f>
        <v>6.9935186880124895</v>
      </c>
      <c r="H73" s="188">
        <f>44/12*'Crops proc. &amp; prod. DISCOUNTED'!BX83</f>
        <v>189.01401859493214</v>
      </c>
      <c r="J73" s="192">
        <f>44/12*'Crops proc. &amp; prod. DISCOUNTED'!DL83</f>
        <v>5.4554635257511412</v>
      </c>
      <c r="K73" s="192">
        <f>44/12*'Crops proc. &amp; prod. DISCOUNTED'!DM83</f>
        <v>5.4554635257511412</v>
      </c>
      <c r="L73" s="193">
        <f>44/12*'Crops proc. &amp; prod. DISCOUNTED'!DN83</f>
        <v>147.44496015543626</v>
      </c>
      <c r="M73" s="193"/>
      <c r="N73" s="770">
        <f t="shared" si="66"/>
        <v>6.2244911068818158</v>
      </c>
      <c r="O73" s="220">
        <f t="shared" si="66"/>
        <v>6.2244911068818158</v>
      </c>
      <c r="P73" s="305">
        <f t="shared" si="66"/>
        <v>168.22948937518419</v>
      </c>
      <c r="Q73" s="221"/>
      <c r="R73" s="189">
        <f>44/12*'Crops proc. &amp; prod. DISCOUNTED'!CJ83</f>
        <v>6.9935186880124895</v>
      </c>
      <c r="S73" s="189">
        <f>44/12*'Crops proc. &amp; prod. DISCOUNTED'!CK83</f>
        <v>6.9935186880124895</v>
      </c>
      <c r="T73" s="193">
        <f>44/12*'Crops proc. &amp; prod. DISCOUNTED'!CL83</f>
        <v>189.01401859493214</v>
      </c>
      <c r="U73" s="193"/>
      <c r="V73" s="192">
        <f>44/12*'Crops proc. &amp; prod. DISCOUNTED'!DZ83</f>
        <v>5.4554635257511412</v>
      </c>
      <c r="W73" s="192">
        <f>44/12*'Crops proc. &amp; prod. DISCOUNTED'!EA83</f>
        <v>5.4554635257511412</v>
      </c>
      <c r="X73" s="193">
        <f>44/12*'Crops proc. &amp; prod. DISCOUNTED'!EB83</f>
        <v>147.44496015543626</v>
      </c>
      <c r="Z73" s="770">
        <f t="shared" si="67"/>
        <v>32.480626700430577</v>
      </c>
      <c r="AA73" s="220">
        <f t="shared" si="67"/>
        <v>32.480626700430577</v>
      </c>
      <c r="AB73" s="305">
        <f t="shared" si="67"/>
        <v>877.85477568731289</v>
      </c>
      <c r="AC73" s="220"/>
      <c r="AD73" s="189">
        <f>44/12*'Crops proc. &amp; prod. DISCOUNTED'!CX83</f>
        <v>3.1616657719951884</v>
      </c>
      <c r="AE73" s="189">
        <f>44/12*'Crops proc. &amp; prod. DISCOUNTED'!CY83</f>
        <v>3.1616657719951884</v>
      </c>
      <c r="AF73" s="188">
        <f>44/12*'Crops proc. &amp; prod. DISCOUNTED'!CZ83</f>
        <v>85.450426270140227</v>
      </c>
      <c r="AH73" s="189">
        <f>44/12*'Crops proc. &amp; prod. DISCOUNTED'!EN83</f>
        <v>61.799587628865964</v>
      </c>
      <c r="AI73" s="189">
        <f>44/12*'Crops proc. &amp; prod. DISCOUNTED'!EO83</f>
        <v>61.799587628865964</v>
      </c>
      <c r="AJ73" s="188">
        <f>44/12*'Crops proc. &amp; prod. DISCOUNTED'!EP83</f>
        <v>1670.2591251044855</v>
      </c>
      <c r="AL73" s="765">
        <f>'Crops proc. &amp; prod. DISCOUNTED'!GY83</f>
        <v>2.285904077951519</v>
      </c>
      <c r="AM73" s="189">
        <f>'Crops proc. &amp; prod. DISCOUNTED'!GZ83</f>
        <v>2.285904077951519</v>
      </c>
      <c r="AN73" s="225">
        <f>'Crops proc. &amp; prod. DISCOUNTED'!HA83</f>
        <v>61.781191295987</v>
      </c>
      <c r="AP73" s="765">
        <f>'Crops proc. &amp; prod. DISCOUNTED'!IV83</f>
        <v>1.7672289823371403</v>
      </c>
      <c r="AQ73" s="189">
        <f>'Crops proc. &amp; prod. DISCOUNTED'!IW83</f>
        <v>1.7672289823371403</v>
      </c>
      <c r="AR73" s="225">
        <f>'Crops proc. &amp; prod. DISCOUNTED'!IX83</f>
        <v>47.76294546857136</v>
      </c>
      <c r="AS73" s="189"/>
      <c r="AT73" s="765">
        <f t="shared" si="64"/>
        <v>10.277624167170476</v>
      </c>
      <c r="AU73" s="189">
        <f t="shared" si="64"/>
        <v>10.277624167170476</v>
      </c>
      <c r="AV73" s="188">
        <f t="shared" si="64"/>
        <v>277.77362613974253</v>
      </c>
      <c r="AW73" s="189"/>
      <c r="AX73" s="189">
        <f t="shared" si="65"/>
        <v>11.04665174830115</v>
      </c>
      <c r="AY73" s="189">
        <f t="shared" si="65"/>
        <v>11.04665174830115</v>
      </c>
      <c r="AZ73" s="188">
        <f t="shared" si="65"/>
        <v>298.55815535949046</v>
      </c>
      <c r="BA73" s="189"/>
      <c r="BB73" s="250"/>
      <c r="BC73" s="250"/>
      <c r="BD73" s="250"/>
      <c r="BE73" s="250"/>
      <c r="BF73" s="250"/>
      <c r="BG73" s="250"/>
      <c r="BH73" s="250"/>
      <c r="BI73" s="250"/>
      <c r="BJ73" s="193"/>
      <c r="BK73" s="193"/>
      <c r="BL73" s="250"/>
      <c r="BM73" s="250"/>
      <c r="BN73" s="250"/>
      <c r="BO73" s="250"/>
      <c r="BP73" s="250"/>
      <c r="BQ73" s="250"/>
      <c r="BR73" s="250"/>
      <c r="BS73" s="250"/>
      <c r="BT73" s="250"/>
      <c r="BU73" s="250"/>
      <c r="BV73" s="192"/>
      <c r="BW73" s="250"/>
      <c r="BX73" s="250"/>
      <c r="BY73" s="250"/>
      <c r="BZ73" s="250"/>
    </row>
    <row r="74" spans="1:78" x14ac:dyDescent="0.25">
      <c r="A74" s="246" t="s">
        <v>139</v>
      </c>
      <c r="B74" s="770">
        <f t="shared" si="63"/>
        <v>6.2244911068818141</v>
      </c>
      <c r="C74" s="220">
        <f t="shared" si="63"/>
        <v>6.2244911068818141</v>
      </c>
      <c r="D74" s="306">
        <f t="shared" si="63"/>
        <v>168.22948937518413</v>
      </c>
      <c r="E74" s="221"/>
      <c r="F74" s="189">
        <f>44/12*'Crops proc. &amp; prod. DISCOUNTED'!BV84</f>
        <v>6.9935186880124878</v>
      </c>
      <c r="G74" s="189">
        <f>44/12*'Crops proc. &amp; prod. DISCOUNTED'!BW84</f>
        <v>6.9935186880124878</v>
      </c>
      <c r="H74" s="188">
        <f>44/12*'Crops proc. &amp; prod. DISCOUNTED'!BX84</f>
        <v>189.01401859493208</v>
      </c>
      <c r="J74" s="192">
        <f>44/12*'Crops proc. &amp; prod. DISCOUNTED'!DL84</f>
        <v>5.4554635257511395</v>
      </c>
      <c r="K74" s="192">
        <f>44/12*'Crops proc. &amp; prod. DISCOUNTED'!DM84</f>
        <v>5.4554635257511395</v>
      </c>
      <c r="L74" s="193">
        <f>44/12*'Crops proc. &amp; prod. DISCOUNTED'!DN84</f>
        <v>147.44496015543621</v>
      </c>
      <c r="M74" s="193"/>
      <c r="N74" s="770">
        <f t="shared" si="66"/>
        <v>6.2244911068818141</v>
      </c>
      <c r="O74" s="220">
        <f t="shared" si="66"/>
        <v>6.2244911068818141</v>
      </c>
      <c r="P74" s="305">
        <f t="shared" si="66"/>
        <v>168.22948937518413</v>
      </c>
      <c r="Q74" s="221"/>
      <c r="R74" s="189">
        <f>44/12*'Crops proc. &amp; prod. DISCOUNTED'!CJ84</f>
        <v>6.9935186880124878</v>
      </c>
      <c r="S74" s="189">
        <f>44/12*'Crops proc. &amp; prod. DISCOUNTED'!CK84</f>
        <v>6.9935186880124878</v>
      </c>
      <c r="T74" s="193">
        <f>44/12*'Crops proc. &amp; prod. DISCOUNTED'!CL84</f>
        <v>189.01401859493208</v>
      </c>
      <c r="U74" s="193"/>
      <c r="V74" s="192">
        <f>44/12*'Crops proc. &amp; prod. DISCOUNTED'!DZ84</f>
        <v>5.4554635257511395</v>
      </c>
      <c r="W74" s="192">
        <f>44/12*'Crops proc. &amp; prod. DISCOUNTED'!EA84</f>
        <v>5.4554635257511395</v>
      </c>
      <c r="X74" s="193">
        <f>44/12*'Crops proc. &amp; prod. DISCOUNTED'!EB84</f>
        <v>147.44496015543621</v>
      </c>
      <c r="Z74" s="770">
        <f t="shared" si="67"/>
        <v>32.48062670043057</v>
      </c>
      <c r="AA74" s="220">
        <f t="shared" si="67"/>
        <v>32.48062670043057</v>
      </c>
      <c r="AB74" s="305">
        <f t="shared" si="67"/>
        <v>877.85477568731278</v>
      </c>
      <c r="AC74" s="220"/>
      <c r="AD74" s="189">
        <f>44/12*'Crops proc. &amp; prod. DISCOUNTED'!CX84</f>
        <v>3.1616657719951879</v>
      </c>
      <c r="AE74" s="189">
        <f>44/12*'Crops proc. &amp; prod. DISCOUNTED'!CY84</f>
        <v>3.1616657719951879</v>
      </c>
      <c r="AF74" s="188">
        <f>44/12*'Crops proc. &amp; prod. DISCOUNTED'!CZ84</f>
        <v>85.450426270140213</v>
      </c>
      <c r="AH74" s="189">
        <f>44/12*'Crops proc. &amp; prod. DISCOUNTED'!EN84</f>
        <v>61.79958762886595</v>
      </c>
      <c r="AI74" s="189">
        <f>44/12*'Crops proc. &amp; prod. DISCOUNTED'!EO84</f>
        <v>61.79958762886595</v>
      </c>
      <c r="AJ74" s="188">
        <f>44/12*'Crops proc. &amp; prod. DISCOUNTED'!EP84</f>
        <v>1670.2591251044853</v>
      </c>
      <c r="AL74" s="765">
        <f>'Crops proc. &amp; prod. DISCOUNTED'!GY84</f>
        <v>2.2859040779515185</v>
      </c>
      <c r="AM74" s="189">
        <f>'Crops proc. &amp; prod. DISCOUNTED'!GZ84</f>
        <v>2.2859040779515185</v>
      </c>
      <c r="AN74" s="225">
        <f>'Crops proc. &amp; prod. DISCOUNTED'!HA84</f>
        <v>61.781191295986986</v>
      </c>
      <c r="AP74" s="765">
        <f>'Crops proc. &amp; prod. DISCOUNTED'!IV84</f>
        <v>1.7672289823371399</v>
      </c>
      <c r="AQ74" s="189">
        <f>'Crops proc. &amp; prod. DISCOUNTED'!IW84</f>
        <v>1.7672289823371399</v>
      </c>
      <c r="AR74" s="225">
        <f>'Crops proc. &amp; prod. DISCOUNTED'!IX84</f>
        <v>47.762945468571345</v>
      </c>
      <c r="AS74" s="189"/>
      <c r="AT74" s="765">
        <f t="shared" si="64"/>
        <v>10.277624167170472</v>
      </c>
      <c r="AU74" s="189">
        <f t="shared" si="64"/>
        <v>10.277624167170472</v>
      </c>
      <c r="AV74" s="188">
        <f t="shared" si="64"/>
        <v>277.77362613974248</v>
      </c>
      <c r="AW74" s="189"/>
      <c r="AX74" s="189">
        <f t="shared" si="65"/>
        <v>11.046651748301148</v>
      </c>
      <c r="AY74" s="189">
        <f t="shared" si="65"/>
        <v>11.046651748301148</v>
      </c>
      <c r="AZ74" s="188">
        <f t="shared" si="65"/>
        <v>298.5581553594904</v>
      </c>
      <c r="BA74" s="189"/>
      <c r="BB74" s="250"/>
      <c r="BC74" s="250"/>
      <c r="BD74" s="250"/>
      <c r="BE74" s="250"/>
      <c r="BF74" s="250"/>
      <c r="BG74" s="250"/>
      <c r="BH74" s="250"/>
      <c r="BI74" s="250"/>
      <c r="BJ74" s="193"/>
      <c r="BK74" s="193"/>
      <c r="BL74" s="250"/>
      <c r="BM74" s="250"/>
      <c r="BN74" s="250"/>
      <c r="BO74" s="250"/>
      <c r="BP74" s="250"/>
      <c r="BQ74" s="250"/>
      <c r="BR74" s="250"/>
      <c r="BS74" s="250"/>
      <c r="BT74" s="250"/>
      <c r="BU74" s="250"/>
      <c r="BV74" s="192"/>
      <c r="BW74" s="250"/>
      <c r="BX74" s="250"/>
      <c r="BY74" s="250"/>
      <c r="BZ74" s="250"/>
    </row>
    <row r="75" spans="1:78" x14ac:dyDescent="0.25">
      <c r="A75" s="246" t="s">
        <v>141</v>
      </c>
      <c r="B75" s="770">
        <f t="shared" si="63"/>
        <v>7.8092574639317576</v>
      </c>
      <c r="C75" s="220">
        <f t="shared" si="63"/>
        <v>7.8092574639317576</v>
      </c>
      <c r="D75" s="306">
        <f t="shared" si="63"/>
        <v>211.06101253869616</v>
      </c>
      <c r="E75" s="221"/>
      <c r="F75" s="189">
        <f>44/12*'Crops proc. &amp; prod. DISCOUNTED'!BV89</f>
        <v>7.9678665730154101</v>
      </c>
      <c r="G75" s="189">
        <f>44/12*'Crops proc. &amp; prod. DISCOUNTED'!BW89</f>
        <v>7.9678665730154101</v>
      </c>
      <c r="H75" s="188">
        <f>44/12*'Crops proc. &amp; prod. DISCOUNTED'!BX89</f>
        <v>215.34774521663272</v>
      </c>
      <c r="J75" s="192">
        <f>44/12*'Crops proc. &amp; prod. DISCOUNTED'!DL89</f>
        <v>7.6506483548481041</v>
      </c>
      <c r="K75" s="192">
        <f>44/12*'Crops proc. &amp; prod. DISCOUNTED'!DM89</f>
        <v>7.6506483548481041</v>
      </c>
      <c r="L75" s="193">
        <f>44/12*'Crops proc. &amp; prod. DISCOUNTED'!DN89</f>
        <v>206.77427986075958</v>
      </c>
      <c r="M75" s="193"/>
      <c r="N75" s="770">
        <f t="shared" si="66"/>
        <v>8.0071568124623891</v>
      </c>
      <c r="O75" s="220">
        <f t="shared" si="66"/>
        <v>8.0071568124623891</v>
      </c>
      <c r="P75" s="305">
        <f t="shared" si="66"/>
        <v>216.40964358006457</v>
      </c>
      <c r="Q75" s="221"/>
      <c r="R75" s="189">
        <f>44/12*'Crops proc. &amp; prod. DISCOUNTED'!CJ89</f>
        <v>8.1170842591205261</v>
      </c>
      <c r="S75" s="189">
        <f>44/12*'Crops proc. &amp; prod. DISCOUNTED'!CK89</f>
        <v>8.1170842591205261</v>
      </c>
      <c r="T75" s="193">
        <f>44/12*'Crops proc. &amp; prod. DISCOUNTED'!CL89</f>
        <v>219.3806556519061</v>
      </c>
      <c r="U75" s="193"/>
      <c r="V75" s="192">
        <f>44/12*'Crops proc. &amp; prod. DISCOUNTED'!DZ89</f>
        <v>7.8972293658042529</v>
      </c>
      <c r="W75" s="192">
        <f>44/12*'Crops proc. &amp; prod. DISCOUNTED'!EA89</f>
        <v>7.8972293658042529</v>
      </c>
      <c r="X75" s="193">
        <f>44/12*'Crops proc. &amp; prod. DISCOUNTED'!EB89</f>
        <v>213.43863150822304</v>
      </c>
      <c r="Z75" s="770">
        <f t="shared" si="67"/>
        <v>7.8161660435157465</v>
      </c>
      <c r="AA75" s="220">
        <f t="shared" si="67"/>
        <v>7.8161660435157465</v>
      </c>
      <c r="AB75" s="305">
        <f t="shared" si="67"/>
        <v>211.24773090583096</v>
      </c>
      <c r="AC75" s="220"/>
      <c r="AD75" s="189">
        <f>44/12*'Crops proc. &amp; prod. DISCOUNTED'!CX89</f>
        <v>7.041636111089919</v>
      </c>
      <c r="AE75" s="189">
        <f>44/12*'Crops proc. &amp; prod. DISCOUNTED'!CY89</f>
        <v>7.041636111089919</v>
      </c>
      <c r="AF75" s="188">
        <f>44/12*'Crops proc. &amp; prod. DISCOUNTED'!CZ89</f>
        <v>190.31448948891673</v>
      </c>
      <c r="AH75" s="189">
        <f>44/12*'Crops proc. &amp; prod. DISCOUNTED'!EN89</f>
        <v>8.5906959759415731</v>
      </c>
      <c r="AI75" s="189">
        <f>44/12*'Crops proc. &amp; prod. DISCOUNTED'!EO89</f>
        <v>8.5906959759415731</v>
      </c>
      <c r="AJ75" s="188">
        <f>44/12*'Crops proc. &amp; prod. DISCOUNTED'!EP89</f>
        <v>232.18097232274522</v>
      </c>
      <c r="AL75" s="765">
        <f>'Crops proc. &amp; prod. DISCOUNTED'!GY89</f>
        <v>0.93353643997954849</v>
      </c>
      <c r="AM75" s="189">
        <f>'Crops proc. &amp; prod. DISCOUNTED'!GZ89</f>
        <v>0.93353643997954849</v>
      </c>
      <c r="AN75" s="225">
        <f>'Crops proc. &amp; prod. DISCOUNTED'!HA89</f>
        <v>25.230714594041853</v>
      </c>
      <c r="AP75" s="765">
        <f>'Crops proc. &amp; prod. DISCOUNTED'!IV89</f>
        <v>1.6846170466832489</v>
      </c>
      <c r="AQ75" s="189">
        <f>'Crops proc. &amp; prod. DISCOUNTED'!IW89</f>
        <v>1.6846170466832489</v>
      </c>
      <c r="AR75" s="225">
        <f>'Crops proc. &amp; prod. DISCOUNTED'!IX89</f>
        <v>45.530190450898615</v>
      </c>
      <c r="AS75" s="189"/>
      <c r="AT75" s="765">
        <f t="shared" si="64"/>
        <v>10.427410950594554</v>
      </c>
      <c r="AU75" s="189">
        <f t="shared" si="64"/>
        <v>10.427410950594554</v>
      </c>
      <c r="AV75" s="188">
        <f t="shared" si="64"/>
        <v>281.8219175836366</v>
      </c>
      <c r="AW75" s="189"/>
      <c r="AX75" s="189">
        <f t="shared" si="65"/>
        <v>10.586020059678207</v>
      </c>
      <c r="AY75" s="189">
        <f t="shared" si="65"/>
        <v>10.586020059678207</v>
      </c>
      <c r="AZ75" s="188">
        <f t="shared" si="65"/>
        <v>286.10865026157319</v>
      </c>
      <c r="BA75" s="189"/>
      <c r="BB75" s="250"/>
      <c r="BC75" s="250"/>
      <c r="BD75" s="250"/>
      <c r="BE75" s="250"/>
      <c r="BF75" s="250"/>
      <c r="BG75" s="250"/>
      <c r="BH75" s="250"/>
      <c r="BI75" s="250"/>
      <c r="BJ75" s="193"/>
      <c r="BK75" s="193"/>
      <c r="BL75" s="250"/>
      <c r="BM75" s="250"/>
      <c r="BN75" s="250"/>
      <c r="BO75" s="250"/>
      <c r="BP75" s="250"/>
      <c r="BQ75" s="250"/>
      <c r="BR75" s="250"/>
      <c r="BS75" s="250"/>
      <c r="BT75" s="250"/>
      <c r="BU75" s="250"/>
      <c r="BV75" s="192"/>
      <c r="BW75" s="250"/>
      <c r="BX75" s="250"/>
      <c r="BY75" s="250"/>
      <c r="BZ75" s="250"/>
    </row>
    <row r="76" spans="1:78" x14ac:dyDescent="0.25">
      <c r="A76" s="191" t="s">
        <v>144</v>
      </c>
      <c r="B76" s="770">
        <f t="shared" si="63"/>
        <v>9.0982586613227259</v>
      </c>
      <c r="C76" s="220">
        <f t="shared" si="63"/>
        <v>9.0982586613227259</v>
      </c>
      <c r="D76" s="306">
        <f t="shared" si="63"/>
        <v>245.89888273845202</v>
      </c>
      <c r="E76" s="221"/>
      <c r="F76" s="189">
        <f>44/12*'Crops proc. &amp; prod. DISCOUNTED'!BV93</f>
        <v>7.255621681113718</v>
      </c>
      <c r="G76" s="189">
        <f>44/12*'Crops proc. &amp; prod. DISCOUNTED'!BW93</f>
        <v>7.255621681113718</v>
      </c>
      <c r="H76" s="188">
        <f>44/12*'Crops proc. &amp; prod. DISCOUNTED'!BX93</f>
        <v>196.09788327334374</v>
      </c>
      <c r="J76" s="192">
        <f>44/12*'Crops proc. &amp; prod. DISCOUNTED'!DL93</f>
        <v>10.940895641531734</v>
      </c>
      <c r="K76" s="192">
        <f>44/12*'Crops proc. &amp; prod. DISCOUNTED'!DM93</f>
        <v>10.940895641531734</v>
      </c>
      <c r="L76" s="193">
        <f>44/12*'Crops proc. &amp; prod. DISCOUNTED'!DN93</f>
        <v>295.69988220356032</v>
      </c>
      <c r="M76" s="193"/>
      <c r="N76" s="770">
        <f t="shared" si="66"/>
        <v>9.3273569658745483</v>
      </c>
      <c r="O76" s="220">
        <f t="shared" si="66"/>
        <v>9.3273569658745483</v>
      </c>
      <c r="P76" s="305">
        <f t="shared" si="66"/>
        <v>252.09072880742025</v>
      </c>
      <c r="Q76" s="221"/>
      <c r="R76" s="189">
        <f>44/12*'Crops proc. &amp; prod. DISCOUNTED'!CJ93</f>
        <v>7.4656844584765336</v>
      </c>
      <c r="S76" s="189">
        <f>44/12*'Crops proc. &amp; prod. DISCOUNTED'!CK93</f>
        <v>7.4656844584765336</v>
      </c>
      <c r="T76" s="193">
        <f>44/12*'Crops proc. &amp; prod. DISCOUNTED'!CL93</f>
        <v>201.77525563450092</v>
      </c>
      <c r="U76" s="193"/>
      <c r="V76" s="192">
        <f>44/12*'Crops proc. &amp; prod. DISCOUNTED'!DZ93</f>
        <v>11.189029473272562</v>
      </c>
      <c r="W76" s="192">
        <f>44/12*'Crops proc. &amp; prod. DISCOUNTED'!EA93</f>
        <v>11.189029473272562</v>
      </c>
      <c r="X76" s="193">
        <f>44/12*'Crops proc. &amp; prod. DISCOUNTED'!EB93</f>
        <v>302.40620198033957</v>
      </c>
      <c r="Z76" s="770">
        <f t="shared" si="67"/>
        <v>4.6330916823180663</v>
      </c>
      <c r="AA76" s="220">
        <f t="shared" si="67"/>
        <v>4.6330916823180663</v>
      </c>
      <c r="AB76" s="305">
        <f t="shared" si="67"/>
        <v>125.2186941167045</v>
      </c>
      <c r="AC76" s="220"/>
      <c r="AD76" s="189">
        <f>44/12*'Crops proc. &amp; prod. DISCOUNTED'!CX93</f>
        <v>3.1435326414512552</v>
      </c>
      <c r="AE76" s="189">
        <f>44/12*'Crops proc. &amp; prod. DISCOUNTED'!CY93</f>
        <v>3.1435326414512552</v>
      </c>
      <c r="AF76" s="188">
        <f>44/12*'Crops proc. &amp; prod. DISCOUNTED'!CZ93</f>
        <v>84.960341660844733</v>
      </c>
      <c r="AH76" s="189">
        <f>44/12*'Crops proc. &amp; prod. DISCOUNTED'!EN93</f>
        <v>6.1226507231848775</v>
      </c>
      <c r="AI76" s="189">
        <f>44/12*'Crops proc. &amp; prod. DISCOUNTED'!EO93</f>
        <v>6.1226507231848775</v>
      </c>
      <c r="AJ76" s="188">
        <f>44/12*'Crops proc. &amp; prod. DISCOUNTED'!EP93</f>
        <v>165.47704657256426</v>
      </c>
      <c r="AL76" s="761">
        <f>'Crops proc. &amp; prod. DISCOUNTED'!GY93</f>
        <v>0.23144478624270906</v>
      </c>
      <c r="AM76" s="194">
        <f>'Crops proc. &amp; prod. DISCOUNTED'!GZ93</f>
        <v>0.23144478624270906</v>
      </c>
      <c r="AN76" s="226">
        <f>'Crops proc. &amp; prod. DISCOUNTED'!HA93</f>
        <v>6.2552644930461909</v>
      </c>
      <c r="AP76" s="765">
        <f>'Crops proc. &amp; prod. DISCOUNTED'!IV93</f>
        <v>1.2820637933405039</v>
      </c>
      <c r="AQ76" s="189">
        <f>'Crops proc. &amp; prod. DISCOUNTED'!IW93</f>
        <v>1.2820637933405039</v>
      </c>
      <c r="AR76" s="225">
        <f>'Crops proc. &amp; prod. DISCOUNTED'!IX93</f>
        <v>34.650372792986595</v>
      </c>
      <c r="AS76" s="189"/>
      <c r="AT76" s="765">
        <f t="shared" si="64"/>
        <v>10.611767240905939</v>
      </c>
      <c r="AU76" s="189">
        <f t="shared" si="64"/>
        <v>10.611767240905939</v>
      </c>
      <c r="AV76" s="188">
        <f t="shared" si="64"/>
        <v>286.80452002448482</v>
      </c>
      <c r="AW76" s="189"/>
      <c r="AX76" s="189">
        <f t="shared" si="65"/>
        <v>8.7691302606969312</v>
      </c>
      <c r="AY76" s="189">
        <f t="shared" si="65"/>
        <v>8.7691302606969312</v>
      </c>
      <c r="AZ76" s="188">
        <f t="shared" si="65"/>
        <v>237.00352055937651</v>
      </c>
      <c r="BA76" s="189"/>
      <c r="BB76" s="250"/>
      <c r="BC76" s="250"/>
      <c r="BD76" s="250"/>
      <c r="BE76" s="250"/>
      <c r="BF76" s="250"/>
      <c r="BG76" s="250"/>
      <c r="BH76" s="250"/>
      <c r="BI76" s="250"/>
      <c r="BJ76" s="193"/>
      <c r="BK76" s="193"/>
      <c r="BL76" s="250"/>
      <c r="BM76" s="250"/>
      <c r="BN76" s="250"/>
      <c r="BO76" s="250"/>
      <c r="BP76" s="250"/>
      <c r="BQ76" s="250"/>
      <c r="BR76" s="250"/>
      <c r="BS76" s="250"/>
      <c r="BT76" s="250"/>
      <c r="BU76" s="250"/>
      <c r="BV76" s="192"/>
      <c r="BW76" s="250"/>
      <c r="BX76" s="250"/>
      <c r="BY76" s="250"/>
      <c r="BZ76" s="250"/>
    </row>
    <row r="77" spans="1:78" x14ac:dyDescent="0.25">
      <c r="A77" s="191" t="s">
        <v>146</v>
      </c>
      <c r="B77" s="770">
        <f t="shared" si="63"/>
        <v>13.373394491766177</v>
      </c>
      <c r="C77" s="220">
        <f t="shared" si="63"/>
        <v>13.373394491766177</v>
      </c>
      <c r="D77" s="306">
        <f t="shared" si="63"/>
        <v>361.44309437205885</v>
      </c>
      <c r="E77" s="221"/>
      <c r="F77" s="189">
        <f>44/12*'Crops proc. &amp; prod. DISCOUNTED'!BV97</f>
        <v>12.053010189911687</v>
      </c>
      <c r="G77" s="189">
        <f>44/12*'Crops proc. &amp; prod. DISCOUNTED'!BW97</f>
        <v>12.053010189911687</v>
      </c>
      <c r="H77" s="188">
        <f>44/12*'Crops proc. &amp; prod. DISCOUNTED'!BX97</f>
        <v>325.75703215977535</v>
      </c>
      <c r="J77" s="192">
        <f>44/12*'Crops proc. &amp; prod. DISCOUNTED'!DL97</f>
        <v>14.693778793620666</v>
      </c>
      <c r="K77" s="192">
        <f>44/12*'Crops proc. &amp; prod. DISCOUNTED'!DM97</f>
        <v>14.693778793620666</v>
      </c>
      <c r="L77" s="193">
        <f>44/12*'Crops proc. &amp; prod. DISCOUNTED'!DN97</f>
        <v>397.12915658434235</v>
      </c>
      <c r="M77" s="193"/>
      <c r="N77" s="770">
        <f t="shared" si="66"/>
        <v>15.690567928367505</v>
      </c>
      <c r="O77" s="220">
        <f t="shared" si="66"/>
        <v>15.690567928367505</v>
      </c>
      <c r="P77" s="305">
        <f t="shared" si="66"/>
        <v>424.06940346939206</v>
      </c>
      <c r="Q77" s="221"/>
      <c r="R77" s="189">
        <f>44/12*'Crops proc. &amp; prod. DISCOUNTED'!CJ97</f>
        <v>14.049936632438634</v>
      </c>
      <c r="S77" s="189">
        <f>44/12*'Crops proc. &amp; prod. DISCOUNTED'!CK97</f>
        <v>14.049936632438634</v>
      </c>
      <c r="T77" s="193">
        <f>44/12*'Crops proc. &amp; prod. DISCOUNTED'!CL97</f>
        <v>379.72801709293606</v>
      </c>
      <c r="U77" s="193"/>
      <c r="V77" s="192">
        <f>44/12*'Crops proc. &amp; prod. DISCOUNTED'!DZ97</f>
        <v>17.331199224296377</v>
      </c>
      <c r="W77" s="192">
        <f>44/12*'Crops proc. &amp; prod. DISCOUNTED'!EA97</f>
        <v>17.331199224296377</v>
      </c>
      <c r="X77" s="193">
        <f>44/12*'Crops proc. &amp; prod. DISCOUNTED'!EB97</f>
        <v>468.41078984584806</v>
      </c>
      <c r="Z77" s="770">
        <f t="shared" si="67"/>
        <v>7.8096364505190374</v>
      </c>
      <c r="AA77" s="220">
        <f t="shared" si="67"/>
        <v>7.8096364505190374</v>
      </c>
      <c r="AB77" s="305">
        <f t="shared" si="67"/>
        <v>211.07125541943344</v>
      </c>
      <c r="AC77" s="220"/>
      <c r="AD77" s="189">
        <f>44/12*'Crops proc. &amp; prod. DISCOUNTED'!CX97</f>
        <v>6.3780060424231344</v>
      </c>
      <c r="AE77" s="189">
        <f>44/12*'Crops proc. &amp; prod. DISCOUNTED'!CY97</f>
        <v>6.3780060424231344</v>
      </c>
      <c r="AF77" s="188">
        <f>44/12*'Crops proc. &amp; prod. DISCOUNTED'!CZ97</f>
        <v>172.37854168711175</v>
      </c>
      <c r="AH77" s="189">
        <f>44/12*'Crops proc. &amp; prod. DISCOUNTED'!EN97</f>
        <v>9.2412668586149405</v>
      </c>
      <c r="AI77" s="189">
        <f>44/12*'Crops proc. &amp; prod. DISCOUNTED'!EO97</f>
        <v>9.2412668586149405</v>
      </c>
      <c r="AJ77" s="188">
        <f>44/12*'Crops proc. &amp; prod. DISCOUNTED'!EP97</f>
        <v>249.76396915175516</v>
      </c>
      <c r="AL77" s="761">
        <f>'Crops proc. &amp; prod. DISCOUNTED'!GY97</f>
        <v>0.81837010053263615</v>
      </c>
      <c r="AM77" s="194">
        <f>'Crops proc. &amp; prod. DISCOUNTED'!GZ97</f>
        <v>0.81837010053263615</v>
      </c>
      <c r="AN77" s="225">
        <f>'Crops proc. &amp; prod. DISCOUNTED'!HA97</f>
        <v>22.118110825206383</v>
      </c>
      <c r="AP77" s="765">
        <f>'Crops proc. &amp; prod. DISCOUNTED'!IV97</f>
        <v>0.78823647904458527</v>
      </c>
      <c r="AQ77" s="189">
        <f>'Crops proc. &amp; prod. DISCOUNTED'!IW97</f>
        <v>0.78823647904458527</v>
      </c>
      <c r="AR77" s="225">
        <f>'Crops proc. &amp; prod. DISCOUNTED'!IX97</f>
        <v>21.30368862282663</v>
      </c>
      <c r="AS77" s="195"/>
      <c r="AT77" s="765">
        <f t="shared" si="64"/>
        <v>14.980001071343398</v>
      </c>
      <c r="AU77" s="189">
        <f t="shared" si="64"/>
        <v>14.980001071343398</v>
      </c>
      <c r="AV77" s="188">
        <f t="shared" si="64"/>
        <v>404.86489382009188</v>
      </c>
      <c r="AW77" s="189"/>
      <c r="AX77" s="189">
        <f t="shared" si="65"/>
        <v>13.659616769488908</v>
      </c>
      <c r="AY77" s="189">
        <f t="shared" si="65"/>
        <v>13.659616769488908</v>
      </c>
      <c r="AZ77" s="188">
        <f t="shared" si="65"/>
        <v>369.17883160780838</v>
      </c>
      <c r="BA77" s="189"/>
      <c r="BB77" s="250"/>
      <c r="BC77" s="250"/>
      <c r="BD77" s="250"/>
      <c r="BE77" s="250"/>
      <c r="BF77" s="250"/>
      <c r="BG77" s="250"/>
      <c r="BH77" s="250"/>
      <c r="BI77" s="250"/>
      <c r="BJ77" s="193"/>
      <c r="BK77" s="193"/>
      <c r="BL77" s="250"/>
      <c r="BM77" s="250"/>
      <c r="BN77" s="250"/>
      <c r="BO77" s="250"/>
      <c r="BP77" s="250"/>
      <c r="BQ77" s="250"/>
      <c r="BR77" s="250"/>
      <c r="BS77" s="250"/>
      <c r="BT77" s="250"/>
      <c r="BU77" s="250"/>
      <c r="BV77" s="290"/>
      <c r="BW77" s="250"/>
      <c r="BX77" s="250"/>
      <c r="BY77" s="250"/>
      <c r="BZ77" s="250"/>
    </row>
    <row r="78" spans="1:78" x14ac:dyDescent="0.25">
      <c r="A78" s="204" t="s">
        <v>166</v>
      </c>
      <c r="B78" s="770">
        <f t="shared" si="63"/>
        <v>5.087085569680406</v>
      </c>
      <c r="C78" s="220">
        <f t="shared" si="63"/>
        <v>5.087085569680406</v>
      </c>
      <c r="D78" s="306">
        <f t="shared" si="63"/>
        <v>137.4887991805515</v>
      </c>
      <c r="E78" s="221"/>
      <c r="F78" s="189">
        <f>44/12*'Crops proc. &amp; prod. DISCOUNTED'!BV46</f>
        <v>4.714996495967223</v>
      </c>
      <c r="G78" s="189">
        <f>44/12*'Crops proc. &amp; prod. DISCOUNTED'!BW46</f>
        <v>4.714996495967223</v>
      </c>
      <c r="H78" s="188">
        <f>44/12*'Crops proc. &amp; prod. DISCOUNTED'!BX46</f>
        <v>127.43233772884386</v>
      </c>
      <c r="J78" s="192">
        <f>44/12*'Crops proc. &amp; prod. DISCOUNTED'!DL46</f>
        <v>5.459174643393589</v>
      </c>
      <c r="K78" s="192">
        <f>44/12*'Crops proc. &amp; prod. DISCOUNTED'!DM46</f>
        <v>5.459174643393589</v>
      </c>
      <c r="L78" s="193">
        <f>44/12*'Crops proc. &amp; prod. DISCOUNTED'!DN46</f>
        <v>147.54526063225916</v>
      </c>
      <c r="M78" s="193"/>
      <c r="N78" s="770">
        <f t="shared" si="66"/>
        <v>5.9202785210937519</v>
      </c>
      <c r="O78" s="220">
        <f t="shared" si="66"/>
        <v>5.9202785210937519</v>
      </c>
      <c r="P78" s="305">
        <f t="shared" si="66"/>
        <v>160.00752759712844</v>
      </c>
      <c r="Q78" s="221"/>
      <c r="R78" s="189">
        <f>44/12*'Crops proc. &amp; prod. DISCOUNTED'!CJ46</f>
        <v>5.4911747219411966</v>
      </c>
      <c r="S78" s="189">
        <f>44/12*'Crops proc. &amp; prod. DISCOUNTED'!CK46</f>
        <v>5.4911747219411966</v>
      </c>
      <c r="T78" s="193">
        <f>44/12*'Crops proc. &amp; prod. DISCOUNTED'!CL46</f>
        <v>148.41012762003234</v>
      </c>
      <c r="U78" s="193"/>
      <c r="V78" s="192">
        <f>44/12*'Crops proc. &amp; prod. DISCOUNTED'!DZ46</f>
        <v>6.3493823202463071</v>
      </c>
      <c r="W78" s="192">
        <f>44/12*'Crops proc. &amp; prod. DISCOUNTED'!EA46</f>
        <v>6.3493823202463071</v>
      </c>
      <c r="X78" s="193">
        <f>44/12*'Crops proc. &amp; prod. DISCOUNTED'!EB46</f>
        <v>171.60492757422452</v>
      </c>
      <c r="Z78" s="770">
        <f t="shared" si="67"/>
        <v>16.922112286522811</v>
      </c>
      <c r="AA78" s="220">
        <f t="shared" si="67"/>
        <v>16.922112286522811</v>
      </c>
      <c r="AB78" s="305">
        <f t="shared" si="67"/>
        <v>457.35438612223811</v>
      </c>
      <c r="AC78" s="220"/>
      <c r="AD78" s="189">
        <f>44/12*'Crops proc. &amp; prod. DISCOUNTED'!CX46</f>
        <v>2.3362228849257529</v>
      </c>
      <c r="AE78" s="189">
        <f>44/12*'Crops proc. &amp; prod. DISCOUNTED'!CY46</f>
        <v>2.3362228849257529</v>
      </c>
      <c r="AF78" s="188">
        <f>44/12*'Crops proc. &amp; prod. DISCOUNTED'!CZ46</f>
        <v>63.141159052047371</v>
      </c>
      <c r="AH78" s="189">
        <f>44/12*'Crops proc. &amp; prod. DISCOUNTED'!EN46</f>
        <v>31.508001688119872</v>
      </c>
      <c r="AI78" s="189">
        <f>44/12*'Crops proc. &amp; prod. DISCOUNTED'!EO46</f>
        <v>31.508001688119872</v>
      </c>
      <c r="AJ78" s="188">
        <f>44/12*'Crops proc. &amp; prod. DISCOUNTED'!EP46</f>
        <v>851.56761319242889</v>
      </c>
      <c r="AL78" s="761">
        <f>'Crops proc. &amp; prod. DISCOUNTED'!GY46</f>
        <v>0.26152297606307312</v>
      </c>
      <c r="AM78" s="194">
        <f>'Crops proc. &amp; prod. DISCOUNTED'!GZ46</f>
        <v>0.26152297606307312</v>
      </c>
      <c r="AN78" s="226">
        <f>'Crops proc. &amp; prod. DISCOUNTED'!HA46</f>
        <v>7.0681885422452204</v>
      </c>
      <c r="AP78" s="765">
        <f>'Crops proc. &amp; prod. DISCOUNTED'!IV46</f>
        <v>1.0879727730114244</v>
      </c>
      <c r="AQ78" s="189">
        <f>'Crops proc. &amp; prod. DISCOUNTED'!IW46</f>
        <v>1.0879727730114244</v>
      </c>
      <c r="AR78" s="225">
        <f>'Crops proc. &amp; prod. DISCOUNTED'!IX46</f>
        <v>29.404669540849305</v>
      </c>
      <c r="AS78" s="195"/>
      <c r="AT78" s="765">
        <f t="shared" si="64"/>
        <v>6.4365813187549037</v>
      </c>
      <c r="AU78" s="189">
        <f t="shared" si="64"/>
        <v>6.4365813187549037</v>
      </c>
      <c r="AV78" s="188">
        <f t="shared" si="64"/>
        <v>173.96165726364603</v>
      </c>
      <c r="AW78" s="189"/>
      <c r="AX78" s="189">
        <f t="shared" si="65"/>
        <v>6.0644922450417207</v>
      </c>
      <c r="AY78" s="189">
        <f t="shared" si="65"/>
        <v>6.0644922450417207</v>
      </c>
      <c r="AZ78" s="188">
        <f t="shared" si="65"/>
        <v>163.9051958119384</v>
      </c>
      <c r="BA78" s="189"/>
      <c r="BB78" s="250"/>
      <c r="BC78" s="250"/>
      <c r="BD78" s="250"/>
      <c r="BE78" s="250"/>
      <c r="BF78" s="250"/>
      <c r="BG78" s="250"/>
      <c r="BH78" s="250"/>
      <c r="BI78" s="250"/>
      <c r="BJ78" s="193"/>
      <c r="BK78" s="193"/>
      <c r="BL78" s="250"/>
      <c r="BM78" s="250"/>
      <c r="BN78" s="250"/>
      <c r="BO78" s="250"/>
      <c r="BP78" s="250"/>
      <c r="BQ78" s="250"/>
      <c r="BR78" s="250"/>
      <c r="BS78" s="250"/>
      <c r="BT78" s="250"/>
      <c r="BU78" s="250"/>
      <c r="BV78" s="290"/>
      <c r="BW78" s="250"/>
      <c r="BX78" s="250"/>
      <c r="BY78" s="250"/>
      <c r="BZ78" s="250"/>
    </row>
    <row r="79" spans="1:78" x14ac:dyDescent="0.25">
      <c r="A79" s="191"/>
      <c r="AS79" s="224"/>
      <c r="AT79" s="777"/>
      <c r="AU79" s="224"/>
      <c r="AV79" s="224"/>
      <c r="AW79" s="224"/>
      <c r="AX79" s="224"/>
      <c r="AY79" s="224"/>
      <c r="AZ79" s="224"/>
      <c r="BA79" s="224"/>
      <c r="BB79" s="250"/>
      <c r="BC79" s="250"/>
      <c r="BD79" s="250"/>
      <c r="BE79" s="250"/>
      <c r="BF79" s="250"/>
      <c r="BG79" s="250"/>
      <c r="BH79" s="250"/>
      <c r="BI79" s="250"/>
      <c r="BJ79" s="250"/>
      <c r="BK79" s="250"/>
      <c r="BL79" s="250"/>
      <c r="BM79" s="250"/>
      <c r="BN79" s="250"/>
      <c r="BO79" s="250"/>
      <c r="BP79" s="250"/>
      <c r="BQ79" s="250"/>
      <c r="BR79" s="250"/>
      <c r="BS79" s="250"/>
      <c r="BT79" s="250"/>
      <c r="BU79" s="250"/>
      <c r="BV79" s="291"/>
      <c r="BW79" s="250"/>
      <c r="BX79" s="250"/>
      <c r="BY79" s="250"/>
      <c r="BZ79" s="250"/>
    </row>
    <row r="80" spans="1:78" ht="13.8" x14ac:dyDescent="0.3">
      <c r="A80" s="190" t="s">
        <v>447</v>
      </c>
      <c r="AS80" s="224"/>
      <c r="AT80" s="777"/>
      <c r="AU80" s="224"/>
      <c r="AV80" s="224"/>
      <c r="AW80" s="224"/>
      <c r="AX80" s="224"/>
      <c r="AY80" s="224"/>
      <c r="AZ80" s="224"/>
      <c r="BA80" s="224"/>
      <c r="BB80" s="250"/>
      <c r="BC80" s="250"/>
      <c r="BD80" s="250"/>
      <c r="BE80" s="250"/>
      <c r="BF80" s="250"/>
      <c r="BG80" s="250"/>
      <c r="BH80" s="250"/>
      <c r="BI80" s="250"/>
      <c r="BJ80" s="250"/>
      <c r="BK80" s="250"/>
      <c r="BL80" s="250"/>
      <c r="BM80" s="250"/>
      <c r="BN80" s="250"/>
      <c r="BO80" s="250"/>
      <c r="BP80" s="250"/>
      <c r="BQ80" s="250"/>
      <c r="BR80" s="250"/>
      <c r="BS80" s="250"/>
      <c r="BT80" s="250"/>
      <c r="BU80" s="250"/>
      <c r="BV80" s="291"/>
      <c r="BW80" s="250"/>
      <c r="BX80" s="250"/>
      <c r="BY80" s="250"/>
      <c r="BZ80" s="250"/>
    </row>
    <row r="81" spans="1:78" x14ac:dyDescent="0.25">
      <c r="A81" s="197"/>
      <c r="AP81" s="779"/>
      <c r="AQ81" s="224"/>
      <c r="AR81" s="224"/>
      <c r="AS81" s="224"/>
      <c r="AT81" s="777"/>
      <c r="AU81" s="224"/>
      <c r="AV81" s="224"/>
      <c r="AW81" s="224"/>
      <c r="AX81" s="224"/>
      <c r="AY81" s="224"/>
      <c r="AZ81" s="224"/>
      <c r="BA81" s="224"/>
      <c r="BB81" s="250"/>
      <c r="BC81" s="250"/>
      <c r="BD81" s="250"/>
      <c r="BE81" s="250"/>
      <c r="BF81" s="250"/>
      <c r="BG81" s="250"/>
      <c r="BH81" s="250"/>
      <c r="BI81" s="250"/>
      <c r="BJ81" s="250"/>
      <c r="BK81" s="250"/>
      <c r="BL81" s="250"/>
      <c r="BM81" s="250"/>
      <c r="BN81" s="250"/>
      <c r="BO81" s="250"/>
      <c r="BP81" s="250"/>
      <c r="BQ81" s="250"/>
      <c r="BR81" s="250"/>
      <c r="BS81" s="250"/>
      <c r="BT81" s="250"/>
      <c r="BU81" s="250"/>
      <c r="BV81" s="291"/>
      <c r="BW81" s="250"/>
      <c r="BX81" s="250"/>
      <c r="BY81" s="250"/>
      <c r="BZ81" s="250"/>
    </row>
    <row r="82" spans="1:78" ht="13.8" x14ac:dyDescent="0.3">
      <c r="A82" s="190" t="s">
        <v>206</v>
      </c>
      <c r="AP82" s="779"/>
      <c r="AQ82" s="224"/>
      <c r="AR82" s="291"/>
      <c r="AS82" s="224"/>
      <c r="AT82" s="777"/>
      <c r="AU82" s="224"/>
      <c r="AV82" s="224"/>
      <c r="AW82" s="224"/>
      <c r="AX82" s="224"/>
      <c r="AY82" s="224"/>
      <c r="AZ82" s="224"/>
      <c r="BA82" s="224"/>
      <c r="BB82" s="250"/>
      <c r="BC82" s="250"/>
      <c r="BD82" s="250"/>
      <c r="BE82" s="250"/>
      <c r="BF82" s="250"/>
      <c r="BG82" s="250"/>
      <c r="BH82" s="250"/>
      <c r="BI82" s="250"/>
      <c r="BJ82" s="250"/>
      <c r="BK82" s="250"/>
      <c r="BL82" s="250"/>
      <c r="BM82" s="250"/>
      <c r="BN82" s="250"/>
      <c r="BO82" s="250"/>
      <c r="BP82" s="250"/>
      <c r="BQ82" s="250"/>
      <c r="BR82" s="250"/>
      <c r="BS82" s="250"/>
      <c r="BT82" s="250"/>
      <c r="BU82" s="250"/>
      <c r="BV82" s="291"/>
      <c r="BW82" s="250"/>
      <c r="BX82" s="250"/>
      <c r="BY82" s="250"/>
      <c r="BZ82" s="250"/>
    </row>
    <row r="83" spans="1:78" x14ac:dyDescent="0.25">
      <c r="A83" s="204" t="s">
        <v>165</v>
      </c>
      <c r="B83" s="770">
        <f t="shared" ref="B83:C85" si="68">(F83+J83)/2</f>
        <v>2.3882119277507226</v>
      </c>
      <c r="C83" s="220">
        <f t="shared" si="68"/>
        <v>2.6535688086119138</v>
      </c>
      <c r="E83" s="221">
        <f t="shared" ref="E83:E85" si="69">(I83+M83)/2</f>
        <v>17.010056465460988</v>
      </c>
      <c r="F83" s="189">
        <f>44/12*'Crops proc. &amp; prod. DISCOUNTED'!BV45</f>
        <v>2.213528889328122</v>
      </c>
      <c r="G83" s="189">
        <f>44/12*'Crops proc. &amp; prod. DISCOUNTED'!BW45</f>
        <v>2.4594765436979129</v>
      </c>
      <c r="I83" s="188">
        <f>44/12*'Crops proc. &amp; prod. DISCOUNTED'!BY45</f>
        <v>15.765875280114829</v>
      </c>
      <c r="J83" s="192">
        <f>44/12*'Crops proc. &amp; prod. DISCOUNTED'!DL45</f>
        <v>2.5628949661733236</v>
      </c>
      <c r="K83" s="192">
        <f>44/12*'Crops proc. &amp; prod. DISCOUNTED'!DM45</f>
        <v>2.8476610735259147</v>
      </c>
      <c r="L83" s="193"/>
      <c r="M83" s="193">
        <f>44/12*'Crops proc. &amp; prod. DISCOUNTED'!DO45</f>
        <v>18.254237650807145</v>
      </c>
      <c r="N83" s="770">
        <f t="shared" ref="N83:O85" si="70">(R83+V83)/2</f>
        <v>2.7793673973073698</v>
      </c>
      <c r="O83" s="220">
        <f t="shared" si="70"/>
        <v>3.0881859970081882</v>
      </c>
      <c r="Q83" s="221">
        <f t="shared" ref="Q83:Q85" si="71">(U83+Y83)/2</f>
        <v>19.796064083385822</v>
      </c>
      <c r="R83" s="189">
        <f>44/12*'Crops proc. &amp; prod. DISCOUNTED'!CJ45</f>
        <v>2.5779179038120863</v>
      </c>
      <c r="S83" s="189">
        <f>44/12*'Crops proc. &amp; prod. DISCOUNTED'!CK45</f>
        <v>2.8643532264578733</v>
      </c>
      <c r="T83" s="193"/>
      <c r="U83" s="193">
        <f>44/12*'Crops proc. &amp; prod. DISCOUNTED'!CM45</f>
        <v>18.361238631140214</v>
      </c>
      <c r="V83" s="192">
        <f>44/12*'Crops proc. &amp; prod. DISCOUNTED'!DZ45</f>
        <v>2.9808168908026533</v>
      </c>
      <c r="W83" s="192">
        <f>44/12*'Crops proc. &amp; prod. DISCOUNTED'!EA45</f>
        <v>3.3120187675585036</v>
      </c>
      <c r="X83" s="193"/>
      <c r="Y83" s="188">
        <f>44/12*'Crops proc. &amp; prod. DISCOUNTED'!EC45</f>
        <v>21.230889535631434</v>
      </c>
      <c r="Z83" s="770">
        <f t="shared" ref="Z83:AA85" si="72">(AD83+AH83)/2</f>
        <v>7.9443504245889471</v>
      </c>
      <c r="AA83" s="220">
        <f t="shared" si="72"/>
        <v>8.8270560273210528</v>
      </c>
      <c r="AC83" s="220">
        <f t="shared" ref="AC83:AC85" si="73">(AG83+AK83)/2</f>
        <v>56.58369248282726</v>
      </c>
      <c r="AD83" s="189">
        <f>44/12*'Crops proc. &amp; prod. DISCOUNTED'!CX45</f>
        <v>1.0967763925414786</v>
      </c>
      <c r="AE83" s="189">
        <f>44/12*'Crops proc. &amp; prod. DISCOUNTED'!CY45</f>
        <v>1.2186404361571983</v>
      </c>
      <c r="AG83" s="188">
        <f>44/12*'Crops proc. &amp; prod. DISCOUNTED'!DA45</f>
        <v>7.8117976676743481</v>
      </c>
      <c r="AH83" s="189">
        <f>44/12*'Crops proc. &amp; prod. DISCOUNTED'!EN45</f>
        <v>14.791924456636416</v>
      </c>
      <c r="AI83" s="189">
        <f>44/12*'Crops proc. &amp; prod. DISCOUNTED'!EO45</f>
        <v>16.435471618484907</v>
      </c>
      <c r="AK83" s="188">
        <f>44/12*'Crops proc. &amp; prod. DISCOUNTED'!EQ45</f>
        <v>105.35558729798018</v>
      </c>
      <c r="AL83" s="761">
        <f>'Crops proc. &amp; prod. DISCOUNTED'!GY45</f>
        <v>0.12277605364793115</v>
      </c>
      <c r="AM83" s="194">
        <f>'Crops proc. &amp; prod. DISCOUNTED'!GZ45</f>
        <v>0.13641783738659016</v>
      </c>
      <c r="AN83" s="193"/>
      <c r="AO83" s="226">
        <f>'Crops proc. &amp; prod. DISCOUNTED'!HB45</f>
        <v>0.87447331658070615</v>
      </c>
      <c r="AP83" s="761">
        <f>'Crops proc. &amp; prod. DISCOUNTED'!IV45</f>
        <v>0.51076584381833989</v>
      </c>
      <c r="AQ83" s="194">
        <f>'Crops proc. &amp; prod. DISCOUNTED'!IW45</f>
        <v>0.56751760424259989</v>
      </c>
      <c r="AR83" s="193"/>
      <c r="AS83" s="226">
        <f>'Crops proc. &amp; prod. DISCOUNTED'!IY45</f>
        <v>3.6379333605294866</v>
      </c>
      <c r="AT83" s="765">
        <f t="shared" ref="AT83:AU85" si="74">B83+AL83+AP83</f>
        <v>3.0217538252169933</v>
      </c>
      <c r="AU83" s="189">
        <f t="shared" si="74"/>
        <v>3.3575042502411039</v>
      </c>
      <c r="AV83" s="188"/>
      <c r="AW83" s="189">
        <f t="shared" ref="AW83:AW85" si="75">E83+AO83+AS83</f>
        <v>21.52246314257118</v>
      </c>
      <c r="AX83" s="189">
        <f t="shared" ref="AX83:AY85" si="76">F83+AL83+AP83</f>
        <v>2.8470707867943927</v>
      </c>
      <c r="AY83" s="189">
        <f t="shared" si="76"/>
        <v>3.163411985327103</v>
      </c>
      <c r="AZ83" s="188"/>
      <c r="BA83" s="189">
        <f t="shared" ref="BA83:BA85" si="77">I83+AO83+AS83</f>
        <v>20.278281957225023</v>
      </c>
      <c r="BB83" s="250"/>
      <c r="BC83" s="250"/>
      <c r="BD83" s="250"/>
      <c r="BE83" s="250"/>
      <c r="BF83" s="250"/>
      <c r="BG83" s="250"/>
      <c r="BH83" s="250"/>
      <c r="BI83" s="250"/>
      <c r="BJ83" s="193"/>
      <c r="BK83" s="193"/>
      <c r="BL83" s="250"/>
      <c r="BM83" s="250"/>
      <c r="BN83" s="250"/>
      <c r="BO83" s="250"/>
      <c r="BP83" s="250"/>
      <c r="BQ83" s="250"/>
      <c r="BR83" s="250"/>
      <c r="BS83" s="250"/>
      <c r="BT83" s="250"/>
      <c r="BU83" s="250"/>
      <c r="BV83" s="290"/>
      <c r="BW83" s="250"/>
      <c r="BX83" s="250"/>
      <c r="BY83" s="250"/>
      <c r="BZ83" s="250"/>
    </row>
    <row r="84" spans="1:78" x14ac:dyDescent="0.25">
      <c r="A84" s="204" t="s">
        <v>167</v>
      </c>
      <c r="B84" s="770">
        <f t="shared" si="68"/>
        <v>3.2176497474429464</v>
      </c>
      <c r="C84" s="220">
        <f t="shared" si="68"/>
        <v>3.4974453776553762</v>
      </c>
      <c r="E84" s="221">
        <f t="shared" si="69"/>
        <v>24.120312949347422</v>
      </c>
      <c r="F84" s="189">
        <f>44/12*'Crops proc. &amp; prod. DISCOUNTED'!BV50</f>
        <v>3.3370529114968912</v>
      </c>
      <c r="G84" s="189">
        <f>44/12*'Crops proc. &amp; prod. DISCOUNTED'!BW50</f>
        <v>3.6272314255400988</v>
      </c>
      <c r="I84" s="188">
        <f>44/12*'Crops proc. &amp; prod. DISCOUNTED'!BY50</f>
        <v>25.015389141655856</v>
      </c>
      <c r="J84" s="192">
        <f>44/12*'Crops proc. &amp; prod. DISCOUNTED'!DL50</f>
        <v>3.0982465833890016</v>
      </c>
      <c r="K84" s="192">
        <f>44/12*'Crops proc. &amp; prod. DISCOUNTED'!DM50</f>
        <v>3.3676593297706536</v>
      </c>
      <c r="L84" s="193"/>
      <c r="M84" s="193">
        <f>44/12*'Crops proc. &amp; prod. DISCOUNTED'!DO50</f>
        <v>23.225236757038992</v>
      </c>
      <c r="N84" s="770">
        <f t="shared" si="70"/>
        <v>6.3433231721688399</v>
      </c>
      <c r="O84" s="220">
        <f t="shared" si="70"/>
        <v>6.8949164914878693</v>
      </c>
      <c r="Q84" s="221">
        <f t="shared" si="71"/>
        <v>47.551148217157724</v>
      </c>
      <c r="R84" s="189">
        <f>44/12*'Crops proc. &amp; prod. DISCOUNTED'!CJ50</f>
        <v>6.443044438113616</v>
      </c>
      <c r="S84" s="189">
        <f>44/12*'Crops proc. &amp; prod. DISCOUNTED'!CK50</f>
        <v>7.0033091718626261</v>
      </c>
      <c r="T84" s="193"/>
      <c r="U84" s="193">
        <f>44/12*'Crops proc. &amp; prod. DISCOUNTED'!CM50</f>
        <v>48.298683943880185</v>
      </c>
      <c r="V84" s="192">
        <f>44/12*'Crops proc. &amp; prod. DISCOUNTED'!DZ50</f>
        <v>6.2436019062240637</v>
      </c>
      <c r="W84" s="192">
        <f>44/12*'Crops proc. &amp; prod. DISCOUNTED'!EA50</f>
        <v>6.7865238111131125</v>
      </c>
      <c r="X84" s="193"/>
      <c r="Y84" s="188">
        <f>44/12*'Crops proc. &amp; prod. DISCOUNTED'!EC50</f>
        <v>46.803612490435263</v>
      </c>
      <c r="Z84" s="770">
        <f t="shared" si="72"/>
        <v>7.2856239018480009</v>
      </c>
      <c r="AA84" s="220">
        <f t="shared" si="72"/>
        <v>7.9191564150521749</v>
      </c>
      <c r="AC84" s="220">
        <f t="shared" si="73"/>
        <v>54.614871827946033</v>
      </c>
      <c r="AD84" s="189">
        <f>44/12*'Crops proc. &amp; prod. DISCOUNTED'!CX50</f>
        <v>2.4323982851265402</v>
      </c>
      <c r="AE84" s="189">
        <f>44/12*'Crops proc. &amp; prod. DISCOUNTED'!CY50</f>
        <v>2.6439111794853694</v>
      </c>
      <c r="AG84" s="188">
        <f>44/12*'Crops proc. &amp; prod. DISCOUNTED'!DA50</f>
        <v>18.233870203347376</v>
      </c>
      <c r="AH84" s="189">
        <f>44/12*'Crops proc. &amp; prod. DISCOUNTED'!EN50</f>
        <v>12.138849518569462</v>
      </c>
      <c r="AI84" s="189">
        <f>44/12*'Crops proc. &amp; prod. DISCOUNTED'!EO50</f>
        <v>13.19440165061898</v>
      </c>
      <c r="AK84" s="188">
        <f>44/12*'Crops proc. &amp; prod. DISCOUNTED'!EQ50</f>
        <v>90.995873452544686</v>
      </c>
      <c r="AL84" s="761">
        <f>'Crops proc. &amp; prod. DISCOUNTED'!GY50</f>
        <v>0.34375162381410485</v>
      </c>
      <c r="AM84" s="194">
        <f>'Crops proc. &amp; prod. DISCOUNTED'!GZ50</f>
        <v>0.37364306936315744</v>
      </c>
      <c r="AN84" s="193"/>
      <c r="AO84" s="226">
        <f>'Crops proc. &amp; prod. DISCOUNTED'!HB50</f>
        <v>2.576848754228672</v>
      </c>
      <c r="AP84" s="761">
        <f>'Crops proc. &amp; prod. DISCOUNTED'!IV50</f>
        <v>3.06749345192397</v>
      </c>
      <c r="AQ84" s="194">
        <f>'Crops proc. &amp; prod. DISCOUNTED'!IW50</f>
        <v>3.3342320129608369</v>
      </c>
      <c r="AR84" s="193"/>
      <c r="AS84" s="226">
        <f>'Crops proc. &amp; prod. DISCOUNTED'!IY50</f>
        <v>22.994703537660946</v>
      </c>
      <c r="AT84" s="765">
        <f t="shared" si="74"/>
        <v>6.628894823181021</v>
      </c>
      <c r="AU84" s="189">
        <f t="shared" si="74"/>
        <v>7.2053204599793705</v>
      </c>
      <c r="AV84" s="188"/>
      <c r="AW84" s="189">
        <f t="shared" si="75"/>
        <v>49.691865241237039</v>
      </c>
      <c r="AX84" s="189">
        <f t="shared" si="76"/>
        <v>6.7482979872349667</v>
      </c>
      <c r="AY84" s="189">
        <f t="shared" si="76"/>
        <v>7.3351065078640936</v>
      </c>
      <c r="AZ84" s="188"/>
      <c r="BA84" s="189">
        <f t="shared" si="77"/>
        <v>50.586941433545476</v>
      </c>
      <c r="BB84" s="250"/>
      <c r="BC84" s="250"/>
      <c r="BD84" s="250"/>
      <c r="BE84" s="250"/>
      <c r="BF84" s="250"/>
      <c r="BG84" s="250"/>
      <c r="BH84" s="250"/>
      <c r="BI84" s="250"/>
      <c r="BJ84" s="193"/>
      <c r="BK84" s="193"/>
      <c r="BL84" s="250"/>
      <c r="BM84" s="250"/>
      <c r="BN84" s="250"/>
      <c r="BO84" s="250"/>
      <c r="BP84" s="250"/>
      <c r="BQ84" s="250"/>
      <c r="BR84" s="250"/>
      <c r="BS84" s="250"/>
      <c r="BT84" s="250"/>
      <c r="BU84" s="250"/>
      <c r="BV84" s="290"/>
      <c r="BW84" s="250"/>
      <c r="BX84" s="250"/>
      <c r="BY84" s="250"/>
      <c r="BZ84" s="250"/>
    </row>
    <row r="85" spans="1:78" x14ac:dyDescent="0.25">
      <c r="A85" s="204" t="s">
        <v>160</v>
      </c>
      <c r="B85" s="770">
        <f t="shared" si="68"/>
        <v>2.204244132917093</v>
      </c>
      <c r="C85" s="220">
        <f t="shared" si="68"/>
        <v>2.4766788010304412</v>
      </c>
      <c r="E85" s="221">
        <f t="shared" si="69"/>
        <v>12.383394005152205</v>
      </c>
      <c r="F85" s="189">
        <f>44/12*'Crops proc. &amp; prod. DISCOUNTED'!BV55</f>
        <v>1.8215387643800305</v>
      </c>
      <c r="G85" s="189">
        <f>44/12*'Crops proc. &amp; prod. DISCOUNTED'!BW55</f>
        <v>2.0466727689663262</v>
      </c>
      <c r="I85" s="188">
        <f>44/12*'Crops proc. &amp; prod. DISCOUNTED'!BY55</f>
        <v>10.233363844831631</v>
      </c>
      <c r="J85" s="192">
        <f>44/12*'Crops proc. &amp; prod. DISCOUNTED'!DL55</f>
        <v>2.5869495014541553</v>
      </c>
      <c r="K85" s="192">
        <f>44/12*'Crops proc. &amp; prod. DISCOUNTED'!DM55</f>
        <v>2.9066848330945563</v>
      </c>
      <c r="L85" s="193"/>
      <c r="M85" s="193">
        <f>44/12*'Crops proc. &amp; prod. DISCOUNTED'!DO55</f>
        <v>14.53342416547278</v>
      </c>
      <c r="N85" s="770">
        <f t="shared" si="70"/>
        <v>2.8727383940085462</v>
      </c>
      <c r="O85" s="220">
        <f t="shared" si="70"/>
        <v>3.2277959483242094</v>
      </c>
      <c r="Q85" s="221">
        <f t="shared" si="71"/>
        <v>16.138979741621043</v>
      </c>
      <c r="R85" s="189">
        <f>44/12*'Crops proc. &amp; prod. DISCOUNTED'!CJ55</f>
        <v>2.4273805929819403</v>
      </c>
      <c r="S85" s="189">
        <f>44/12*'Crops proc. &amp; prod. DISCOUNTED'!CK55</f>
        <v>2.7273939246988097</v>
      </c>
      <c r="T85" s="193"/>
      <c r="U85" s="193">
        <f>44/12*'Crops proc. &amp; prod. DISCOUNTED'!CM55</f>
        <v>13.636969623494046</v>
      </c>
      <c r="V85" s="192">
        <f>44/12*'Crops proc. &amp; prod. DISCOUNTED'!DZ55</f>
        <v>3.3180961950351522</v>
      </c>
      <c r="W85" s="192">
        <f>44/12*'Crops proc. &amp; prod. DISCOUNTED'!EA55</f>
        <v>3.728197971949609</v>
      </c>
      <c r="X85" s="193"/>
      <c r="Y85" s="188">
        <f>44/12*'Crops proc. &amp; prod. DISCOUNTED'!EC55</f>
        <v>18.640989859748043</v>
      </c>
      <c r="Z85" s="770">
        <f t="shared" si="72"/>
        <v>4.1910903168523683</v>
      </c>
      <c r="AA85" s="220">
        <f t="shared" si="72"/>
        <v>4.7090902436543471</v>
      </c>
      <c r="AC85" s="220">
        <f t="shared" si="73"/>
        <v>23.545451218271733</v>
      </c>
      <c r="AD85" s="189">
        <f>44/12*'Crops proc. &amp; prod. DISCOUNTED'!CX55</f>
        <v>0.67672821640193781</v>
      </c>
      <c r="AE85" s="189">
        <f>44/12*'Crops proc. &amp; prod. DISCOUNTED'!CY55</f>
        <v>0.76036878247408735</v>
      </c>
      <c r="AG85" s="188">
        <f>44/12*'Crops proc. &amp; prod. DISCOUNTED'!DA55</f>
        <v>3.8018439123704368</v>
      </c>
      <c r="AH85" s="189">
        <f>44/12*'Crops proc. &amp; prod. DISCOUNTED'!EN55</f>
        <v>7.7054524173027996</v>
      </c>
      <c r="AI85" s="189">
        <f>44/12*'Crops proc. &amp; prod. DISCOUNTED'!EO55</f>
        <v>8.6578117048346073</v>
      </c>
      <c r="AK85" s="188">
        <f>44/12*'Crops proc. &amp; prod. DISCOUNTED'!EQ55</f>
        <v>43.289058524173029</v>
      </c>
      <c r="AL85" s="761">
        <f>'Crops proc. &amp; prod. DISCOUNTED'!GY55</f>
        <v>0.11428921773447455</v>
      </c>
      <c r="AM85" s="194">
        <f>'Crops proc. &amp; prod. DISCOUNTED'!GZ55</f>
        <v>0.12841485138705006</v>
      </c>
      <c r="AN85" s="193"/>
      <c r="AO85" s="226">
        <f>'Crops proc. &amp; prod. DISCOUNTED'!HB55</f>
        <v>0.64207425693525022</v>
      </c>
      <c r="AP85" s="761">
        <f>'Crops proc. &amp; prod. DISCOUNTED'!IV55</f>
        <v>0.7024359137211944</v>
      </c>
      <c r="AQ85" s="194">
        <f>'Crops proc. &amp; prod. DISCOUNTED'!IW55</f>
        <v>0.78925383564179141</v>
      </c>
      <c r="AR85" s="193"/>
      <c r="AS85" s="226">
        <f>'Crops proc. &amp; prod. DISCOUNTED'!IY55</f>
        <v>3.946269178208957</v>
      </c>
      <c r="AT85" s="765">
        <f t="shared" si="74"/>
        <v>3.0209692643727619</v>
      </c>
      <c r="AU85" s="189">
        <f t="shared" si="74"/>
        <v>3.3943474880592825</v>
      </c>
      <c r="AV85" s="188"/>
      <c r="AW85" s="189">
        <f t="shared" si="75"/>
        <v>16.971737440296412</v>
      </c>
      <c r="AX85" s="189">
        <f t="shared" si="76"/>
        <v>2.6382638958356992</v>
      </c>
      <c r="AY85" s="189">
        <f t="shared" si="76"/>
        <v>2.9643414559951675</v>
      </c>
      <c r="AZ85" s="188"/>
      <c r="BA85" s="189">
        <f t="shared" si="77"/>
        <v>14.82170727997584</v>
      </c>
      <c r="BB85" s="250"/>
      <c r="BC85" s="250"/>
      <c r="BD85" s="250"/>
      <c r="BE85" s="250"/>
      <c r="BF85" s="250"/>
      <c r="BG85" s="250"/>
      <c r="BH85" s="250"/>
      <c r="BI85" s="250"/>
      <c r="BJ85" s="193"/>
      <c r="BK85" s="193"/>
      <c r="BL85" s="250"/>
      <c r="BM85" s="250"/>
      <c r="BN85" s="250"/>
      <c r="BO85" s="250"/>
      <c r="BP85" s="250"/>
      <c r="BQ85" s="250"/>
      <c r="BR85" s="250"/>
      <c r="BS85" s="250"/>
      <c r="BT85" s="250"/>
      <c r="BU85" s="250"/>
      <c r="BV85" s="290"/>
      <c r="BW85" s="250"/>
      <c r="BX85" s="250"/>
      <c r="BY85" s="250"/>
      <c r="BZ85" s="250"/>
    </row>
    <row r="86" spans="1:78" x14ac:dyDescent="0.25">
      <c r="A86" s="197"/>
      <c r="AN86" s="193"/>
      <c r="BB86" s="250"/>
      <c r="BC86" s="250"/>
      <c r="BD86" s="250"/>
      <c r="BE86" s="250"/>
      <c r="BF86" s="250"/>
      <c r="BG86" s="250"/>
      <c r="BH86" s="250"/>
      <c r="BI86" s="250"/>
      <c r="BJ86" s="250"/>
      <c r="BK86" s="250"/>
      <c r="BL86" s="250"/>
      <c r="BM86" s="250"/>
      <c r="BN86" s="250"/>
      <c r="BO86" s="250"/>
      <c r="BP86" s="250"/>
      <c r="BQ86" s="250"/>
      <c r="BR86" s="250"/>
      <c r="BS86" s="250"/>
      <c r="BT86" s="250"/>
      <c r="BU86" s="250"/>
      <c r="BV86" s="250"/>
      <c r="BW86" s="250"/>
      <c r="BX86" s="250"/>
      <c r="BY86" s="250"/>
      <c r="BZ86" s="250"/>
    </row>
    <row r="87" spans="1:78" ht="13.8" x14ac:dyDescent="0.3">
      <c r="A87" s="190" t="s">
        <v>372</v>
      </c>
      <c r="BB87" s="250"/>
      <c r="BC87" s="250"/>
      <c r="BD87" s="250"/>
      <c r="BE87" s="250"/>
      <c r="BF87" s="250"/>
      <c r="BG87" s="250"/>
      <c r="BH87" s="250"/>
      <c r="BI87" s="250"/>
      <c r="BJ87" s="250"/>
      <c r="BK87" s="250"/>
      <c r="BL87" s="250"/>
      <c r="BM87" s="250"/>
      <c r="BN87" s="250"/>
      <c r="BO87" s="250"/>
      <c r="BP87" s="250"/>
      <c r="BQ87" s="250"/>
      <c r="BR87" s="250"/>
      <c r="BS87" s="250"/>
      <c r="BT87" s="250"/>
      <c r="BU87" s="250"/>
      <c r="BV87" s="250"/>
      <c r="BW87" s="250"/>
      <c r="BX87" s="250"/>
      <c r="BY87" s="250"/>
      <c r="BZ87" s="250"/>
    </row>
    <row r="88" spans="1:78" x14ac:dyDescent="0.25">
      <c r="A88" s="191" t="s">
        <v>90</v>
      </c>
      <c r="B88" s="770">
        <f t="shared" ref="B88:C92" si="78">(F88+J88)/2</f>
        <v>4.6166563193873351</v>
      </c>
      <c r="C88" s="220">
        <f t="shared" si="78"/>
        <v>5.0181046949862331</v>
      </c>
      <c r="E88" s="308">
        <f t="shared" ref="E88:E92" si="79">(I88+M88)/2</f>
        <v>10.036209389972466</v>
      </c>
      <c r="F88" s="189">
        <f>44/12*'Crops proc. &amp; prod. DISCOUNTED'!BV80</f>
        <v>4.779327416584481</v>
      </c>
      <c r="G88" s="189">
        <f>44/12*'Crops proc. &amp; prod. DISCOUNTED'!BW80</f>
        <v>5.1949211049831314</v>
      </c>
      <c r="I88" s="188">
        <f>44/12*'Crops proc. &amp; prod. DISCOUNTED'!BY80</f>
        <v>10.389842209966263</v>
      </c>
      <c r="J88" s="192">
        <f>44/12*'Crops proc. &amp; prod. DISCOUNTED'!DL80</f>
        <v>4.4539852221901883</v>
      </c>
      <c r="K88" s="192">
        <f>44/12*'Crops proc. &amp; prod. DISCOUNTED'!DM80</f>
        <v>4.8412882849893348</v>
      </c>
      <c r="L88" s="193"/>
      <c r="M88" s="193">
        <f>44/12*'Crops proc. &amp; prod. DISCOUNTED'!DO80</f>
        <v>9.6825765699786697</v>
      </c>
      <c r="N88" s="770">
        <f t="shared" ref="N88:O92" si="80">(R88+V88)/2</f>
        <v>4.6631189471955121</v>
      </c>
      <c r="O88" s="220">
        <f t="shared" si="80"/>
        <v>5.0686075512994702</v>
      </c>
      <c r="Q88" s="307">
        <f t="shared" ref="Q88:Q92" si="81">(U88+Y88)/2</f>
        <v>10.13721510259894</v>
      </c>
      <c r="R88" s="189">
        <f>44/12*'Crops proc. &amp; prod. DISCOUNTED'!CJ80</f>
        <v>4.8249312818781629</v>
      </c>
      <c r="S88" s="189">
        <f>44/12*'Crops proc. &amp; prod. DISCOUNTED'!CK80</f>
        <v>5.2444905237806116</v>
      </c>
      <c r="T88" s="193"/>
      <c r="U88" s="193">
        <f>44/12*'Crops proc. &amp; prod. DISCOUNTED'!CM80</f>
        <v>10.488981047561223</v>
      </c>
      <c r="V88" s="192">
        <f>44/12*'Crops proc. &amp; prod. DISCOUNTED'!DZ80</f>
        <v>4.5013066125128613</v>
      </c>
      <c r="W88" s="192">
        <f>44/12*'Crops proc. &amp; prod. DISCOUNTED'!EA80</f>
        <v>4.8927245788183278</v>
      </c>
      <c r="X88" s="193"/>
      <c r="Y88" s="188">
        <f>44/12*'Crops proc. &amp; prod. DISCOUNTED'!EC80</f>
        <v>9.7854491576366556</v>
      </c>
      <c r="Z88" s="770">
        <f t="shared" ref="Z88:AA92" si="82">(AD88+AH88)/2</f>
        <v>5.0192070984943431</v>
      </c>
      <c r="AA88" s="220">
        <f t="shared" si="82"/>
        <v>5.4556598896677642</v>
      </c>
      <c r="AC88" s="307">
        <f t="shared" ref="AC88:AC92" si="83">(AG88+AK88)/2</f>
        <v>10.911319779335528</v>
      </c>
      <c r="AD88" s="189">
        <f>44/12*'Crops proc. &amp; prod. DISCOUNTED'!CX80</f>
        <v>3.9656808636553529</v>
      </c>
      <c r="AE88" s="189">
        <f>44/12*'Crops proc. &amp; prod. DISCOUNTED'!CY80</f>
        <v>4.3105226778862527</v>
      </c>
      <c r="AG88" s="188">
        <f>44/12*'Crops proc. &amp; prod. DISCOUNTED'!DA80</f>
        <v>8.6210453557725053</v>
      </c>
      <c r="AH88" s="189">
        <f>44/12*'Crops proc. &amp; prod. DISCOUNTED'!EN80</f>
        <v>6.0727333333333338</v>
      </c>
      <c r="AI88" s="189">
        <f>44/12*'Crops proc. &amp; prod. DISCOUNTED'!EO80</f>
        <v>6.6007971014492748</v>
      </c>
      <c r="AK88" s="188">
        <f>44/12*'Crops proc. &amp; prod. DISCOUNTED'!EQ80</f>
        <v>13.20159420289855</v>
      </c>
      <c r="AL88" s="761">
        <f>'Crops proc. &amp; prod. DISCOUNTED'!GY80</f>
        <v>0.13941738980071039</v>
      </c>
      <c r="AM88" s="194">
        <f>'Crops proc. &amp; prod. DISCOUNTED'!GZ80</f>
        <v>0.15154064108772869</v>
      </c>
      <c r="AO88" s="415">
        <f>'Crops proc. &amp; prod. DISCOUNTED'!HB80</f>
        <v>0.30308128217545738</v>
      </c>
      <c r="AP88" s="761">
        <f>'Crops proc. &amp; prod. DISCOUNTED'!IV80</f>
        <v>0.3445226055462185</v>
      </c>
      <c r="AQ88" s="194">
        <f>'Crops proc. &amp; prod. DISCOUNTED'!IW80</f>
        <v>0.37448109298502008</v>
      </c>
      <c r="AR88" s="188"/>
      <c r="AS88" s="226">
        <f>'Crops proc. &amp; prod. DISCOUNTED'!IY80</f>
        <v>0.74896218597004016</v>
      </c>
      <c r="AT88" s="765">
        <f t="shared" ref="AT88:AU92" si="84">B88+AL88+AP88</f>
        <v>5.1005963147342648</v>
      </c>
      <c r="AU88" s="189">
        <f t="shared" si="84"/>
        <v>5.5441264290589816</v>
      </c>
      <c r="AV88" s="188"/>
      <c r="AW88" s="189">
        <f t="shared" ref="AW88:AW92" si="85">E88+AO88+AS88</f>
        <v>11.088252858117963</v>
      </c>
      <c r="AX88" s="189">
        <f t="shared" ref="AX88:AY92" si="86">F88+AL88+AP88</f>
        <v>5.2632674119314107</v>
      </c>
      <c r="AY88" s="189">
        <f t="shared" si="86"/>
        <v>5.7209428390558799</v>
      </c>
      <c r="AZ88" s="188"/>
      <c r="BA88" s="189">
        <f t="shared" ref="BA88:BA92" si="87">I88+AO88+AS88</f>
        <v>11.44188567811176</v>
      </c>
      <c r="BB88" s="250"/>
      <c r="BC88" s="250"/>
      <c r="BD88" s="250"/>
      <c r="BE88" s="250"/>
      <c r="BF88" s="250"/>
      <c r="BG88" s="250"/>
      <c r="BH88" s="250"/>
      <c r="BI88" s="250"/>
      <c r="BJ88" s="193"/>
      <c r="BK88" s="193"/>
      <c r="BL88" s="250"/>
      <c r="BM88" s="250"/>
      <c r="BN88" s="250"/>
      <c r="BO88" s="250"/>
      <c r="BP88" s="250"/>
      <c r="BQ88" s="250"/>
      <c r="BR88" s="250"/>
      <c r="BS88" s="250"/>
      <c r="BT88" s="250"/>
      <c r="BU88" s="250"/>
      <c r="BV88" s="192"/>
      <c r="BW88" s="250"/>
      <c r="BX88" s="250"/>
      <c r="BY88" s="250"/>
      <c r="BZ88" s="250"/>
    </row>
    <row r="89" spans="1:78" x14ac:dyDescent="0.25">
      <c r="A89" s="191" t="s">
        <v>142</v>
      </c>
      <c r="B89" s="770">
        <f t="shared" si="78"/>
        <v>2.9142655564026869</v>
      </c>
      <c r="C89" s="220">
        <f t="shared" si="78"/>
        <v>3.1676799526116164</v>
      </c>
      <c r="E89" s="308">
        <f t="shared" si="79"/>
        <v>17.598221958953424</v>
      </c>
      <c r="F89" s="189">
        <f>44/12*'Crops proc. &amp; prod. DISCOUNTED'!BV85</f>
        <v>3.2743191821737923</v>
      </c>
      <c r="G89" s="189">
        <f>44/12*'Crops proc. &amp; prod. DISCOUNTED'!BW85</f>
        <v>3.5590425893193394</v>
      </c>
      <c r="I89" s="188">
        <f>44/12*'Crops proc. &amp; prod. DISCOUNTED'!BY85</f>
        <v>19.772458829551887</v>
      </c>
      <c r="J89" s="192">
        <f>44/12*'Crops proc. &amp; prod. DISCOUNTED'!DL85</f>
        <v>2.554211930631582</v>
      </c>
      <c r="K89" s="192">
        <f>44/12*'Crops proc. &amp; prod. DISCOUNTED'!DM85</f>
        <v>2.7763173159038934</v>
      </c>
      <c r="L89" s="193"/>
      <c r="M89" s="193">
        <f>44/12*'Crops proc. &amp; prod. DISCOUNTED'!DO85</f>
        <v>15.423985088354964</v>
      </c>
      <c r="N89" s="770">
        <f t="shared" si="80"/>
        <v>2.9142655564026869</v>
      </c>
      <c r="O89" s="220">
        <f t="shared" si="80"/>
        <v>3.1676799526116164</v>
      </c>
      <c r="Q89" s="307">
        <f t="shared" si="81"/>
        <v>17.598221958953424</v>
      </c>
      <c r="R89" s="189">
        <f>44/12*'Crops proc. &amp; prod. DISCOUNTED'!CJ85</f>
        <v>3.2743191821737923</v>
      </c>
      <c r="S89" s="189">
        <f>44/12*'Crops proc. &amp; prod. DISCOUNTED'!CK85</f>
        <v>3.5590425893193394</v>
      </c>
      <c r="T89" s="193"/>
      <c r="U89" s="193">
        <f>44/12*'Crops proc. &amp; prod. DISCOUNTED'!CM85</f>
        <v>19.772458829551887</v>
      </c>
      <c r="V89" s="192">
        <f>44/12*'Crops proc. &amp; prod. DISCOUNTED'!DZ85</f>
        <v>2.554211930631582</v>
      </c>
      <c r="W89" s="192">
        <f>44/12*'Crops proc. &amp; prod. DISCOUNTED'!EA85</f>
        <v>2.7763173159038934</v>
      </c>
      <c r="X89" s="193"/>
      <c r="Y89" s="188">
        <f>44/12*'Crops proc. &amp; prod. DISCOUNTED'!EC85</f>
        <v>15.423985088354964</v>
      </c>
      <c r="Z89" s="770">
        <f t="shared" si="82"/>
        <v>15.20721453658839</v>
      </c>
      <c r="AA89" s="220">
        <f t="shared" si="82"/>
        <v>16.529581018030857</v>
      </c>
      <c r="AC89" s="305">
        <f t="shared" si="83"/>
        <v>91.831005655726983</v>
      </c>
      <c r="AD89" s="189">
        <f>44/12*'Crops proc. &amp; prod. DISCOUNTED'!CX85</f>
        <v>1.4802709975753581</v>
      </c>
      <c r="AE89" s="189">
        <f>44/12*'Crops proc. &amp; prod. DISCOUNTED'!CY85</f>
        <v>1.6089902147558242</v>
      </c>
      <c r="AG89" s="188">
        <f>44/12*'Crops proc. &amp; prod. DISCOUNTED'!DA85</f>
        <v>8.9388345264212461</v>
      </c>
      <c r="AH89" s="189">
        <f>44/12*'Crops proc. &amp; prod. DISCOUNTED'!EN85</f>
        <v>28.934158075601424</v>
      </c>
      <c r="AI89" s="189">
        <f>44/12*'Crops proc. &amp; prod. DISCOUNTED'!EO85</f>
        <v>31.45017182130589</v>
      </c>
      <c r="AK89" s="188">
        <f>44/12*'Crops proc. &amp; prod. DISCOUNTED'!EQ85</f>
        <v>174.72317678503273</v>
      </c>
      <c r="AL89" s="761">
        <f>'Crops proc. &amp; prod. DISCOUNTED'!GY85</f>
        <v>1.0702451662673798</v>
      </c>
      <c r="AM89" s="194">
        <f>'Crops proc. &amp; prod. DISCOUNTED'!GZ85</f>
        <v>1.1633099633341084</v>
      </c>
      <c r="AO89" s="226">
        <f>'Crops proc. &amp; prod. DISCOUNTED'!HB85</f>
        <v>6.4628331296339354</v>
      </c>
      <c r="AP89" s="761">
        <f>'Crops proc. &amp; prod. DISCOUNTED'!IV85</f>
        <v>0.82740491793901882</v>
      </c>
      <c r="AQ89" s="194">
        <f>'Crops proc. &amp; prod. DISCOUNTED'!IW85</f>
        <v>0.89935317167284656</v>
      </c>
      <c r="AR89" s="188"/>
      <c r="AS89" s="226">
        <f>'Crops proc. &amp; prod. DISCOUNTED'!IY85</f>
        <v>4.9964065092935925</v>
      </c>
      <c r="AT89" s="765">
        <f t="shared" si="84"/>
        <v>4.8119156406090857</v>
      </c>
      <c r="AU89" s="189">
        <f t="shared" si="84"/>
        <v>5.2303430876185715</v>
      </c>
      <c r="AV89" s="188"/>
      <c r="AW89" s="189">
        <f t="shared" si="85"/>
        <v>29.057461597880952</v>
      </c>
      <c r="AX89" s="189">
        <f t="shared" si="86"/>
        <v>5.1719692663801906</v>
      </c>
      <c r="AY89" s="189">
        <f t="shared" si="86"/>
        <v>5.6217057243262936</v>
      </c>
      <c r="AZ89" s="188"/>
      <c r="BA89" s="189">
        <f t="shared" si="87"/>
        <v>31.231698468479415</v>
      </c>
      <c r="BB89" s="250"/>
      <c r="BC89" s="250"/>
      <c r="BD89" s="250"/>
      <c r="BE89" s="250"/>
      <c r="BF89" s="250"/>
      <c r="BG89" s="250"/>
      <c r="BH89" s="250"/>
      <c r="BI89" s="250"/>
      <c r="BJ89" s="193"/>
      <c r="BK89" s="193"/>
      <c r="BL89" s="250"/>
      <c r="BM89" s="250"/>
      <c r="BN89" s="250"/>
      <c r="BO89" s="250"/>
      <c r="BP89" s="250"/>
      <c r="BQ89" s="250"/>
      <c r="BR89" s="250"/>
      <c r="BS89" s="250"/>
      <c r="BT89" s="250"/>
      <c r="BU89" s="250"/>
      <c r="BV89" s="192"/>
      <c r="BW89" s="250"/>
      <c r="BX89" s="250"/>
      <c r="BY89" s="250"/>
      <c r="BZ89" s="250"/>
    </row>
    <row r="90" spans="1:78" x14ac:dyDescent="0.25">
      <c r="A90" s="191" t="s">
        <v>91</v>
      </c>
      <c r="B90" s="770">
        <f t="shared" si="78"/>
        <v>3.4734305462984012</v>
      </c>
      <c r="C90" s="220">
        <f t="shared" si="78"/>
        <v>3.7754679851069577</v>
      </c>
      <c r="E90" s="308">
        <f t="shared" si="79"/>
        <v>9.1924437898256368</v>
      </c>
      <c r="F90" s="189">
        <f>44/12*'Crops proc. &amp; prod. DISCOUNTED'!BV90</f>
        <v>3.5439772950714867</v>
      </c>
      <c r="G90" s="189">
        <f>44/12*'Crops proc. &amp; prod. DISCOUNTED'!BW90</f>
        <v>3.8521492337733547</v>
      </c>
      <c r="I90" s="188">
        <f>44/12*'Crops proc. &amp; prod. DISCOUNTED'!BY90</f>
        <v>9.3791459604916483</v>
      </c>
      <c r="J90" s="192">
        <f>44/12*'Crops proc. &amp; prod. DISCOUNTED'!DL90</f>
        <v>3.4028837975253157</v>
      </c>
      <c r="K90" s="192">
        <f>44/12*'Crops proc. &amp; prod. DISCOUNTED'!DM90</f>
        <v>3.6987867364405607</v>
      </c>
      <c r="L90" s="193"/>
      <c r="M90" s="193">
        <f>44/12*'Crops proc. &amp; prod. DISCOUNTED'!DO90</f>
        <v>9.0057416191596253</v>
      </c>
      <c r="N90" s="770">
        <f t="shared" si="80"/>
        <v>3.5614529537364534</v>
      </c>
      <c r="O90" s="220">
        <f t="shared" si="80"/>
        <v>3.8711445149309274</v>
      </c>
      <c r="Q90" s="307">
        <f t="shared" si="81"/>
        <v>9.4253953407013888</v>
      </c>
      <c r="R90" s="189">
        <f>44/12*'Crops proc. &amp; prod. DISCOUNTED'!CJ90</f>
        <v>3.6103468918429216</v>
      </c>
      <c r="S90" s="189">
        <f>44/12*'Crops proc. &amp; prod. DISCOUNTED'!CK90</f>
        <v>3.9242900998292627</v>
      </c>
      <c r="T90" s="193"/>
      <c r="U90" s="193">
        <f>44/12*'Crops proc. &amp; prod. DISCOUNTED'!CM90</f>
        <v>9.5547932865408143</v>
      </c>
      <c r="V90" s="192">
        <f>44/12*'Crops proc. &amp; prod. DISCOUNTED'!DZ90</f>
        <v>3.5125590156299848</v>
      </c>
      <c r="W90" s="192">
        <f>44/12*'Crops proc. &amp; prod. DISCOUNTED'!EA90</f>
        <v>3.8179989300325916</v>
      </c>
      <c r="X90" s="193"/>
      <c r="Y90" s="188">
        <f>44/12*'Crops proc. &amp; prod. DISCOUNTED'!EC90</f>
        <v>9.2959973948619634</v>
      </c>
      <c r="Z90" s="770">
        <f t="shared" si="82"/>
        <v>3.4765033699912271</v>
      </c>
      <c r="AA90" s="220">
        <f t="shared" si="82"/>
        <v>3.7788080108600295</v>
      </c>
      <c r="AC90" s="307">
        <f t="shared" si="83"/>
        <v>9.2005760264418122</v>
      </c>
      <c r="AD90" s="189">
        <f>44/12*'Crops proc. &amp; prod. DISCOUNTED'!CX90</f>
        <v>3.1320050692583155</v>
      </c>
      <c r="AE90" s="189">
        <f>44/12*'Crops proc. &amp; prod. DISCOUNTED'!CY90</f>
        <v>3.4043533361503426</v>
      </c>
      <c r="AG90" s="188">
        <f>44/12*'Crops proc. &amp; prod. DISCOUNTED'!DA90</f>
        <v>8.288860296713878</v>
      </c>
      <c r="AH90" s="189">
        <f>44/12*'Crops proc. &amp; prod. DISCOUNTED'!EN90</f>
        <v>3.8210016707241392</v>
      </c>
      <c r="AI90" s="189">
        <f>44/12*'Crops proc. &amp; prod. DISCOUNTED'!EO90</f>
        <v>4.1532626855697163</v>
      </c>
      <c r="AK90" s="188">
        <f>44/12*'Crops proc. &amp; prod. DISCOUNTED'!EQ90</f>
        <v>10.112291756169745</v>
      </c>
      <c r="AL90" s="761">
        <f>'Crops proc. &amp; prod. DISCOUNTED'!GY90</f>
        <v>0.41522180587385521</v>
      </c>
      <c r="AM90" s="194">
        <f>'Crops proc. &amp; prod. DISCOUNTED'!GZ90</f>
        <v>0.45132804986288605</v>
      </c>
      <c r="AO90" s="226">
        <f>'Crops proc. &amp; prod. DISCOUNTED'!HB90</f>
        <v>1.098885686622679</v>
      </c>
      <c r="AP90" s="761">
        <f>'Crops proc. &amp; prod. DISCOUNTED'!IV90</f>
        <v>0.74929022839753667</v>
      </c>
      <c r="AQ90" s="194">
        <f>'Crops proc. &amp; prod. DISCOUNTED'!IW90</f>
        <v>0.81444590043210507</v>
      </c>
      <c r="AR90" s="188"/>
      <c r="AS90" s="226">
        <f>'Crops proc. &amp; prod. DISCOUNTED'!IY90</f>
        <v>1.9829987140955603</v>
      </c>
      <c r="AT90" s="765">
        <f t="shared" si="84"/>
        <v>4.6379425805697929</v>
      </c>
      <c r="AU90" s="189">
        <f t="shared" si="84"/>
        <v>5.0412419354019491</v>
      </c>
      <c r="AV90" s="188"/>
      <c r="AW90" s="189">
        <f t="shared" si="85"/>
        <v>12.274328190543876</v>
      </c>
      <c r="AX90" s="189">
        <f t="shared" si="86"/>
        <v>4.7084893293428784</v>
      </c>
      <c r="AY90" s="189">
        <f t="shared" si="86"/>
        <v>5.1179231840683457</v>
      </c>
      <c r="AZ90" s="188"/>
      <c r="BA90" s="189">
        <f t="shared" si="87"/>
        <v>12.461030361209888</v>
      </c>
      <c r="BB90" s="250"/>
      <c r="BC90" s="250"/>
      <c r="BD90" s="250"/>
      <c r="BE90" s="250"/>
      <c r="BF90" s="250"/>
      <c r="BG90" s="250"/>
      <c r="BH90" s="250"/>
      <c r="BI90" s="250"/>
      <c r="BJ90" s="193"/>
      <c r="BK90" s="193"/>
      <c r="BL90" s="250"/>
      <c r="BM90" s="250"/>
      <c r="BN90" s="250"/>
      <c r="BO90" s="250"/>
      <c r="BP90" s="250"/>
      <c r="BQ90" s="250"/>
      <c r="BR90" s="250"/>
      <c r="BS90" s="250"/>
      <c r="BT90" s="250"/>
      <c r="BU90" s="250"/>
      <c r="BV90" s="192"/>
      <c r="BW90" s="250"/>
      <c r="BX90" s="250"/>
      <c r="BY90" s="250"/>
      <c r="BZ90" s="250"/>
    </row>
    <row r="91" spans="1:78" x14ac:dyDescent="0.25">
      <c r="A91" s="191" t="s">
        <v>92</v>
      </c>
      <c r="B91" s="770">
        <f t="shared" si="78"/>
        <v>4.046757287529803</v>
      </c>
      <c r="C91" s="220">
        <f t="shared" si="78"/>
        <v>4.3986492255758733</v>
      </c>
      <c r="E91" s="308">
        <f t="shared" si="79"/>
        <v>11.196561665102223</v>
      </c>
      <c r="F91" s="189">
        <f>44/12*'Crops proc. &amp; prod. DISCOUNTED'!BV94</f>
        <v>3.2271823660526162</v>
      </c>
      <c r="G91" s="189">
        <f>44/12*'Crops proc. &amp; prod. DISCOUNTED'!BW94</f>
        <v>3.5078069196224089</v>
      </c>
      <c r="I91" s="188">
        <f>44/12*'Crops proc. &amp; prod. DISCOUNTED'!BY94</f>
        <v>8.928963068129768</v>
      </c>
      <c r="J91" s="192">
        <f>44/12*'Crops proc. &amp; prod. DISCOUNTED'!DL94</f>
        <v>4.8663322090069903</v>
      </c>
      <c r="K91" s="192">
        <f>44/12*'Crops proc. &amp; prod. DISCOUNTED'!DM94</f>
        <v>5.2894915315293378</v>
      </c>
      <c r="L91" s="193"/>
      <c r="M91" s="193">
        <f>44/12*'Crops proc. &amp; prod. DISCOUNTED'!DO94</f>
        <v>13.464160262074678</v>
      </c>
      <c r="N91" s="770">
        <f t="shared" si="80"/>
        <v>4.1486564825314796</v>
      </c>
      <c r="O91" s="220">
        <f t="shared" si="80"/>
        <v>4.5094092201429126</v>
      </c>
      <c r="Q91" s="307">
        <f t="shared" si="81"/>
        <v>11.478496196727413</v>
      </c>
      <c r="R91" s="189">
        <f>44/12*'Crops proc. &amp; prod. DISCOUNTED'!CJ94</f>
        <v>3.3206148685539398</v>
      </c>
      <c r="S91" s="189">
        <f>44/12*'Crops proc. &amp; prod. DISCOUNTED'!CK94</f>
        <v>3.6093639875586305</v>
      </c>
      <c r="T91" s="193"/>
      <c r="U91" s="193">
        <f>44/12*'Crops proc. &amp; prod. DISCOUNTED'!CM94</f>
        <v>9.1874719683310602</v>
      </c>
      <c r="V91" s="192">
        <f>44/12*'Crops proc. &amp; prod. DISCOUNTED'!DZ94</f>
        <v>4.9766980965090193</v>
      </c>
      <c r="W91" s="192">
        <f>44/12*'Crops proc. &amp; prod. DISCOUNTED'!EA94</f>
        <v>5.4094544527271946</v>
      </c>
      <c r="X91" s="193"/>
      <c r="Y91" s="188">
        <f>44/12*'Crops proc. &amp; prod. DISCOUNTED'!EC94</f>
        <v>13.769520425123767</v>
      </c>
      <c r="Z91" s="770">
        <f t="shared" si="82"/>
        <v>2.0607237304559747</v>
      </c>
      <c r="AA91" s="220">
        <f t="shared" si="82"/>
        <v>2.2399170983217114</v>
      </c>
      <c r="AC91" s="307">
        <f t="shared" si="83"/>
        <v>5.7016071593643565</v>
      </c>
      <c r="AD91" s="189">
        <f>44/12*'Crops proc. &amp; prod. DISCOUNTED'!CX94</f>
        <v>1.3981921265284465</v>
      </c>
      <c r="AE91" s="189">
        <f>44/12*'Crops proc. &amp; prod. DISCOUNTED'!CY94</f>
        <v>1.5197740505743982</v>
      </c>
      <c r="AG91" s="188">
        <f>44/12*'Crops proc. &amp; prod. DISCOUNTED'!DA94</f>
        <v>3.8685157650984685</v>
      </c>
      <c r="AH91" s="189">
        <f>44/12*'Crops proc. &amp; prod. DISCOUNTED'!EN94</f>
        <v>2.7232553343835031</v>
      </c>
      <c r="AI91" s="189">
        <f>44/12*'Crops proc. &amp; prod. DISCOUNTED'!EO94</f>
        <v>2.9600601460690248</v>
      </c>
      <c r="AK91" s="188">
        <f>44/12*'Crops proc. &amp; prod. DISCOUNTED'!EQ94</f>
        <v>7.5346985536302444</v>
      </c>
      <c r="AL91" s="761">
        <f>'Crops proc. &amp; prod. DISCOUNTED'!GY94</f>
        <v>0.10294287184535764</v>
      </c>
      <c r="AM91" s="194">
        <f>'Crops proc. &amp; prod. DISCOUNTED'!GZ94</f>
        <v>0.11189442591886699</v>
      </c>
      <c r="AO91" s="415">
        <f>'Crops proc. &amp; prod. DISCOUNTED'!HB94</f>
        <v>0.28482217506620688</v>
      </c>
      <c r="AP91" s="761">
        <f>'Crops proc. &amp; prod. DISCOUNTED'!IV94</f>
        <v>0.57024109688529301</v>
      </c>
      <c r="AQ91" s="194">
        <f>'Crops proc. &amp; prod. DISCOUNTED'!IW94</f>
        <v>0.61982727922314451</v>
      </c>
      <c r="AR91" s="188"/>
      <c r="AS91" s="226">
        <f>'Crops proc. &amp; prod. DISCOUNTED'!IY94</f>
        <v>1.577742165295277</v>
      </c>
      <c r="AT91" s="765">
        <f t="shared" si="84"/>
        <v>4.7199412562604532</v>
      </c>
      <c r="AU91" s="189">
        <f t="shared" si="84"/>
        <v>5.1303709307178842</v>
      </c>
      <c r="AV91" s="188"/>
      <c r="AW91" s="189">
        <f t="shared" si="85"/>
        <v>13.059126005463707</v>
      </c>
      <c r="AX91" s="189">
        <f t="shared" si="86"/>
        <v>3.9003663347832669</v>
      </c>
      <c r="AY91" s="189">
        <f t="shared" si="86"/>
        <v>4.2395286247644197</v>
      </c>
      <c r="AZ91" s="188"/>
      <c r="BA91" s="189">
        <f t="shared" si="87"/>
        <v>10.791527408491252</v>
      </c>
      <c r="BB91" s="250"/>
      <c r="BC91" s="250"/>
      <c r="BD91" s="250"/>
      <c r="BE91" s="250"/>
      <c r="BF91" s="250"/>
      <c r="BG91" s="250"/>
      <c r="BH91" s="250"/>
      <c r="BI91" s="250"/>
      <c r="BJ91" s="193"/>
      <c r="BK91" s="193"/>
      <c r="BL91" s="250"/>
      <c r="BM91" s="250"/>
      <c r="BN91" s="250"/>
      <c r="BO91" s="250"/>
      <c r="BP91" s="250"/>
      <c r="BQ91" s="250"/>
      <c r="BR91" s="250"/>
      <c r="BS91" s="250"/>
      <c r="BT91" s="250"/>
      <c r="BU91" s="250"/>
      <c r="BV91" s="192"/>
      <c r="BW91" s="250"/>
      <c r="BX91" s="250"/>
      <c r="BY91" s="250"/>
      <c r="BZ91" s="250"/>
    </row>
    <row r="92" spans="1:78" x14ac:dyDescent="0.25">
      <c r="A92" s="191" t="s">
        <v>147</v>
      </c>
      <c r="B92" s="770">
        <f t="shared" si="78"/>
        <v>6.5744015669445943</v>
      </c>
      <c r="C92" s="220">
        <f t="shared" si="78"/>
        <v>7.1460886597223841</v>
      </c>
      <c r="E92" s="308">
        <f t="shared" si="79"/>
        <v>15.044397178362916</v>
      </c>
      <c r="F92" s="189">
        <f>44/12*'Crops proc. &amp; prod. DISCOUNTED'!BV98</f>
        <v>5.9252966124451349</v>
      </c>
      <c r="G92" s="189">
        <f>44/12*'Crops proc. &amp; prod. DISCOUNTED'!BW98</f>
        <v>6.440539796136016</v>
      </c>
      <c r="I92" s="188">
        <f>44/12*'Crops proc. &amp; prod. DISCOUNTED'!BY98</f>
        <v>13.559031149760035</v>
      </c>
      <c r="J92" s="192">
        <f>44/12*'Crops proc. &amp; prod. DISCOUNTED'!DL98</f>
        <v>7.2235065214440528</v>
      </c>
      <c r="K92" s="192">
        <f>44/12*'Crops proc. &amp; prod. DISCOUNTED'!DM98</f>
        <v>7.851637523308753</v>
      </c>
      <c r="L92" s="193"/>
      <c r="M92" s="193">
        <f>44/12*'Crops proc. &amp; prod. DISCOUNTED'!DO98</f>
        <v>16.529763206965796</v>
      </c>
      <c r="N92" s="770">
        <f t="shared" si="80"/>
        <v>7.7135311037165453</v>
      </c>
      <c r="O92" s="220">
        <f t="shared" si="80"/>
        <v>8.3842729388223312</v>
      </c>
      <c r="Q92" s="307">
        <f t="shared" si="81"/>
        <v>17.651100923836488</v>
      </c>
      <c r="R92" s="189">
        <f>44/12*'Crops proc. &amp; prod. DISCOUNTED'!CJ98</f>
        <v>6.9069917490767025</v>
      </c>
      <c r="S92" s="189">
        <f>44/12*'Crops proc. &amp; prod. DISCOUNTED'!CK98</f>
        <v>7.5075997272572845</v>
      </c>
      <c r="T92" s="193"/>
      <c r="U92" s="193">
        <f>44/12*'Crops proc. &amp; prod. DISCOUNTED'!CM98</f>
        <v>15.805473110015338</v>
      </c>
      <c r="V92" s="192">
        <f>44/12*'Crops proc. &amp; prod. DISCOUNTED'!DZ98</f>
        <v>8.520070458356388</v>
      </c>
      <c r="W92" s="192">
        <f>44/12*'Crops proc. &amp; prod. DISCOUNTED'!EA98</f>
        <v>9.260946150387376</v>
      </c>
      <c r="X92" s="193"/>
      <c r="Y92" s="188">
        <f>44/12*'Crops proc. &amp; prod. DISCOUNTED'!EC98</f>
        <v>19.496728737657637</v>
      </c>
      <c r="Z92" s="770">
        <f t="shared" si="82"/>
        <v>3.8392411252933289</v>
      </c>
      <c r="AA92" s="220">
        <f t="shared" si="82"/>
        <v>4.1730881796666619</v>
      </c>
      <c r="AC92" s="307">
        <f t="shared" si="83"/>
        <v>8.7854487992982353</v>
      </c>
      <c r="AD92" s="189">
        <f>44/12*'Crops proc. &amp; prod. DISCOUNTED'!CX98</f>
        <v>3.135447245282823</v>
      </c>
      <c r="AE92" s="189">
        <f>44/12*'Crops proc. &amp; prod. DISCOUNTED'!CY98</f>
        <v>3.4080948318291555</v>
      </c>
      <c r="AG92" s="188">
        <f>44/12*'Crops proc. &amp; prod. DISCOUNTED'!DA98</f>
        <v>7.1749364880613804</v>
      </c>
      <c r="AH92" s="189">
        <f>44/12*'Crops proc. &amp; prod. DISCOUNTED'!EN98</f>
        <v>4.5430350053038344</v>
      </c>
      <c r="AI92" s="189">
        <f>44/12*'Crops proc. &amp; prod. DISCOUNTED'!EO98</f>
        <v>4.9380815275041678</v>
      </c>
      <c r="AK92" s="188">
        <f>44/12*'Crops proc. &amp; prod. DISCOUNTED'!EQ98</f>
        <v>10.39596111053509</v>
      </c>
      <c r="AL92" s="761">
        <f>'Crops proc. &amp; prod. DISCOUNTED'!GY98</f>
        <v>0.40231324026184562</v>
      </c>
      <c r="AM92" s="194">
        <f>'Crops proc. &amp; prod. DISCOUNTED'!GZ98</f>
        <v>0.43729700028461477</v>
      </c>
      <c r="AO92" s="415">
        <f>'Crops proc. &amp; prod. DISCOUNTED'!HB98</f>
        <v>0.92062526375708376</v>
      </c>
      <c r="AP92" s="761">
        <f>'Crops proc. &amp; prod. DISCOUNTED'!IV98</f>
        <v>0.3874994599272617</v>
      </c>
      <c r="AQ92" s="194">
        <f>'Crops proc. &amp; prod. DISCOUNTED'!IW98</f>
        <v>0.42119506513832794</v>
      </c>
      <c r="AR92" s="188"/>
      <c r="AS92" s="226">
        <f>'Crops proc. &amp; prod. DISCOUNTED'!IY98</f>
        <v>0.88672645292279573</v>
      </c>
      <c r="AT92" s="765">
        <f t="shared" si="84"/>
        <v>7.3642142671337014</v>
      </c>
      <c r="AU92" s="189">
        <f t="shared" si="84"/>
        <v>8.0045807251453276</v>
      </c>
      <c r="AV92" s="188"/>
      <c r="AW92" s="189">
        <f t="shared" si="85"/>
        <v>16.851748895042796</v>
      </c>
      <c r="AX92" s="189">
        <f t="shared" si="86"/>
        <v>6.715109312634242</v>
      </c>
      <c r="AY92" s="189">
        <f t="shared" si="86"/>
        <v>7.2990318615589587</v>
      </c>
      <c r="AZ92" s="188"/>
      <c r="BA92" s="189">
        <f t="shared" si="87"/>
        <v>15.366382866439913</v>
      </c>
      <c r="BB92" s="250"/>
      <c r="BC92" s="250"/>
      <c r="BD92" s="250"/>
      <c r="BE92" s="250"/>
      <c r="BF92" s="250"/>
      <c r="BG92" s="250"/>
      <c r="BH92" s="250"/>
      <c r="BI92" s="250"/>
      <c r="BJ92" s="193"/>
      <c r="BK92" s="193"/>
      <c r="BL92" s="250"/>
      <c r="BM92" s="250"/>
      <c r="BN92" s="250"/>
      <c r="BO92" s="250"/>
      <c r="BP92" s="250"/>
      <c r="BQ92" s="250"/>
      <c r="BR92" s="250"/>
      <c r="BS92" s="250"/>
      <c r="BT92" s="250"/>
      <c r="BU92" s="250"/>
      <c r="BV92" s="290"/>
      <c r="BW92" s="250"/>
      <c r="BX92" s="250"/>
      <c r="BY92" s="250"/>
      <c r="BZ92" s="250"/>
    </row>
    <row r="93" spans="1:78" x14ac:dyDescent="0.25">
      <c r="A93" s="191"/>
      <c r="BB93" s="250"/>
      <c r="BC93" s="250"/>
      <c r="BD93" s="250"/>
      <c r="BE93" s="250"/>
      <c r="BF93" s="250"/>
      <c r="BG93" s="250"/>
      <c r="BH93" s="250"/>
      <c r="BI93" s="250"/>
      <c r="BJ93" s="193"/>
      <c r="BK93" s="193"/>
      <c r="BL93" s="250"/>
      <c r="BM93" s="250"/>
      <c r="BN93" s="250"/>
      <c r="BO93" s="250"/>
      <c r="BP93" s="250"/>
      <c r="BQ93" s="250"/>
      <c r="BR93" s="250"/>
      <c r="BS93" s="250"/>
      <c r="BT93" s="250"/>
      <c r="BU93" s="250"/>
      <c r="BV93" s="292"/>
      <c r="BW93" s="250"/>
      <c r="BX93" s="250"/>
      <c r="BY93" s="250"/>
      <c r="BZ93" s="250"/>
    </row>
    <row r="94" spans="1:78" ht="13.8" x14ac:dyDescent="0.3">
      <c r="A94" s="190" t="s">
        <v>448</v>
      </c>
      <c r="BB94" s="250"/>
      <c r="BC94" s="250"/>
      <c r="BD94" s="250"/>
      <c r="BE94" s="250"/>
      <c r="BF94" s="250"/>
      <c r="BG94" s="250"/>
      <c r="BH94" s="250"/>
      <c r="BI94" s="250"/>
      <c r="BJ94" s="193"/>
      <c r="BK94" s="193"/>
      <c r="BL94" s="250"/>
      <c r="BM94" s="250"/>
      <c r="BN94" s="250"/>
      <c r="BO94" s="250"/>
      <c r="BP94" s="250"/>
      <c r="BQ94" s="250"/>
      <c r="BR94" s="250"/>
      <c r="BS94" s="250"/>
      <c r="BT94" s="250"/>
      <c r="BU94" s="250"/>
      <c r="BV94" s="292"/>
      <c r="BW94" s="250"/>
      <c r="BX94" s="250"/>
      <c r="BY94" s="250"/>
      <c r="BZ94" s="250"/>
    </row>
    <row r="95" spans="1:78" x14ac:dyDescent="0.25">
      <c r="A95" s="191" t="s">
        <v>176</v>
      </c>
      <c r="B95" s="770">
        <f t="shared" ref="B95:C97" si="88">(F95+J95)/2</f>
        <v>1.1267105165784568</v>
      </c>
      <c r="C95" s="220">
        <f t="shared" si="88"/>
        <v>1.6095864522549381</v>
      </c>
      <c r="E95" s="221">
        <f t="shared" ref="E95:E97" si="89">(I95+M95)/2</f>
        <v>20.119830653186728</v>
      </c>
      <c r="F95" s="189">
        <f>44/12*'Crops proc. &amp; prod. DISCOUNTED'!BV64</f>
        <v>1.0863198296971954</v>
      </c>
      <c r="G95" s="189">
        <f>44/12*'Crops proc. &amp; prod. DISCOUNTED'!BW64</f>
        <v>1.5518854709959935</v>
      </c>
      <c r="I95" s="188">
        <f>44/12*'Crops proc. &amp; prod. DISCOUNTED'!BY64</f>
        <v>19.39856838744992</v>
      </c>
      <c r="J95" s="192">
        <f>44/12*'Crops proc. &amp; prod. DISCOUNTED'!DL64</f>
        <v>1.1671012034597181</v>
      </c>
      <c r="K95" s="192">
        <f>44/12*'Crops proc. &amp; prod. DISCOUNTED'!DM64</f>
        <v>1.667287433513883</v>
      </c>
      <c r="L95" s="193"/>
      <c r="M95" s="193">
        <f>44/12*'Crops proc. &amp; prod. DISCOUNTED'!DO64</f>
        <v>20.841092918923536</v>
      </c>
      <c r="N95" s="770">
        <f t="shared" ref="N95:O97" si="90">(R95+V95)/2</f>
        <v>1.523842583507997</v>
      </c>
      <c r="O95" s="220">
        <f t="shared" si="90"/>
        <v>2.176917976439996</v>
      </c>
      <c r="Q95" s="221">
        <f t="shared" ref="Q95:Q97" si="91">(U95+Y95)/2</f>
        <v>27.211474705499946</v>
      </c>
      <c r="R95" s="189">
        <f>44/12*'Crops proc. &amp; prod. DISCOUNTED'!CJ64</f>
        <v>1.5404447681546554</v>
      </c>
      <c r="S95" s="189">
        <f>44/12*'Crops proc. &amp; prod. DISCOUNTED'!CK64</f>
        <v>2.2006353830780792</v>
      </c>
      <c r="T95" s="193"/>
      <c r="U95" s="193">
        <f>44/12*'Crops proc. &amp; prod. DISCOUNTED'!CM64</f>
        <v>27.507942288475991</v>
      </c>
      <c r="V95" s="192">
        <f>44/12*'Crops proc. &amp; prod. DISCOUNTED'!DZ64</f>
        <v>1.5072403988613385</v>
      </c>
      <c r="W95" s="192">
        <f>44/12*'Crops proc. &amp; prod. DISCOUNTED'!EA64</f>
        <v>2.1532005698019123</v>
      </c>
      <c r="X95" s="193"/>
      <c r="Y95" s="188">
        <f>44/12*'Crops proc. &amp; prod. DISCOUNTED'!EC64</f>
        <v>26.915007122523903</v>
      </c>
      <c r="Z95" s="770">
        <f t="shared" ref="Z95:AA97" si="92">(AD95+AH95)/2</f>
        <v>48.490565761779322</v>
      </c>
      <c r="AA95" s="220">
        <f t="shared" si="92"/>
        <v>69.272236802541883</v>
      </c>
      <c r="AC95" s="220">
        <f t="shared" ref="AC95:AC97" si="93">(AG95+AK95)/2</f>
        <v>865.90296003177366</v>
      </c>
      <c r="AD95" s="189">
        <f>44/12*'Crops proc. &amp; prod. DISCOUNTED'!CX64</f>
        <v>0.5773488841796558</v>
      </c>
      <c r="AE95" s="189">
        <f>44/12*'Crops proc. &amp; prod. DISCOUNTED'!CY64</f>
        <v>0.82478412025665127</v>
      </c>
      <c r="AG95" s="188">
        <f>44/12*'Crops proc. &amp; prod. DISCOUNTED'!DA64</f>
        <v>10.30980150320814</v>
      </c>
      <c r="AH95" s="189">
        <f>44/12*'Crops proc. &amp; prod. DISCOUNTED'!EN64</f>
        <v>96.403782639378989</v>
      </c>
      <c r="AI95" s="189">
        <f>44/12*'Crops proc. &amp; prod. DISCOUNTED'!EO64</f>
        <v>137.71968948482711</v>
      </c>
      <c r="AK95" s="188">
        <f>44/12*'Crops proc. &amp; prod. DISCOUNTED'!EQ64</f>
        <v>1721.4961185603393</v>
      </c>
      <c r="AL95" s="761">
        <f>'Crops proc. &amp; prod. DISCOUNTED'!GY64</f>
        <v>0.10504078743815781</v>
      </c>
      <c r="AM95" s="194">
        <f>'Crops proc. &amp; prod. DISCOUNTED'!GZ64</f>
        <v>0.15005826776879688</v>
      </c>
      <c r="AO95" s="226">
        <f>'Crops proc. &amp; prod. DISCOUNTED'!HB64</f>
        <v>1.8757283471099611</v>
      </c>
      <c r="AP95" s="761">
        <f>'Crops proc. &amp; prod. DISCOUNTED'!IV64</f>
        <v>0.17298732630544447</v>
      </c>
      <c r="AQ95" s="194">
        <f>'Crops proc. &amp; prod. DISCOUNTED'!IW64</f>
        <v>0.24712475186492069</v>
      </c>
      <c r="AR95" s="188"/>
      <c r="AS95" s="226">
        <f>'Crops proc. &amp; prod. DISCOUNTED'!IY64</f>
        <v>3.0890593983115084</v>
      </c>
      <c r="AT95" s="765">
        <f t="shared" ref="AT95:AU97" si="94">B95+AL95+AP95</f>
        <v>1.404738630322059</v>
      </c>
      <c r="AU95" s="189">
        <f t="shared" si="94"/>
        <v>2.006769471888656</v>
      </c>
      <c r="AV95" s="188"/>
      <c r="AW95" s="189">
        <f t="shared" ref="AW95:AW97" si="95">E95+AO95+AS95</f>
        <v>25.0846183986082</v>
      </c>
      <c r="AX95" s="189">
        <f t="shared" ref="AX95:AY97" si="96">F95+AL95+AP95</f>
        <v>1.3643479434407977</v>
      </c>
      <c r="AY95" s="189">
        <f t="shared" si="96"/>
        <v>1.9490684906297111</v>
      </c>
      <c r="AZ95" s="188"/>
      <c r="BA95" s="189">
        <f t="shared" ref="BA95:BA97" si="97">I95+AO95+AS95</f>
        <v>24.363356132871392</v>
      </c>
      <c r="BB95" s="250"/>
      <c r="BC95" s="250"/>
      <c r="BD95" s="250"/>
      <c r="BE95" s="250"/>
      <c r="BF95" s="250"/>
      <c r="BG95" s="250"/>
      <c r="BH95" s="250"/>
      <c r="BI95" s="250"/>
      <c r="BJ95" s="193"/>
      <c r="BK95" s="193"/>
      <c r="BL95" s="250"/>
      <c r="BM95" s="250"/>
      <c r="BN95" s="250"/>
      <c r="BO95" s="250"/>
      <c r="BP95" s="250"/>
      <c r="BQ95" s="250"/>
      <c r="BR95" s="250"/>
      <c r="BS95" s="250"/>
      <c r="BT95" s="250"/>
      <c r="BU95" s="250"/>
      <c r="BV95" s="290"/>
      <c r="BW95" s="250"/>
      <c r="BX95" s="250"/>
      <c r="BY95" s="250"/>
      <c r="BZ95" s="250"/>
    </row>
    <row r="96" spans="1:78" x14ac:dyDescent="0.25">
      <c r="A96" s="191" t="s">
        <v>179</v>
      </c>
      <c r="B96" s="770">
        <f t="shared" si="88"/>
        <v>0.57847083062916971</v>
      </c>
      <c r="C96" s="220">
        <f t="shared" si="88"/>
        <v>0.82638690089881384</v>
      </c>
      <c r="E96" s="221">
        <f t="shared" si="89"/>
        <v>10.329836261235172</v>
      </c>
      <c r="F96" s="189">
        <f>44/12*'Crops proc. &amp; prod. DISCOUNTED'!BV69</f>
        <v>0.5322454038666623</v>
      </c>
      <c r="G96" s="189">
        <f>44/12*'Crops proc. &amp; prod. DISCOUNTED'!BW69</f>
        <v>0.76035057695237485</v>
      </c>
      <c r="I96" s="188">
        <f>44/12*'Crops proc. &amp; prod. DISCOUNTED'!BY69</f>
        <v>9.5043822119046855</v>
      </c>
      <c r="J96" s="192">
        <f>44/12*'Crops proc. &amp; prod. DISCOUNTED'!DL69</f>
        <v>0.624696257391677</v>
      </c>
      <c r="K96" s="192">
        <f>44/12*'Crops proc. &amp; prod. DISCOUNTED'!DM69</f>
        <v>0.89242322484525294</v>
      </c>
      <c r="L96" s="193"/>
      <c r="M96" s="193">
        <f>44/12*'Crops proc. &amp; prod. DISCOUNTED'!DO69</f>
        <v>11.155290310565661</v>
      </c>
      <c r="N96" s="770">
        <f t="shared" si="90"/>
        <v>0.66708337843043797</v>
      </c>
      <c r="O96" s="220">
        <f t="shared" si="90"/>
        <v>0.95297625490062565</v>
      </c>
      <c r="Q96" s="221">
        <f t="shared" si="91"/>
        <v>11.91220318625782</v>
      </c>
      <c r="R96" s="189">
        <f>44/12*'Crops proc. &amp; prod. DISCOUNTED'!CJ69</f>
        <v>0.62039951974783858</v>
      </c>
      <c r="S96" s="189">
        <f>44/12*'Crops proc. &amp; prod. DISCOUNTED'!CK69</f>
        <v>0.88628502821119803</v>
      </c>
      <c r="T96" s="193"/>
      <c r="U96" s="193">
        <f>44/12*'Crops proc. &amp; prod. DISCOUNTED'!CM69</f>
        <v>11.078562852639974</v>
      </c>
      <c r="V96" s="192">
        <f>44/12*'Crops proc. &amp; prod. DISCOUNTED'!DZ69</f>
        <v>0.71376723711303725</v>
      </c>
      <c r="W96" s="192">
        <f>44/12*'Crops proc. &amp; prod. DISCOUNTED'!EA69</f>
        <v>1.0196674815900533</v>
      </c>
      <c r="X96" s="193"/>
      <c r="Y96" s="188">
        <f>44/12*'Crops proc. &amp; prod. DISCOUNTED'!EC69</f>
        <v>12.745843519875665</v>
      </c>
      <c r="Z96" s="770">
        <f t="shared" si="92"/>
        <v>14.181408979472067</v>
      </c>
      <c r="AA96" s="220">
        <f t="shared" si="92"/>
        <v>20.259155684960099</v>
      </c>
      <c r="AC96" s="220">
        <f t="shared" si="93"/>
        <v>253.23944606200124</v>
      </c>
      <c r="AD96" s="189">
        <f>44/12*'Crops proc. &amp; prod. DISCOUNTED'!CX69</f>
        <v>0.3133577037920377</v>
      </c>
      <c r="AE96" s="189">
        <f>44/12*'Crops proc. &amp; prod. DISCOUNTED'!CY69</f>
        <v>0.44765386256005391</v>
      </c>
      <c r="AG96" s="188">
        <f>44/12*'Crops proc. &amp; prod. DISCOUNTED'!DA69</f>
        <v>5.595673282000674</v>
      </c>
      <c r="AH96" s="189">
        <f>44/12*'Crops proc. &amp; prod. DISCOUNTED'!EN69</f>
        <v>28.049460255152098</v>
      </c>
      <c r="AI96" s="189">
        <f>44/12*'Crops proc. &amp; prod. DISCOUNTED'!EO69</f>
        <v>40.070657507360146</v>
      </c>
      <c r="AK96" s="188">
        <f>44/12*'Crops proc. &amp; prod. DISCOUNTED'!EQ69</f>
        <v>500.88321884200178</v>
      </c>
      <c r="AL96" s="761">
        <f>'Crops proc. &amp; prod. DISCOUNTED'!GY69</f>
        <v>3.7978504428892342E-2</v>
      </c>
      <c r="AM96" s="194">
        <f>'Crops proc. &amp; prod. DISCOUNTED'!GZ69</f>
        <v>5.4255006326989062E-2</v>
      </c>
      <c r="AO96" s="226">
        <f>'Crops proc. &amp; prod. DISCOUNTED'!HB69</f>
        <v>0.67818757908736327</v>
      </c>
      <c r="AP96" s="761">
        <f>'Crops proc. &amp; prod. DISCOUNTED'!IV69</f>
        <v>0.18135713801330278</v>
      </c>
      <c r="AQ96" s="194">
        <f>'Crops proc. &amp; prod. DISCOUNTED'!IW69</f>
        <v>0.25908162573328969</v>
      </c>
      <c r="AR96" s="188"/>
      <c r="AS96" s="226">
        <f>'Crops proc. &amp; prod. DISCOUNTED'!IY69</f>
        <v>3.2385203216661211</v>
      </c>
      <c r="AT96" s="765">
        <f t="shared" si="94"/>
        <v>0.79780647307136487</v>
      </c>
      <c r="AU96" s="189">
        <f t="shared" si="94"/>
        <v>1.1397235329590927</v>
      </c>
      <c r="AV96" s="188"/>
      <c r="AW96" s="189">
        <f t="shared" si="95"/>
        <v>14.246544161988657</v>
      </c>
      <c r="AX96" s="189">
        <f t="shared" si="96"/>
        <v>0.75158104630885747</v>
      </c>
      <c r="AY96" s="189">
        <f t="shared" si="96"/>
        <v>1.0736872090126537</v>
      </c>
      <c r="AZ96" s="188"/>
      <c r="BA96" s="189">
        <f t="shared" si="97"/>
        <v>13.421090112658169</v>
      </c>
      <c r="BB96" s="250"/>
      <c r="BC96" s="250"/>
      <c r="BD96" s="250"/>
      <c r="BE96" s="250"/>
      <c r="BF96" s="250"/>
      <c r="BG96" s="250"/>
      <c r="BH96" s="250"/>
      <c r="BI96" s="250"/>
      <c r="BJ96" s="193"/>
      <c r="BK96" s="193"/>
      <c r="BL96" s="250"/>
      <c r="BM96" s="250"/>
      <c r="BN96" s="250"/>
      <c r="BO96" s="250"/>
      <c r="BP96" s="250"/>
      <c r="BQ96" s="250"/>
      <c r="BR96" s="250"/>
      <c r="BS96" s="250"/>
      <c r="BT96" s="250"/>
      <c r="BU96" s="250"/>
      <c r="BV96" s="290"/>
      <c r="BW96" s="250"/>
      <c r="BX96" s="250"/>
      <c r="BY96" s="250"/>
      <c r="BZ96" s="250"/>
    </row>
    <row r="97" spans="1:78" x14ac:dyDescent="0.25">
      <c r="A97" s="191" t="s">
        <v>180</v>
      </c>
      <c r="B97" s="770">
        <f t="shared" si="88"/>
        <v>0.81347460557226992</v>
      </c>
      <c r="C97" s="220">
        <f t="shared" si="88"/>
        <v>0.90386067285807781</v>
      </c>
      <c r="E97" s="221">
        <f t="shared" si="89"/>
        <v>9.0386067285807759</v>
      </c>
      <c r="F97" s="189">
        <f>44/12*'Crops proc. &amp; prod. DISCOUNTED'!BV70</f>
        <v>0.74847009918749396</v>
      </c>
      <c r="G97" s="189">
        <f>44/12*'Crops proc. &amp; prod. DISCOUNTED'!BW70</f>
        <v>0.83163344354166002</v>
      </c>
      <c r="I97" s="188">
        <f>44/12*'Crops proc. &amp; prod. DISCOUNTED'!BY70</f>
        <v>8.3163344354165982</v>
      </c>
      <c r="J97" s="192">
        <f>44/12*'Crops proc. &amp; prod. DISCOUNTED'!DL70</f>
        <v>0.87847911195704587</v>
      </c>
      <c r="K97" s="192">
        <f>44/12*'Crops proc. &amp; prod. DISCOUNTED'!DM70</f>
        <v>0.97608790217449548</v>
      </c>
      <c r="L97" s="193"/>
      <c r="M97" s="193">
        <f>44/12*'Crops proc. &amp; prod. DISCOUNTED'!DO70</f>
        <v>9.7608790217449535</v>
      </c>
      <c r="N97" s="770">
        <f t="shared" si="90"/>
        <v>0.93808600091780336</v>
      </c>
      <c r="O97" s="220">
        <f t="shared" si="90"/>
        <v>1.0423177787975595</v>
      </c>
      <c r="Q97" s="221">
        <f t="shared" si="91"/>
        <v>10.423177787975593</v>
      </c>
      <c r="R97" s="189">
        <f>44/12*'Crops proc. &amp; prod. DISCOUNTED'!CJ70</f>
        <v>0.87243682464539807</v>
      </c>
      <c r="S97" s="189">
        <f>44/12*'Crops proc. &amp; prod. DISCOUNTED'!CK70</f>
        <v>0.96937424960599794</v>
      </c>
      <c r="T97" s="193"/>
      <c r="U97" s="193">
        <f>44/12*'Crops proc. &amp; prod. DISCOUNTED'!CM70</f>
        <v>9.6937424960599792</v>
      </c>
      <c r="V97" s="192">
        <f>44/12*'Crops proc. &amp; prod. DISCOUNTED'!DZ70</f>
        <v>1.0037351771902088</v>
      </c>
      <c r="W97" s="192">
        <f>44/12*'Crops proc. &amp; prod. DISCOUNTED'!EA70</f>
        <v>1.1152613079891209</v>
      </c>
      <c r="X97" s="193"/>
      <c r="Y97" s="188">
        <f>44/12*'Crops proc. &amp; prod. DISCOUNTED'!EC70</f>
        <v>11.152613079891209</v>
      </c>
      <c r="Z97" s="770">
        <f t="shared" si="92"/>
        <v>19.942606377382603</v>
      </c>
      <c r="AA97" s="220">
        <f t="shared" si="92"/>
        <v>22.158451530425115</v>
      </c>
      <c r="AC97" s="220">
        <f t="shared" si="93"/>
        <v>221.58451530425111</v>
      </c>
      <c r="AD97" s="189">
        <f>44/12*'Crops proc. &amp; prod. DISCOUNTED'!CX70</f>
        <v>0.44065927095755314</v>
      </c>
      <c r="AE97" s="189">
        <f>44/12*'Crops proc. &amp; prod. DISCOUNTED'!CY70</f>
        <v>0.48962141217505906</v>
      </c>
      <c r="AG97" s="188">
        <f>44/12*'Crops proc. &amp; prod. DISCOUNTED'!DA70</f>
        <v>4.8962141217505897</v>
      </c>
      <c r="AH97" s="189">
        <f>44/12*'Crops proc. &amp; prod. DISCOUNTED'!EN70</f>
        <v>39.444553483807653</v>
      </c>
      <c r="AI97" s="189">
        <f>44/12*'Crops proc. &amp; prod. DISCOUNTED'!EO70</f>
        <v>43.827281648675168</v>
      </c>
      <c r="AK97" s="188">
        <f>44/12*'Crops proc. &amp; prod. DISCOUNTED'!EQ70</f>
        <v>438.27281648675165</v>
      </c>
      <c r="AL97" s="761">
        <f>'Crops proc. &amp; prod. DISCOUNTED'!GY70</f>
        <v>5.3407271853129872E-2</v>
      </c>
      <c r="AM97" s="194">
        <f>'Crops proc. &amp; prod. DISCOUNTED'!GZ70</f>
        <v>5.9341413170144297E-2</v>
      </c>
      <c r="AO97" s="415">
        <f>'Crops proc. &amp; prod. DISCOUNTED'!HB70</f>
        <v>0.59341413170144297</v>
      </c>
      <c r="AP97" s="761">
        <f>'Crops proc. &amp; prod. DISCOUNTED'!IV70</f>
        <v>0.25503347533120713</v>
      </c>
      <c r="AQ97" s="194">
        <f>'Crops proc. &amp; prod. DISCOUNTED'!IW70</f>
        <v>0.28337052814578567</v>
      </c>
      <c r="AR97" s="188"/>
      <c r="AS97" s="226">
        <f>'Crops proc. &amp; prod. DISCOUNTED'!IY70</f>
        <v>2.8337052814578567</v>
      </c>
      <c r="AT97" s="765">
        <f t="shared" si="94"/>
        <v>1.121915352756607</v>
      </c>
      <c r="AU97" s="189">
        <f t="shared" si="94"/>
        <v>1.2465726141740077</v>
      </c>
      <c r="AV97" s="188"/>
      <c r="AW97" s="189">
        <f t="shared" si="95"/>
        <v>12.465726141740076</v>
      </c>
      <c r="AX97" s="189">
        <f t="shared" si="96"/>
        <v>1.0569108463718311</v>
      </c>
      <c r="AY97" s="189">
        <f t="shared" si="96"/>
        <v>1.17434538485759</v>
      </c>
      <c r="AZ97" s="188"/>
      <c r="BA97" s="189">
        <f t="shared" si="97"/>
        <v>11.743453848575898</v>
      </c>
      <c r="BB97" s="250"/>
      <c r="BC97" s="250"/>
      <c r="BD97" s="250"/>
      <c r="BE97" s="250"/>
      <c r="BF97" s="250"/>
      <c r="BG97" s="250"/>
      <c r="BH97" s="250"/>
      <c r="BI97" s="250"/>
      <c r="BJ97" s="193"/>
      <c r="BK97" s="193"/>
      <c r="BL97" s="250"/>
      <c r="BM97" s="250"/>
      <c r="BN97" s="250"/>
      <c r="BO97" s="250"/>
      <c r="BP97" s="250"/>
      <c r="BQ97" s="250"/>
      <c r="BR97" s="250"/>
      <c r="BS97" s="250"/>
      <c r="BT97" s="250"/>
      <c r="BU97" s="250"/>
      <c r="BV97" s="290"/>
      <c r="BW97" s="250"/>
      <c r="BX97" s="250"/>
      <c r="BY97" s="250"/>
      <c r="BZ97" s="250"/>
    </row>
    <row r="98" spans="1:78" x14ac:dyDescent="0.25">
      <c r="A98" s="227"/>
      <c r="AQ98" s="189"/>
      <c r="AR98" s="188"/>
      <c r="AS98" s="189"/>
      <c r="AT98" s="765"/>
      <c r="AU98" s="189"/>
      <c r="AV98" s="189"/>
      <c r="AW98" s="189"/>
      <c r="AX98" s="189"/>
      <c r="AY98" s="189"/>
      <c r="AZ98" s="189"/>
      <c r="BA98" s="189"/>
      <c r="BB98" s="250"/>
      <c r="BC98" s="250"/>
      <c r="BD98" s="250"/>
      <c r="BE98" s="250"/>
      <c r="BF98" s="250"/>
      <c r="BG98" s="250"/>
      <c r="BH98" s="250"/>
      <c r="BI98" s="250"/>
      <c r="BJ98" s="193"/>
      <c r="BK98" s="193"/>
      <c r="BL98" s="250"/>
      <c r="BM98" s="250"/>
      <c r="BN98" s="250"/>
      <c r="BO98" s="250"/>
      <c r="BP98" s="250"/>
      <c r="BQ98" s="250"/>
      <c r="BR98" s="250"/>
      <c r="BS98" s="250"/>
      <c r="BT98" s="250"/>
      <c r="BU98" s="250"/>
      <c r="BV98" s="192"/>
      <c r="BW98" s="250"/>
      <c r="BX98" s="250"/>
      <c r="BY98" s="250"/>
      <c r="BZ98" s="250"/>
    </row>
    <row r="99" spans="1:78" x14ac:dyDescent="0.25">
      <c r="A99" s="214"/>
      <c r="BB99" s="250"/>
      <c r="BC99" s="250"/>
      <c r="BD99" s="250"/>
      <c r="BE99" s="250"/>
      <c r="BF99" s="250"/>
      <c r="BG99" s="250"/>
      <c r="BH99" s="250"/>
      <c r="BI99" s="250"/>
      <c r="BJ99" s="250"/>
      <c r="BK99" s="250"/>
      <c r="BL99" s="250"/>
      <c r="BM99" s="250"/>
      <c r="BN99" s="250"/>
      <c r="BO99" s="250"/>
      <c r="BP99" s="250"/>
      <c r="BQ99" s="250"/>
      <c r="BR99" s="250"/>
      <c r="BS99" s="250"/>
      <c r="BT99" s="250"/>
      <c r="BU99" s="250"/>
      <c r="BV99" s="250"/>
      <c r="BW99" s="250"/>
      <c r="BX99" s="250"/>
      <c r="BY99" s="250"/>
      <c r="BZ99" s="250"/>
    </row>
    <row r="100" spans="1:78" ht="14.4" x14ac:dyDescent="0.3">
      <c r="A100" s="198" t="s">
        <v>112</v>
      </c>
      <c r="B100" s="756"/>
      <c r="C100" s="200"/>
      <c r="D100" s="200"/>
      <c r="E100" s="200"/>
      <c r="F100" s="200"/>
      <c r="G100" s="200"/>
      <c r="H100" s="200"/>
      <c r="I100" s="200"/>
      <c r="J100" s="200"/>
      <c r="K100" s="200"/>
      <c r="L100" s="200"/>
      <c r="M100" s="200"/>
      <c r="N100" s="756"/>
      <c r="O100" s="200"/>
      <c r="P100" s="200"/>
      <c r="Q100" s="200"/>
      <c r="R100" s="201"/>
      <c r="S100" s="201"/>
      <c r="T100" s="200"/>
      <c r="U100" s="200"/>
      <c r="V100" s="201"/>
      <c r="W100" s="201"/>
      <c r="X100" s="200"/>
      <c r="Y100" s="200"/>
      <c r="Z100" s="756"/>
      <c r="AA100" s="200"/>
      <c r="AB100" s="200"/>
      <c r="AC100" s="200"/>
      <c r="AD100" s="200"/>
      <c r="AE100" s="200"/>
      <c r="AF100" s="200"/>
      <c r="AG100" s="200"/>
      <c r="AH100" s="200"/>
      <c r="AI100" s="200"/>
      <c r="AJ100" s="200"/>
      <c r="AK100" s="200"/>
      <c r="AL100" s="756"/>
      <c r="AM100" s="200"/>
      <c r="AN100" s="200"/>
      <c r="AO100" s="200"/>
      <c r="AP100" s="778"/>
      <c r="AQ100" s="199"/>
      <c r="AR100" s="199"/>
      <c r="AS100" s="199"/>
      <c r="AT100" s="775"/>
      <c r="AU100" s="199"/>
      <c r="AV100" s="199"/>
      <c r="AW100" s="199"/>
      <c r="AX100" s="199"/>
      <c r="AY100" s="199"/>
      <c r="AZ100" s="199"/>
      <c r="BA100" s="199"/>
      <c r="BB100" s="250"/>
      <c r="BC100" s="250"/>
      <c r="BD100" s="250"/>
      <c r="BE100" s="250"/>
      <c r="BF100" s="250"/>
      <c r="BG100" s="250"/>
      <c r="BH100" s="250"/>
      <c r="BI100" s="250"/>
      <c r="BJ100" s="250"/>
      <c r="BK100" s="250"/>
      <c r="BL100" s="250"/>
      <c r="BM100" s="250"/>
      <c r="BN100" s="250"/>
      <c r="BO100" s="250"/>
      <c r="BP100" s="250"/>
      <c r="BQ100" s="250"/>
      <c r="BR100" s="250"/>
      <c r="BS100" s="250"/>
      <c r="BT100" s="250"/>
      <c r="BU100" s="250"/>
      <c r="BV100" s="250"/>
      <c r="BW100" s="250"/>
      <c r="BX100" s="250"/>
      <c r="BY100" s="250"/>
      <c r="BZ100" s="250"/>
    </row>
    <row r="101" spans="1:78" x14ac:dyDescent="0.25">
      <c r="A101" s="202"/>
      <c r="BB101" s="250"/>
      <c r="BC101" s="250"/>
      <c r="BD101" s="250"/>
      <c r="BE101" s="250"/>
      <c r="BF101" s="250"/>
      <c r="BG101" s="250"/>
      <c r="BH101" s="250"/>
      <c r="BI101" s="250"/>
      <c r="BJ101" s="250"/>
      <c r="BK101" s="250"/>
      <c r="BL101" s="250"/>
      <c r="BM101" s="250"/>
      <c r="BN101" s="250"/>
      <c r="BO101" s="250"/>
      <c r="BP101" s="250"/>
      <c r="BQ101" s="250"/>
      <c r="BR101" s="250"/>
      <c r="BS101" s="250"/>
      <c r="BT101" s="250"/>
      <c r="BU101" s="250"/>
      <c r="BV101" s="250"/>
      <c r="BW101" s="250"/>
      <c r="BX101" s="250"/>
      <c r="BY101" s="250"/>
      <c r="BZ101" s="250"/>
    </row>
    <row r="102" spans="1:78" ht="13.8" x14ac:dyDescent="0.3">
      <c r="A102" s="203" t="s">
        <v>450</v>
      </c>
      <c r="BB102" s="250"/>
      <c r="BC102" s="250"/>
      <c r="BD102" s="250"/>
      <c r="BE102" s="250"/>
      <c r="BF102" s="250"/>
      <c r="BG102" s="250"/>
      <c r="BH102" s="250"/>
      <c r="BI102" s="250"/>
      <c r="BJ102" s="250"/>
      <c r="BK102" s="250"/>
      <c r="BL102" s="250"/>
      <c r="BM102" s="250"/>
      <c r="BN102" s="250"/>
      <c r="BO102" s="250"/>
      <c r="BP102" s="250"/>
      <c r="BQ102" s="250"/>
      <c r="BR102" s="250"/>
      <c r="BS102" s="250"/>
      <c r="BT102" s="250"/>
      <c r="BU102" s="250"/>
      <c r="BV102" s="250"/>
      <c r="BW102" s="250"/>
      <c r="BX102" s="250"/>
      <c r="BY102" s="250"/>
      <c r="BZ102" s="250"/>
    </row>
    <row r="103" spans="1:78" s="438" customFormat="1" ht="10.199999999999999" x14ac:dyDescent="0.2">
      <c r="A103" s="49" t="s">
        <v>812</v>
      </c>
      <c r="B103" s="780">
        <f t="shared" ref="B103:C106" si="98">(F103+J103)/2</f>
        <v>150.08018614278771</v>
      </c>
      <c r="C103" s="531">
        <f t="shared" si="98"/>
        <v>357.33377653044693</v>
      </c>
      <c r="D103" s="320">
        <f t="shared" ref="D103:E106" si="99">(H103+L103)/2</f>
        <v>19490.933265297106</v>
      </c>
      <c r="E103" s="440">
        <f t="shared" si="99"/>
        <v>1000.5345742852516</v>
      </c>
      <c r="F103" s="325">
        <f>44/12*'Livestock prod. DISCOUNTED'!DR67</f>
        <v>134.86360809076277</v>
      </c>
      <c r="G103" s="531">
        <f>44/12*'Livestock prod. DISCOUNTED'!DS67</f>
        <v>321.10382878753046</v>
      </c>
      <c r="H103" s="325">
        <f>44/12*'Livestock prod. DISCOUNTED'!DT67</f>
        <v>17514.754297501659</v>
      </c>
      <c r="I103" s="328">
        <f>44/12*'Livestock prod. DISCOUNTED'!DU67</f>
        <v>899.09072060508538</v>
      </c>
      <c r="J103" s="328">
        <f>44/12*'Livestock prod. DISCOUNTED'!DV67</f>
        <v>165.29676419481265</v>
      </c>
      <c r="K103" s="538">
        <f>44/12*'Livestock prod. DISCOUNTED'!DW67</f>
        <v>393.56372427336345</v>
      </c>
      <c r="L103" s="328">
        <f>44/12*'Livestock prod. DISCOUNTED'!DX67</f>
        <v>21467.11223309255</v>
      </c>
      <c r="M103" s="328">
        <f>44/12*'Livestock prod. DISCOUNTED'!DY67</f>
        <v>1101.9784279654177</v>
      </c>
      <c r="N103" s="762"/>
      <c r="O103" s="325"/>
      <c r="P103" s="325"/>
      <c r="Q103" s="325"/>
      <c r="R103" s="323"/>
      <c r="S103" s="323"/>
      <c r="T103" s="325"/>
      <c r="U103" s="325"/>
      <c r="V103" s="323"/>
      <c r="W103" s="323"/>
      <c r="X103" s="325"/>
      <c r="Y103" s="325"/>
      <c r="Z103" s="762"/>
      <c r="AA103" s="328"/>
      <c r="AB103" s="328"/>
      <c r="AC103" s="328"/>
      <c r="AD103" s="328"/>
      <c r="AE103" s="328"/>
      <c r="AF103" s="328"/>
      <c r="AG103" s="328"/>
      <c r="AH103" s="328"/>
      <c r="AI103" s="328"/>
      <c r="AJ103" s="328"/>
      <c r="AK103" s="328"/>
      <c r="AL103" s="764">
        <f>'Livestock prod. DISCOUNTED'!EF67</f>
        <v>9.0524661890257594</v>
      </c>
      <c r="AM103" s="534">
        <f>'Livestock prod. DISCOUNTED'!EG67</f>
        <v>21.553490926251808</v>
      </c>
      <c r="AN103" s="325">
        <f>'Livestock prod. DISCOUNTED'!EH67</f>
        <v>1175.644959613735</v>
      </c>
      <c r="AO103" s="441">
        <f>'Livestock prod. DISCOUNTED'!EI67</f>
        <v>60.349774593505067</v>
      </c>
      <c r="AP103" s="764">
        <f>'Livestock prod. DISCOUNTED'!EO67</f>
        <v>44.235238316625946</v>
      </c>
      <c r="AQ103" s="534">
        <f>'Livestock prod. DISCOUNTED'!EP67</f>
        <v>105.32199599196655</v>
      </c>
      <c r="AR103" s="325">
        <f>'Livestock prod. DISCOUNTED'!EQ67</f>
        <v>5744.8361450163566</v>
      </c>
      <c r="AS103" s="441">
        <f>'Livestock prod. DISCOUNTED'!ER67</f>
        <v>294.90158877750633</v>
      </c>
      <c r="AT103" s="762">
        <f t="shared" ref="AT103:AU106" si="100">B103+AL103+AP103</f>
        <v>203.36789064843941</v>
      </c>
      <c r="AU103" s="531">
        <f t="shared" si="100"/>
        <v>484.2092634486653</v>
      </c>
      <c r="AV103" s="325">
        <f t="shared" ref="AV103:AW106" si="101">D103+AN103+AR103</f>
        <v>26411.414369927199</v>
      </c>
      <c r="AW103" s="325">
        <f t="shared" si="101"/>
        <v>1355.7859376562628</v>
      </c>
      <c r="AX103" s="325">
        <f t="shared" ref="AX103:AY106" si="102">F103+AL103+AP103</f>
        <v>188.15131259641447</v>
      </c>
      <c r="AY103" s="531">
        <f t="shared" si="102"/>
        <v>447.97931570574883</v>
      </c>
      <c r="AZ103" s="325">
        <f t="shared" ref="AZ103:BA106" si="103">H103+AN103+AR103</f>
        <v>24435.235402131751</v>
      </c>
      <c r="BA103" s="325">
        <f t="shared" si="103"/>
        <v>1254.3420839760968</v>
      </c>
      <c r="BB103" s="439"/>
      <c r="BC103" s="439"/>
      <c r="BD103" s="439"/>
      <c r="BE103" s="439"/>
      <c r="BF103" s="439"/>
      <c r="BG103" s="439"/>
      <c r="BH103" s="439"/>
      <c r="BI103" s="439"/>
      <c r="BJ103" s="439"/>
      <c r="BK103" s="439"/>
      <c r="BL103" s="439"/>
      <c r="BM103" s="439"/>
      <c r="BN103" s="439"/>
      <c r="BO103" s="439"/>
      <c r="BP103" s="439"/>
      <c r="BQ103" s="439"/>
      <c r="BR103" s="439"/>
      <c r="BS103" s="439"/>
      <c r="BT103" s="439"/>
      <c r="BU103" s="439"/>
      <c r="BV103" s="439"/>
      <c r="BW103" s="439"/>
      <c r="BX103" s="439"/>
      <c r="BY103" s="439"/>
      <c r="BZ103" s="439"/>
    </row>
    <row r="104" spans="1:78" s="438" customFormat="1" ht="10.199999999999999" x14ac:dyDescent="0.2">
      <c r="A104" s="49" t="s">
        <v>811</v>
      </c>
      <c r="B104" s="780">
        <f t="shared" si="98"/>
        <v>193.58131919428666</v>
      </c>
      <c r="C104" s="531">
        <f t="shared" si="98"/>
        <v>472.14955901045528</v>
      </c>
      <c r="D104" s="320">
        <f t="shared" si="99"/>
        <v>22774.272846386662</v>
      </c>
      <c r="E104" s="440">
        <f t="shared" si="99"/>
        <v>1335.0435806502528</v>
      </c>
      <c r="F104" s="325">
        <f>44/12*'Livestock prod. DISCOUNTED'!DR68</f>
        <v>174.35782038629006</v>
      </c>
      <c r="G104" s="531">
        <f>44/12*'Livestock prod. DISCOUNTED'!DS68</f>
        <v>425.26297655192701</v>
      </c>
      <c r="H104" s="325">
        <f>44/12*'Livestock prod. DISCOUNTED'!DT68</f>
        <v>20512.684751328237</v>
      </c>
      <c r="I104" s="328">
        <f>44/12*'Livestock prod. DISCOUNTED'!DU68</f>
        <v>1202.467726802</v>
      </c>
      <c r="J104" s="328">
        <f>44/12*'Livestock prod. DISCOUNTED'!DV68</f>
        <v>212.80481800228327</v>
      </c>
      <c r="K104" s="538">
        <f>44/12*'Livestock prod. DISCOUNTED'!DW68</f>
        <v>519.0361414689836</v>
      </c>
      <c r="L104" s="328">
        <f>44/12*'Livestock prod. DISCOUNTED'!DX68</f>
        <v>25035.860941445088</v>
      </c>
      <c r="M104" s="328">
        <f>44/12*'Livestock prod. DISCOUNTED'!DY68</f>
        <v>1467.6194344985054</v>
      </c>
      <c r="N104" s="762"/>
      <c r="O104" s="325"/>
      <c r="P104" s="325"/>
      <c r="Q104" s="325"/>
      <c r="R104" s="323"/>
      <c r="S104" s="323"/>
      <c r="T104" s="325"/>
      <c r="U104" s="325"/>
      <c r="V104" s="323"/>
      <c r="W104" s="323"/>
      <c r="X104" s="325"/>
      <c r="Y104" s="325"/>
      <c r="Z104" s="762"/>
      <c r="AA104" s="328"/>
      <c r="AB104" s="328"/>
      <c r="AC104" s="328"/>
      <c r="AD104" s="328"/>
      <c r="AE104" s="328"/>
      <c r="AF104" s="328"/>
      <c r="AG104" s="328"/>
      <c r="AH104" s="328"/>
      <c r="AI104" s="328"/>
      <c r="AJ104" s="328"/>
      <c r="AK104" s="328"/>
      <c r="AL104" s="764">
        <f>'Livestock prod. DISCOUNTED'!EF68</f>
        <v>11.328139590691732</v>
      </c>
      <c r="AM104" s="534">
        <f>'Livestock prod. DISCOUNTED'!EG68</f>
        <v>27.629608757784712</v>
      </c>
      <c r="AN104" s="325">
        <f>'Livestock prod. DISCOUNTED'!EH68</f>
        <v>1332.7223047872624</v>
      </c>
      <c r="AO104" s="441">
        <f>'Livestock prod. DISCOUNTED'!EI68</f>
        <v>78.12510062546022</v>
      </c>
      <c r="AP104" s="764">
        <f>'Livestock prod. DISCOUNTED'!EO68</f>
        <v>42.052485678027843</v>
      </c>
      <c r="AQ104" s="534">
        <f>'Livestock prod. DISCOUNTED'!EP68</f>
        <v>102.56703823909231</v>
      </c>
      <c r="AR104" s="325">
        <f>'Livestock prod. DISCOUNTED'!EQ68</f>
        <v>4947.3512562385686</v>
      </c>
      <c r="AS104" s="441">
        <f>'Livestock prod. DISCOUNTED'!ER68</f>
        <v>290.01714260708849</v>
      </c>
      <c r="AT104" s="762">
        <f t="shared" si="100"/>
        <v>246.96194446300623</v>
      </c>
      <c r="AU104" s="531">
        <f t="shared" si="100"/>
        <v>602.34620600733228</v>
      </c>
      <c r="AV104" s="325">
        <f t="shared" si="101"/>
        <v>29054.346407412493</v>
      </c>
      <c r="AW104" s="325">
        <f t="shared" si="101"/>
        <v>1703.1858238828015</v>
      </c>
      <c r="AX104" s="325">
        <f t="shared" si="102"/>
        <v>227.73844565500963</v>
      </c>
      <c r="AY104" s="531">
        <f t="shared" si="102"/>
        <v>555.45962354880407</v>
      </c>
      <c r="AZ104" s="325">
        <f t="shared" si="103"/>
        <v>26792.758312354068</v>
      </c>
      <c r="BA104" s="325">
        <f t="shared" si="103"/>
        <v>1570.6099700345487</v>
      </c>
      <c r="BB104" s="439"/>
      <c r="BC104" s="439"/>
      <c r="BD104" s="439"/>
      <c r="BE104" s="439"/>
      <c r="BF104" s="439"/>
      <c r="BG104" s="439"/>
      <c r="BH104" s="439"/>
      <c r="BI104" s="439"/>
      <c r="BJ104" s="439"/>
      <c r="BK104" s="439"/>
      <c r="BL104" s="439"/>
      <c r="BM104" s="439"/>
      <c r="BN104" s="439"/>
      <c r="BO104" s="439"/>
      <c r="BP104" s="439"/>
      <c r="BQ104" s="439"/>
      <c r="BR104" s="439"/>
      <c r="BS104" s="439"/>
      <c r="BT104" s="439"/>
      <c r="BU104" s="439"/>
      <c r="BV104" s="439"/>
      <c r="BW104" s="439"/>
      <c r="BX104" s="439"/>
      <c r="BY104" s="439"/>
      <c r="BZ104" s="439"/>
    </row>
    <row r="105" spans="1:78" ht="12" customHeight="1" x14ac:dyDescent="0.25">
      <c r="A105" s="204" t="s">
        <v>805</v>
      </c>
      <c r="B105" s="781">
        <f t="shared" si="98"/>
        <v>159.2203684473256</v>
      </c>
      <c r="C105" s="532">
        <f t="shared" si="98"/>
        <v>379.09611535077522</v>
      </c>
      <c r="D105" s="296">
        <f t="shared" si="99"/>
        <v>20677.969928224102</v>
      </c>
      <c r="E105" s="298">
        <f t="shared" si="99"/>
        <v>1061.4691229821708</v>
      </c>
      <c r="F105" s="188">
        <f>44/12*'Livestock prod. DISCOUNTED'!DR75</f>
        <v>143.04696929065065</v>
      </c>
      <c r="G105" s="532">
        <f>44/12*'Livestock prod. DISCOUNTED'!DS75</f>
        <v>340.5880221205968</v>
      </c>
      <c r="H105" s="188">
        <f>44/12*'Livestock prod. DISCOUNTED'!DT75</f>
        <v>18577.528479305278</v>
      </c>
      <c r="I105" s="193">
        <f>44/12*'Livestock prod. DISCOUNTED'!DU75</f>
        <v>953.64646193767101</v>
      </c>
      <c r="J105" s="193">
        <f>44/12*'Livestock prod. DISCOUNTED'!DV75</f>
        <v>175.39376760400054</v>
      </c>
      <c r="K105" s="539">
        <f>44/12*'Livestock prod. DISCOUNTED'!DW75</f>
        <v>417.6042085809537</v>
      </c>
      <c r="L105" s="193">
        <f>44/12*'Livestock prod. DISCOUNTED'!DX75</f>
        <v>22778.411377142926</v>
      </c>
      <c r="M105" s="193">
        <f>44/12*'Livestock prod. DISCOUNTED'!DY75</f>
        <v>1169.2917840266705</v>
      </c>
      <c r="AA105" s="193"/>
      <c r="AB105" s="193"/>
      <c r="AC105" s="193"/>
      <c r="AD105" s="193"/>
      <c r="AE105" s="193"/>
      <c r="AF105" s="193"/>
      <c r="AG105" s="193"/>
      <c r="AH105" s="193"/>
      <c r="AI105" s="193"/>
      <c r="AJ105" s="193"/>
      <c r="AK105" s="193"/>
      <c r="AL105" s="765">
        <f>'Livestock prod. DISCOUNTED'!EF75</f>
        <v>9.5989473575696902</v>
      </c>
      <c r="AM105" s="533">
        <f>'Livestock prod. DISCOUNTED'!EG75</f>
        <v>22.854636565642121</v>
      </c>
      <c r="AN105" s="188">
        <f>'Livestock prod. DISCOUNTED'!EH75</f>
        <v>1246.6165399441156</v>
      </c>
      <c r="AO105" s="205">
        <f>'Livestock prod. DISCOUNTED'!EI75</f>
        <v>63.992982383797937</v>
      </c>
      <c r="AP105" s="757">
        <f>'Livestock prod. DISCOUNTED'!EO75</f>
        <v>46.16554836135932</v>
      </c>
      <c r="AQ105" s="532">
        <f>'Livestock prod. DISCOUNTED'!EP75</f>
        <v>109.91797228895076</v>
      </c>
      <c r="AR105" s="188">
        <f>'Livestock prod. DISCOUNTED'!EQ75</f>
        <v>5995.5257612154955</v>
      </c>
      <c r="AS105" s="205">
        <f>'Livestock prod. DISCOUNTED'!ER75</f>
        <v>307.77032240906215</v>
      </c>
      <c r="AT105" s="757">
        <f t="shared" si="100"/>
        <v>214.98486416625462</v>
      </c>
      <c r="AU105" s="532">
        <f t="shared" si="100"/>
        <v>511.8687242053681</v>
      </c>
      <c r="AV105" s="188">
        <f t="shared" si="101"/>
        <v>27920.112229383714</v>
      </c>
      <c r="AW105" s="188">
        <f t="shared" si="101"/>
        <v>1433.2324277750308</v>
      </c>
      <c r="AX105" s="188">
        <f t="shared" si="102"/>
        <v>198.81146500957968</v>
      </c>
      <c r="AY105" s="532">
        <f t="shared" si="102"/>
        <v>473.36063097518968</v>
      </c>
      <c r="AZ105" s="188">
        <f t="shared" si="103"/>
        <v>25819.67078046489</v>
      </c>
      <c r="BA105" s="188">
        <f t="shared" si="103"/>
        <v>1325.4097667305311</v>
      </c>
      <c r="BB105" s="250"/>
      <c r="BC105" s="250"/>
      <c r="BD105" s="250"/>
      <c r="BE105" s="250"/>
      <c r="BF105" s="250"/>
      <c r="BG105" s="250"/>
      <c r="BH105" s="250"/>
      <c r="BI105" s="250"/>
      <c r="BJ105" s="250"/>
      <c r="BK105" s="250"/>
      <c r="BL105" s="250"/>
      <c r="BM105" s="250"/>
      <c r="BN105" s="250"/>
      <c r="BO105" s="250"/>
      <c r="BP105" s="250"/>
      <c r="BQ105" s="250"/>
      <c r="BR105" s="250"/>
      <c r="BS105" s="250"/>
      <c r="BT105" s="250"/>
      <c r="BU105" s="250"/>
      <c r="BV105" s="250"/>
      <c r="BW105" s="250"/>
      <c r="BX105" s="250"/>
      <c r="BY105" s="250"/>
      <c r="BZ105" s="250"/>
    </row>
    <row r="106" spans="1:78" x14ac:dyDescent="0.25">
      <c r="A106" s="204" t="s">
        <v>498</v>
      </c>
      <c r="B106" s="781">
        <f t="shared" si="98"/>
        <v>197.19514591634476</v>
      </c>
      <c r="C106" s="532">
        <f t="shared" si="98"/>
        <v>480.96377052767014</v>
      </c>
      <c r="D106" s="296">
        <f t="shared" si="99"/>
        <v>23199.428931334674</v>
      </c>
      <c r="E106" s="298">
        <f t="shared" si="99"/>
        <v>1359.9665235609982</v>
      </c>
      <c r="F106" s="188">
        <f>44/12*'Livestock prod. DISCOUNTED'!DR77</f>
        <v>177.67902307508635</v>
      </c>
      <c r="G106" s="532">
        <f>44/12*'Livestock prod. DISCOUNTED'!DS77</f>
        <v>433.36347091484475</v>
      </c>
      <c r="H106" s="188">
        <f>44/12*'Livestock prod. DISCOUNTED'!DT77</f>
        <v>20903.414479421921</v>
      </c>
      <c r="I106" s="193">
        <f>44/12*'Livestock prod. DISCOUNTED'!DU77</f>
        <v>1225.37257293163</v>
      </c>
      <c r="J106" s="193">
        <f>44/12*'Livestock prod. DISCOUNTED'!DV77</f>
        <v>216.71126875760314</v>
      </c>
      <c r="K106" s="539">
        <f>44/12*'Livestock prod. DISCOUNTED'!DW77</f>
        <v>528.56407014049557</v>
      </c>
      <c r="L106" s="193">
        <f>44/12*'Livestock prod. DISCOUNTED'!DX77</f>
        <v>25495.443383247428</v>
      </c>
      <c r="M106" s="193">
        <f>44/12*'Livestock prod. DISCOUNTED'!DY77</f>
        <v>1494.5604741903667</v>
      </c>
      <c r="AA106" s="193"/>
      <c r="AB106" s="193"/>
      <c r="AC106" s="193"/>
      <c r="AD106" s="193"/>
      <c r="AE106" s="193"/>
      <c r="AF106" s="193"/>
      <c r="AG106" s="193"/>
      <c r="AH106" s="193"/>
      <c r="AI106" s="193"/>
      <c r="AJ106" s="193"/>
      <c r="AK106" s="193"/>
      <c r="AL106" s="765">
        <f>'Livestock prod. DISCOUNTED'!EF77</f>
        <v>11.5058367330337</v>
      </c>
      <c r="AM106" s="533">
        <f>'Livestock prod. DISCOUNTED'!EG77</f>
        <v>28.063016422033417</v>
      </c>
      <c r="AN106" s="188">
        <f>'Livestock prod. DISCOUNTED'!EH77</f>
        <v>1353.6278509451411</v>
      </c>
      <c r="AO106" s="416">
        <f>'Livestock prod. DISCOUNTED'!EI77</f>
        <v>79.350598158853117</v>
      </c>
      <c r="AP106" s="757">
        <f>'Livestock prod. DISCOUNTED'!EO77</f>
        <v>42.290023769939303</v>
      </c>
      <c r="AQ106" s="532">
        <f>'Livestock prod. DISCOUNTED'!EP77</f>
        <v>103.14639943887636</v>
      </c>
      <c r="AR106" s="188">
        <f>'Livestock prod. DISCOUNTED'!EQ77</f>
        <v>4975.2969141105059</v>
      </c>
      <c r="AS106" s="205">
        <f>'Livestock prod. DISCOUNTED'!ER77</f>
        <v>291.65533634440897</v>
      </c>
      <c r="AT106" s="757">
        <f t="shared" si="100"/>
        <v>250.99100641931776</v>
      </c>
      <c r="AU106" s="532">
        <f t="shared" si="100"/>
        <v>612.17318638857989</v>
      </c>
      <c r="AV106" s="188">
        <f t="shared" si="101"/>
        <v>29528.353696390321</v>
      </c>
      <c r="AW106" s="188">
        <f t="shared" si="101"/>
        <v>1730.9724580642601</v>
      </c>
      <c r="AX106" s="188">
        <f t="shared" si="102"/>
        <v>231.47488357805935</v>
      </c>
      <c r="AY106" s="532">
        <f t="shared" si="102"/>
        <v>564.57288677575457</v>
      </c>
      <c r="AZ106" s="188">
        <f t="shared" si="103"/>
        <v>27232.339244477567</v>
      </c>
      <c r="BA106" s="188">
        <f t="shared" si="103"/>
        <v>1596.3785074348921</v>
      </c>
      <c r="BB106" s="250"/>
      <c r="BC106" s="250"/>
      <c r="BD106" s="250"/>
      <c r="BE106" s="250"/>
      <c r="BF106" s="250"/>
      <c r="BG106" s="250"/>
      <c r="BH106" s="250"/>
      <c r="BI106" s="250"/>
      <c r="BJ106" s="250"/>
      <c r="BK106" s="250"/>
      <c r="BL106" s="250"/>
      <c r="BM106" s="250"/>
      <c r="BN106" s="250"/>
      <c r="BO106" s="250"/>
      <c r="BP106" s="250"/>
      <c r="BQ106" s="250"/>
      <c r="BR106" s="250"/>
      <c r="BS106" s="250"/>
      <c r="BT106" s="250"/>
      <c r="BU106" s="250"/>
      <c r="BV106" s="250"/>
      <c r="BW106" s="250"/>
      <c r="BX106" s="250"/>
      <c r="BY106" s="250"/>
      <c r="BZ106" s="250"/>
    </row>
    <row r="107" spans="1:78" x14ac:dyDescent="0.25">
      <c r="A107" s="204"/>
      <c r="C107" s="532"/>
      <c r="F107" s="189"/>
      <c r="G107" s="533"/>
      <c r="I107" s="250"/>
      <c r="J107" s="192"/>
      <c r="K107" s="540"/>
      <c r="L107" s="193"/>
      <c r="M107" s="250"/>
      <c r="Z107" s="772"/>
      <c r="AA107" s="250"/>
      <c r="AB107" s="250"/>
      <c r="AC107" s="250"/>
      <c r="AD107" s="250"/>
      <c r="AE107" s="250"/>
      <c r="AF107" s="250"/>
      <c r="AG107" s="250"/>
      <c r="AH107" s="250"/>
      <c r="AI107" s="250"/>
      <c r="AJ107" s="250"/>
      <c r="AK107" s="250"/>
      <c r="AL107" s="765"/>
      <c r="AM107" s="533"/>
      <c r="AN107" s="187"/>
      <c r="AO107" s="189"/>
      <c r="AQ107" s="533"/>
      <c r="AU107" s="537"/>
      <c r="AV107" s="188"/>
      <c r="AW107" s="188"/>
      <c r="AY107" s="537"/>
      <c r="AZ107" s="188"/>
      <c r="BA107" s="188"/>
      <c r="BB107" s="250"/>
      <c r="BC107" s="250"/>
      <c r="BD107" s="250"/>
      <c r="BE107" s="250"/>
      <c r="BF107" s="250"/>
      <c r="BG107" s="250"/>
      <c r="BH107" s="250"/>
      <c r="BI107" s="250"/>
      <c r="BJ107" s="250"/>
      <c r="BK107" s="250"/>
      <c r="BL107" s="250"/>
      <c r="BM107" s="250"/>
      <c r="BN107" s="250"/>
      <c r="BO107" s="250"/>
      <c r="BP107" s="250"/>
      <c r="BQ107" s="250"/>
      <c r="BR107" s="250"/>
      <c r="BS107" s="250"/>
      <c r="BT107" s="250"/>
      <c r="BU107" s="250"/>
      <c r="BV107" s="250"/>
      <c r="BW107" s="250"/>
      <c r="BX107" s="250"/>
      <c r="BY107" s="250"/>
      <c r="BZ107" s="250"/>
    </row>
    <row r="108" spans="1:78" ht="13.8" x14ac:dyDescent="0.3">
      <c r="A108" s="203" t="s">
        <v>451</v>
      </c>
      <c r="C108" s="532"/>
      <c r="F108" s="189"/>
      <c r="G108" s="533"/>
      <c r="I108" s="250"/>
      <c r="J108" s="192"/>
      <c r="K108" s="540"/>
      <c r="L108" s="193"/>
      <c r="M108" s="250"/>
      <c r="Z108" s="772"/>
      <c r="AA108" s="250"/>
      <c r="AB108" s="250"/>
      <c r="AC108" s="250"/>
      <c r="AD108" s="250"/>
      <c r="AE108" s="250"/>
      <c r="AF108" s="250"/>
      <c r="AG108" s="250"/>
      <c r="AH108" s="250"/>
      <c r="AI108" s="250"/>
      <c r="AJ108" s="250"/>
      <c r="AK108" s="250"/>
      <c r="AL108" s="765"/>
      <c r="AM108" s="533"/>
      <c r="AN108" s="187"/>
      <c r="AO108" s="189"/>
      <c r="AQ108" s="533"/>
      <c r="AU108" s="537"/>
      <c r="AV108" s="188"/>
      <c r="AW108" s="188"/>
      <c r="AY108" s="537"/>
      <c r="AZ108" s="188"/>
      <c r="BA108" s="188"/>
      <c r="BB108" s="250"/>
      <c r="BC108" s="250"/>
      <c r="BD108" s="250"/>
      <c r="BE108" s="250"/>
      <c r="BF108" s="250"/>
      <c r="BG108" s="250"/>
      <c r="BH108" s="250"/>
      <c r="BI108" s="250"/>
      <c r="BJ108" s="250"/>
      <c r="BK108" s="250"/>
      <c r="BL108" s="250"/>
      <c r="BM108" s="250"/>
      <c r="BN108" s="250"/>
      <c r="BO108" s="250"/>
      <c r="BP108" s="250"/>
      <c r="BQ108" s="250"/>
      <c r="BR108" s="250"/>
      <c r="BS108" s="250"/>
      <c r="BT108" s="250"/>
      <c r="BU108" s="250"/>
      <c r="BV108" s="250"/>
      <c r="BW108" s="250"/>
      <c r="BX108" s="250"/>
      <c r="BY108" s="250"/>
      <c r="BZ108" s="250"/>
    </row>
    <row r="109" spans="1:78" x14ac:dyDescent="0.25">
      <c r="A109" s="49" t="s">
        <v>799</v>
      </c>
      <c r="B109" s="771">
        <f t="shared" ref="B109:C112" si="104">(F109+J109)/2</f>
        <v>6.4436579430476506</v>
      </c>
      <c r="C109" s="534">
        <f t="shared" si="104"/>
        <v>51.140142405140082</v>
      </c>
      <c r="D109" s="320">
        <f t="shared" ref="D109:E112" si="105">(H109+L109)/2</f>
        <v>2386.5399789065368</v>
      </c>
      <c r="E109" s="440">
        <f t="shared" si="105"/>
        <v>201.36431072023908</v>
      </c>
      <c r="F109" s="325">
        <f>44/12*'Livestock prod. DISCOUNTED'!DR70</f>
        <v>5.8042640309238047</v>
      </c>
      <c r="G109" s="531">
        <f>44/12*'Livestock prod. DISCOUNTED'!DS70</f>
        <v>46.065587547014324</v>
      </c>
      <c r="H109" s="325">
        <f>44/12*'Livestock prod. DISCOUNTED'!DT70</f>
        <v>2149.7274188606684</v>
      </c>
      <c r="I109" s="328">
        <f>44/12*'Livestock prod. DISCOUNTED'!DU70</f>
        <v>181.38325096636891</v>
      </c>
      <c r="J109" s="328">
        <f>44/12*'Livestock prod. DISCOUNTED'!DV70</f>
        <v>7.0830518551714965</v>
      </c>
      <c r="K109" s="538">
        <f>44/12*'Livestock prod. DISCOUNTED'!DW70</f>
        <v>56.21469726326584</v>
      </c>
      <c r="L109" s="328">
        <f>44/12*'Livestock prod. DISCOUNTED'!DX70</f>
        <v>2623.3525389524057</v>
      </c>
      <c r="M109" s="328">
        <f>44/12*'Livestock prod. DISCOUNTED'!DY70</f>
        <v>221.34537047410925</v>
      </c>
      <c r="N109" s="762"/>
      <c r="O109" s="325"/>
      <c r="P109" s="325"/>
      <c r="Q109" s="325"/>
      <c r="R109" s="323"/>
      <c r="S109" s="323"/>
      <c r="T109" s="325"/>
      <c r="U109" s="325"/>
      <c r="V109" s="323"/>
      <c r="W109" s="323"/>
      <c r="X109" s="325"/>
      <c r="Y109" s="325"/>
      <c r="Z109" s="762"/>
      <c r="AA109" s="328"/>
      <c r="AB109" s="328"/>
      <c r="AC109" s="328"/>
      <c r="AD109" s="328"/>
      <c r="AE109" s="328"/>
      <c r="AF109" s="328"/>
      <c r="AG109" s="328"/>
      <c r="AH109" s="328"/>
      <c r="AI109" s="328"/>
      <c r="AJ109" s="328"/>
      <c r="AK109" s="328"/>
      <c r="AL109" s="766">
        <f>'Livestock prod. DISCOUNTED'!EF70</f>
        <v>0.39090108716501415</v>
      </c>
      <c r="AM109" s="535">
        <f>'Livestock prod. DISCOUNTED'!EG70</f>
        <v>3.1023895806747155</v>
      </c>
      <c r="AN109" s="325">
        <f>'Livestock prod. DISCOUNTED'!EH70</f>
        <v>144.7781804314867</v>
      </c>
      <c r="AO109" s="442">
        <f>'Livestock prod. DISCOUNTED'!EI70</f>
        <v>12.215658973906692</v>
      </c>
      <c r="AP109" s="764">
        <f>'Livestock prod. DISCOUNTED'!EO70</f>
        <v>2.2525578419267958</v>
      </c>
      <c r="AQ109" s="534">
        <f>'Livestock prod. DISCOUNTED'!EP70</f>
        <v>17.877443189895203</v>
      </c>
      <c r="AR109" s="325">
        <f>'Livestock prod. DISCOUNTED'!EQ70</f>
        <v>834.28068219510953</v>
      </c>
      <c r="AS109" s="441">
        <f>'Livestock prod. DISCOUNTED'!ER70</f>
        <v>70.39243256021237</v>
      </c>
      <c r="AT109" s="764">
        <f t="shared" ref="AT109:AU112" si="106">B109+AL109+AP109</f>
        <v>9.0871168721394611</v>
      </c>
      <c r="AU109" s="534">
        <f t="shared" si="106"/>
        <v>72.11997517571001</v>
      </c>
      <c r="AV109" s="325">
        <f t="shared" ref="AV109:AW112" si="107">D109+AN109+AR109</f>
        <v>3365.5988415331331</v>
      </c>
      <c r="AW109" s="325">
        <f t="shared" si="107"/>
        <v>283.97240225435814</v>
      </c>
      <c r="AX109" s="323">
        <f t="shared" ref="AX109:AY112" si="108">F109+AL109+AP109</f>
        <v>8.4477229600156143</v>
      </c>
      <c r="AY109" s="534">
        <f t="shared" si="108"/>
        <v>67.045420317584245</v>
      </c>
      <c r="AZ109" s="325">
        <f t="shared" ref="AZ109:BA112" si="109">H109+AN109+AR109</f>
        <v>3128.7862814872647</v>
      </c>
      <c r="BA109" s="325">
        <f t="shared" si="109"/>
        <v>263.99134250048797</v>
      </c>
      <c r="BB109" s="250"/>
      <c r="BC109" s="250"/>
      <c r="BD109" s="250"/>
      <c r="BE109" s="250"/>
      <c r="BF109" s="250"/>
      <c r="BG109" s="250"/>
      <c r="BH109" s="250"/>
      <c r="BI109" s="250"/>
      <c r="BJ109" s="250"/>
      <c r="BK109" s="250"/>
      <c r="BL109" s="250"/>
      <c r="BM109" s="250"/>
      <c r="BN109" s="250"/>
      <c r="BO109" s="250"/>
      <c r="BP109" s="250"/>
      <c r="BQ109" s="250"/>
      <c r="BR109" s="250"/>
      <c r="BS109" s="250"/>
      <c r="BT109" s="250"/>
      <c r="BU109" s="250"/>
      <c r="BV109" s="250"/>
      <c r="BW109" s="250"/>
      <c r="BX109" s="250"/>
      <c r="BY109" s="250"/>
      <c r="BZ109" s="250"/>
    </row>
    <row r="110" spans="1:78" x14ac:dyDescent="0.25">
      <c r="A110" s="49" t="s">
        <v>801</v>
      </c>
      <c r="B110" s="771">
        <f t="shared" si="104"/>
        <v>20.712273078075484</v>
      </c>
      <c r="C110" s="534">
        <f t="shared" si="104"/>
        <v>138.08182052050324</v>
      </c>
      <c r="D110" s="320">
        <f t="shared" si="105"/>
        <v>5178.0682695188707</v>
      </c>
      <c r="E110" s="440">
        <f t="shared" si="105"/>
        <v>414.24546156150961</v>
      </c>
      <c r="F110" s="325">
        <f>44/12*'Livestock prod. DISCOUNTED'!DR72</f>
        <v>18.627249389315459</v>
      </c>
      <c r="G110" s="531">
        <f>44/12*'Livestock prod. DISCOUNTED'!DS72</f>
        <v>124.18166259543641</v>
      </c>
      <c r="H110" s="325">
        <f>44/12*'Livestock prod. DISCOUNTED'!DT72</f>
        <v>4656.8123473288642</v>
      </c>
      <c r="I110" s="328">
        <f>44/12*'Livestock prod. DISCOUNTED'!DU72</f>
        <v>372.54498778630909</v>
      </c>
      <c r="J110" s="328">
        <f>44/12*'Livestock prod. DISCOUNTED'!DV72</f>
        <v>22.797296766835508</v>
      </c>
      <c r="K110" s="538">
        <f>44/12*'Livestock prod. DISCOUNTED'!DW72</f>
        <v>151.98197844557006</v>
      </c>
      <c r="L110" s="328">
        <f>44/12*'Livestock prod. DISCOUNTED'!DX72</f>
        <v>5699.3241917088772</v>
      </c>
      <c r="M110" s="328">
        <f>44/12*'Livestock prod. DISCOUNTED'!DY72</f>
        <v>455.94593533671014</v>
      </c>
      <c r="N110" s="762"/>
      <c r="O110" s="325"/>
      <c r="P110" s="325"/>
      <c r="Q110" s="325"/>
      <c r="R110" s="323"/>
      <c r="S110" s="323"/>
      <c r="T110" s="325"/>
      <c r="U110" s="325"/>
      <c r="V110" s="323"/>
      <c r="W110" s="323"/>
      <c r="X110" s="325"/>
      <c r="Y110" s="325"/>
      <c r="Z110" s="762"/>
      <c r="AA110" s="328"/>
      <c r="AB110" s="328"/>
      <c r="AC110" s="328"/>
      <c r="AD110" s="328"/>
      <c r="AE110" s="328"/>
      <c r="AF110" s="328"/>
      <c r="AG110" s="328"/>
      <c r="AH110" s="328"/>
      <c r="AI110" s="328"/>
      <c r="AJ110" s="328"/>
      <c r="AK110" s="328"/>
      <c r="AL110" s="766">
        <f>'Livestock prod. DISCOUNTED'!EF72</f>
        <v>1.2264370145358872</v>
      </c>
      <c r="AM110" s="535">
        <f>'Livestock prod. DISCOUNTED'!EG72</f>
        <v>8.176246763572582</v>
      </c>
      <c r="AN110" s="325">
        <f>'Livestock prod. DISCOUNTED'!EH72</f>
        <v>306.60925363397178</v>
      </c>
      <c r="AO110" s="442">
        <f>'Livestock prod. DISCOUNTED'!EI72</f>
        <v>24.528740290717742</v>
      </c>
      <c r="AP110" s="764">
        <f>'Livestock prod. DISCOUNTED'!EO72</f>
        <v>4.7324959732465084</v>
      </c>
      <c r="AQ110" s="534">
        <f>'Livestock prod. DISCOUNTED'!EP72</f>
        <v>31.549973154976723</v>
      </c>
      <c r="AR110" s="325">
        <f>'Livestock prod. DISCOUNTED'!EQ72</f>
        <v>1183.1239933116269</v>
      </c>
      <c r="AS110" s="441">
        <f>'Livestock prod. DISCOUNTED'!ER72</f>
        <v>94.64991946493015</v>
      </c>
      <c r="AT110" s="764">
        <f t="shared" si="106"/>
        <v>26.671206065857877</v>
      </c>
      <c r="AU110" s="534">
        <f t="shared" si="106"/>
        <v>177.80804043905255</v>
      </c>
      <c r="AV110" s="325">
        <f t="shared" si="107"/>
        <v>6667.8015164644694</v>
      </c>
      <c r="AW110" s="325">
        <f t="shared" si="107"/>
        <v>533.42412131715753</v>
      </c>
      <c r="AX110" s="323">
        <f t="shared" si="108"/>
        <v>24.586182377097852</v>
      </c>
      <c r="AY110" s="534">
        <f t="shared" si="108"/>
        <v>163.90788251398573</v>
      </c>
      <c r="AZ110" s="325">
        <f t="shared" si="109"/>
        <v>6146.5455942744629</v>
      </c>
      <c r="BA110" s="325">
        <f t="shared" si="109"/>
        <v>491.72364754195701</v>
      </c>
      <c r="BB110" s="250"/>
      <c r="BC110" s="250"/>
      <c r="BD110" s="250"/>
      <c r="BE110" s="250"/>
      <c r="BF110" s="250"/>
      <c r="BG110" s="250"/>
      <c r="BH110" s="250"/>
      <c r="BI110" s="250"/>
      <c r="BJ110" s="250"/>
      <c r="BK110" s="250"/>
      <c r="BL110" s="250"/>
      <c r="BM110" s="250"/>
      <c r="BN110" s="250"/>
      <c r="BO110" s="250"/>
      <c r="BP110" s="250"/>
      <c r="BQ110" s="250"/>
      <c r="BR110" s="250"/>
      <c r="BS110" s="250"/>
      <c r="BT110" s="250"/>
      <c r="BU110" s="250"/>
      <c r="BV110" s="250"/>
      <c r="BW110" s="250"/>
      <c r="BX110" s="250"/>
      <c r="BY110" s="250"/>
      <c r="BZ110" s="250"/>
    </row>
    <row r="111" spans="1:78" x14ac:dyDescent="0.25">
      <c r="A111" s="4" t="s">
        <v>803</v>
      </c>
      <c r="B111" s="770">
        <f t="shared" si="104"/>
        <v>7.5467896967391042</v>
      </c>
      <c r="C111" s="533">
        <f t="shared" si="104"/>
        <v>59.895156323326219</v>
      </c>
      <c r="D111" s="296">
        <f t="shared" si="105"/>
        <v>2728.8766850394109</v>
      </c>
      <c r="E111" s="298">
        <f t="shared" si="105"/>
        <v>224.96502306165564</v>
      </c>
      <c r="F111" s="188">
        <f>44/12*'Livestock prod. DISCOUNTED'!DR79</f>
        <v>6.7979337781253211</v>
      </c>
      <c r="G111" s="532">
        <f>44/12*'Livestock prod. DISCOUNTED'!DS79</f>
        <v>53.951855381946991</v>
      </c>
      <c r="H111" s="188">
        <f>44/12*'Livestock prod. DISCOUNTED'!DT79</f>
        <v>2458.094599029791</v>
      </c>
      <c r="I111" s="193">
        <f>44/12*'Livestock prod. DISCOUNTED'!DU79</f>
        <v>202.64210222107627</v>
      </c>
      <c r="J111" s="193">
        <f>44/12*'Livestock prod. DISCOUNTED'!DV79</f>
        <v>8.2956456153528872</v>
      </c>
      <c r="K111" s="539">
        <f>44/12*'Livestock prod. DISCOUNTED'!DW79</f>
        <v>65.838457264705454</v>
      </c>
      <c r="L111" s="193">
        <f>44/12*'Livestock prod. DISCOUNTED'!DX79</f>
        <v>2999.6587710490307</v>
      </c>
      <c r="M111" s="193">
        <f>44/12*'Livestock prod. DISCOUNTED'!DY79</f>
        <v>247.28794390223501</v>
      </c>
      <c r="AA111" s="193"/>
      <c r="AB111" s="193"/>
      <c r="AC111" s="193"/>
      <c r="AD111" s="193"/>
      <c r="AE111" s="193"/>
      <c r="AF111" s="193"/>
      <c r="AG111" s="193"/>
      <c r="AH111" s="193"/>
      <c r="AI111" s="193"/>
      <c r="AJ111" s="193"/>
      <c r="AK111" s="193"/>
      <c r="AL111" s="761">
        <f>'Livestock prod. DISCOUNTED'!EF79</f>
        <v>0.45782198917681249</v>
      </c>
      <c r="AM111" s="536">
        <f>'Livestock prod. DISCOUNTED'!EG79</f>
        <v>3.633507850609623</v>
      </c>
      <c r="AN111" s="188">
        <f>'Livestock prod. DISCOUNTED'!EH79</f>
        <v>165.54585490871662</v>
      </c>
      <c r="AO111" s="416">
        <f>'Livestock prod. DISCOUNTED'!EI79</f>
        <v>13.64738365477408</v>
      </c>
      <c r="AP111" s="765">
        <f>'Livestock prod. DISCOUNTED'!EO79</f>
        <v>2.6381878838096329</v>
      </c>
      <c r="AQ111" s="533">
        <f>'Livestock prod. DISCOUNTED'!EP79</f>
        <v>20.937999077854229</v>
      </c>
      <c r="AR111" s="188">
        <f>'Livestock prod. DISCOUNTED'!EQ79</f>
        <v>953.95389247328751</v>
      </c>
      <c r="AS111" s="205">
        <f>'Livestock prod. DISCOUNTED'!ER79</f>
        <v>78.64271060563145</v>
      </c>
      <c r="AT111" s="765">
        <f t="shared" si="106"/>
        <v>10.64279956972555</v>
      </c>
      <c r="AU111" s="533">
        <f t="shared" si="106"/>
        <v>84.466663251790067</v>
      </c>
      <c r="AV111" s="188">
        <f t="shared" si="107"/>
        <v>3848.3764324214148</v>
      </c>
      <c r="AW111" s="188">
        <f t="shared" si="107"/>
        <v>317.25511732206115</v>
      </c>
      <c r="AX111" s="189">
        <f t="shared" si="108"/>
        <v>9.8939436511117655</v>
      </c>
      <c r="AY111" s="533">
        <f t="shared" si="108"/>
        <v>78.523362310410846</v>
      </c>
      <c r="AZ111" s="188">
        <f t="shared" si="109"/>
        <v>3577.594346411795</v>
      </c>
      <c r="BA111" s="188">
        <f t="shared" si="109"/>
        <v>294.93219648148181</v>
      </c>
      <c r="BB111" s="250"/>
      <c r="BC111" s="250"/>
      <c r="BD111" s="250"/>
      <c r="BE111" s="250"/>
      <c r="BF111" s="250"/>
      <c r="BG111" s="250"/>
      <c r="BH111" s="250"/>
      <c r="BI111" s="250"/>
      <c r="BJ111" s="250"/>
      <c r="BK111" s="250"/>
      <c r="BL111" s="250"/>
      <c r="BM111" s="250"/>
      <c r="BN111" s="250"/>
      <c r="BO111" s="250"/>
      <c r="BP111" s="250"/>
      <c r="BQ111" s="250"/>
      <c r="BR111" s="250"/>
      <c r="BS111" s="250"/>
      <c r="BT111" s="250"/>
      <c r="BU111" s="250"/>
      <c r="BV111" s="250"/>
      <c r="BW111" s="250"/>
      <c r="BX111" s="250"/>
      <c r="BY111" s="250"/>
      <c r="BZ111" s="250"/>
    </row>
    <row r="112" spans="1:78" x14ac:dyDescent="0.25">
      <c r="A112" s="4" t="s">
        <v>804</v>
      </c>
      <c r="B112" s="770">
        <f t="shared" si="104"/>
        <v>36.839919418644371</v>
      </c>
      <c r="C112" s="533">
        <f t="shared" si="104"/>
        <v>245.59946279096246</v>
      </c>
      <c r="D112" s="296">
        <f t="shared" si="105"/>
        <v>8269.2379022934383</v>
      </c>
      <c r="E112" s="298">
        <f t="shared" si="105"/>
        <v>618.04954349846344</v>
      </c>
      <c r="F112" s="188">
        <f>44/12*'Livestock prod. DISCOUNTED'!DR81</f>
        <v>33.13138852054648</v>
      </c>
      <c r="G112" s="532">
        <f>44/12*'Livestock prod. DISCOUNTED'!DS81</f>
        <v>220.87592347030989</v>
      </c>
      <c r="H112" s="188">
        <f>44/12*'Livestock prod. DISCOUNTED'!DT81</f>
        <v>7436.8059983067769</v>
      </c>
      <c r="I112" s="193">
        <f>44/12*'Livestock prod. DISCOUNTED'!DU81</f>
        <v>555.83290826175994</v>
      </c>
      <c r="J112" s="193">
        <f>44/12*'Livestock prod. DISCOUNTED'!DV81</f>
        <v>40.548450316742255</v>
      </c>
      <c r="K112" s="539">
        <f>44/12*'Livestock prod. DISCOUNTED'!DW81</f>
        <v>270.32300211161504</v>
      </c>
      <c r="L112" s="193">
        <f>44/12*'Livestock prod. DISCOUNTED'!DX81</f>
        <v>9101.6698062801006</v>
      </c>
      <c r="M112" s="193">
        <f>44/12*'Livestock prod. DISCOUNTED'!DY81</f>
        <v>680.26617873516682</v>
      </c>
      <c r="AA112" s="193"/>
      <c r="AB112" s="193"/>
      <c r="AC112" s="193"/>
      <c r="AD112" s="193"/>
      <c r="AE112" s="193"/>
      <c r="AF112" s="193"/>
      <c r="AG112" s="193"/>
      <c r="AH112" s="193"/>
      <c r="AI112" s="193"/>
      <c r="AJ112" s="193"/>
      <c r="AK112" s="193"/>
      <c r="AL112" s="761">
        <f>'Livestock prod. DISCOUNTED'!EF81</f>
        <v>2.1814042629329315</v>
      </c>
      <c r="AM112" s="536">
        <f>'Livestock prod. DISCOUNTED'!EG81</f>
        <v>14.542695086219544</v>
      </c>
      <c r="AN112" s="188">
        <f>'Livestock prod. DISCOUNTED'!EH81</f>
        <v>489.64685851457989</v>
      </c>
      <c r="AO112" s="416">
        <f>'Livestock prod. DISCOUNTED'!EI81</f>
        <v>36.59660309161751</v>
      </c>
      <c r="AP112" s="765">
        <f>'Livestock prod. DISCOUNTED'!EO81</f>
        <v>8.4174619389317105</v>
      </c>
      <c r="AQ112" s="533">
        <f>'Livestock prod. DISCOUNTED'!EP81</f>
        <v>56.116412926211403</v>
      </c>
      <c r="AR112" s="188">
        <f>'Livestock prod. DISCOUNTED'!EQ81</f>
        <v>1889.4176861662602</v>
      </c>
      <c r="AS112" s="205">
        <f>'Livestock prod. DISCOUNTED'!ER81</f>
        <v>141.21660934305788</v>
      </c>
      <c r="AT112" s="765">
        <f t="shared" si="106"/>
        <v>47.438785620509009</v>
      </c>
      <c r="AU112" s="533">
        <f t="shared" si="106"/>
        <v>316.25857080339341</v>
      </c>
      <c r="AV112" s="188">
        <f t="shared" si="107"/>
        <v>10648.302446974278</v>
      </c>
      <c r="AW112" s="188">
        <f t="shared" si="107"/>
        <v>795.86275593313871</v>
      </c>
      <c r="AX112" s="189">
        <f t="shared" si="108"/>
        <v>43.730254722411118</v>
      </c>
      <c r="AY112" s="533">
        <f t="shared" si="108"/>
        <v>291.53503148274081</v>
      </c>
      <c r="AZ112" s="188">
        <f t="shared" si="109"/>
        <v>9815.8705429876172</v>
      </c>
      <c r="BA112" s="188">
        <f t="shared" si="109"/>
        <v>733.64612069643522</v>
      </c>
      <c r="BB112" s="250"/>
      <c r="BC112" s="250"/>
      <c r="BD112" s="250"/>
      <c r="BE112" s="250"/>
      <c r="BF112" s="250"/>
      <c r="BG112" s="250"/>
      <c r="BH112" s="250"/>
      <c r="BI112" s="250"/>
      <c r="BJ112" s="250"/>
      <c r="BK112" s="250"/>
      <c r="BL112" s="250"/>
      <c r="BM112" s="250"/>
      <c r="BN112" s="250"/>
      <c r="BO112" s="250"/>
      <c r="BP112" s="250"/>
      <c r="BQ112" s="250"/>
      <c r="BR112" s="250"/>
      <c r="BS112" s="250"/>
      <c r="BT112" s="250"/>
      <c r="BU112" s="250"/>
      <c r="BV112" s="250"/>
      <c r="BW112" s="250"/>
      <c r="BX112" s="250"/>
      <c r="BY112" s="250"/>
      <c r="BZ112" s="250"/>
    </row>
    <row r="113" spans="1:78" x14ac:dyDescent="0.25">
      <c r="A113" s="202"/>
      <c r="C113" s="532"/>
      <c r="F113" s="189"/>
      <c r="G113" s="533"/>
      <c r="I113" s="250"/>
      <c r="J113" s="192"/>
      <c r="K113" s="540"/>
      <c r="L113" s="193"/>
      <c r="M113" s="250"/>
      <c r="Z113" s="772"/>
      <c r="AA113" s="250"/>
      <c r="AB113" s="250"/>
      <c r="AC113" s="250"/>
      <c r="AD113" s="250"/>
      <c r="AE113" s="250"/>
      <c r="AF113" s="250"/>
      <c r="AG113" s="250"/>
      <c r="AH113" s="250"/>
      <c r="AI113" s="250"/>
      <c r="AJ113" s="250"/>
      <c r="AK113" s="250"/>
      <c r="AL113" s="765"/>
      <c r="AM113" s="533"/>
      <c r="AN113" s="187"/>
      <c r="AO113" s="189"/>
      <c r="AQ113" s="533"/>
      <c r="AU113" s="537"/>
      <c r="AV113" s="188"/>
      <c r="AW113" s="188"/>
      <c r="AY113" s="537"/>
      <c r="AZ113" s="188"/>
      <c r="BA113" s="188"/>
      <c r="BB113" s="250"/>
      <c r="BC113" s="250"/>
      <c r="BD113" s="250"/>
      <c r="BE113" s="250"/>
      <c r="BF113" s="250"/>
      <c r="BG113" s="250"/>
      <c r="BH113" s="250"/>
      <c r="BI113" s="250"/>
      <c r="BJ113" s="250"/>
      <c r="BK113" s="250"/>
      <c r="BL113" s="250"/>
      <c r="BM113" s="250"/>
      <c r="BN113" s="250"/>
      <c r="BO113" s="250"/>
      <c r="BP113" s="250"/>
      <c r="BQ113" s="250"/>
      <c r="BR113" s="250"/>
      <c r="BS113" s="250"/>
      <c r="BT113" s="250"/>
      <c r="BU113" s="250"/>
      <c r="BV113" s="250"/>
      <c r="BW113" s="250"/>
      <c r="BX113" s="250"/>
      <c r="BY113" s="250"/>
      <c r="BZ113" s="250"/>
    </row>
    <row r="114" spans="1:78" ht="13.8" x14ac:dyDescent="0.3">
      <c r="A114" s="206" t="s">
        <v>449</v>
      </c>
      <c r="C114" s="532"/>
      <c r="F114" s="189"/>
      <c r="G114" s="533"/>
      <c r="I114" s="250"/>
      <c r="J114" s="192"/>
      <c r="K114" s="540"/>
      <c r="L114" s="193"/>
      <c r="M114" s="250"/>
      <c r="Z114" s="772"/>
      <c r="AA114" s="250"/>
      <c r="AB114" s="250"/>
      <c r="AC114" s="250"/>
      <c r="AD114" s="250"/>
      <c r="AE114" s="250"/>
      <c r="AF114" s="250"/>
      <c r="AG114" s="250"/>
      <c r="AH114" s="250"/>
      <c r="AI114" s="250"/>
      <c r="AJ114" s="250"/>
      <c r="AK114" s="250"/>
      <c r="AL114" s="765"/>
      <c r="AM114" s="533"/>
      <c r="AN114" s="187"/>
      <c r="AO114" s="189"/>
      <c r="AQ114" s="533"/>
      <c r="AU114" s="537"/>
      <c r="AV114" s="188"/>
      <c r="AW114" s="188"/>
      <c r="AY114" s="537"/>
      <c r="AZ114" s="188"/>
      <c r="BA114" s="188"/>
      <c r="BB114" s="250"/>
      <c r="BC114" s="250"/>
      <c r="BD114" s="250"/>
      <c r="BE114" s="250"/>
      <c r="BF114" s="250"/>
      <c r="BG114" s="250"/>
      <c r="BH114" s="250"/>
      <c r="BI114" s="250"/>
      <c r="BJ114" s="250"/>
      <c r="BK114" s="250"/>
      <c r="BL114" s="250"/>
      <c r="BM114" s="250"/>
      <c r="BN114" s="250"/>
      <c r="BO114" s="250"/>
      <c r="BP114" s="250"/>
      <c r="BQ114" s="250"/>
      <c r="BR114" s="250"/>
      <c r="BS114" s="250"/>
      <c r="BT114" s="250"/>
      <c r="BU114" s="250"/>
      <c r="BV114" s="250"/>
      <c r="BW114" s="250"/>
      <c r="BX114" s="250"/>
      <c r="BY114" s="250"/>
      <c r="BZ114" s="250"/>
    </row>
    <row r="115" spans="1:78" x14ac:dyDescent="0.25">
      <c r="A115" s="204" t="s">
        <v>114</v>
      </c>
      <c r="B115" s="770">
        <f t="shared" ref="B115:C117" si="110">(F115+J115)/2</f>
        <v>14.312710947399836</v>
      </c>
      <c r="C115" s="533">
        <f t="shared" si="110"/>
        <v>34.909051091219112</v>
      </c>
      <c r="D115" s="296">
        <f t="shared" ref="D115:E117" si="111">(H115+L115)/2</f>
        <v>1626.4444258408907</v>
      </c>
      <c r="E115" s="298">
        <f t="shared" si="111"/>
        <v>106.02008109185064</v>
      </c>
      <c r="F115" s="188">
        <f>44/12*'Livestock prod. DISCOUNTED'!DR87</f>
        <v>13.540256778592546</v>
      </c>
      <c r="G115" s="532">
        <f>44/12*'Livestock prod. DISCOUNTED'!DS87</f>
        <v>33.025016533152552</v>
      </c>
      <c r="H115" s="188">
        <f>44/12*'Livestock prod. DISCOUNTED'!DT87</f>
        <v>1538.6655430218802</v>
      </c>
      <c r="I115" s="193">
        <f>44/12*'Livestock prod. DISCOUNTED'!DU87</f>
        <v>100.29819835994478</v>
      </c>
      <c r="J115" s="193">
        <f>44/12*'Livestock prod. DISCOUNTED'!DV87</f>
        <v>15.085165116207127</v>
      </c>
      <c r="K115" s="539">
        <f>44/12*'Livestock prod. DISCOUNTED'!DW87</f>
        <v>36.793085649285679</v>
      </c>
      <c r="L115" s="193">
        <f>44/12*'Livestock prod. DISCOUNTED'!DX87</f>
        <v>1714.223308659901</v>
      </c>
      <c r="M115" s="193">
        <f>44/12*'Livestock prod. DISCOUNTED'!DY87</f>
        <v>111.74196382375649</v>
      </c>
      <c r="AA115" s="193"/>
      <c r="AB115" s="193"/>
      <c r="AC115" s="193"/>
      <c r="AD115" s="193"/>
      <c r="AE115" s="193"/>
      <c r="AF115" s="193"/>
      <c r="AG115" s="193"/>
      <c r="AH115" s="193"/>
      <c r="AI115" s="193"/>
      <c r="AJ115" s="193"/>
      <c r="AK115" s="193"/>
      <c r="AL115" s="765">
        <f>'Livestock prod. DISCOUNTED'!EF87</f>
        <v>0.79776678533190482</v>
      </c>
      <c r="AM115" s="533">
        <f>'Livestock prod. DISCOUNTED'!EG87</f>
        <v>1.9457726471509875</v>
      </c>
      <c r="AN115" s="188">
        <f>'Livestock prod. DISCOUNTED'!EH87</f>
        <v>90.655316514989181</v>
      </c>
      <c r="AO115" s="416">
        <f>'Livestock prod. DISCOUNTED'!EI87</f>
        <v>5.9093835950511462</v>
      </c>
      <c r="AP115" s="765">
        <f>'Livestock prod. DISCOUNTED'!EO87</f>
        <v>5.4581324033851963</v>
      </c>
      <c r="AQ115" s="533">
        <f>'Livestock prod. DISCOUNTED'!EP87</f>
        <v>13.312518057037066</v>
      </c>
      <c r="AR115" s="188">
        <f>'Livestock prod. DISCOUNTED'!EQ87</f>
        <v>620.24231856649953</v>
      </c>
      <c r="AS115" s="205">
        <f>'Livestock prod. DISCOUNTED'!ER87</f>
        <v>40.430610395445896</v>
      </c>
      <c r="AT115" s="765">
        <f t="shared" ref="AT115:AU117" si="112">B115+AL115+AP115</f>
        <v>20.568610136116938</v>
      </c>
      <c r="AU115" s="533">
        <f t="shared" si="112"/>
        <v>50.167341795407168</v>
      </c>
      <c r="AV115" s="188">
        <f t="shared" ref="AV115:AW117" si="113">D115+AN115+AR115</f>
        <v>2337.3420609223795</v>
      </c>
      <c r="AW115" s="188">
        <f t="shared" si="113"/>
        <v>152.36007508234769</v>
      </c>
      <c r="AX115" s="189">
        <f t="shared" ref="AX115:AY117" si="114">F115+AL115+AP115</f>
        <v>19.796155967309648</v>
      </c>
      <c r="AY115" s="533">
        <f t="shared" si="114"/>
        <v>48.283307237340608</v>
      </c>
      <c r="AZ115" s="188">
        <f t="shared" ref="AZ115:BA117" si="115">H115+AN115+AR115</f>
        <v>2249.563178103369</v>
      </c>
      <c r="BA115" s="188">
        <f t="shared" si="115"/>
        <v>146.63819235044184</v>
      </c>
      <c r="BB115" s="250"/>
      <c r="BC115" s="250"/>
      <c r="BD115" s="250"/>
      <c r="BE115" s="250"/>
      <c r="BF115" s="250"/>
      <c r="BG115" s="250"/>
      <c r="BH115" s="250"/>
      <c r="BI115" s="250"/>
      <c r="BJ115" s="250"/>
      <c r="BK115" s="250"/>
      <c r="BL115" s="250"/>
      <c r="BM115" s="250"/>
      <c r="BN115" s="250"/>
      <c r="BO115" s="250"/>
      <c r="BP115" s="250"/>
      <c r="BQ115" s="250"/>
      <c r="BR115" s="250"/>
      <c r="BS115" s="250"/>
      <c r="BT115" s="250"/>
      <c r="BU115" s="250"/>
      <c r="BV115" s="250"/>
      <c r="BW115" s="250"/>
      <c r="BX115" s="250"/>
      <c r="BY115" s="250"/>
      <c r="BZ115" s="250"/>
    </row>
    <row r="116" spans="1:78" x14ac:dyDescent="0.25">
      <c r="A116" s="204" t="s">
        <v>113</v>
      </c>
      <c r="B116" s="770">
        <f t="shared" si="110"/>
        <v>10.811967679720134</v>
      </c>
      <c r="C116" s="533">
        <f t="shared" si="110"/>
        <v>27.029919199300334</v>
      </c>
      <c r="D116" s="296">
        <f t="shared" si="111"/>
        <v>1501.6621777389078</v>
      </c>
      <c r="E116" s="298">
        <f t="shared" si="111"/>
        <v>80.088649479408417</v>
      </c>
      <c r="F116" s="188">
        <f>44/12*'Livestock prod. DISCOUNTED'!DR89</f>
        <v>10.15768863630689</v>
      </c>
      <c r="G116" s="532">
        <f>44/12*'Livestock prod. DISCOUNTED'!DS89</f>
        <v>25.394221590767224</v>
      </c>
      <c r="H116" s="188">
        <f>44/12*'Livestock prod. DISCOUNTED'!DT89</f>
        <v>1410.7900883759571</v>
      </c>
      <c r="I116" s="193">
        <f>44/12*'Livestock prod. DISCOUNTED'!DU89</f>
        <v>75.242138046717713</v>
      </c>
      <c r="J116" s="193">
        <f>44/12*'Livestock prod. DISCOUNTED'!DV89</f>
        <v>11.466246723133379</v>
      </c>
      <c r="K116" s="539">
        <f>44/12*'Livestock prod. DISCOUNTED'!DW89</f>
        <v>28.665616807833445</v>
      </c>
      <c r="L116" s="193">
        <f>44/12*'Livestock prod. DISCOUNTED'!DX89</f>
        <v>1592.5342671018582</v>
      </c>
      <c r="M116" s="193">
        <f>44/12*'Livestock prod. DISCOUNTED'!DY89</f>
        <v>84.935160912099107</v>
      </c>
      <c r="AA116" s="193"/>
      <c r="AB116" s="193"/>
      <c r="AC116" s="193"/>
      <c r="AD116" s="193"/>
      <c r="AE116" s="193"/>
      <c r="AF116" s="193"/>
      <c r="AG116" s="193"/>
      <c r="AH116" s="193"/>
      <c r="AI116" s="193"/>
      <c r="AJ116" s="193"/>
      <c r="AK116" s="193"/>
      <c r="AL116" s="761">
        <f>'Livestock prod. DISCOUNTED'!EF89</f>
        <v>0.52855620722913899</v>
      </c>
      <c r="AM116" s="536">
        <f>'Livestock prod. DISCOUNTED'!EG89</f>
        <v>1.3213905180728474</v>
      </c>
      <c r="AN116" s="188">
        <f>'Livestock prod. DISCOUNTED'!EH89</f>
        <v>73.410584337380413</v>
      </c>
      <c r="AO116" s="416">
        <f>'Livestock prod. DISCOUNTED'!EI89</f>
        <v>3.9152311646602889</v>
      </c>
      <c r="AP116" s="765">
        <f>'Livestock prod. DISCOUNTED'!EO89</f>
        <v>3.7227070205998003</v>
      </c>
      <c r="AQ116" s="533">
        <f>'Livestock prod. DISCOUNTED'!EP89</f>
        <v>9.306767551499501</v>
      </c>
      <c r="AR116" s="188">
        <f>'Livestock prod. DISCOUNTED'!EQ89</f>
        <v>517.04264174997229</v>
      </c>
      <c r="AS116" s="205">
        <f>'Livestock prod. DISCOUNTED'!ER89</f>
        <v>27.57560755999852</v>
      </c>
      <c r="AT116" s="765">
        <f t="shared" si="112"/>
        <v>15.063230907549073</v>
      </c>
      <c r="AU116" s="533">
        <f t="shared" si="112"/>
        <v>37.658077268872681</v>
      </c>
      <c r="AV116" s="188">
        <f t="shared" si="113"/>
        <v>2092.1154038262603</v>
      </c>
      <c r="AW116" s="188">
        <f t="shared" si="113"/>
        <v>111.57948820406722</v>
      </c>
      <c r="AX116" s="189">
        <f t="shared" si="114"/>
        <v>14.40895186413583</v>
      </c>
      <c r="AY116" s="533">
        <f t="shared" si="114"/>
        <v>36.022379660339567</v>
      </c>
      <c r="AZ116" s="188">
        <f t="shared" si="115"/>
        <v>2001.2433144633098</v>
      </c>
      <c r="BA116" s="188">
        <f t="shared" si="115"/>
        <v>106.73297677137651</v>
      </c>
      <c r="BB116" s="250"/>
      <c r="BC116" s="250"/>
      <c r="BD116" s="250"/>
      <c r="BE116" s="250"/>
      <c r="BF116" s="250"/>
      <c r="BG116" s="250"/>
      <c r="BH116" s="250"/>
      <c r="BI116" s="250"/>
      <c r="BJ116" s="250"/>
      <c r="BK116" s="250"/>
      <c r="BL116" s="250"/>
      <c r="BM116" s="250"/>
      <c r="BN116" s="250"/>
      <c r="BO116" s="250"/>
      <c r="BP116" s="250"/>
      <c r="BQ116" s="250"/>
      <c r="BR116" s="250"/>
      <c r="BS116" s="250"/>
      <c r="BT116" s="250"/>
      <c r="BU116" s="250"/>
      <c r="BV116" s="250"/>
      <c r="BW116" s="250"/>
      <c r="BX116" s="250"/>
      <c r="BY116" s="250"/>
      <c r="BZ116" s="250"/>
    </row>
    <row r="117" spans="1:78" x14ac:dyDescent="0.25">
      <c r="A117" s="204" t="s">
        <v>115</v>
      </c>
      <c r="B117" s="770">
        <f t="shared" si="110"/>
        <v>10.787450746206027</v>
      </c>
      <c r="C117" s="533">
        <f t="shared" si="110"/>
        <v>33.710783581893828</v>
      </c>
      <c r="D117" s="296">
        <f t="shared" si="111"/>
        <v>1926.3304903939334</v>
      </c>
      <c r="E117" s="298">
        <f t="shared" si="111"/>
        <v>98.067734056418431</v>
      </c>
      <c r="F117" s="188">
        <f>44/12*'Livestock prod. DISCOUNTED'!DR91</f>
        <v>10.134655328741564</v>
      </c>
      <c r="G117" s="532">
        <f>44/12*'Livestock prod. DISCOUNTED'!DS91</f>
        <v>31.670797902317386</v>
      </c>
      <c r="H117" s="188">
        <f>44/12*'Livestock prod. DISCOUNTED'!DT91</f>
        <v>1809.7598801324223</v>
      </c>
      <c r="I117" s="193">
        <f>44/12*'Livestock prod. DISCOUNTED'!DU91</f>
        <v>92.13323026128694</v>
      </c>
      <c r="J117" s="193">
        <f>44/12*'Livestock prod. DISCOUNTED'!DV91</f>
        <v>11.440246163670487</v>
      </c>
      <c r="K117" s="539">
        <f>44/12*'Livestock prod. DISCOUNTED'!DW91</f>
        <v>35.750769261470268</v>
      </c>
      <c r="L117" s="193">
        <f>44/12*'Livestock prod. DISCOUNTED'!DX91</f>
        <v>2042.9011006554447</v>
      </c>
      <c r="M117" s="193">
        <f>44/12*'Livestock prod. DISCOUNTED'!DY91</f>
        <v>104.00223785154991</v>
      </c>
      <c r="R117" s="187"/>
      <c r="S117" s="187"/>
      <c r="T117" s="187"/>
      <c r="U117" s="187"/>
      <c r="V117" s="187"/>
      <c r="W117" s="187"/>
      <c r="X117" s="187"/>
      <c r="Y117" s="187"/>
      <c r="AA117" s="193"/>
      <c r="AB117" s="193"/>
      <c r="AC117" s="193"/>
      <c r="AD117" s="193"/>
      <c r="AE117" s="193"/>
      <c r="AF117" s="193"/>
      <c r="AG117" s="193"/>
      <c r="AH117" s="193"/>
      <c r="AI117" s="193"/>
      <c r="AJ117" s="193"/>
      <c r="AK117" s="193"/>
      <c r="AL117" s="761">
        <f>'Livestock prod. DISCOUNTED'!EF91</f>
        <v>0.52735766707669196</v>
      </c>
      <c r="AM117" s="536">
        <f>'Livestock prod. DISCOUNTED'!EG91</f>
        <v>1.6479927096146623</v>
      </c>
      <c r="AN117" s="188">
        <f>'Livestock prod. DISCOUNTED'!EH91</f>
        <v>94.171011977980712</v>
      </c>
      <c r="AO117" s="416">
        <f>'Livestock prod. DISCOUNTED'!EI91</f>
        <v>4.7941606097881087</v>
      </c>
      <c r="AP117" s="765">
        <f>'Livestock prod. DISCOUNTED'!EO91</f>
        <v>3.6213217439090992</v>
      </c>
      <c r="AQ117" s="533">
        <f>'Livestock prod. DISCOUNTED'!EP91</f>
        <v>11.316630449715936</v>
      </c>
      <c r="AR117" s="188">
        <f>'Livestock prod. DISCOUNTED'!EQ91</f>
        <v>646.66459712662493</v>
      </c>
      <c r="AS117" s="205">
        <f>'Livestock prod. DISCOUNTED'!ER91</f>
        <v>32.921106762809991</v>
      </c>
      <c r="AT117" s="765">
        <f t="shared" si="112"/>
        <v>14.936130157191819</v>
      </c>
      <c r="AU117" s="533">
        <f t="shared" si="112"/>
        <v>46.675406741224428</v>
      </c>
      <c r="AV117" s="188">
        <f t="shared" si="113"/>
        <v>2667.1660994985391</v>
      </c>
      <c r="AW117" s="188">
        <f t="shared" si="113"/>
        <v>135.78300142901654</v>
      </c>
      <c r="AX117" s="189">
        <f t="shared" si="114"/>
        <v>14.283334739727355</v>
      </c>
      <c r="AY117" s="533">
        <f t="shared" si="114"/>
        <v>44.635421061647982</v>
      </c>
      <c r="AZ117" s="188">
        <f t="shared" si="115"/>
        <v>2550.5954892370278</v>
      </c>
      <c r="BA117" s="188">
        <f t="shared" si="115"/>
        <v>129.84849763388505</v>
      </c>
      <c r="BB117" s="250"/>
      <c r="BC117" s="250"/>
      <c r="BD117" s="250"/>
      <c r="BE117" s="250"/>
      <c r="BF117" s="250"/>
      <c r="BG117" s="250"/>
      <c r="BH117" s="250"/>
      <c r="BI117" s="250"/>
      <c r="BJ117" s="250"/>
      <c r="BK117" s="250"/>
      <c r="BL117" s="250"/>
      <c r="BM117" s="250"/>
      <c r="BN117" s="250"/>
      <c r="BO117" s="250"/>
      <c r="BP117" s="250"/>
      <c r="BQ117" s="250"/>
      <c r="BR117" s="250"/>
      <c r="BS117" s="250"/>
      <c r="BT117" s="250"/>
      <c r="BU117" s="250"/>
      <c r="BV117" s="250"/>
      <c r="BW117" s="250"/>
      <c r="BX117" s="250"/>
      <c r="BY117" s="250"/>
      <c r="BZ117" s="250"/>
    </row>
    <row r="118" spans="1:78" x14ac:dyDescent="0.25">
      <c r="A118" s="214"/>
      <c r="BB118" s="250"/>
      <c r="BC118" s="250"/>
      <c r="BD118" s="250"/>
      <c r="BE118" s="250"/>
      <c r="BF118" s="250"/>
      <c r="BG118" s="250"/>
      <c r="BH118" s="250"/>
      <c r="BI118" s="250"/>
      <c r="BJ118" s="250"/>
      <c r="BK118" s="250"/>
      <c r="BL118" s="250"/>
      <c r="BM118" s="250"/>
      <c r="BN118" s="250"/>
      <c r="BO118" s="250"/>
      <c r="BP118" s="250"/>
      <c r="BQ118" s="250"/>
      <c r="BR118" s="250"/>
      <c r="BS118" s="250"/>
      <c r="BT118" s="250"/>
      <c r="BU118" s="250"/>
      <c r="BV118" s="250"/>
      <c r="BW118" s="250"/>
      <c r="BX118" s="250"/>
      <c r="BY118" s="250"/>
      <c r="BZ118" s="250"/>
    </row>
    <row r="119" spans="1:78" x14ac:dyDescent="0.25">
      <c r="A119" s="214"/>
    </row>
    <row r="120" spans="1:78" ht="14.4" x14ac:dyDescent="0.3">
      <c r="A120" s="182" t="s">
        <v>517</v>
      </c>
      <c r="B120" s="756"/>
      <c r="C120" s="184"/>
      <c r="D120" s="184"/>
      <c r="E120" s="184"/>
      <c r="F120" s="184"/>
      <c r="G120" s="184"/>
      <c r="H120" s="184"/>
      <c r="I120" s="184"/>
      <c r="J120" s="184"/>
      <c r="K120" s="184"/>
      <c r="L120" s="184"/>
      <c r="M120" s="184"/>
      <c r="N120" s="756"/>
      <c r="O120" s="184"/>
      <c r="P120" s="184"/>
      <c r="Q120" s="184"/>
      <c r="R120" s="185"/>
      <c r="S120" s="185"/>
      <c r="T120" s="184"/>
      <c r="U120" s="184"/>
      <c r="V120" s="185"/>
      <c r="W120" s="185"/>
      <c r="X120" s="184"/>
      <c r="Y120" s="184"/>
      <c r="Z120" s="756"/>
      <c r="AA120" s="184"/>
      <c r="AB120" s="184"/>
      <c r="AC120" s="184"/>
      <c r="AD120" s="184"/>
      <c r="AE120" s="184"/>
      <c r="AF120" s="184"/>
      <c r="AG120" s="184"/>
      <c r="AH120" s="184"/>
      <c r="AI120" s="184"/>
      <c r="AJ120" s="184"/>
      <c r="AK120" s="184"/>
      <c r="AL120" s="756"/>
      <c r="AM120" s="184"/>
      <c r="AN120" s="184"/>
      <c r="AO120" s="184"/>
      <c r="AP120" s="778"/>
      <c r="AQ120" s="183"/>
      <c r="AR120" s="183"/>
      <c r="AS120" s="183"/>
      <c r="AT120" s="775"/>
      <c r="AU120" s="183"/>
      <c r="AV120" s="183"/>
      <c r="AW120" s="183"/>
      <c r="AX120" s="183"/>
      <c r="AY120" s="183"/>
      <c r="AZ120" s="183"/>
      <c r="BA120" s="183"/>
      <c r="BB120" s="184"/>
      <c r="BC120" s="184"/>
      <c r="BD120" s="184"/>
      <c r="BE120" s="184"/>
      <c r="BF120" s="184"/>
      <c r="BG120" s="184"/>
      <c r="BH120" s="184"/>
      <c r="BI120" s="184"/>
      <c r="BJ120" s="184"/>
      <c r="BK120" s="184"/>
      <c r="BL120" s="184"/>
      <c r="BM120" s="184"/>
      <c r="BN120" s="184"/>
      <c r="BO120" s="184"/>
      <c r="BP120" s="184"/>
      <c r="BQ120" s="184"/>
      <c r="BR120" s="184"/>
      <c r="BS120" s="184"/>
      <c r="BT120" s="184"/>
      <c r="BU120" s="184"/>
      <c r="BV120" s="184"/>
      <c r="BW120" s="184"/>
      <c r="BX120" s="184"/>
      <c r="BY120" s="184"/>
      <c r="BZ120" s="184"/>
    </row>
    <row r="122" spans="1:78" ht="13.8" x14ac:dyDescent="0.3">
      <c r="A122" s="283" t="s">
        <v>455</v>
      </c>
      <c r="BJ122" s="188"/>
      <c r="BK122" s="188"/>
      <c r="BL122" s="188"/>
      <c r="BM122" s="188"/>
      <c r="BV122" s="188"/>
    </row>
    <row r="123" spans="1:78" x14ac:dyDescent="0.25">
      <c r="A123" s="219" t="s">
        <v>452</v>
      </c>
      <c r="B123" s="770">
        <f t="shared" ref="B123:D124" si="116">(F123+J123)/2</f>
        <v>5.9284815545174627</v>
      </c>
      <c r="C123" s="314">
        <f t="shared" si="116"/>
        <v>6.1755016192890242</v>
      </c>
      <c r="D123" s="296">
        <f t="shared" si="116"/>
        <v>420.10215097204252</v>
      </c>
      <c r="E123" s="221"/>
      <c r="F123" s="189">
        <f>44/12*'Crops proc. &amp; prod. DISCOUNTED'!BV126</f>
        <v>4.9570177009618881</v>
      </c>
      <c r="G123" s="189">
        <f>44/12*'Crops proc. &amp; prod. DISCOUNTED'!BW126</f>
        <v>5.1635601051686342</v>
      </c>
      <c r="H123" s="188">
        <f>44/12*'Crops proc. &amp; prod. DISCOUNTED'!BX126</f>
        <v>351.26259218834247</v>
      </c>
      <c r="J123" s="192">
        <f>44/12*'Crops proc. &amp; prod. DISCOUNTED'!DL126</f>
        <v>6.8999454080730374</v>
      </c>
      <c r="K123" s="192">
        <f>44/12*'Crops proc. &amp; prod. DISCOUNTED'!DM126</f>
        <v>7.1874431334094142</v>
      </c>
      <c r="L123" s="193">
        <f>44/12*'Crops proc. &amp; prod. DISCOUNTED'!DN126</f>
        <v>488.94170975574252</v>
      </c>
      <c r="M123" s="193"/>
      <c r="N123" s="770">
        <f t="shared" ref="N123:P124" si="117">(R123+V123)/2</f>
        <v>6.2638452493134809</v>
      </c>
      <c r="O123" s="314">
        <f t="shared" si="117"/>
        <v>6.5248388013682099</v>
      </c>
      <c r="P123" s="296">
        <f t="shared" si="117"/>
        <v>443.86658512708908</v>
      </c>
      <c r="Q123" s="221"/>
      <c r="R123" s="189">
        <f>44/12*'Crops proc. &amp; prod. DISCOUNTED'!CJ126</f>
        <v>5.2674558022630489</v>
      </c>
      <c r="S123" s="192">
        <f>44/12*'Crops proc. &amp; prod. DISCOUNTED'!CK126</f>
        <v>5.486933127357343</v>
      </c>
      <c r="T123" s="193">
        <f>44/12*'Crops proc. &amp; prod. DISCOUNTED'!CL126</f>
        <v>373.26075696308453</v>
      </c>
      <c r="U123" s="193"/>
      <c r="V123" s="192">
        <f>44/12*'Crops proc. &amp; prod. DISCOUNTED'!DZ126</f>
        <v>7.2602346963639128</v>
      </c>
      <c r="W123" s="192">
        <f>44/12*'Crops proc. &amp; prod. DISCOUNTED'!EA126</f>
        <v>7.5627444753790769</v>
      </c>
      <c r="X123" s="193">
        <f>44/12*'Crops proc. &amp; prod. DISCOUNTED'!EB126</f>
        <v>514.47241329109363</v>
      </c>
      <c r="Z123" s="770">
        <f t="shared" ref="Z123:AA124" si="118">(AD123+AH123)/2</f>
        <v>8.5741226805003166</v>
      </c>
      <c r="AA123" s="314">
        <f t="shared" si="118"/>
        <v>8.9313777921878277</v>
      </c>
      <c r="AC123" s="220"/>
      <c r="AD123" s="189">
        <f>44/12*'Crops proc. &amp; prod. DISCOUNTED'!CX126</f>
        <v>2.1115698858875067</v>
      </c>
      <c r="AE123" s="189">
        <f>44/12*'Crops proc. &amp; prod. DISCOUNTED'!CY126</f>
        <v>2.1995519644661528</v>
      </c>
      <c r="AH123" s="189">
        <f>44/12*'Crops proc. &amp; prod. DISCOUNTED'!EN126</f>
        <v>15.036675475113125</v>
      </c>
      <c r="AI123" s="189">
        <f>44/12*'Crops proc. &amp; prod. DISCOUNTED'!EO126</f>
        <v>15.663203619909504</v>
      </c>
      <c r="AK123" s="188">
        <f>44/12*'Crops proc. &amp; prod. DISCOUNTED'!EQ126</f>
        <v>0</v>
      </c>
      <c r="AL123" s="761">
        <f>'Crops proc. &amp; prod. DISCOUNTED'!GY126</f>
        <v>0.44327005692724702</v>
      </c>
      <c r="AM123" s="417">
        <f>'Crops proc. &amp; prod. DISCOUNTED'!GZ126</f>
        <v>0.46173964263254902</v>
      </c>
      <c r="AN123" s="192">
        <f>'Crops proc. &amp; prod. DISCOUNTED'!HA126</f>
        <v>31.410860043030546</v>
      </c>
      <c r="AO123" s="417"/>
      <c r="AP123" s="765">
        <f>'Crops proc. &amp; prod. DISCOUNTED'!IV126</f>
        <v>1.6596861899889288</v>
      </c>
      <c r="AQ123" s="192">
        <f>'Crops proc. &amp; prod. DISCOUNTED'!IW126</f>
        <v>1.7288397812384675</v>
      </c>
      <c r="AR123" s="193">
        <f>'Crops proc. &amp; prod. DISCOUNTED'!IX126</f>
        <v>117.60814838356923</v>
      </c>
      <c r="AS123" s="192"/>
      <c r="AT123" s="765">
        <f t="shared" ref="AT123:AV124" si="119">B123+AL123+AP123</f>
        <v>8.0314378014336381</v>
      </c>
      <c r="AU123" s="189">
        <f t="shared" si="119"/>
        <v>8.3660810431600403</v>
      </c>
      <c r="AV123" s="188">
        <f t="shared" si="119"/>
        <v>569.12115939864225</v>
      </c>
      <c r="AW123" s="189"/>
      <c r="AX123" s="189">
        <f t="shared" ref="AX123:AZ124" si="120">F123+AL123+AP123</f>
        <v>7.0599739478780634</v>
      </c>
      <c r="AY123" s="189">
        <f t="shared" si="120"/>
        <v>7.3541395290396503</v>
      </c>
      <c r="AZ123" s="188">
        <f t="shared" si="120"/>
        <v>500.28160061494225</v>
      </c>
      <c r="BA123" s="189"/>
      <c r="BJ123" s="188"/>
      <c r="BK123" s="188"/>
      <c r="BL123" s="188"/>
      <c r="BM123" s="188"/>
      <c r="BV123" s="196"/>
    </row>
    <row r="124" spans="1:78" x14ac:dyDescent="0.25">
      <c r="A124" s="219" t="s">
        <v>302</v>
      </c>
      <c r="B124" s="770">
        <f t="shared" si="116"/>
        <v>3.7103274401197446</v>
      </c>
      <c r="C124" s="220">
        <f t="shared" si="116"/>
        <v>4.1225860445774938</v>
      </c>
      <c r="E124" s="315">
        <f t="shared" ref="E124" si="121">(I124+M124)/2</f>
        <v>13.74195348192498</v>
      </c>
      <c r="F124" s="189">
        <f>44/12*'Crops proc. &amp; prod. DISCOUNTED'!BV127</f>
        <v>3.1023388751245222</v>
      </c>
      <c r="G124" s="189">
        <f>44/12*'Crops proc. &amp; prod. DISCOUNTED'!BW127</f>
        <v>3.4470431945828022</v>
      </c>
      <c r="I124" s="188">
        <f>44/12*'Crops proc. &amp; prod. DISCOUNTED'!BY127</f>
        <v>11.490143981942675</v>
      </c>
      <c r="J124" s="192">
        <f>44/12*'Crops proc. &amp; prod. DISCOUNTED'!DL127</f>
        <v>4.3183160051149665</v>
      </c>
      <c r="K124" s="192">
        <f>44/12*'Crops proc. &amp; prod. DISCOUNTED'!DM127</f>
        <v>4.7981288945721854</v>
      </c>
      <c r="L124" s="193"/>
      <c r="M124" s="193">
        <f>44/12*'Crops proc. &amp; prod. DISCOUNTED'!DO127</f>
        <v>15.993762981907285</v>
      </c>
      <c r="N124" s="770">
        <f t="shared" si="117"/>
        <v>3.9202140877847711</v>
      </c>
      <c r="O124" s="220">
        <f t="shared" si="117"/>
        <v>4.3557934308719677</v>
      </c>
      <c r="Q124" s="312">
        <f t="shared" ref="Q124" si="122">(U124+Y124)/2</f>
        <v>14.519311436239892</v>
      </c>
      <c r="R124" s="189">
        <f>44/12*'Crops proc. &amp; prod. DISCOUNTED'!CJ127</f>
        <v>3.2966258936678607</v>
      </c>
      <c r="S124" s="192">
        <f>44/12*'Crops proc. &amp; prod. DISCOUNTED'!CK127</f>
        <v>3.6629176596309563</v>
      </c>
      <c r="T124" s="193"/>
      <c r="U124" s="193">
        <f>44/12*'Crops proc. &amp; prod. DISCOUNTED'!CM127</f>
        <v>12.209725532103187</v>
      </c>
      <c r="V124" s="192">
        <f>44/12*'Crops proc. &amp; prod. DISCOUNTED'!DZ127</f>
        <v>4.543802281901681</v>
      </c>
      <c r="W124" s="192">
        <f>44/12*'Crops proc. &amp; prod. DISCOUNTED'!EA127</f>
        <v>5.0486692021129791</v>
      </c>
      <c r="X124" s="193"/>
      <c r="Y124" s="188">
        <f>44/12*'Crops proc. &amp; prod. DISCOUNTED'!EC127</f>
        <v>16.828897340376599</v>
      </c>
      <c r="Z124" s="770">
        <f t="shared" si="118"/>
        <v>5.3660962531244172</v>
      </c>
      <c r="AA124" s="220">
        <f t="shared" si="118"/>
        <v>5.9623291701382417</v>
      </c>
      <c r="AC124" s="309">
        <f t="shared" ref="AC124" si="123">(AG124+AK124)/2</f>
        <v>19.874430567127472</v>
      </c>
      <c r="AD124" s="189">
        <f>44/12*'Crops proc. &amp; prod. DISCOUNTED'!CX127</f>
        <v>1.3215214751522688</v>
      </c>
      <c r="AE124" s="189">
        <f>44/12*'Crops proc. &amp; prod. DISCOUNTED'!CY127</f>
        <v>1.468357194613632</v>
      </c>
      <c r="AG124" s="188">
        <f>44/12*'Crops proc. &amp; prod. DISCOUNTED'!DA127</f>
        <v>4.8945239820454409</v>
      </c>
      <c r="AH124" s="189">
        <f>44/12*'Crops proc. &amp; prod. DISCOUNTED'!EN127</f>
        <v>9.410671031096566</v>
      </c>
      <c r="AI124" s="189">
        <f>44/12*'Crops proc. &amp; prod. DISCOUNTED'!EO127</f>
        <v>10.456301145662851</v>
      </c>
      <c r="AK124" s="188">
        <f>44/12*'Crops proc. &amp; prod. DISCOUNTED'!EQ127</f>
        <v>34.854337152209503</v>
      </c>
      <c r="AL124" s="761">
        <f>'Crops proc. &amp; prod. DISCOUNTED'!GY127</f>
        <v>0.27741961250556191</v>
      </c>
      <c r="AM124" s="417">
        <f>'Crops proc. &amp; prod. DISCOUNTED'!GZ127</f>
        <v>0.30824401389506878</v>
      </c>
      <c r="AN124" s="193"/>
      <c r="AO124" s="310">
        <f>'Crops proc. &amp; prod. DISCOUNTED'!HB127</f>
        <v>1.027480046316896</v>
      </c>
      <c r="AP124" s="765">
        <f>'Crops proc. &amp; prod. DISCOUNTED'!IV127</f>
        <v>1.0387110352078901</v>
      </c>
      <c r="AQ124" s="192">
        <f>'Crops proc. &amp; prod. DISCOUNTED'!IW127</f>
        <v>1.1541233724532112</v>
      </c>
      <c r="AR124" s="193"/>
      <c r="AS124" s="310">
        <f>'Crops proc. &amp; prod. DISCOUNTED'!IY127</f>
        <v>3.8470779081773707</v>
      </c>
      <c r="AT124" s="765">
        <f t="shared" si="119"/>
        <v>5.0264580878331966</v>
      </c>
      <c r="AU124" s="189">
        <f t="shared" si="119"/>
        <v>5.5849534309257738</v>
      </c>
      <c r="AV124" s="188"/>
      <c r="AW124" s="189">
        <f t="shared" ref="AW124" si="124">E124+AO124+AS124</f>
        <v>18.616511436419248</v>
      </c>
      <c r="AX124" s="189">
        <f t="shared" si="120"/>
        <v>4.4184695228379738</v>
      </c>
      <c r="AY124" s="189">
        <f t="shared" si="120"/>
        <v>4.9094105809310822</v>
      </c>
      <c r="AZ124" s="188"/>
      <c r="BA124" s="189">
        <f t="shared" ref="BA124" si="125">I124+AO124+AS124</f>
        <v>16.364701936436941</v>
      </c>
      <c r="BJ124" s="188"/>
      <c r="BK124" s="188"/>
      <c r="BL124" s="188"/>
      <c r="BM124" s="188"/>
      <c r="BV124" s="196"/>
    </row>
    <row r="125" spans="1:78" x14ac:dyDescent="0.25">
      <c r="A125" s="219"/>
      <c r="S125" s="192"/>
      <c r="T125" s="193"/>
      <c r="U125" s="193"/>
      <c r="V125" s="192"/>
      <c r="BV125" s="188"/>
    </row>
    <row r="126" spans="1:78" x14ac:dyDescent="0.25">
      <c r="A126" s="302" t="s">
        <v>218</v>
      </c>
    </row>
    <row r="127" spans="1:78" x14ac:dyDescent="0.25">
      <c r="A127" s="303" t="s">
        <v>348</v>
      </c>
      <c r="B127" s="770">
        <f t="shared" ref="B127:D129" si="126">(F127+J127)/2</f>
        <v>3.48941588338388</v>
      </c>
      <c r="C127" s="313">
        <f t="shared" si="126"/>
        <v>3.877128759315422</v>
      </c>
      <c r="D127" s="296"/>
      <c r="E127" s="220"/>
      <c r="F127" s="189">
        <f>44/12*'Crops proc. &amp; prod. DISCOUNTED'!BV153</f>
        <v>2.8888127481617158</v>
      </c>
      <c r="G127" s="189">
        <f>44/12*'Crops proc. &amp; prod. DISCOUNTED'!BW153</f>
        <v>3.2097919424019064</v>
      </c>
      <c r="J127" s="192">
        <f>44/12*'Crops proc. &amp; prod. DISCOUNTED'!DL153</f>
        <v>4.0900190186060437</v>
      </c>
      <c r="K127" s="192">
        <f>44/12*'Crops proc. &amp; prod. DISCOUNTED'!DM153</f>
        <v>4.5444655762289381</v>
      </c>
      <c r="L127" s="193"/>
      <c r="M127" s="193"/>
      <c r="N127" s="770">
        <f t="shared" ref="N127:P129" si="127">(R127+V127)/2</f>
        <v>6.6494284936888688</v>
      </c>
      <c r="O127" s="309">
        <f t="shared" si="127"/>
        <v>7.3882538818765209</v>
      </c>
      <c r="P127" s="296"/>
      <c r="Q127" s="220"/>
      <c r="R127" s="189">
        <f>44/12*'Crops proc. &amp; prod. DISCOUNTED'!CJ153</f>
        <v>5.4158561458375818</v>
      </c>
      <c r="S127" s="189">
        <f>44/12*'Crops proc. &amp; prod. DISCOUNTED'!CK153</f>
        <v>6.0176179398195346</v>
      </c>
      <c r="T127" s="193"/>
      <c r="U127" s="193"/>
      <c r="V127" s="192">
        <f>44/12*'Crops proc. &amp; prod. DISCOUNTED'!DZ153</f>
        <v>7.8830008415401558</v>
      </c>
      <c r="W127" s="192">
        <f>44/12*'Crops proc. &amp; prod. DISCOUNTED'!EA153</f>
        <v>8.7588898239335062</v>
      </c>
      <c r="X127" s="193"/>
      <c r="Z127" s="770">
        <f t="shared" ref="Z127:AB129" si="128">(AD127+AH127)/2</f>
        <v>2.9932704835748183</v>
      </c>
      <c r="AA127" s="309">
        <f t="shared" si="128"/>
        <v>3.3258560928609091</v>
      </c>
      <c r="AB127" s="296"/>
      <c r="AC127" s="220"/>
      <c r="AD127" s="189">
        <f>44/12*'Crops proc. &amp; prod. DISCOUNTED'!CX153</f>
        <v>1.4085220425476552</v>
      </c>
      <c r="AE127" s="189">
        <f>44/12*'Crops proc. &amp; prod. DISCOUNTED'!CY153</f>
        <v>1.5650244917196168</v>
      </c>
      <c r="AH127" s="189">
        <f>44/12*'Crops proc. &amp; prod. DISCOUNTED'!EN153</f>
        <v>4.5780189246019818</v>
      </c>
      <c r="AI127" s="189">
        <f>44/12*'Crops proc. &amp; prod. DISCOUNTED'!EO153</f>
        <v>5.0866876940022019</v>
      </c>
      <c r="AL127" s="761">
        <f>'Crops proc. &amp; prod. DISCOUNTED'!GY153</f>
        <v>8.7693404841323E-2</v>
      </c>
      <c r="AM127" s="418">
        <f>'Crops proc. &amp; prod. DISCOUNTED'!GZ153</f>
        <v>9.7437116490358883E-2</v>
      </c>
      <c r="AN127" s="193"/>
      <c r="AO127" s="192"/>
      <c r="AP127" s="765">
        <f>'Crops proc. &amp; prod. DISCOUNTED'!IV153</f>
        <v>1.1683537581694665</v>
      </c>
      <c r="AQ127" s="310">
        <f>'Crops proc. &amp; prod. DISCOUNTED'!IW153</f>
        <v>1.2981708424105183</v>
      </c>
      <c r="AR127" s="193"/>
      <c r="AS127" s="192"/>
      <c r="AT127" s="765">
        <f t="shared" ref="AT127:AV129" si="129">B127+AL127+AP127</f>
        <v>4.7454630463946694</v>
      </c>
      <c r="AU127" s="189">
        <f t="shared" si="129"/>
        <v>5.272736718216299</v>
      </c>
      <c r="AV127" s="188"/>
      <c r="AW127" s="189"/>
      <c r="AX127" s="189">
        <f t="shared" ref="AX127:AZ129" si="130">F127+AL127+AP127</f>
        <v>4.1448599111725049</v>
      </c>
      <c r="AY127" s="189">
        <f t="shared" si="130"/>
        <v>4.6053999013027838</v>
      </c>
      <c r="AZ127" s="188"/>
      <c r="BA127" s="189"/>
      <c r="BJ127" s="188"/>
      <c r="BK127" s="188"/>
      <c r="BL127" s="188"/>
      <c r="BM127" s="188"/>
      <c r="BV127" s="195"/>
    </row>
    <row r="128" spans="1:78" x14ac:dyDescent="0.25">
      <c r="A128" s="303" t="s">
        <v>349</v>
      </c>
      <c r="B128" s="770">
        <f t="shared" si="126"/>
        <v>8.7069234423483479</v>
      </c>
      <c r="C128" s="220">
        <f t="shared" si="126"/>
        <v>8.7069234423483479</v>
      </c>
      <c r="D128" s="315">
        <f t="shared" si="126"/>
        <v>235.32225519860395</v>
      </c>
      <c r="E128" s="220"/>
      <c r="F128" s="189">
        <f>44/12*'Crops proc. &amp; prod. DISCOUNTED'!BV154</f>
        <v>7.2082756192225661</v>
      </c>
      <c r="G128" s="189">
        <f>44/12*'Crops proc. &amp; prod. DISCOUNTED'!BW154</f>
        <v>7.2082756192225661</v>
      </c>
      <c r="H128" s="188">
        <f>44/12*'Crops proc. &amp; prod. DISCOUNTED'!BX154</f>
        <v>194.81825997898824</v>
      </c>
      <c r="J128" s="192">
        <f>44/12*'Crops proc. &amp; prod. DISCOUNTED'!DL154</f>
        <v>10.205571265474129</v>
      </c>
      <c r="K128" s="192">
        <f>44/12*'Crops proc. &amp; prod. DISCOUNTED'!DM154</f>
        <v>10.205571265474129</v>
      </c>
      <c r="L128" s="193">
        <f>44/12*'Crops proc. &amp; prod. DISCOUNTED'!DN154</f>
        <v>275.82625041821967</v>
      </c>
      <c r="M128" s="193"/>
      <c r="N128" s="770">
        <f t="shared" si="127"/>
        <v>16.591907289014124</v>
      </c>
      <c r="O128" s="220">
        <f t="shared" si="127"/>
        <v>16.591907289014124</v>
      </c>
      <c r="P128" s="312">
        <f t="shared" si="127"/>
        <v>448.42992673011156</v>
      </c>
      <c r="Q128" s="220"/>
      <c r="R128" s="189">
        <f>44/12*'Crops proc. &amp; prod. DISCOUNTED'!CJ154</f>
        <v>13.513850573423294</v>
      </c>
      <c r="S128" s="189">
        <f>44/12*'Crops proc. &amp; prod. DISCOUNTED'!CK154</f>
        <v>13.513850573423294</v>
      </c>
      <c r="T128" s="193">
        <f>44/12*'Crops proc. &amp; prod. DISCOUNTED'!CL154</f>
        <v>365.23920468711611</v>
      </c>
      <c r="U128" s="193"/>
      <c r="V128" s="192">
        <f>44/12*'Crops proc. &amp; prod. DISCOUNTED'!DZ154</f>
        <v>19.669964004604957</v>
      </c>
      <c r="W128" s="192">
        <f>44/12*'Crops proc. &amp; prod. DISCOUNTED'!EA154</f>
        <v>19.669964004604957</v>
      </c>
      <c r="X128" s="193">
        <f>44/12*'Crops proc. &amp; prod. DISCOUNTED'!EB154</f>
        <v>531.62064877310695</v>
      </c>
      <c r="Z128" s="770">
        <f t="shared" si="128"/>
        <v>7.4689225399676413</v>
      </c>
      <c r="AA128" s="220">
        <f t="shared" si="128"/>
        <v>7.4689225399676413</v>
      </c>
      <c r="AB128" s="312">
        <f t="shared" si="128"/>
        <v>201.86277135047681</v>
      </c>
      <c r="AC128" s="220"/>
      <c r="AD128" s="189">
        <f>44/12*'Crops proc. &amp; prod. DISCOUNTED'!CX154</f>
        <v>3.5145978585474813</v>
      </c>
      <c r="AE128" s="189">
        <f>44/12*'Crops proc. &amp; prod. DISCOUNTED'!CY154</f>
        <v>3.5145978585474813</v>
      </c>
      <c r="AF128" s="188">
        <f>44/12*'Crops proc. &amp; prod. DISCOUNTED'!CZ154</f>
        <v>94.989131312094102</v>
      </c>
      <c r="AH128" s="189">
        <f>44/12*'Crops proc. &amp; prod. DISCOUNTED'!EN154</f>
        <v>11.423247221387802</v>
      </c>
      <c r="AI128" s="189">
        <f>44/12*'Crops proc. &amp; prod. DISCOUNTED'!EO154</f>
        <v>11.423247221387802</v>
      </c>
      <c r="AJ128" s="188">
        <f>44/12*'Crops proc. &amp; prod. DISCOUNTED'!EP154</f>
        <v>308.73641138885949</v>
      </c>
      <c r="AL128" s="761">
        <f>'Crops proc. &amp; prod. DISCOUNTED'!GY154</f>
        <v>0.21881592446120593</v>
      </c>
      <c r="AM128" s="417">
        <f>'Crops proc. &amp; prod. DISCOUNTED'!GZ154</f>
        <v>0.21881592446120593</v>
      </c>
      <c r="AN128" s="310">
        <f>'Crops proc. &amp; prod. DISCOUNTED'!HA154</f>
        <v>5.9139439043569171</v>
      </c>
      <c r="AO128" s="192"/>
      <c r="AP128" s="765">
        <f>'Crops proc. &amp; prod. DISCOUNTED'!IV154</f>
        <v>2.9153208060990492</v>
      </c>
      <c r="AQ128" s="192">
        <f>'Crops proc. &amp; prod. DISCOUNTED'!IW154</f>
        <v>2.9153208060990492</v>
      </c>
      <c r="AR128" s="310">
        <f>'Crops proc. &amp; prod. DISCOUNTED'!IX154</f>
        <v>78.792454218893226</v>
      </c>
      <c r="AS128" s="192"/>
      <c r="AT128" s="765">
        <f t="shared" si="129"/>
        <v>11.841060172908602</v>
      </c>
      <c r="AU128" s="189">
        <f t="shared" si="129"/>
        <v>11.841060172908602</v>
      </c>
      <c r="AV128" s="188">
        <f t="shared" si="129"/>
        <v>320.02865332185411</v>
      </c>
      <c r="AW128" s="189"/>
      <c r="AX128" s="189">
        <f t="shared" si="130"/>
        <v>10.342412349782821</v>
      </c>
      <c r="AY128" s="189">
        <f t="shared" si="130"/>
        <v>10.342412349782821</v>
      </c>
      <c r="AZ128" s="188">
        <f t="shared" si="130"/>
        <v>279.52465810223839</v>
      </c>
      <c r="BA128" s="189"/>
      <c r="BJ128" s="193"/>
      <c r="BK128" s="193"/>
      <c r="BL128" s="188"/>
      <c r="BM128" s="188"/>
      <c r="BV128" s="195"/>
    </row>
    <row r="129" spans="1:80" x14ac:dyDescent="0.25">
      <c r="A129" s="303" t="s">
        <v>350</v>
      </c>
      <c r="B129" s="770">
        <f t="shared" si="126"/>
        <v>3.8882062700563225</v>
      </c>
      <c r="C129" s="220">
        <f t="shared" si="126"/>
        <v>4.320229188951469</v>
      </c>
      <c r="D129" s="296"/>
      <c r="E129" s="313">
        <f t="shared" ref="E129" si="131">(I129+M129)/2</f>
        <v>9.2164889364298013</v>
      </c>
      <c r="F129" s="189">
        <f>44/12*'Crops proc. &amp; prod. DISCOUNTED'!BV155</f>
        <v>3.2189627765230537</v>
      </c>
      <c r="G129" s="189">
        <f>44/12*'Crops proc. &amp; prod. DISCOUNTED'!BW155</f>
        <v>3.5766253072478373</v>
      </c>
      <c r="I129" s="188">
        <f>44/12*'Crops proc. &amp; prod. DISCOUNTED'!BY155</f>
        <v>7.6301339887953858</v>
      </c>
      <c r="J129" s="192">
        <f>44/12*'Crops proc. &amp; prod. DISCOUNTED'!DL155</f>
        <v>4.5574497635895916</v>
      </c>
      <c r="K129" s="192">
        <f>44/12*'Crops proc. &amp; prod. DISCOUNTED'!DM155</f>
        <v>5.0638330706551011</v>
      </c>
      <c r="L129" s="193"/>
      <c r="M129" s="193">
        <f>44/12*'Crops proc. &amp; prod. DISCOUNTED'!DO155</f>
        <v>10.802843884064217</v>
      </c>
      <c r="N129" s="770">
        <f t="shared" si="127"/>
        <v>7.4093631786818808</v>
      </c>
      <c r="O129" s="220">
        <f t="shared" si="127"/>
        <v>8.2326257540909786</v>
      </c>
      <c r="P129" s="296"/>
      <c r="Q129" s="309">
        <f t="shared" ref="Q129" si="132">(U129+Y129)/2</f>
        <v>17.562934942060757</v>
      </c>
      <c r="R129" s="189">
        <f>44/12*'Crops proc. &amp; prod. DISCOUNTED'!CJ155</f>
        <v>6.0348111339333039</v>
      </c>
      <c r="S129" s="189">
        <f>44/12*'Crops proc. &amp; prod. DISCOUNTED'!CK155</f>
        <v>6.7053457043703375</v>
      </c>
      <c r="T129" s="193"/>
      <c r="U129" s="193">
        <f>44/12*'Crops proc. &amp; prod. DISCOUNTED'!CM155</f>
        <v>14.304737502656721</v>
      </c>
      <c r="V129" s="192">
        <f>44/12*'Crops proc. &amp; prod. DISCOUNTED'!DZ155</f>
        <v>8.7839152234304585</v>
      </c>
      <c r="W129" s="192">
        <f>44/12*'Crops proc. &amp; prod. DISCOUNTED'!EA155</f>
        <v>9.7599058038116198</v>
      </c>
      <c r="X129" s="193"/>
      <c r="Y129" s="188">
        <f>44/12*'Crops proc. &amp; prod. DISCOUNTED'!EC155</f>
        <v>20.821132381464789</v>
      </c>
      <c r="Z129" s="770">
        <f t="shared" si="128"/>
        <v>3.335358538840512</v>
      </c>
      <c r="AA129" s="220">
        <f t="shared" si="128"/>
        <v>3.7059539320450132</v>
      </c>
      <c r="AB129" s="296"/>
      <c r="AC129" s="309">
        <f t="shared" ref="AC129" si="133">(AG129+AK129)/2</f>
        <v>7.9060350550293608</v>
      </c>
      <c r="AD129" s="189">
        <f>44/12*'Crops proc. &amp; prod. DISCOUNTED'!CX155</f>
        <v>1.5694959902673866</v>
      </c>
      <c r="AE129" s="189">
        <f>44/12*'Crops proc. &amp; prod. DISCOUNTED'!CY155</f>
        <v>1.7438844336304296</v>
      </c>
      <c r="AG129" s="188">
        <f>44/12*'Crops proc. &amp; prod. DISCOUNTED'!DA155</f>
        <v>3.7202867917449161</v>
      </c>
      <c r="AH129" s="189">
        <f>44/12*'Crops proc. &amp; prod. DISCOUNTED'!EN155</f>
        <v>5.101221087413637</v>
      </c>
      <c r="AI129" s="189">
        <f>44/12*'Crops proc. &amp; prod. DISCOUNTED'!EO155</f>
        <v>5.6680234304595967</v>
      </c>
      <c r="AK129" s="188">
        <f>44/12*'Crops proc. &amp; prod. DISCOUNTED'!EQ155</f>
        <v>12.091783318313805</v>
      </c>
      <c r="AL129" s="761">
        <f>'Crops proc. &amp; prod. DISCOUNTED'!GY155</f>
        <v>9.7715508251759911E-2</v>
      </c>
      <c r="AM129" s="417">
        <f>'Crops proc. &amp; prod. DISCOUNTED'!GZ155</f>
        <v>0.10857278694639989</v>
      </c>
      <c r="AN129" s="193"/>
      <c r="AO129" s="310">
        <f>'Crops proc. &amp; prod. DISCOUNTED'!HB155</f>
        <v>0.2316219454856531</v>
      </c>
      <c r="AP129" s="765">
        <f>'Crops proc. &amp; prod. DISCOUNTED'!IV155</f>
        <v>1.3018799019602625</v>
      </c>
      <c r="AQ129" s="192">
        <f>'Crops proc. &amp; prod. DISCOUNTED'!IW155</f>
        <v>1.4465332244002915</v>
      </c>
      <c r="AR129" s="193"/>
      <c r="AS129" s="310">
        <f>'Crops proc. &amp; prod. DISCOUNTED'!IY155</f>
        <v>3.0859375453872886</v>
      </c>
      <c r="AT129" s="765">
        <f t="shared" si="129"/>
        <v>5.2878016802683447</v>
      </c>
      <c r="AU129" s="189">
        <f t="shared" si="129"/>
        <v>5.8753352002981609</v>
      </c>
      <c r="AV129" s="188"/>
      <c r="AW129" s="189">
        <f t="shared" ref="AW129" si="134">E129+AO129+AS129</f>
        <v>12.534048427302743</v>
      </c>
      <c r="AX129" s="189">
        <f t="shared" si="130"/>
        <v>4.6185581867350756</v>
      </c>
      <c r="AY129" s="189">
        <f t="shared" si="130"/>
        <v>5.1317313185945288</v>
      </c>
      <c r="AZ129" s="188"/>
      <c r="BA129" s="189">
        <f t="shared" ref="BA129" si="135">I129+AO129+AS129</f>
        <v>10.947693479668327</v>
      </c>
      <c r="BJ129" s="188"/>
      <c r="BK129" s="188"/>
      <c r="BL129" s="188"/>
      <c r="BM129" s="188"/>
      <c r="BV129" s="195"/>
    </row>
    <row r="130" spans="1:80" s="250" customFormat="1" x14ac:dyDescent="0.25">
      <c r="A130" s="304"/>
      <c r="B130" s="757"/>
      <c r="C130" s="193"/>
      <c r="D130" s="193"/>
      <c r="E130" s="193"/>
      <c r="F130" s="193"/>
      <c r="G130" s="193"/>
      <c r="H130" s="193"/>
      <c r="I130" s="193"/>
      <c r="J130" s="193"/>
      <c r="K130" s="193"/>
      <c r="L130" s="193"/>
      <c r="M130" s="193"/>
      <c r="N130" s="757"/>
      <c r="O130" s="193"/>
      <c r="P130" s="193"/>
      <c r="Q130" s="193"/>
      <c r="R130" s="192"/>
      <c r="S130" s="192"/>
      <c r="T130" s="193"/>
      <c r="U130" s="193"/>
      <c r="V130" s="192"/>
      <c r="W130" s="192"/>
      <c r="X130" s="193"/>
      <c r="Y130" s="193"/>
      <c r="Z130" s="757"/>
      <c r="AA130" s="193"/>
      <c r="AB130" s="193"/>
      <c r="AC130" s="193"/>
      <c r="AD130" s="193"/>
      <c r="AE130" s="193"/>
      <c r="AF130" s="193"/>
      <c r="AG130" s="193"/>
      <c r="AH130" s="193"/>
      <c r="AI130" s="193"/>
      <c r="AJ130" s="193"/>
      <c r="AK130" s="193"/>
      <c r="AL130" s="757"/>
      <c r="AM130" s="193"/>
      <c r="AN130" s="193"/>
      <c r="AO130" s="193"/>
      <c r="AP130" s="776"/>
      <c r="AQ130" s="290"/>
      <c r="AR130" s="290"/>
      <c r="AS130" s="290"/>
      <c r="AT130" s="776"/>
      <c r="AU130" s="290"/>
      <c r="AV130" s="290"/>
      <c r="AW130" s="290"/>
      <c r="AX130" s="290"/>
      <c r="AY130" s="290"/>
      <c r="AZ130" s="290"/>
      <c r="BA130" s="290"/>
      <c r="BJ130" s="193"/>
      <c r="BK130" s="193"/>
      <c r="BL130" s="193"/>
      <c r="BM130" s="193"/>
      <c r="BV130" s="290"/>
    </row>
    <row r="131" spans="1:80" ht="13.8" x14ac:dyDescent="0.3">
      <c r="A131" s="283" t="s">
        <v>453</v>
      </c>
    </row>
    <row r="132" spans="1:80" x14ac:dyDescent="0.25">
      <c r="A132" s="219" t="s">
        <v>476</v>
      </c>
      <c r="C132" s="193"/>
      <c r="D132" s="193"/>
      <c r="E132" s="193"/>
      <c r="F132" s="193"/>
      <c r="G132" s="193"/>
      <c r="H132" s="193"/>
      <c r="I132" s="193"/>
      <c r="J132" s="193"/>
      <c r="K132" s="193"/>
      <c r="L132" s="193"/>
      <c r="M132" s="193"/>
      <c r="O132" s="193"/>
      <c r="P132" s="193"/>
      <c r="Q132" s="193"/>
      <c r="R132" s="192"/>
      <c r="S132" s="192"/>
      <c r="T132" s="193"/>
      <c r="U132" s="193"/>
      <c r="V132" s="192"/>
      <c r="W132" s="192"/>
      <c r="X132" s="193"/>
      <c r="Y132" s="193"/>
      <c r="AA132" s="193"/>
      <c r="AB132" s="193"/>
      <c r="AC132" s="193"/>
      <c r="AD132" s="193"/>
      <c r="AE132" s="193"/>
      <c r="AF132" s="193"/>
      <c r="AG132" s="193"/>
      <c r="AH132" s="193"/>
      <c r="AI132" s="193"/>
      <c r="AJ132" s="193"/>
      <c r="AK132" s="193"/>
      <c r="AM132" s="193"/>
      <c r="AN132" s="193"/>
      <c r="AO132" s="193"/>
      <c r="AQ132" s="194"/>
      <c r="AR132" s="188"/>
      <c r="AS132" s="189"/>
      <c r="AT132" s="765"/>
      <c r="AU132" s="189"/>
      <c r="AV132" s="189"/>
      <c r="AW132" s="189"/>
      <c r="AX132" s="189"/>
      <c r="AY132" s="189"/>
      <c r="AZ132" s="189"/>
      <c r="BA132" s="189"/>
      <c r="BB132" s="317">
        <f t="shared" ref="BB132:BC135" si="136">(BD132+BF132)/2</f>
        <v>155.98766257696371</v>
      </c>
      <c r="BC132" s="189">
        <f t="shared" si="136"/>
        <v>3.3025707920794765</v>
      </c>
      <c r="BD132" s="193">
        <f>44/12*'Crops proc. &amp; prod. DISCOUNTED'!CH107</f>
        <v>150.37260742956255</v>
      </c>
      <c r="BE132" s="192">
        <f>44/12*'Crops proc. &amp; prod. DISCOUNTED'!CI107</f>
        <v>3.183688844498699</v>
      </c>
      <c r="BF132" s="193">
        <f>44/12*'Crops proc. &amp; prod. DISCOUNTED'!DX107</f>
        <v>161.60271772436488</v>
      </c>
      <c r="BG132" s="192">
        <f>44/12*'Crops proc. &amp; prod. DISCOUNTED'!DY107</f>
        <v>3.4214527396602539</v>
      </c>
      <c r="BH132" s="250"/>
      <c r="BI132" s="192"/>
      <c r="BJ132" s="193"/>
      <c r="BK132" s="192"/>
      <c r="BL132" s="193"/>
      <c r="BM132" s="192"/>
      <c r="BN132" s="193"/>
      <c r="BO132" s="192"/>
      <c r="BP132" s="193"/>
      <c r="BQ132" s="192"/>
      <c r="BR132" s="193"/>
      <c r="BS132" s="192"/>
      <c r="BT132" s="310">
        <f>'Crops proc. &amp; prod. DISCOUNTED'!HK107</f>
        <v>8.1761294080006444</v>
      </c>
      <c r="BU132" s="192">
        <f>'Crops proc. &amp; prod. DISCOUNTED'!HL107</f>
        <v>0.17310501182618965</v>
      </c>
      <c r="BV132" s="311">
        <f>'Crops proc. &amp; prod. DISCOUNTED'!JI107</f>
        <v>71.927551567523409</v>
      </c>
      <c r="BW132" s="192">
        <f>'Crops proc. &amp; prod. DISCOUNTED'!JJ107</f>
        <v>1.5228501217876058</v>
      </c>
      <c r="BX132" s="221">
        <f>'Crops proc. &amp; prod. DISCOUNTED'!MR107</f>
        <v>86</v>
      </c>
      <c r="BY132" s="421">
        <f>BB132+BT132+BV132-BX132</f>
        <v>150.09134355248776</v>
      </c>
      <c r="BZ132" s="309">
        <f>BY132*'Crops proc. &amp; prod. DISCOUNTED'!$NZ107/10^3</f>
        <v>3.1777339256932708</v>
      </c>
      <c r="CA132" s="421">
        <f>BD132+BT132+BV132-BX132</f>
        <v>144.47628840508659</v>
      </c>
      <c r="CB132" s="309">
        <f>CA132*'Crops proc. &amp; prod. DISCOUNTED'!$NZ107/10^3</f>
        <v>3.0588519781124934</v>
      </c>
    </row>
    <row r="133" spans="1:80" x14ac:dyDescent="0.25">
      <c r="A133" s="219" t="s">
        <v>477</v>
      </c>
      <c r="C133" s="193"/>
      <c r="D133" s="193"/>
      <c r="E133" s="193"/>
      <c r="F133" s="193"/>
      <c r="G133" s="193"/>
      <c r="H133" s="193"/>
      <c r="I133" s="193"/>
      <c r="J133" s="193"/>
      <c r="K133" s="193"/>
      <c r="L133" s="193"/>
      <c r="M133" s="193"/>
      <c r="O133" s="193"/>
      <c r="P133" s="193"/>
      <c r="Q133" s="193"/>
      <c r="R133" s="192"/>
      <c r="S133" s="192"/>
      <c r="T133" s="193"/>
      <c r="U133" s="193"/>
      <c r="V133" s="192"/>
      <c r="W133" s="192"/>
      <c r="X133" s="193"/>
      <c r="Y133" s="193"/>
      <c r="AA133" s="193"/>
      <c r="AB133" s="193"/>
      <c r="AC133" s="193"/>
      <c r="AD133" s="193"/>
      <c r="AE133" s="193"/>
      <c r="AF133" s="193"/>
      <c r="AG133" s="193"/>
      <c r="AH133" s="193"/>
      <c r="AI133" s="193"/>
      <c r="AJ133" s="193"/>
      <c r="AK133" s="193"/>
      <c r="AM133" s="193"/>
      <c r="AN133" s="193"/>
      <c r="AO133" s="193"/>
      <c r="AQ133" s="194"/>
      <c r="BB133" s="317">
        <f t="shared" si="136"/>
        <v>153.45802110818485</v>
      </c>
      <c r="BC133" s="189">
        <f t="shared" si="136"/>
        <v>3.24901322290249</v>
      </c>
      <c r="BD133" s="193">
        <f>44/12*'Crops proc. &amp; prod. DISCOUNTED'!CH112</f>
        <v>122.97429925135467</v>
      </c>
      <c r="BE133" s="192">
        <f>44/12*'Crops proc. &amp; prod. DISCOUNTED'!CI112</f>
        <v>2.6036118637496815</v>
      </c>
      <c r="BF133" s="193">
        <f>44/12*'Crops proc. &amp; prod. DISCOUNTED'!DX112</f>
        <v>183.94174296501504</v>
      </c>
      <c r="BG133" s="192">
        <f>44/12*'Crops proc. &amp; prod. DISCOUNTED'!DY112</f>
        <v>3.8944145820552984</v>
      </c>
      <c r="BH133" s="250"/>
      <c r="BI133" s="192"/>
      <c r="BJ133" s="193"/>
      <c r="BK133" s="192"/>
      <c r="BL133" s="193"/>
      <c r="BM133" s="192"/>
      <c r="BN133" s="193"/>
      <c r="BO133" s="192"/>
      <c r="BP133" s="193"/>
      <c r="BQ133" s="192"/>
      <c r="BR133" s="193"/>
      <c r="BS133" s="192"/>
      <c r="BT133" s="310">
        <f>'Crops proc. &amp; prod. DISCOUNTED'!HK112</f>
        <v>8.2204861512169423</v>
      </c>
      <c r="BU133" s="192">
        <f>'Crops proc. &amp; prod. DISCOUNTED'!HL112</f>
        <v>0.17404413279356512</v>
      </c>
      <c r="BV133" s="311">
        <f>'Crops proc. &amp; prod. DISCOUNTED'!JI112</f>
        <v>103.69542533216435</v>
      </c>
      <c r="BW133" s="192">
        <f>'Crops proc. &amp; prod. DISCOUNTED'!JJ112</f>
        <v>2.1954395451325839</v>
      </c>
      <c r="BX133" s="221">
        <f>'Crops proc. &amp; prod. DISCOUNTED'!MR112</f>
        <v>86</v>
      </c>
      <c r="BY133" s="421">
        <f>BB133+BT133+BV133-BX133</f>
        <v>179.37393259156613</v>
      </c>
      <c r="BZ133" s="309">
        <f>BY133*'Crops proc. &amp; prod. DISCOUNTED'!$NZ112/10^3</f>
        <v>3.7977049008286379</v>
      </c>
      <c r="CA133" s="421">
        <f t="shared" ref="CA133:CA135" si="137">BD133+BT133+BV133-BX133</f>
        <v>148.89021073473594</v>
      </c>
      <c r="CB133" s="309">
        <f>CA133*'Crops proc. &amp; prod. DISCOUNTED'!$NZ112/10^3</f>
        <v>3.1523035416758294</v>
      </c>
    </row>
    <row r="134" spans="1:80" x14ac:dyDescent="0.25">
      <c r="A134" s="219" t="s">
        <v>478</v>
      </c>
      <c r="AQ134" s="189"/>
      <c r="AR134" s="188"/>
      <c r="AS134" s="189"/>
      <c r="AT134" s="765"/>
      <c r="AU134" s="189"/>
      <c r="AV134" s="189"/>
      <c r="AW134" s="189"/>
      <c r="AX134" s="189"/>
      <c r="AY134" s="189"/>
      <c r="AZ134" s="189"/>
      <c r="BA134" s="189"/>
      <c r="BB134" s="317">
        <f t="shared" si="136"/>
        <v>96.400755248427458</v>
      </c>
      <c r="BC134" s="189">
        <f t="shared" si="136"/>
        <v>2.0409967901197068</v>
      </c>
      <c r="BD134" s="193">
        <f>44/12*'Crops proc. &amp; prod. DISCOUNTED'!CA117</f>
        <v>92.944949464187047</v>
      </c>
      <c r="BE134" s="192">
        <f>44/12*'Crops proc. &amp; prod. DISCOUNTED'!CB117</f>
        <v>1.9678304700557687</v>
      </c>
      <c r="BF134" s="193">
        <f>44/12*'Crops proc. &amp; prod. DISCOUNTED'!DQ117</f>
        <v>99.856561032667884</v>
      </c>
      <c r="BG134" s="192">
        <f>44/12*'Crops proc. &amp; prod. DISCOUNTED'!DR117</f>
        <v>2.1141631101836449</v>
      </c>
      <c r="BH134" s="316">
        <f t="shared" ref="BH134:BI135" si="138">(BJ134+BL134)/2</f>
        <v>130.37916462871382</v>
      </c>
      <c r="BI134" s="189">
        <f t="shared" si="138"/>
        <v>2.7603876735191291</v>
      </c>
      <c r="BJ134" s="193">
        <f>44/12*'Crops proc. &amp; prod. DISCOUNTED'!CO117</f>
        <v>131.79963875686161</v>
      </c>
      <c r="BK134" s="192">
        <f>44/12*'Crops proc. &amp; prod. DISCOUNTED'!CP117</f>
        <v>2.7904619517602742</v>
      </c>
      <c r="BL134" s="193">
        <f>44/12*'Crops proc. &amp; prod. DISCOUNTED'!EE117</f>
        <v>128.95869050056604</v>
      </c>
      <c r="BM134" s="192">
        <f>44/12*'Crops proc. &amp; prod. DISCOUNTED'!EF117</f>
        <v>2.7303133952779843</v>
      </c>
      <c r="BN134" s="311">
        <f t="shared" ref="BN134:BO135" si="139">(BP134+BR134)/2</f>
        <v>4148.8271326821869</v>
      </c>
      <c r="BO134" s="189">
        <f t="shared" si="139"/>
        <v>87.838968053147269</v>
      </c>
      <c r="BP134" s="193">
        <f>44/12*'Crops proc. &amp; prod. DISCOUNTED'!DC117</f>
        <v>49.397664846310242</v>
      </c>
      <c r="BQ134" s="192">
        <f>44/12*'Crops proc. &amp; prod. DISCOUNTED'!DD117</f>
        <v>1.0458473601260805</v>
      </c>
      <c r="BR134" s="193">
        <f>44/12*'Crops proc. &amp; prod. DISCOUNTED'!ES117</f>
        <v>8248.2566005180634</v>
      </c>
      <c r="BS134" s="192">
        <f>44/12*'Crops proc. &amp; prod. DISCOUNTED'!ET117</f>
        <v>174.63208874616845</v>
      </c>
      <c r="BT134" s="310">
        <f>'Crops proc. &amp; prod. DISCOUNTED'!HD117</f>
        <v>8.9872341581386461</v>
      </c>
      <c r="BU134" s="192">
        <f>'Crops proc. &amp; prod. DISCOUNTED'!HE117</f>
        <v>0.19027772159611145</v>
      </c>
      <c r="BV134" s="311">
        <f>'Crops proc. &amp; prod. DISCOUNTED'!IZ117</f>
        <v>19.092991062597342</v>
      </c>
      <c r="BW134" s="417">
        <f>'Crops proc. &amp; prod. DISCOUNTED'!JA117</f>
        <v>0.40423680677731094</v>
      </c>
      <c r="BX134" s="221">
        <f>'Crops proc. &amp; prod. DISCOUNTED'!MR117</f>
        <v>86</v>
      </c>
      <c r="BY134" s="421">
        <f>BB134+BT134+BV134-BX134</f>
        <v>38.480980469163455</v>
      </c>
      <c r="BZ134" s="309">
        <f>BY134*'Crops proc. &amp; prod. DISCOUNTED'!$NZ117/10^3</f>
        <v>0.81471931849312873</v>
      </c>
      <c r="CA134" s="421">
        <f t="shared" si="137"/>
        <v>35.02517468492303</v>
      </c>
      <c r="CB134" s="309">
        <f>CA134*'Crops proc. &amp; prod. DISCOUNTED'!$NZ117/10^3</f>
        <v>0.74155299842919042</v>
      </c>
    </row>
    <row r="135" spans="1:80" x14ac:dyDescent="0.25">
      <c r="A135" s="219" t="s">
        <v>480</v>
      </c>
      <c r="AQ135" s="189"/>
      <c r="AR135" s="188"/>
      <c r="AS135" s="189"/>
      <c r="AT135" s="765"/>
      <c r="AU135" s="189"/>
      <c r="AV135" s="189"/>
      <c r="AW135" s="189"/>
      <c r="AX135" s="189"/>
      <c r="AY135" s="189"/>
      <c r="AZ135" s="189"/>
      <c r="BA135" s="189"/>
      <c r="BB135" s="317">
        <f t="shared" si="136"/>
        <v>245.59196979313637</v>
      </c>
      <c r="BC135" s="189">
        <f t="shared" si="136"/>
        <v>5.1996731844602833</v>
      </c>
      <c r="BD135" s="192">
        <f>44/12*'Crops proc. &amp; prod. DISCOUNTED'!CA122</f>
        <v>200.61918227386349</v>
      </c>
      <c r="BE135" s="192">
        <f>44/12*'Crops proc. &amp; prod. DISCOUNTED'!CB122</f>
        <v>4.2475093271022377</v>
      </c>
      <c r="BF135" s="193">
        <f>44/12*'Crops proc. &amp; prod. DISCOUNTED'!DQ122</f>
        <v>290.56475731240926</v>
      </c>
      <c r="BG135" s="192">
        <f>44/12*'Crops proc. &amp; prod. DISCOUNTED'!DR122</f>
        <v>6.1518370418183288</v>
      </c>
      <c r="BH135" s="316">
        <f t="shared" si="138"/>
        <v>284.77565894837363</v>
      </c>
      <c r="BI135" s="189">
        <f t="shared" si="138"/>
        <v>6.0292702512549674</v>
      </c>
      <c r="BJ135" s="193">
        <f>44/12*'Crops proc. &amp; prod. DISCOUNTED'!CO122</f>
        <v>234.25933180280742</v>
      </c>
      <c r="BK135" s="192">
        <f>44/12*'Crops proc. &amp; prod. DISCOUNTED'!CP122</f>
        <v>4.9597385729290391</v>
      </c>
      <c r="BL135" s="193">
        <f>44/12*'Crops proc. &amp; prod. DISCOUNTED'!EE122</f>
        <v>335.29198609393984</v>
      </c>
      <c r="BM135" s="192">
        <f>44/12*'Crops proc. &amp; prod. DISCOUNTED'!EF122</f>
        <v>7.0988019295808948</v>
      </c>
      <c r="BN135" s="311">
        <f t="shared" si="139"/>
        <v>888.63763858050277</v>
      </c>
      <c r="BO135" s="189">
        <f t="shared" si="139"/>
        <v>18.814236084026408</v>
      </c>
      <c r="BP135" s="193">
        <f>44/12*'Crops proc. &amp; prod. DISCOUNTED'!DC122</f>
        <v>66.921152094727233</v>
      </c>
      <c r="BQ135" s="192">
        <f>44/12*'Crops proc. &amp; prod. DISCOUNTED'!DD122</f>
        <v>1.4168546321495652</v>
      </c>
      <c r="BR135" s="193">
        <f>44/12*'Crops proc. &amp; prod. DISCOUNTED'!ES122</f>
        <v>1710.3541250662784</v>
      </c>
      <c r="BS135" s="192">
        <f>44/12*'Crops proc. &amp; prod. DISCOUNTED'!ET122</f>
        <v>36.211617535903251</v>
      </c>
      <c r="BT135" s="311">
        <f>'Crops proc. &amp; prod. DISCOUNTED'!HD122</f>
        <v>26.388980500276475</v>
      </c>
      <c r="BU135" s="192">
        <f>'Crops proc. &amp; prod. DISCOUNTED'!HE122</f>
        <v>0.55870749515185358</v>
      </c>
      <c r="BV135" s="311">
        <f>'Crops proc. &amp; prod. DISCOUNTED'!IZ122</f>
        <v>11.38179104477612</v>
      </c>
      <c r="BW135" s="417">
        <f>'Crops proc. &amp; prod. DISCOUNTED'!JA122</f>
        <v>0.24097528000000004</v>
      </c>
      <c r="BX135" s="221">
        <f>'Crops proc. &amp; prod. DISCOUNTED'!MR122</f>
        <v>86</v>
      </c>
      <c r="BY135" s="421">
        <f>BB135+BT135+BV135-BX135</f>
        <v>197.36274133818893</v>
      </c>
      <c r="BZ135" s="309">
        <f>BY135*'Crops proc. &amp; prod. DISCOUNTED'!$NZ122/10^3</f>
        <v>4.178563959612136</v>
      </c>
      <c r="CA135" s="421">
        <f t="shared" si="137"/>
        <v>152.3899538189161</v>
      </c>
      <c r="CB135" s="309">
        <f>CA135*'Crops proc. &amp; prod. DISCOUNTED'!$NZ122/10^3</f>
        <v>3.2264001022540914</v>
      </c>
    </row>
    <row r="136" spans="1:80" x14ac:dyDescent="0.25">
      <c r="A136" s="454" t="s">
        <v>300</v>
      </c>
      <c r="B136" s="770">
        <f t="shared" ref="B136:C137" si="140">(F136+J136)/2</f>
        <v>2.9567222072937716</v>
      </c>
      <c r="C136" s="220">
        <f t="shared" si="140"/>
        <v>3.1792711906384636</v>
      </c>
      <c r="E136" s="313">
        <f t="shared" ref="E136:E137" si="141">(I136+M136)/2</f>
        <v>10.597570635461548</v>
      </c>
      <c r="F136" s="189">
        <f>44/12*'Crops proc. &amp; prod. DISCOUNTED'!CC108</f>
        <v>2.5409835112960417</v>
      </c>
      <c r="G136" s="189">
        <f>44/12*'Crops proc. &amp; prod. DISCOUNTED'!CD108</f>
        <v>2.7322403347269262</v>
      </c>
      <c r="I136" s="188">
        <f>44/12*'Crops proc. &amp; prod. DISCOUNTED'!CF108</f>
        <v>9.1074677824230896</v>
      </c>
      <c r="J136" s="192">
        <f>44/12*'Crops proc. &amp; prod. DISCOUNTED'!DS108</f>
        <v>3.3724609032915014</v>
      </c>
      <c r="K136" s="192">
        <f>44/12*'Crops proc. &amp; prod. DISCOUNTED'!DT108</f>
        <v>3.6263020465500011</v>
      </c>
      <c r="L136" s="193"/>
      <c r="M136" s="193">
        <f>44/12*'Crops proc. &amp; prod. DISCOUNTED'!DV108</f>
        <v>12.087673488500005</v>
      </c>
      <c r="N136" s="770"/>
      <c r="O136" s="314"/>
      <c r="P136" s="193"/>
      <c r="Q136" s="296"/>
      <c r="R136" s="192"/>
      <c r="S136" s="192"/>
      <c r="T136" s="193"/>
      <c r="U136" s="193"/>
      <c r="V136" s="192"/>
      <c r="W136" s="192"/>
      <c r="X136" s="193"/>
      <c r="Y136" s="193"/>
      <c r="Z136" s="770"/>
      <c r="AA136" s="314"/>
      <c r="AB136" s="193"/>
      <c r="AC136" s="314"/>
      <c r="AD136" s="192"/>
      <c r="AE136" s="192"/>
      <c r="AF136" s="193"/>
      <c r="AG136" s="193"/>
      <c r="AH136" s="192"/>
      <c r="AI136" s="192"/>
      <c r="AJ136" s="193"/>
      <c r="AK136" s="193"/>
      <c r="AL136" s="761">
        <f>'Crops proc. &amp; prod. DISCOUNTED'!HF108</f>
        <v>0.14660049055907548</v>
      </c>
      <c r="AM136" s="417">
        <f>'Crops proc. &amp; prod. DISCOUNTED'!HG108</f>
        <v>0.15763493608502738</v>
      </c>
      <c r="AN136" s="193"/>
      <c r="AO136" s="418">
        <f>'Crops proc. &amp; prod. DISCOUNTED'!HI108</f>
        <v>0.52544978695009126</v>
      </c>
      <c r="AP136" s="761">
        <f>'Crops proc. &amp; prod. DISCOUNTED'!JE108</f>
        <v>0.53367355446807863</v>
      </c>
      <c r="AQ136" s="192">
        <f>'Crops proc. &amp; prod. DISCOUNTED'!JF108</f>
        <v>0.57384253168610599</v>
      </c>
      <c r="AR136" s="193"/>
      <c r="AS136" s="310">
        <f>'Crops proc. &amp; prod. DISCOUNTED'!JH108</f>
        <v>1.9128084389536868</v>
      </c>
      <c r="AT136" s="765">
        <f t="shared" ref="AT136:AU137" si="142">B136+AL136+AP136</f>
        <v>3.6369962523209258</v>
      </c>
      <c r="AU136" s="189">
        <f t="shared" si="142"/>
        <v>3.910748658409597</v>
      </c>
      <c r="AV136" s="188"/>
      <c r="AW136" s="189">
        <f t="shared" ref="AW136:AW137" si="143">E136+AO136+AS136</f>
        <v>13.035828861365324</v>
      </c>
      <c r="AX136" s="189">
        <f t="shared" ref="AX136:AY137" si="144">F136+AL136+AP136</f>
        <v>3.221257556323196</v>
      </c>
      <c r="AY136" s="189">
        <f t="shared" si="144"/>
        <v>3.4637178024980599</v>
      </c>
      <c r="AZ136" s="188"/>
      <c r="BA136" s="189">
        <f t="shared" ref="BA136:BA137" si="145">I136+AO136+AS136</f>
        <v>11.545726008326866</v>
      </c>
      <c r="BI136" s="189"/>
      <c r="BJ136" s="193"/>
      <c r="BK136" s="192"/>
      <c r="BL136" s="193"/>
      <c r="BM136" s="192"/>
      <c r="BN136" s="188"/>
      <c r="BO136" s="189"/>
      <c r="BV136" s="300"/>
      <c r="BW136" s="419"/>
      <c r="BX136" s="219"/>
      <c r="BY136" s="420"/>
      <c r="BZ136" s="420"/>
    </row>
    <row r="137" spans="1:80" x14ac:dyDescent="0.25">
      <c r="A137" s="454" t="s">
        <v>301</v>
      </c>
      <c r="B137" s="770">
        <f t="shared" si="140"/>
        <v>2.8613440715746172</v>
      </c>
      <c r="C137" s="220">
        <f t="shared" si="140"/>
        <v>3.1792711906384636</v>
      </c>
      <c r="E137" s="313">
        <f t="shared" si="141"/>
        <v>10.597570635461548</v>
      </c>
      <c r="F137" s="189">
        <f>44/12*'Crops proc. &amp; prod. DISCOUNTED'!CC113</f>
        <v>2.4590163012542336</v>
      </c>
      <c r="G137" s="189">
        <f>44/12*'Crops proc. &amp; prod. DISCOUNTED'!CD113</f>
        <v>2.7322403347269262</v>
      </c>
      <c r="I137" s="188">
        <f>44/12*'Crops proc. &amp; prod. DISCOUNTED'!CF113</f>
        <v>9.1074677824230896</v>
      </c>
      <c r="J137" s="192">
        <f>44/12*'Crops proc. &amp; prod. DISCOUNTED'!DS113</f>
        <v>3.2636718418950013</v>
      </c>
      <c r="K137" s="192">
        <f>44/12*'Crops proc. &amp; prod. DISCOUNTED'!DT113</f>
        <v>3.6263020465500011</v>
      </c>
      <c r="L137" s="193"/>
      <c r="M137" s="193">
        <f>44/12*'Crops proc. &amp; prod. DISCOUNTED'!DV113</f>
        <v>12.087673488500005</v>
      </c>
      <c r="N137" s="770"/>
      <c r="O137" s="314"/>
      <c r="P137" s="193"/>
      <c r="Q137" s="296"/>
      <c r="R137" s="192"/>
      <c r="S137" s="192"/>
      <c r="T137" s="193"/>
      <c r="U137" s="193"/>
      <c r="V137" s="192"/>
      <c r="W137" s="192"/>
      <c r="X137" s="193"/>
      <c r="Y137" s="193"/>
      <c r="Z137" s="770"/>
      <c r="AA137" s="314"/>
      <c r="AB137" s="193"/>
      <c r="AC137" s="314"/>
      <c r="AD137" s="192"/>
      <c r="AE137" s="192"/>
      <c r="AF137" s="193"/>
      <c r="AG137" s="193"/>
      <c r="AH137" s="192"/>
      <c r="AI137" s="192"/>
      <c r="AJ137" s="193"/>
      <c r="AK137" s="193"/>
      <c r="AL137" s="761">
        <f>'Crops proc. &amp; prod. DISCOUNTED'!HF113</f>
        <v>0.14187144247652464</v>
      </c>
      <c r="AM137" s="417">
        <f>'Crops proc. &amp; prod. DISCOUNTED'!HG113</f>
        <v>0.15763493608502738</v>
      </c>
      <c r="AN137" s="193"/>
      <c r="AO137" s="418">
        <f>'Crops proc. &amp; prod. DISCOUNTED'!HI113</f>
        <v>0.52544978695009126</v>
      </c>
      <c r="AP137" s="761">
        <f>'Crops proc. &amp; prod. DISCOUNTED'!JE113</f>
        <v>0.51645827851749537</v>
      </c>
      <c r="AQ137" s="192">
        <f>'Crops proc. &amp; prod. DISCOUNTED'!JF113</f>
        <v>0.57384253168610599</v>
      </c>
      <c r="AR137" s="193"/>
      <c r="AS137" s="310">
        <f>'Crops proc. &amp; prod. DISCOUNTED'!JH113</f>
        <v>1.9128084389536868</v>
      </c>
      <c r="AT137" s="765">
        <f t="shared" si="142"/>
        <v>3.5196737925686374</v>
      </c>
      <c r="AU137" s="189">
        <f t="shared" si="142"/>
        <v>3.910748658409597</v>
      </c>
      <c r="AV137" s="188"/>
      <c r="AW137" s="189">
        <f t="shared" si="143"/>
        <v>13.035828861365324</v>
      </c>
      <c r="AX137" s="189">
        <f t="shared" si="144"/>
        <v>3.1173460222482539</v>
      </c>
      <c r="AY137" s="189">
        <f t="shared" si="144"/>
        <v>3.4637178024980599</v>
      </c>
      <c r="AZ137" s="188"/>
      <c r="BA137" s="189">
        <f t="shared" si="145"/>
        <v>11.545726008326866</v>
      </c>
      <c r="BI137" s="189"/>
      <c r="BJ137" s="193"/>
      <c r="BK137" s="192"/>
      <c r="BL137" s="193"/>
      <c r="BM137" s="192"/>
      <c r="BN137" s="188"/>
      <c r="BO137" s="189"/>
      <c r="BV137" s="300"/>
      <c r="BW137" s="419"/>
      <c r="BX137" s="219"/>
      <c r="BY137" s="420"/>
      <c r="BZ137" s="420"/>
    </row>
    <row r="138" spans="1:80" x14ac:dyDescent="0.25">
      <c r="A138" s="219"/>
      <c r="S138" s="192"/>
      <c r="T138" s="193"/>
      <c r="U138" s="193"/>
      <c r="V138" s="192"/>
      <c r="W138" s="192"/>
      <c r="X138" s="193"/>
      <c r="Y138" s="193"/>
      <c r="AA138" s="193"/>
      <c r="AB138" s="193"/>
      <c r="AC138" s="193"/>
      <c r="AD138" s="193"/>
      <c r="AE138" s="193"/>
      <c r="AF138" s="193"/>
      <c r="AG138" s="193"/>
      <c r="AH138" s="193"/>
      <c r="AI138" s="193"/>
      <c r="AJ138" s="193"/>
      <c r="AK138" s="193"/>
      <c r="AM138" s="193"/>
      <c r="AN138" s="193"/>
      <c r="AO138" s="193"/>
      <c r="AQ138" s="250"/>
      <c r="AR138" s="250"/>
      <c r="BI138" s="189"/>
      <c r="BJ138" s="193"/>
      <c r="BK138" s="192"/>
      <c r="BL138" s="193"/>
      <c r="BM138" s="192"/>
      <c r="BN138" s="188"/>
      <c r="BO138" s="189"/>
      <c r="BV138" s="300"/>
      <c r="BW138" s="419"/>
      <c r="BX138" s="219"/>
      <c r="BY138" s="420"/>
      <c r="BZ138" s="420"/>
    </row>
    <row r="139" spans="1:80" ht="13.8" x14ac:dyDescent="0.3">
      <c r="A139" s="283" t="s">
        <v>454</v>
      </c>
      <c r="BI139" s="189"/>
      <c r="BJ139" s="250"/>
      <c r="BK139" s="192"/>
      <c r="BL139" s="250"/>
      <c r="BM139" s="192"/>
      <c r="BN139" s="188"/>
      <c r="BO139" s="189"/>
      <c r="BV139" s="300"/>
      <c r="BW139" s="419"/>
      <c r="BX139" s="219"/>
      <c r="BY139" s="420"/>
      <c r="BZ139" s="420"/>
    </row>
    <row r="140" spans="1:80" x14ac:dyDescent="0.25">
      <c r="A140" s="219" t="s">
        <v>519</v>
      </c>
      <c r="AQ140" s="189"/>
      <c r="AR140" s="188"/>
      <c r="AS140" s="189"/>
      <c r="AT140" s="765"/>
      <c r="AU140" s="189"/>
      <c r="AV140" s="189"/>
      <c r="AW140" s="189"/>
      <c r="AX140" s="189"/>
      <c r="AY140" s="189"/>
      <c r="AZ140" s="189"/>
      <c r="BA140" s="189"/>
      <c r="BB140" s="317">
        <f t="shared" ref="BB140:BC142" si="146">(BD140+BF140)/2</f>
        <v>276.98526731784074</v>
      </c>
      <c r="BC140" s="189">
        <f t="shared" si="146"/>
        <v>9.1704282303590716</v>
      </c>
      <c r="BD140" s="193">
        <f>44/12*'Crops proc. &amp; prod. DISCOUNTED'!CA134</f>
        <v>286.74503590897939</v>
      </c>
      <c r="BE140" s="192">
        <f>44/12*'Crops proc. &amp; prod. DISCOUNTED'!CB134</f>
        <v>9.4935546488744897</v>
      </c>
      <c r="BF140" s="193">
        <f>44/12*'Crops proc. &amp; prod. DISCOUNTED'!DQ134</f>
        <v>267.22549872670209</v>
      </c>
      <c r="BG140" s="192">
        <f>44/12*'Crops proc. &amp; prod. DISCOUNTED'!DR134</f>
        <v>8.8473018118436535</v>
      </c>
      <c r="BH140" s="316">
        <f t="shared" ref="BH140:BI142" si="147">(BJ140+BL140)/2</f>
        <v>279.77288296288953</v>
      </c>
      <c r="BI140" s="189">
        <f t="shared" si="147"/>
        <v>9.2627206091353465</v>
      </c>
      <c r="BJ140" s="193">
        <f>44/12*'Crops proc. &amp; prod. DISCOUNTED'!CO134</f>
        <v>289.48112842815863</v>
      </c>
      <c r="BK140" s="192">
        <f>44/12*'Crops proc. &amp; prod. DISCOUNTED'!CP134</f>
        <v>9.5841411999994754</v>
      </c>
      <c r="BL140" s="193">
        <f>44/12*'Crops proc. &amp; prod. DISCOUNTED'!EE134</f>
        <v>270.06463749762042</v>
      </c>
      <c r="BM140" s="192">
        <f>44/12*'Crops proc. &amp; prod. DISCOUNTED'!EF134</f>
        <v>8.9413000182712192</v>
      </c>
      <c r="BN140" s="311">
        <f t="shared" ref="BN140:BO142" si="148">(BP140+BR140)/2</f>
        <v>301.13708357752643</v>
      </c>
      <c r="BO140" s="189">
        <f t="shared" si="148"/>
        <v>9.9700465630847468</v>
      </c>
      <c r="BP140" s="193">
        <f>44/12*'Crops proc. &amp; prod. DISCOUNTED'!DC134</f>
        <v>237.928729826394</v>
      </c>
      <c r="BQ140" s="192">
        <f>44/12*'Crops proc. &amp; prod. DISCOUNTED'!DD134</f>
        <v>7.8773443870922542</v>
      </c>
      <c r="BR140" s="193">
        <f>44/12*'Crops proc. &amp; prod. DISCOUNTED'!ES134</f>
        <v>364.34543732865887</v>
      </c>
      <c r="BS140" s="192">
        <f>44/12*'Crops proc. &amp; prod. DISCOUNTED'!ET134</f>
        <v>12.062748739077239</v>
      </c>
      <c r="BT140" s="310">
        <f>'Crops proc. &amp; prod. DISCOUNTED'!HD134</f>
        <v>8.3646172275241142</v>
      </c>
      <c r="BU140" s="192">
        <f>'Crops proc. &amp; prod. DISCOUNTED'!HE134</f>
        <v>0.27693574716886843</v>
      </c>
      <c r="BV140" s="311">
        <f>'Crops proc. &amp; prod. DISCOUNTED'!IZ134</f>
        <v>27.488264342860891</v>
      </c>
      <c r="BW140" s="192">
        <f>'Crops proc. &amp; prod. DISCOUNTED'!JA134</f>
        <v>0.91008145586343836</v>
      </c>
      <c r="BX140" s="221">
        <f>'Crops proc. &amp; prod. DISCOUNTED'!MR134</f>
        <v>88</v>
      </c>
      <c r="BY140" s="421">
        <f>BB140+BT140+BV140-BX140</f>
        <v>224.8381488882257</v>
      </c>
      <c r="BZ140" s="309">
        <f>BY140*'Crops proc. &amp; prod. DISCOUNTED'!$NZ134/10^3</f>
        <v>7.4439414333913776</v>
      </c>
      <c r="CA140" s="421">
        <f t="shared" ref="CA140:CA142" si="149">BD140+BT140+BV140-BX140</f>
        <v>234.59791747936436</v>
      </c>
      <c r="CB140" s="309">
        <f>CA140*'Crops proc. &amp; prod. DISCOUNTED'!$NZ134/10^3</f>
        <v>7.7670678519067957</v>
      </c>
    </row>
    <row r="141" spans="1:80" x14ac:dyDescent="0.25">
      <c r="A141" s="219" t="s">
        <v>520</v>
      </c>
      <c r="AQ141" s="189"/>
      <c r="AR141" s="188"/>
      <c r="AS141" s="189"/>
      <c r="AT141" s="765"/>
      <c r="AU141" s="189"/>
      <c r="AV141" s="189"/>
      <c r="AW141" s="189"/>
      <c r="AX141" s="189"/>
      <c r="AY141" s="189"/>
      <c r="AZ141" s="189"/>
      <c r="BA141" s="189"/>
      <c r="BB141" s="317">
        <f t="shared" si="146"/>
        <v>170.47584964596916</v>
      </c>
      <c r="BC141" s="189">
        <f t="shared" si="146"/>
        <v>5.6441144300787478</v>
      </c>
      <c r="BD141" s="193">
        <f>44/12*'Crops proc. &amp; prod. DISCOUNTED'!CA139</f>
        <v>191.53791368354015</v>
      </c>
      <c r="BE141" s="192">
        <f>44/12*'Crops proc. &amp; prod. DISCOUNTED'!CB139</f>
        <v>6.3414372462346495</v>
      </c>
      <c r="BF141" s="193">
        <f>44/12*'Crops proc. &amp; prod. DISCOUNTED'!DQ139</f>
        <v>149.41378560839814</v>
      </c>
      <c r="BG141" s="192">
        <f>44/12*'Crops proc. &amp; prod. DISCOUNTED'!DR139</f>
        <v>4.9467916139228452</v>
      </c>
      <c r="BH141" s="316">
        <f t="shared" si="147"/>
        <v>170.47584964596916</v>
      </c>
      <c r="BI141" s="189">
        <f t="shared" si="147"/>
        <v>5.6441144300787478</v>
      </c>
      <c r="BJ141" s="193">
        <f>44/12*'Crops proc. &amp; prod. DISCOUNTED'!CO139</f>
        <v>191.53791368354015</v>
      </c>
      <c r="BK141" s="192">
        <f>44/12*'Crops proc. &amp; prod. DISCOUNTED'!CP139</f>
        <v>6.3414372462346495</v>
      </c>
      <c r="BL141" s="193">
        <f>44/12*'Crops proc. &amp; prod. DISCOUNTED'!EE139</f>
        <v>149.41378560839814</v>
      </c>
      <c r="BM141" s="192">
        <f>44/12*'Crops proc. &amp; prod. DISCOUNTED'!EF139</f>
        <v>4.9467916139228452</v>
      </c>
      <c r="BN141" s="311">
        <f t="shared" si="148"/>
        <v>889.576728235269</v>
      </c>
      <c r="BO141" s="189">
        <f t="shared" si="148"/>
        <v>29.452106318413286</v>
      </c>
      <c r="BP141" s="193">
        <f>44/12*'Crops proc. &amp; prod. DISCOUNTED'!DC139</f>
        <v>86.591441697386685</v>
      </c>
      <c r="BQ141" s="192">
        <f>44/12*'Crops proc. &amp; prod. DISCOUNTED'!DD139</f>
        <v>2.8668694517170783</v>
      </c>
      <c r="BR141" s="193">
        <f>44/12*'Crops proc. &amp; prod. DISCOUNTED'!ES139</f>
        <v>1692.5620147731513</v>
      </c>
      <c r="BS141" s="192">
        <f>44/12*'Crops proc. &amp; prod. DISCOUNTED'!ET139</f>
        <v>56.037343185109492</v>
      </c>
      <c r="BT141" s="311">
        <f>'Crops proc. &amp; prod. DISCOUNTED'!HD139</f>
        <v>62.606152568380544</v>
      </c>
      <c r="BU141" s="192">
        <f>'Crops proc. &amp; prod. DISCOUNTED'!HE139</f>
        <v>2.0727644992339433</v>
      </c>
      <c r="BV141" s="311">
        <f>'Crops proc. &amp; prod. DISCOUNTED'!IZ139</f>
        <v>54.506155439170442</v>
      </c>
      <c r="BW141" s="192">
        <f>'Crops proc. &amp; prod. DISCOUNTED'!JA139</f>
        <v>1.8045897942800551</v>
      </c>
      <c r="BX141" s="221">
        <f>'Crops proc. &amp; prod. DISCOUNTED'!MR139</f>
        <v>88</v>
      </c>
      <c r="BY141" s="421">
        <f>BB141+BT141+BV141-BX141</f>
        <v>199.58815765352017</v>
      </c>
      <c r="BZ141" s="309">
        <f>BY141*'Crops proc. &amp; prod. DISCOUNTED'!$NZ139/10^3</f>
        <v>6.6079647235927466</v>
      </c>
      <c r="CA141" s="421">
        <f t="shared" si="149"/>
        <v>220.65022169109113</v>
      </c>
      <c r="CB141" s="309">
        <f>CA141*'Crops proc. &amp; prod. DISCOUNTED'!$NZ139/10^3</f>
        <v>7.3052875397486456</v>
      </c>
    </row>
    <row r="142" spans="1:80" x14ac:dyDescent="0.25">
      <c r="A142" s="219" t="s">
        <v>521</v>
      </c>
      <c r="AQ142" s="189"/>
      <c r="AR142" s="188"/>
      <c r="AS142" s="189"/>
      <c r="AT142" s="765"/>
      <c r="AU142" s="189"/>
      <c r="AV142" s="189"/>
      <c r="AW142" s="189"/>
      <c r="AX142" s="189"/>
      <c r="AY142" s="189"/>
      <c r="AZ142" s="189"/>
      <c r="BA142" s="189"/>
      <c r="BB142" s="317">
        <f t="shared" si="146"/>
        <v>213.8793000757949</v>
      </c>
      <c r="BC142" s="189">
        <f t="shared" si="146"/>
        <v>7.0811158669094176</v>
      </c>
      <c r="BD142" s="193">
        <f>44/12*'Crops proc. &amp; prod. DISCOUNTED'!CA145</f>
        <v>218.22327328875866</v>
      </c>
      <c r="BE142" s="192">
        <f>44/12*'Crops proc. &amp; prod. DISCOUNTED'!CB145</f>
        <v>7.2249361320442222</v>
      </c>
      <c r="BF142" s="193">
        <f>44/12*'Crops proc. &amp; prod. DISCOUNTED'!DQ145</f>
        <v>209.53532686283111</v>
      </c>
      <c r="BG142" s="192">
        <f>44/12*'Crops proc. &amp; prod. DISCOUNTED'!DR145</f>
        <v>6.937295601774613</v>
      </c>
      <c r="BH142" s="316">
        <f t="shared" si="147"/>
        <v>219.2993511299033</v>
      </c>
      <c r="BI142" s="189">
        <f t="shared" si="147"/>
        <v>7.2605629172088388</v>
      </c>
      <c r="BJ142" s="193">
        <f>44/12*'Crops proc. &amp; prod. DISCOUNTED'!CO145</f>
        <v>222.31003498287544</v>
      </c>
      <c r="BK142" s="192">
        <f>44/12*'Crops proc. &amp; prod. DISCOUNTED'!CP145</f>
        <v>7.3602406382130408</v>
      </c>
      <c r="BL142" s="193">
        <f>44/12*'Crops proc. &amp; prod. DISCOUNTED'!EE145</f>
        <v>216.28866727693116</v>
      </c>
      <c r="BM142" s="192">
        <f>44/12*'Crops proc. &amp; prod. DISCOUNTED'!EF145</f>
        <v>7.1608851962046378</v>
      </c>
      <c r="BN142" s="311">
        <f t="shared" si="148"/>
        <v>214.06851168429495</v>
      </c>
      <c r="BO142" s="189">
        <f t="shared" si="148"/>
        <v>7.0873802848436362</v>
      </c>
      <c r="BP142" s="193">
        <f>44/12*'Crops proc. &amp; prod. DISCOUNTED'!DC145</f>
        <v>192.85574970274985</v>
      </c>
      <c r="BQ142" s="192">
        <f>44/12*'Crops proc. &amp; prod. DISCOUNTED'!DD145</f>
        <v>6.3850681611586424</v>
      </c>
      <c r="BR142" s="193">
        <f>44/12*'Crops proc. &amp; prod. DISCOUNTED'!ES145</f>
        <v>235.28127366584002</v>
      </c>
      <c r="BS142" s="192">
        <f>44/12*'Crops proc. &amp; prod. DISCOUNTED'!ET145</f>
        <v>7.789692408528631</v>
      </c>
      <c r="BT142" s="311">
        <f>'Crops proc. &amp; prod. DISCOUNTED'!HD145</f>
        <v>25.567619111068396</v>
      </c>
      <c r="BU142" s="192">
        <f>'Crops proc. &amp; prod. DISCOUNTED'!HE145</f>
        <v>0.84649273352925258</v>
      </c>
      <c r="BV142" s="311">
        <f>'Crops proc. &amp; prod. DISCOUNTED'!IZ145</f>
        <v>55.085404480732507</v>
      </c>
      <c r="BW142" s="192">
        <f>'Crops proc. &amp; prod. DISCOUNTED'!JA145</f>
        <v>1.8237675715480921</v>
      </c>
      <c r="BX142" s="221">
        <f>'Crops proc. &amp; prod. DISCOUNTED'!MR145</f>
        <v>88</v>
      </c>
      <c r="BY142" s="421">
        <f>BB142+BT142+BV142-BX142</f>
        <v>206.53232366759579</v>
      </c>
      <c r="BZ142" s="309">
        <f>BY142*'Crops proc. &amp; prod. DISCOUNTED'!$NZ145/10^3</f>
        <v>6.8378721719867626</v>
      </c>
      <c r="CA142" s="421">
        <f t="shared" si="149"/>
        <v>210.87629688055955</v>
      </c>
      <c r="CB142" s="309">
        <f>CA142*'Crops proc. &amp; prod. DISCOUNTED'!$NZ145/10^3</f>
        <v>6.9816924371215663</v>
      </c>
    </row>
    <row r="143" spans="1:80" x14ac:dyDescent="0.25">
      <c r="A143" s="219"/>
    </row>
  </sheetData>
  <mergeCells count="12">
    <mergeCell ref="CA4:CB4"/>
    <mergeCell ref="AX4:BA4"/>
    <mergeCell ref="BB4:BC4"/>
    <mergeCell ref="BD4:BE4"/>
    <mergeCell ref="BF4:BG4"/>
    <mergeCell ref="BH4:BI4"/>
    <mergeCell ref="BJ4:BK4"/>
    <mergeCell ref="BL4:BM4"/>
    <mergeCell ref="BN4:BO4"/>
    <mergeCell ref="BP4:BQ4"/>
    <mergeCell ref="BR4:BS4"/>
    <mergeCell ref="BY4:BZ4"/>
  </mergeCell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1"/>
  <dimension ref="A1:CB143"/>
  <sheetViews>
    <sheetView zoomScaleNormal="100" workbookViewId="0">
      <pane xSplit="1" ySplit="5" topLeftCell="B6" activePane="bottomRight" state="frozen"/>
      <selection activeCell="J24" sqref="J24"/>
      <selection pane="topRight" activeCell="J24" sqref="J24"/>
      <selection pane="bottomLeft" activeCell="J24" sqref="J24"/>
      <selection pane="bottomRight" activeCell="AI36" sqref="AI36"/>
    </sheetView>
  </sheetViews>
  <sheetFormatPr defaultColWidth="9.109375" defaultRowHeight="12" x14ac:dyDescent="0.25"/>
  <cols>
    <col min="1" max="1" width="35.109375" style="187" bestFit="1" customWidth="1"/>
    <col min="2" max="17" width="6.33203125" style="188" customWidth="1"/>
    <col min="18" max="19" width="6.33203125" style="189" customWidth="1"/>
    <col min="20" max="21" width="6.33203125" style="188" customWidth="1"/>
    <col min="22" max="23" width="6.33203125" style="189" customWidth="1"/>
    <col min="24" max="41" width="6.33203125" style="188" customWidth="1"/>
    <col min="42" max="42" width="6.33203125" style="189" customWidth="1"/>
    <col min="43" max="53" width="6.33203125" style="187" customWidth="1"/>
    <col min="54" max="55" width="4.6640625" style="187" customWidth="1"/>
    <col min="56" max="59" width="6.6640625" style="187" customWidth="1"/>
    <col min="60" max="61" width="4.6640625" style="187" customWidth="1"/>
    <col min="62" max="65" width="6.6640625" style="187" customWidth="1"/>
    <col min="66" max="67" width="4.6640625" style="187" customWidth="1"/>
    <col min="68" max="71" width="6.6640625" style="187" customWidth="1"/>
    <col min="72" max="73" width="7.109375" style="187" customWidth="1"/>
    <col min="74" max="75" width="7.33203125" style="187" customWidth="1"/>
    <col min="76" max="76" width="12.88671875" style="187" customWidth="1"/>
    <col min="77" max="78" width="7.33203125" style="187" customWidth="1"/>
    <col min="79" max="80" width="8.6640625" style="187" customWidth="1"/>
    <col min="81" max="16384" width="9.109375" style="187"/>
  </cols>
  <sheetData>
    <row r="1" spans="1:80" s="273" customFormat="1" ht="24.9" customHeight="1" x14ac:dyDescent="0.3">
      <c r="B1" s="273" t="s">
        <v>809</v>
      </c>
      <c r="C1" s="274"/>
      <c r="D1" s="274"/>
      <c r="E1" s="331"/>
      <c r="F1" s="423"/>
      <c r="G1" s="274"/>
      <c r="H1" s="274"/>
      <c r="I1" s="274"/>
      <c r="J1" s="274"/>
      <c r="K1" s="274"/>
      <c r="L1" s="274"/>
      <c r="M1" s="274"/>
      <c r="N1" s="276"/>
      <c r="O1" s="274"/>
      <c r="P1" s="274"/>
      <c r="Q1" s="274"/>
      <c r="R1" s="275"/>
      <c r="S1" s="275"/>
      <c r="T1" s="274"/>
      <c r="U1" s="274"/>
      <c r="V1" s="275"/>
      <c r="W1" s="275"/>
      <c r="X1" s="274"/>
      <c r="Y1" s="274"/>
      <c r="Z1" s="276"/>
      <c r="AA1" s="274"/>
      <c r="AB1" s="274"/>
      <c r="AC1" s="274"/>
      <c r="AD1" s="274"/>
      <c r="AE1" s="274"/>
      <c r="AF1" s="274"/>
      <c r="AG1" s="274"/>
      <c r="AH1" s="274"/>
      <c r="AI1" s="274"/>
      <c r="AJ1" s="274"/>
      <c r="AK1" s="274"/>
      <c r="AL1" s="423"/>
      <c r="AM1" s="274"/>
      <c r="AN1" s="274"/>
      <c r="AO1" s="274"/>
      <c r="AP1" s="423"/>
      <c r="AW1" s="451"/>
      <c r="AX1" s="451"/>
      <c r="AY1" s="451"/>
      <c r="AZ1" s="451"/>
      <c r="BA1" s="451"/>
      <c r="BB1" s="287" t="s">
        <v>516</v>
      </c>
      <c r="BD1" s="276"/>
      <c r="BI1" s="276"/>
      <c r="BT1" s="276"/>
      <c r="BV1" s="276"/>
      <c r="BW1" s="276"/>
      <c r="BX1" s="276"/>
      <c r="CA1" s="451"/>
      <c r="CB1" s="451"/>
    </row>
    <row r="2" spans="1:80" s="277" customFormat="1" ht="24.9" customHeight="1" x14ac:dyDescent="0.3">
      <c r="B2" s="279" t="s">
        <v>359</v>
      </c>
      <c r="C2" s="278"/>
      <c r="D2" s="278"/>
      <c r="E2" s="278"/>
      <c r="F2" s="278"/>
      <c r="G2" s="278"/>
      <c r="H2" s="278"/>
      <c r="I2" s="278"/>
      <c r="J2" s="278"/>
      <c r="K2" s="278"/>
      <c r="L2" s="278"/>
      <c r="M2" s="278"/>
      <c r="N2" s="278"/>
      <c r="O2" s="278"/>
      <c r="P2" s="278"/>
      <c r="Q2" s="278"/>
      <c r="S2" s="279"/>
      <c r="T2" s="278"/>
      <c r="U2" s="278"/>
      <c r="V2" s="279"/>
      <c r="W2" s="279"/>
      <c r="X2" s="278"/>
      <c r="Y2" s="278"/>
      <c r="Z2" s="278"/>
      <c r="AA2" s="278"/>
      <c r="AB2" s="278"/>
      <c r="AC2" s="278"/>
      <c r="AD2" s="278"/>
      <c r="AE2" s="278"/>
      <c r="AF2" s="278"/>
      <c r="AG2" s="278"/>
      <c r="AH2" s="278"/>
      <c r="AI2" s="278"/>
      <c r="AJ2" s="278"/>
      <c r="AK2" s="278"/>
      <c r="AL2" s="278" t="s">
        <v>778</v>
      </c>
      <c r="AM2" s="278"/>
      <c r="AN2" s="278"/>
      <c r="AO2" s="278"/>
      <c r="AP2" s="279" t="s">
        <v>750</v>
      </c>
      <c r="AT2" s="277" t="s">
        <v>611</v>
      </c>
      <c r="BB2" s="279" t="s">
        <v>359</v>
      </c>
      <c r="BC2" s="279"/>
      <c r="BE2" s="279"/>
      <c r="BF2" s="279"/>
      <c r="BG2" s="279"/>
      <c r="BH2" s="279"/>
      <c r="BI2" s="279"/>
      <c r="BN2" s="279"/>
      <c r="BO2" s="279"/>
      <c r="BT2" s="278" t="s">
        <v>525</v>
      </c>
      <c r="BV2" s="279" t="s">
        <v>751</v>
      </c>
      <c r="BW2" s="279"/>
      <c r="BX2" s="277" t="s">
        <v>496</v>
      </c>
    </row>
    <row r="3" spans="1:80" s="216" customFormat="1" ht="24.9" customHeight="1" x14ac:dyDescent="0.3">
      <c r="B3" s="284" t="s">
        <v>490</v>
      </c>
      <c r="C3" s="284"/>
      <c r="D3" s="284"/>
      <c r="E3" s="284"/>
      <c r="G3" s="285"/>
      <c r="H3" s="284"/>
      <c r="I3" s="284"/>
      <c r="J3" s="285"/>
      <c r="K3" s="285"/>
      <c r="L3" s="284"/>
      <c r="M3" s="284"/>
      <c r="N3" s="216" t="s">
        <v>39</v>
      </c>
      <c r="O3" s="284"/>
      <c r="P3" s="284"/>
      <c r="Q3" s="284"/>
      <c r="S3" s="285"/>
      <c r="T3" s="284"/>
      <c r="U3" s="284"/>
      <c r="V3" s="285"/>
      <c r="W3" s="285"/>
      <c r="X3" s="284"/>
      <c r="Y3" s="284"/>
      <c r="Z3" s="216" t="s">
        <v>40</v>
      </c>
      <c r="AA3" s="284"/>
      <c r="AB3" s="284"/>
      <c r="AC3" s="284"/>
      <c r="AE3" s="285"/>
      <c r="AF3" s="284"/>
      <c r="AG3" s="284"/>
      <c r="AH3" s="285"/>
      <c r="AI3" s="285"/>
      <c r="AJ3" s="284"/>
      <c r="AK3" s="284"/>
      <c r="AL3" s="284" t="s">
        <v>490</v>
      </c>
      <c r="AM3" s="284"/>
      <c r="AN3" s="284"/>
      <c r="AO3" s="284"/>
      <c r="AP3" s="284" t="s">
        <v>490</v>
      </c>
      <c r="AT3" s="284" t="s">
        <v>490</v>
      </c>
      <c r="BB3" s="284" t="s">
        <v>490</v>
      </c>
      <c r="BC3" s="284"/>
      <c r="BE3" s="284"/>
      <c r="BF3" s="284"/>
      <c r="BG3" s="284"/>
      <c r="BH3" s="284" t="s">
        <v>39</v>
      </c>
      <c r="BI3" s="284"/>
      <c r="BK3" s="284"/>
      <c r="BN3" s="284" t="s">
        <v>40</v>
      </c>
      <c r="BO3" s="284"/>
      <c r="BQ3" s="284"/>
      <c r="BT3" s="422" t="s">
        <v>533</v>
      </c>
      <c r="BV3" s="422" t="s">
        <v>533</v>
      </c>
      <c r="BW3" s="286"/>
      <c r="BY3" s="422" t="s">
        <v>533</v>
      </c>
      <c r="BZ3" s="284"/>
    </row>
    <row r="4" spans="1:80" s="280" customFormat="1" ht="38.1" customHeight="1" x14ac:dyDescent="0.3">
      <c r="B4" s="413" t="s">
        <v>495</v>
      </c>
      <c r="C4" s="289"/>
      <c r="D4" s="289"/>
      <c r="E4" s="289"/>
      <c r="F4" s="744" t="s">
        <v>513</v>
      </c>
      <c r="G4" s="744"/>
      <c r="H4" s="744"/>
      <c r="I4" s="744"/>
      <c r="J4" s="746" t="s">
        <v>499</v>
      </c>
      <c r="K4" s="746"/>
      <c r="L4" s="746"/>
      <c r="M4" s="746"/>
      <c r="N4" s="413" t="s">
        <v>495</v>
      </c>
      <c r="O4" s="289"/>
      <c r="P4" s="289"/>
      <c r="Q4" s="289"/>
      <c r="R4" s="744" t="s">
        <v>513</v>
      </c>
      <c r="S4" s="744"/>
      <c r="T4" s="744"/>
      <c r="U4" s="744"/>
      <c r="V4" s="746" t="s">
        <v>499</v>
      </c>
      <c r="W4" s="746"/>
      <c r="X4" s="746"/>
      <c r="Y4" s="746"/>
      <c r="Z4" s="413" t="s">
        <v>495</v>
      </c>
      <c r="AA4" s="289"/>
      <c r="AB4" s="289"/>
      <c r="AC4" s="289"/>
      <c r="AD4" s="744" t="s">
        <v>513</v>
      </c>
      <c r="AE4" s="744"/>
      <c r="AF4" s="744"/>
      <c r="AG4" s="744"/>
      <c r="AH4" s="746" t="s">
        <v>499</v>
      </c>
      <c r="AI4" s="746"/>
      <c r="AJ4" s="746"/>
      <c r="AK4" s="746"/>
      <c r="AL4" s="412" t="s">
        <v>273</v>
      </c>
      <c r="AM4" s="332"/>
      <c r="AN4" s="332"/>
      <c r="AO4" s="332"/>
      <c r="AP4" s="412" t="s">
        <v>436</v>
      </c>
      <c r="AQ4" s="282"/>
      <c r="AR4" s="282"/>
      <c r="AS4" s="282"/>
      <c r="AT4" s="450" t="s">
        <v>495</v>
      </c>
      <c r="AU4" s="450"/>
      <c r="AX4" s="744" t="s">
        <v>514</v>
      </c>
      <c r="AY4" s="744"/>
      <c r="AZ4" s="744"/>
      <c r="BA4" s="744"/>
      <c r="BB4" s="745" t="s">
        <v>495</v>
      </c>
      <c r="BC4" s="745"/>
      <c r="BD4" s="744" t="s">
        <v>514</v>
      </c>
      <c r="BE4" s="744"/>
      <c r="BF4" s="746" t="s">
        <v>515</v>
      </c>
      <c r="BG4" s="746"/>
      <c r="BH4" s="745" t="s">
        <v>495</v>
      </c>
      <c r="BI4" s="745"/>
      <c r="BJ4" s="744" t="s">
        <v>514</v>
      </c>
      <c r="BK4" s="744"/>
      <c r="BL4" s="746" t="s">
        <v>515</v>
      </c>
      <c r="BM4" s="746"/>
      <c r="BN4" s="745" t="s">
        <v>495</v>
      </c>
      <c r="BO4" s="745"/>
      <c r="BP4" s="744" t="s">
        <v>514</v>
      </c>
      <c r="BQ4" s="744"/>
      <c r="BR4" s="746" t="s">
        <v>515</v>
      </c>
      <c r="BS4" s="746"/>
      <c r="BT4" s="281" t="s">
        <v>526</v>
      </c>
      <c r="BV4" s="281" t="s">
        <v>526</v>
      </c>
      <c r="BX4" s="288" t="s">
        <v>497</v>
      </c>
      <c r="BY4" s="745" t="s">
        <v>495</v>
      </c>
      <c r="BZ4" s="745"/>
      <c r="CA4" s="744" t="s">
        <v>514</v>
      </c>
      <c r="CB4" s="744"/>
    </row>
    <row r="5" spans="1:80" ht="48" x14ac:dyDescent="0.25">
      <c r="B5" s="218" t="s">
        <v>428</v>
      </c>
      <c r="C5" s="218" t="s">
        <v>287</v>
      </c>
      <c r="D5" s="217" t="s">
        <v>432</v>
      </c>
      <c r="E5" s="217" t="s">
        <v>277</v>
      </c>
      <c r="F5" s="218" t="s">
        <v>428</v>
      </c>
      <c r="G5" s="218" t="s">
        <v>287</v>
      </c>
      <c r="H5" s="217" t="s">
        <v>432</v>
      </c>
      <c r="I5" s="217" t="s">
        <v>277</v>
      </c>
      <c r="J5" s="218" t="s">
        <v>428</v>
      </c>
      <c r="K5" s="218" t="s">
        <v>287</v>
      </c>
      <c r="L5" s="217" t="s">
        <v>432</v>
      </c>
      <c r="M5" s="217" t="s">
        <v>277</v>
      </c>
      <c r="N5" s="218" t="s">
        <v>428</v>
      </c>
      <c r="O5" s="218" t="s">
        <v>287</v>
      </c>
      <c r="P5" s="217" t="s">
        <v>432</v>
      </c>
      <c r="Q5" s="217" t="s">
        <v>277</v>
      </c>
      <c r="R5" s="218" t="s">
        <v>428</v>
      </c>
      <c r="S5" s="218" t="s">
        <v>287</v>
      </c>
      <c r="T5" s="217" t="s">
        <v>432</v>
      </c>
      <c r="U5" s="217" t="s">
        <v>277</v>
      </c>
      <c r="V5" s="218" t="s">
        <v>428</v>
      </c>
      <c r="W5" s="218" t="s">
        <v>287</v>
      </c>
      <c r="X5" s="217" t="s">
        <v>432</v>
      </c>
      <c r="Y5" s="217" t="s">
        <v>277</v>
      </c>
      <c r="Z5" s="218" t="s">
        <v>428</v>
      </c>
      <c r="AA5" s="218" t="s">
        <v>287</v>
      </c>
      <c r="AB5" s="217" t="s">
        <v>432</v>
      </c>
      <c r="AC5" s="217" t="s">
        <v>277</v>
      </c>
      <c r="AD5" s="218" t="s">
        <v>428</v>
      </c>
      <c r="AE5" s="218" t="s">
        <v>287</v>
      </c>
      <c r="AF5" s="217" t="s">
        <v>432</v>
      </c>
      <c r="AG5" s="217" t="s">
        <v>277</v>
      </c>
      <c r="AH5" s="218" t="s">
        <v>428</v>
      </c>
      <c r="AI5" s="218" t="s">
        <v>287</v>
      </c>
      <c r="AJ5" s="217" t="s">
        <v>432</v>
      </c>
      <c r="AK5" s="217" t="s">
        <v>277</v>
      </c>
      <c r="AL5" s="218" t="s">
        <v>445</v>
      </c>
      <c r="AM5" s="215" t="s">
        <v>286</v>
      </c>
      <c r="AN5" s="215" t="s">
        <v>444</v>
      </c>
      <c r="AO5" s="215" t="s">
        <v>276</v>
      </c>
      <c r="AP5" s="218" t="s">
        <v>445</v>
      </c>
      <c r="AQ5" s="215" t="s">
        <v>286</v>
      </c>
      <c r="AR5" s="215" t="s">
        <v>444</v>
      </c>
      <c r="AS5" s="215" t="s">
        <v>276</v>
      </c>
      <c r="AT5" s="218" t="s">
        <v>445</v>
      </c>
      <c r="AU5" s="215" t="s">
        <v>286</v>
      </c>
      <c r="AV5" s="215" t="s">
        <v>444</v>
      </c>
      <c r="AW5" s="215" t="s">
        <v>276</v>
      </c>
      <c r="AX5" s="218" t="s">
        <v>445</v>
      </c>
      <c r="AY5" s="215" t="s">
        <v>286</v>
      </c>
      <c r="AZ5" s="215" t="s">
        <v>444</v>
      </c>
      <c r="BA5" s="215" t="s">
        <v>276</v>
      </c>
      <c r="BB5" s="215" t="s">
        <v>429</v>
      </c>
      <c r="BC5" s="215" t="s">
        <v>494</v>
      </c>
      <c r="BD5" s="215" t="s">
        <v>429</v>
      </c>
      <c r="BE5" s="215" t="s">
        <v>494</v>
      </c>
      <c r="BF5" s="215" t="s">
        <v>429</v>
      </c>
      <c r="BG5" s="215" t="s">
        <v>494</v>
      </c>
      <c r="BH5" s="215" t="s">
        <v>429</v>
      </c>
      <c r="BI5" s="215" t="s">
        <v>494</v>
      </c>
      <c r="BJ5" s="215" t="s">
        <v>429</v>
      </c>
      <c r="BK5" s="215" t="s">
        <v>494</v>
      </c>
      <c r="BL5" s="215" t="s">
        <v>429</v>
      </c>
      <c r="BM5" s="215" t="s">
        <v>494</v>
      </c>
      <c r="BN5" s="215" t="s">
        <v>429</v>
      </c>
      <c r="BO5" s="215" t="s">
        <v>494</v>
      </c>
      <c r="BP5" s="215" t="s">
        <v>429</v>
      </c>
      <c r="BQ5" s="215" t="s">
        <v>494</v>
      </c>
      <c r="BR5" s="215" t="s">
        <v>429</v>
      </c>
      <c r="BS5" s="215" t="s">
        <v>494</v>
      </c>
      <c r="BT5" s="215" t="s">
        <v>439</v>
      </c>
      <c r="BU5" s="215" t="s">
        <v>488</v>
      </c>
      <c r="BV5" s="215" t="s">
        <v>439</v>
      </c>
      <c r="BW5" s="215" t="s">
        <v>488</v>
      </c>
      <c r="BX5" s="215" t="s">
        <v>439</v>
      </c>
      <c r="BY5" s="215" t="s">
        <v>429</v>
      </c>
      <c r="BZ5" s="215" t="s">
        <v>494</v>
      </c>
      <c r="CA5" s="215" t="s">
        <v>429</v>
      </c>
      <c r="CB5" s="215" t="s">
        <v>494</v>
      </c>
    </row>
    <row r="7" spans="1:80" ht="14.4" x14ac:dyDescent="0.3">
      <c r="A7" s="236" t="s">
        <v>424</v>
      </c>
      <c r="B7" s="234"/>
      <c r="C7" s="234"/>
      <c r="D7" s="234"/>
      <c r="E7" s="234"/>
      <c r="F7" s="234"/>
      <c r="G7" s="234"/>
      <c r="H7" s="234"/>
      <c r="I7" s="234"/>
      <c r="J7" s="234"/>
      <c r="K7" s="234"/>
      <c r="L7" s="234"/>
      <c r="M7" s="234"/>
      <c r="N7" s="234"/>
      <c r="O7" s="234"/>
      <c r="P7" s="234"/>
      <c r="Q7" s="234"/>
      <c r="R7" s="235"/>
      <c r="S7" s="235"/>
      <c r="T7" s="234"/>
      <c r="U7" s="234"/>
      <c r="V7" s="235"/>
      <c r="W7" s="235"/>
      <c r="X7" s="234"/>
      <c r="Y7" s="234"/>
      <c r="Z7" s="234"/>
      <c r="AA7" s="234"/>
      <c r="AB7" s="234"/>
      <c r="AC7" s="234"/>
      <c r="AD7" s="234"/>
      <c r="AE7" s="234"/>
      <c r="AF7" s="234"/>
      <c r="AG7" s="234"/>
      <c r="AH7" s="234"/>
      <c r="AI7" s="234"/>
      <c r="AJ7" s="234"/>
      <c r="AK7" s="234"/>
      <c r="AL7" s="234"/>
      <c r="AM7" s="234"/>
      <c r="AN7" s="234"/>
      <c r="AO7" s="234"/>
      <c r="AP7" s="235"/>
      <c r="AQ7" s="233"/>
      <c r="AR7" s="233"/>
      <c r="AS7" s="233"/>
      <c r="AT7" s="233"/>
      <c r="AU7" s="233"/>
      <c r="AV7" s="233"/>
      <c r="AW7" s="233"/>
      <c r="AX7" s="233"/>
      <c r="AY7" s="233"/>
      <c r="AZ7" s="233"/>
      <c r="BA7" s="233"/>
      <c r="BB7" s="250"/>
      <c r="BC7" s="250"/>
      <c r="BD7" s="250"/>
      <c r="BE7" s="250"/>
      <c r="BF7" s="250"/>
      <c r="BG7" s="250"/>
      <c r="BH7" s="250"/>
      <c r="BI7" s="250"/>
      <c r="BJ7" s="250"/>
      <c r="BK7" s="250"/>
      <c r="BL7" s="250"/>
      <c r="BM7" s="250"/>
      <c r="BN7" s="250"/>
      <c r="BO7" s="250"/>
      <c r="BP7" s="250"/>
      <c r="BQ7" s="250"/>
      <c r="BR7" s="250"/>
      <c r="BS7" s="250"/>
      <c r="BT7" s="250"/>
      <c r="BU7" s="250"/>
      <c r="BV7" s="250"/>
      <c r="BW7" s="250"/>
      <c r="BX7" s="250"/>
      <c r="BY7" s="250"/>
      <c r="BZ7" s="250"/>
    </row>
    <row r="8" spans="1:80" x14ac:dyDescent="0.25">
      <c r="A8" s="186"/>
      <c r="BB8" s="250"/>
      <c r="BC8" s="250"/>
      <c r="BD8" s="250"/>
      <c r="BE8" s="250"/>
      <c r="BF8" s="250"/>
      <c r="BG8" s="250"/>
      <c r="BH8" s="250"/>
      <c r="BI8" s="250"/>
      <c r="BJ8" s="250"/>
      <c r="BK8" s="250"/>
      <c r="BL8" s="250"/>
      <c r="BM8" s="250"/>
      <c r="BN8" s="250"/>
      <c r="BO8" s="250"/>
      <c r="BP8" s="250"/>
      <c r="BQ8" s="250"/>
      <c r="BR8" s="250"/>
      <c r="BS8" s="250"/>
      <c r="BT8" s="250"/>
      <c r="BU8" s="250"/>
      <c r="BV8" s="250"/>
      <c r="BW8" s="250"/>
      <c r="BX8" s="250"/>
      <c r="BY8" s="250"/>
      <c r="BZ8" s="250"/>
    </row>
    <row r="9" spans="1:80" ht="13.8" x14ac:dyDescent="0.3">
      <c r="A9" s="237" t="s">
        <v>74</v>
      </c>
      <c r="B9" s="319">
        <f>(F9+J9)/2</f>
        <v>2.5066538129313489</v>
      </c>
      <c r="C9" s="325"/>
      <c r="D9" s="325"/>
      <c r="E9" s="325"/>
      <c r="F9" s="319">
        <f>44/12*'Crops; pasture AMORTIZED'!CY19</f>
        <v>2.4007211698359892</v>
      </c>
      <c r="G9" s="325"/>
      <c r="H9" s="325"/>
      <c r="I9" s="325"/>
      <c r="J9" s="319">
        <f>44/12*'Crops; pasture AMORTIZED'!DK19</f>
        <v>2.6125864560267087</v>
      </c>
      <c r="AL9" s="411">
        <f>'Crops; pasture AMORTIZED'!EJ19</f>
        <v>0.17626514616986436</v>
      </c>
      <c r="AP9" s="324">
        <f>'Crops; pasture AMORTIZED'!FR19</f>
        <v>1.016618300638328</v>
      </c>
      <c r="BB9" s="250"/>
      <c r="BC9" s="250"/>
      <c r="BD9" s="250"/>
      <c r="BE9" s="250"/>
      <c r="BF9" s="250"/>
      <c r="BG9" s="250"/>
      <c r="BH9" s="250"/>
      <c r="BI9" s="250"/>
      <c r="BJ9" s="250"/>
      <c r="BK9" s="250"/>
      <c r="BL9" s="250"/>
      <c r="BM9" s="250"/>
      <c r="BN9" s="250"/>
      <c r="BO9" s="250"/>
      <c r="BP9" s="250"/>
      <c r="BQ9" s="250"/>
      <c r="BR9" s="250"/>
      <c r="BS9" s="250"/>
      <c r="BT9" s="250"/>
      <c r="BU9" s="250"/>
      <c r="BV9" s="250"/>
      <c r="BW9" s="250"/>
      <c r="BX9" s="250"/>
      <c r="BY9" s="250"/>
      <c r="BZ9" s="250"/>
    </row>
    <row r="10" spans="1:80" x14ac:dyDescent="0.25">
      <c r="A10" s="238" t="s">
        <v>52</v>
      </c>
      <c r="B10" s="220">
        <f>(F10+J10)/2</f>
        <v>2.4109452219561498</v>
      </c>
      <c r="C10" s="220">
        <f t="shared" ref="C10" si="0">(G10+K10)/2</f>
        <v>2.7397104794956246</v>
      </c>
      <c r="D10" s="297">
        <f t="shared" ref="D10" si="1">(H10+L10)/2</f>
        <v>182.6473652997083</v>
      </c>
      <c r="E10" s="220">
        <f t="shared" ref="E10" si="2">(I10+M10)/2</f>
        <v>27.397104794956242</v>
      </c>
      <c r="F10" s="220">
        <f>44/12*'Crops; pasture AMORTIZED'!CY20</f>
        <v>2.4892626045322079</v>
      </c>
      <c r="G10" s="220">
        <f>44/12*'Crops; pasture AMORTIZED'!CZ20</f>
        <v>2.8287075051502359</v>
      </c>
      <c r="H10" s="221">
        <f>44/12*'Crops; pasture AMORTIZED'!DA20</f>
        <v>188.58050034334906</v>
      </c>
      <c r="I10" s="221">
        <f>44/12*'Crops; pasture AMORTIZED'!DB20</f>
        <v>28.287075051502356</v>
      </c>
      <c r="J10" s="220">
        <f>44/12*'Crops; pasture AMORTIZED'!DK20</f>
        <v>2.3326278393800917</v>
      </c>
      <c r="K10" s="220">
        <f>44/12*'Crops; pasture AMORTIZED'!DL20</f>
        <v>2.6507134538410133</v>
      </c>
      <c r="L10" s="221">
        <f>44/12*'Crops; pasture AMORTIZED'!DM20</f>
        <v>176.71423025606754</v>
      </c>
      <c r="M10" s="221">
        <f>44/12*'Crops; pasture AMORTIZED'!DN20</f>
        <v>26.507134538410131</v>
      </c>
      <c r="N10" s="220">
        <f>(R10+V10)/2</f>
        <v>2.8418930041113946</v>
      </c>
      <c r="O10" s="220">
        <f t="shared" ref="O10:O15" si="3">(S10+W10)/2</f>
        <v>3.2294238683084036</v>
      </c>
      <c r="P10" s="249">
        <f t="shared" ref="P10:P15" si="4">(T10+X10)/2</f>
        <v>215.29492455389357</v>
      </c>
      <c r="Q10" s="220">
        <f t="shared" ref="Q10:Q15" si="5">(U10+Y10)/2</f>
        <v>32.294238683084032</v>
      </c>
      <c r="R10" s="220">
        <f>44/12*'Crops; pasture AMORTIZED'!DC20</f>
        <v>2.9707850638405655</v>
      </c>
      <c r="S10" s="220">
        <f>44/12*'Crops; pasture AMORTIZED'!DD20</f>
        <v>3.3758921180006429</v>
      </c>
      <c r="T10" s="296">
        <f>44/12*'Crops; pasture AMORTIZED'!DE20</f>
        <v>225.05947453337618</v>
      </c>
      <c r="U10" s="296">
        <f>44/12*'Crops; pasture AMORTIZED'!DF20</f>
        <v>33.758921180006425</v>
      </c>
      <c r="V10" s="192">
        <f>44/12*'Crops; pasture AMORTIZED'!DO20</f>
        <v>2.7130009443822241</v>
      </c>
      <c r="W10" s="192">
        <f>44/12*'Crops; pasture AMORTIZED'!DP20</f>
        <v>3.0829556186161637</v>
      </c>
      <c r="X10" s="296">
        <f>44/12*'Crops; pasture AMORTIZED'!DQ20</f>
        <v>205.53037457441093</v>
      </c>
      <c r="Y10" s="221">
        <f>44/12*'Crops; pasture AMORTIZED'!DR20</f>
        <v>30.829556186161636</v>
      </c>
      <c r="Z10" s="220">
        <f>(AD10+AH10)/2</f>
        <v>1.0898737863552403</v>
      </c>
      <c r="AA10" s="220">
        <f t="shared" ref="AA10" si="6">(AE10+AI10)/2</f>
        <v>1.2384929390400456</v>
      </c>
      <c r="AB10" s="249">
        <f t="shared" ref="AB10" si="7">(AF10+AJ10)/2</f>
        <v>82.566195936003055</v>
      </c>
      <c r="AC10" s="220">
        <f t="shared" ref="AC10" si="8">(AG10+AK10)/2</f>
        <v>12.384929390400456</v>
      </c>
      <c r="AD10" s="220">
        <f>44/12*'Crops; pasture AMORTIZED'!DG20</f>
        <v>1.0128590883523358</v>
      </c>
      <c r="AE10" s="220">
        <f>44/12*'Crops; pasture AMORTIZED'!DH20</f>
        <v>1.1509762367640179</v>
      </c>
      <c r="AF10" s="221">
        <f>44/12*'Crops; pasture AMORTIZED'!DI20</f>
        <v>76.731749117601197</v>
      </c>
      <c r="AG10" s="221">
        <f>44/12*'Crops; pasture AMORTIZED'!DJ20</f>
        <v>11.509762367640178</v>
      </c>
      <c r="AH10" s="220">
        <f>44/12*'Crops; pasture AMORTIZED'!DS20</f>
        <v>1.1668884843581446</v>
      </c>
      <c r="AI10" s="220">
        <f>44/12*'Crops; pasture AMORTIZED'!DT20</f>
        <v>1.3260096413160736</v>
      </c>
      <c r="AJ10" s="221">
        <f>44/12*'Crops; pasture AMORTIZED'!DU20</f>
        <v>88.400642754404899</v>
      </c>
      <c r="AK10" s="221">
        <f>44/12*'Crops; pasture AMORTIZED'!DV20</f>
        <v>13.260096413160735</v>
      </c>
      <c r="AL10" s="407">
        <f>'Crops; pasture AMORTIZED'!EJ20</f>
        <v>0.11100605572878924</v>
      </c>
      <c r="AM10" s="407">
        <f>'Crops; pasture AMORTIZED'!EK20</f>
        <v>0.12614324514635142</v>
      </c>
      <c r="AN10" s="301">
        <f>'Crops; pasture AMORTIZED'!EL20</f>
        <v>8.4095496764234277</v>
      </c>
      <c r="AO10" s="407">
        <f>'Crops; pasture AMORTIZED'!EM20</f>
        <v>1.261432451463514</v>
      </c>
      <c r="AP10" s="194">
        <f>'Crops; pasture AMORTIZED'!FR20</f>
        <v>0.46180097859999997</v>
      </c>
      <c r="AQ10" s="194">
        <f>'Crops; pasture AMORTIZED'!FS20</f>
        <v>0.52477383931818178</v>
      </c>
      <c r="AR10" s="248">
        <f>'Crops; pasture AMORTIZED'!FT20</f>
        <v>34.984922621212121</v>
      </c>
      <c r="AS10" s="189">
        <f>'Crops; pasture AMORTIZED'!FU20</f>
        <v>5.2477383931818178</v>
      </c>
      <c r="AT10" s="189">
        <f>B10+AL10+AP10</f>
        <v>2.983752256284939</v>
      </c>
      <c r="AU10" s="189">
        <f t="shared" ref="AU10:AW10" si="9">C10+AM10+AQ10</f>
        <v>3.390627563960158</v>
      </c>
      <c r="AV10" s="188">
        <f t="shared" si="9"/>
        <v>226.04183759734386</v>
      </c>
      <c r="AW10" s="189">
        <f t="shared" si="9"/>
        <v>33.906275639601574</v>
      </c>
      <c r="AX10" s="189">
        <f>F10+AL10+AP10</f>
        <v>3.0620696388609971</v>
      </c>
      <c r="AY10" s="189">
        <f t="shared" ref="AY10:BA10" si="10">G10+AM10+AQ10</f>
        <v>3.4796245896147693</v>
      </c>
      <c r="AZ10" s="188">
        <f t="shared" si="10"/>
        <v>231.97497264098462</v>
      </c>
      <c r="BA10" s="189">
        <f t="shared" si="10"/>
        <v>34.796245896147688</v>
      </c>
      <c r="BB10" s="250"/>
      <c r="BC10" s="250"/>
      <c r="BD10" s="250"/>
      <c r="BE10" s="250"/>
      <c r="BF10" s="250"/>
      <c r="BG10" s="250"/>
      <c r="BH10" s="250"/>
      <c r="BI10" s="250"/>
      <c r="BJ10" s="250"/>
      <c r="BK10" s="250"/>
      <c r="BL10" s="250"/>
      <c r="BM10" s="250"/>
      <c r="BN10" s="250"/>
      <c r="BO10" s="250"/>
      <c r="BP10" s="250"/>
      <c r="BQ10" s="250"/>
      <c r="BR10" s="250"/>
      <c r="BS10" s="250"/>
      <c r="BT10" s="250"/>
      <c r="BU10" s="250"/>
      <c r="BV10" s="250"/>
      <c r="BW10" s="250"/>
      <c r="BX10" s="250"/>
      <c r="BY10" s="250"/>
      <c r="BZ10" s="250"/>
    </row>
    <row r="11" spans="1:80" x14ac:dyDescent="0.25">
      <c r="A11" s="239" t="s">
        <v>66</v>
      </c>
      <c r="B11" s="220">
        <f t="shared" ref="B11:B15" si="11">(F11+J11)/2</f>
        <v>2.2962966708452432</v>
      </c>
      <c r="C11" s="220">
        <f t="shared" ref="C11:C15" si="12">(G11+K11)/2</f>
        <v>2.6394214607416595</v>
      </c>
      <c r="D11" s="297">
        <f t="shared" ref="D11:D15" si="13">(H11+L11)/2</f>
        <v>229.51490962970951</v>
      </c>
      <c r="E11" s="220">
        <f t="shared" ref="E11:E15" si="14">(I11+M11)/2</f>
        <v>32.992768259270747</v>
      </c>
      <c r="F11" s="220">
        <f>44/12*'Crops; pasture AMORTIZED'!CY21</f>
        <v>2.3820871990448467</v>
      </c>
      <c r="G11" s="220">
        <f>44/12*'Crops; pasture AMORTIZED'!CZ21</f>
        <v>2.7380312632699391</v>
      </c>
      <c r="H11" s="221">
        <f>44/12*'Crops; pasture AMORTIZED'!DA21</f>
        <v>238.0896750669512</v>
      </c>
      <c r="I11" s="221">
        <f>44/12*'Crops; pasture AMORTIZED'!DB21</f>
        <v>34.225390790874236</v>
      </c>
      <c r="J11" s="220">
        <f>44/12*'Crops; pasture AMORTIZED'!DK21</f>
        <v>2.2105061426456403</v>
      </c>
      <c r="K11" s="220">
        <f>44/12*'Crops; pasture AMORTIZED'!DL21</f>
        <v>2.54081165821338</v>
      </c>
      <c r="L11" s="221">
        <f>44/12*'Crops; pasture AMORTIZED'!DM21</f>
        <v>220.94014419246781</v>
      </c>
      <c r="M11" s="221">
        <f>44/12*'Crops; pasture AMORTIZED'!DN21</f>
        <v>31.760145727667251</v>
      </c>
      <c r="N11" s="220">
        <f t="shared" ref="N11:N15" si="15">(R11+V11)/2</f>
        <v>4.511952738134509</v>
      </c>
      <c r="O11" s="220">
        <f t="shared" si="3"/>
        <v>5.1861525725684006</v>
      </c>
      <c r="P11" s="249">
        <f t="shared" si="4"/>
        <v>450.9697889189913</v>
      </c>
      <c r="Q11" s="220">
        <f t="shared" si="5"/>
        <v>64.826907157105012</v>
      </c>
      <c r="R11" s="220">
        <f>44/12*'Crops; pasture AMORTIZED'!DC21</f>
        <v>4.56928251632191</v>
      </c>
      <c r="S11" s="220">
        <f>44/12*'Crops; pasture AMORTIZED'!DD21</f>
        <v>5.2520488693355292</v>
      </c>
      <c r="T11" s="296">
        <f>44/12*'Crops; pasture AMORTIZED'!DE21</f>
        <v>456.6999016813503</v>
      </c>
      <c r="U11" s="296">
        <f>44/12*'Crops; pasture AMORTIZED'!DF21</f>
        <v>65.650610866694123</v>
      </c>
      <c r="V11" s="192">
        <f>44/12*'Crops; pasture AMORTIZED'!DO21</f>
        <v>4.4546229599471072</v>
      </c>
      <c r="W11" s="192">
        <f>44/12*'Crops; pasture AMORTIZED'!DP21</f>
        <v>5.120256275801272</v>
      </c>
      <c r="X11" s="296">
        <f>44/12*'Crops; pasture AMORTIZED'!DQ21</f>
        <v>445.23967615663236</v>
      </c>
      <c r="Y11" s="221">
        <f>44/12*'Crops; pasture AMORTIZED'!DR21</f>
        <v>64.003203447515901</v>
      </c>
      <c r="Z11" s="220">
        <f t="shared" ref="Z11:Z15" si="16">(AD11+AH11)/2</f>
        <v>1.6509997619699117</v>
      </c>
      <c r="AA11" s="220">
        <f t="shared" ref="AA11:AA15" si="17">(AE11+AI11)/2</f>
        <v>1.8977008758274847</v>
      </c>
      <c r="AB11" s="249">
        <f t="shared" ref="AB11:AB15" si="18">(AF11+AJ11)/2</f>
        <v>165.01746746325952</v>
      </c>
      <c r="AC11" s="220">
        <f t="shared" ref="AC11:AC15" si="19">(AG11+AK11)/2</f>
        <v>23.721260947843557</v>
      </c>
      <c r="AD11" s="220">
        <f>44/12*'Crops; pasture AMORTIZED'!DG21</f>
        <v>1.7451173990965332</v>
      </c>
      <c r="AE11" s="220">
        <f>44/12*'Crops; pasture AMORTIZED'!DH21</f>
        <v>2.0058820679270495</v>
      </c>
      <c r="AF11" s="221">
        <f>44/12*'Crops; pasture AMORTIZED'!DI21</f>
        <v>174.42452764583038</v>
      </c>
      <c r="AG11" s="221">
        <f>44/12*'Crops; pasture AMORTIZED'!DJ21</f>
        <v>25.073525849088117</v>
      </c>
      <c r="AH11" s="220">
        <f>44/12*'Crops; pasture AMORTIZED'!DS21</f>
        <v>1.5568821248432902</v>
      </c>
      <c r="AI11" s="220">
        <f>44/12*'Crops; pasture AMORTIZED'!DT21</f>
        <v>1.7895196837279197</v>
      </c>
      <c r="AJ11" s="221">
        <f>44/12*'Crops; pasture AMORTIZED'!DU21</f>
        <v>155.61040728068866</v>
      </c>
      <c r="AK11" s="221">
        <f>44/12*'Crops; pasture AMORTIZED'!DV21</f>
        <v>22.368996046598998</v>
      </c>
      <c r="AL11" s="407">
        <f>'Crops; pasture AMORTIZED'!EJ21</f>
        <v>0.24363454117680775</v>
      </c>
      <c r="AM11" s="407">
        <f>'Crops; pasture AMORTIZED'!EK21</f>
        <v>0.28003970250207788</v>
      </c>
      <c r="AN11" s="249">
        <f>'Crops; pasture AMORTIZED'!EL21</f>
        <v>24.351278478441554</v>
      </c>
      <c r="AO11" s="407">
        <f>'Crops; pasture AMORTIZED'!EM21</f>
        <v>3.5004962812759732</v>
      </c>
      <c r="AP11" s="194">
        <f>'Crops; pasture AMORTIZED'!FR21</f>
        <v>2.1740911400800003</v>
      </c>
      <c r="AQ11" s="194">
        <f>'Crops; pasture AMORTIZED'!FS21</f>
        <v>2.4989553334252874</v>
      </c>
      <c r="AR11" s="248">
        <f>'Crops; pasture AMORTIZED'!FT21</f>
        <v>217.30046377611194</v>
      </c>
      <c r="AS11" s="189">
        <f>'Crops; pasture AMORTIZED'!FU21</f>
        <v>31.236941667816094</v>
      </c>
      <c r="AT11" s="189">
        <f t="shared" ref="AT11:AT15" si="20">B11+AL11+AP11</f>
        <v>4.7140223521020514</v>
      </c>
      <c r="AU11" s="189">
        <f t="shared" ref="AU11:AU15" si="21">C11+AM11+AQ11</f>
        <v>5.4184164966690247</v>
      </c>
      <c r="AV11" s="188">
        <f t="shared" ref="AV11:AV15" si="22">D11+AN11+AR11</f>
        <v>471.16665188426299</v>
      </c>
      <c r="AW11" s="189">
        <f t="shared" ref="AW11:AW15" si="23">E11+AO11+AS11</f>
        <v>67.730206208362816</v>
      </c>
      <c r="AX11" s="189">
        <f t="shared" ref="AX11:AX15" si="24">F11+AL11+AP11</f>
        <v>4.7998128803016549</v>
      </c>
      <c r="AY11" s="189">
        <f t="shared" ref="AY11:AY15" si="25">G11+AM11+AQ11</f>
        <v>5.5170262991973047</v>
      </c>
      <c r="AZ11" s="188">
        <f t="shared" ref="AZ11:AZ15" si="26">H11+AN11+AR11</f>
        <v>479.74141732150468</v>
      </c>
      <c r="BA11" s="189">
        <f t="shared" ref="BA11:BA15" si="27">I11+AO11+AS11</f>
        <v>68.962828739966298</v>
      </c>
      <c r="BB11" s="250"/>
      <c r="BC11" s="250"/>
      <c r="BD11" s="250"/>
      <c r="BE11" s="250"/>
      <c r="BF11" s="250"/>
      <c r="BG11" s="250"/>
      <c r="BH11" s="250"/>
      <c r="BI11" s="250"/>
      <c r="BJ11" s="250"/>
      <c r="BK11" s="250"/>
      <c r="BL11" s="250"/>
      <c r="BM11" s="250"/>
      <c r="BN11" s="250"/>
      <c r="BO11" s="250"/>
      <c r="BP11" s="250"/>
      <c r="BQ11" s="250"/>
      <c r="BR11" s="250"/>
      <c r="BS11" s="250"/>
      <c r="BT11" s="250"/>
      <c r="BU11" s="250"/>
      <c r="BV11" s="250"/>
      <c r="BW11" s="250"/>
      <c r="BX11" s="250"/>
      <c r="BY11" s="250"/>
      <c r="BZ11" s="250"/>
    </row>
    <row r="12" spans="1:80" x14ac:dyDescent="0.25">
      <c r="A12" s="240" t="s">
        <v>65</v>
      </c>
      <c r="B12" s="220">
        <f t="shared" si="11"/>
        <v>2.2701191881521479</v>
      </c>
      <c r="C12" s="220">
        <f t="shared" si="12"/>
        <v>2.5796808956274409</v>
      </c>
      <c r="D12" s="297">
        <f t="shared" si="13"/>
        <v>184.26292111624576</v>
      </c>
      <c r="E12" s="220">
        <f t="shared" si="14"/>
        <v>19.843699197134161</v>
      </c>
      <c r="F12" s="220">
        <f>44/12*'Crops; pasture AMORTIZED'!CY22</f>
        <v>1.9875966483575636</v>
      </c>
      <c r="G12" s="220">
        <f>44/12*'Crops; pasture AMORTIZED'!CZ22</f>
        <v>2.2586325549517769</v>
      </c>
      <c r="H12" s="221">
        <f>44/12*'Crops; pasture AMORTIZED'!DA22</f>
        <v>161.33089678226978</v>
      </c>
      <c r="I12" s="221">
        <f>44/12*'Crops; pasture AMORTIZED'!DB22</f>
        <v>17.37409657655213</v>
      </c>
      <c r="J12" s="220">
        <f>44/12*'Crops; pasture AMORTIZED'!DK22</f>
        <v>2.5526417279467322</v>
      </c>
      <c r="K12" s="220">
        <f>44/12*'Crops; pasture AMORTIZED'!DL22</f>
        <v>2.9007292363031048</v>
      </c>
      <c r="L12" s="221">
        <f>44/12*'Crops; pasture AMORTIZED'!DM22</f>
        <v>207.19494545022178</v>
      </c>
      <c r="M12" s="221">
        <f>44/12*'Crops; pasture AMORTIZED'!DN22</f>
        <v>22.313301817716191</v>
      </c>
      <c r="N12" s="220">
        <f t="shared" si="15"/>
        <v>2.9739215333738072</v>
      </c>
      <c r="O12" s="220">
        <f t="shared" si="3"/>
        <v>3.3794562879247811</v>
      </c>
      <c r="P12" s="249">
        <f t="shared" si="4"/>
        <v>241.38973485177007</v>
      </c>
      <c r="Q12" s="220">
        <f t="shared" si="5"/>
        <v>25.995817599421393</v>
      </c>
      <c r="R12" s="220">
        <f>44/12*'Crops; pasture AMORTIZED'!DC22</f>
        <v>2.6737510135293476</v>
      </c>
      <c r="S12" s="220">
        <f>44/12*'Crops; pasture AMORTIZED'!DD22</f>
        <v>3.0383534244651678</v>
      </c>
      <c r="T12" s="296">
        <f>44/12*'Crops; pasture AMORTIZED'!DE22</f>
        <v>217.02524460465486</v>
      </c>
      <c r="U12" s="296">
        <f>44/12*'Crops; pasture AMORTIZED'!DF22</f>
        <v>23.371949418962828</v>
      </c>
      <c r="V12" s="192">
        <f>44/12*'Crops; pasture AMORTIZED'!DO22</f>
        <v>3.2740920532182671</v>
      </c>
      <c r="W12" s="192">
        <f>44/12*'Crops; pasture AMORTIZED'!DP22</f>
        <v>3.7205591513843945</v>
      </c>
      <c r="X12" s="296">
        <f>44/12*'Crops; pasture AMORTIZED'!DQ22</f>
        <v>265.75422509888529</v>
      </c>
      <c r="Y12" s="221">
        <f>44/12*'Crops; pasture AMORTIZED'!DR22</f>
        <v>28.619685779879955</v>
      </c>
      <c r="Z12" s="220">
        <f t="shared" si="16"/>
        <v>0.93892061234360535</v>
      </c>
      <c r="AA12" s="220">
        <f t="shared" si="17"/>
        <v>1.0669552412995515</v>
      </c>
      <c r="AB12" s="249">
        <f t="shared" si="18"/>
        <v>76.21108866425368</v>
      </c>
      <c r="AC12" s="220">
        <f t="shared" si="19"/>
        <v>8.207348009996549</v>
      </c>
      <c r="AD12" s="220">
        <f>44/12*'Crops; pasture AMORTIZED'!DG22</f>
        <v>0.68846611720319617</v>
      </c>
      <c r="AE12" s="220">
        <f>44/12*'Crops; pasture AMORTIZED'!DH22</f>
        <v>0.7823478604581775</v>
      </c>
      <c r="AF12" s="221">
        <f>44/12*'Crops; pasture AMORTIZED'!DI22</f>
        <v>55.881990032726961</v>
      </c>
      <c r="AG12" s="221">
        <f>44/12*'Crops; pasture AMORTIZED'!DJ22</f>
        <v>6.018060465062903</v>
      </c>
      <c r="AH12" s="220">
        <f>44/12*'Crops; pasture AMORTIZED'!DS22</f>
        <v>1.1893751074840144</v>
      </c>
      <c r="AI12" s="220">
        <f>44/12*'Crops; pasture AMORTIZED'!DT22</f>
        <v>1.3515626221409254</v>
      </c>
      <c r="AJ12" s="221">
        <f>44/12*'Crops; pasture AMORTIZED'!DU22</f>
        <v>96.540187295780385</v>
      </c>
      <c r="AK12" s="221">
        <f>44/12*'Crops; pasture AMORTIZED'!DV22</f>
        <v>10.396635554930196</v>
      </c>
      <c r="AL12" s="407">
        <f>'Crops; pasture AMORTIZED'!EJ22</f>
        <v>0.11202772808139883</v>
      </c>
      <c r="AM12" s="407">
        <f>'Crops; pasture AMORTIZED'!EK22</f>
        <v>0.12730423645613503</v>
      </c>
      <c r="AN12" s="249">
        <f>'Crops; pasture AMORTIZED'!EL22</f>
        <v>9.0931597468667871</v>
      </c>
      <c r="AO12" s="407">
        <f>'Crops; pasture AMORTIZED'!EM22</f>
        <v>0.97926335735488479</v>
      </c>
      <c r="AP12" s="194">
        <f>'Crops; pasture AMORTIZED'!FR22</f>
        <v>0.68853651374000002</v>
      </c>
      <c r="AQ12" s="194">
        <f>'Crops; pasture AMORTIZED'!FS22</f>
        <v>0.78242785652272728</v>
      </c>
      <c r="AR12" s="248">
        <f>'Crops; pasture AMORTIZED'!FT22</f>
        <v>55.887704037337663</v>
      </c>
      <c r="AS12" s="189">
        <f>'Crops; pasture AMORTIZED'!FU22</f>
        <v>6.018675819405594</v>
      </c>
      <c r="AT12" s="189">
        <f t="shared" si="20"/>
        <v>3.0706834299735464</v>
      </c>
      <c r="AU12" s="189">
        <f t="shared" si="21"/>
        <v>3.4894129886063032</v>
      </c>
      <c r="AV12" s="188">
        <f t="shared" si="22"/>
        <v>249.24378490045021</v>
      </c>
      <c r="AW12" s="189">
        <f t="shared" si="23"/>
        <v>26.841638373894639</v>
      </c>
      <c r="AX12" s="189">
        <f t="shared" si="24"/>
        <v>2.7881608901789621</v>
      </c>
      <c r="AY12" s="189">
        <f t="shared" si="25"/>
        <v>3.1683646479306393</v>
      </c>
      <c r="AZ12" s="188">
        <f t="shared" si="26"/>
        <v>226.31176056647422</v>
      </c>
      <c r="BA12" s="189">
        <f t="shared" si="27"/>
        <v>24.372035753312609</v>
      </c>
      <c r="BB12" s="250"/>
      <c r="BC12" s="250"/>
      <c r="BD12" s="250"/>
      <c r="BE12" s="250"/>
      <c r="BF12" s="250"/>
      <c r="BG12" s="250"/>
      <c r="BH12" s="250"/>
      <c r="BI12" s="250"/>
      <c r="BJ12" s="250"/>
      <c r="BK12" s="250"/>
      <c r="BL12" s="250"/>
      <c r="BM12" s="250"/>
      <c r="BN12" s="250"/>
      <c r="BO12" s="250"/>
      <c r="BP12" s="250"/>
      <c r="BQ12" s="250"/>
      <c r="BR12" s="250"/>
      <c r="BS12" s="250"/>
      <c r="BT12" s="250"/>
      <c r="BU12" s="250"/>
      <c r="BV12" s="250"/>
      <c r="BW12" s="250"/>
      <c r="BX12" s="250"/>
      <c r="BY12" s="250"/>
      <c r="BZ12" s="250"/>
    </row>
    <row r="13" spans="1:80" x14ac:dyDescent="0.25">
      <c r="A13" s="239" t="s">
        <v>67</v>
      </c>
      <c r="B13" s="220">
        <f t="shared" si="11"/>
        <v>2.9685865848269248</v>
      </c>
      <c r="C13" s="220">
        <f t="shared" si="12"/>
        <v>3.373393846394233</v>
      </c>
      <c r="D13" s="297">
        <f t="shared" si="13"/>
        <v>240.95670331387379</v>
      </c>
      <c r="E13" s="220">
        <f t="shared" si="14"/>
        <v>28.11161538661861</v>
      </c>
      <c r="F13" s="220">
        <f>44/12*'Crops; pasture AMORTIZED'!CY23</f>
        <v>2.631858674822158</v>
      </c>
      <c r="G13" s="220">
        <f>44/12*'Crops; pasture AMORTIZED'!CZ23</f>
        <v>2.9907484941160885</v>
      </c>
      <c r="H13" s="221">
        <f>44/12*'Crops; pasture AMORTIZED'!DA23</f>
        <v>213.62489243686346</v>
      </c>
      <c r="I13" s="221">
        <f>44/12*'Crops; pasture AMORTIZED'!DB23</f>
        <v>24.922904117634072</v>
      </c>
      <c r="J13" s="220">
        <f>44/12*'Crops; pasture AMORTIZED'!DK23</f>
        <v>3.3053144948316922</v>
      </c>
      <c r="K13" s="220">
        <f>44/12*'Crops; pasture AMORTIZED'!DL23</f>
        <v>3.7560391986723776</v>
      </c>
      <c r="L13" s="221">
        <f>44/12*'Crops; pasture AMORTIZED'!DM23</f>
        <v>268.28851419088409</v>
      </c>
      <c r="M13" s="221">
        <f>44/12*'Crops; pasture AMORTIZED'!DN23</f>
        <v>31.300326655603151</v>
      </c>
      <c r="N13" s="220">
        <f t="shared" si="15"/>
        <v>3.1417953581076592</v>
      </c>
      <c r="O13" s="220">
        <f t="shared" si="3"/>
        <v>3.5702219978496128</v>
      </c>
      <c r="P13" s="249">
        <f t="shared" si="4"/>
        <v>255.01585698925805</v>
      </c>
      <c r="Q13" s="220">
        <f t="shared" si="5"/>
        <v>29.75184998208011</v>
      </c>
      <c r="R13" s="220">
        <f>44/12*'Crops; pasture AMORTIZED'!DC23</f>
        <v>2.8056850867455041</v>
      </c>
      <c r="S13" s="220">
        <f>44/12*'Crops; pasture AMORTIZED'!DD23</f>
        <v>3.1882785076653457</v>
      </c>
      <c r="T13" s="296">
        <f>44/12*'Crops; pasture AMORTIZED'!DE23</f>
        <v>227.73417911895325</v>
      </c>
      <c r="U13" s="296">
        <f>44/12*'Crops; pasture AMORTIZED'!DF23</f>
        <v>26.568987563877879</v>
      </c>
      <c r="V13" s="192">
        <f>44/12*'Crops; pasture AMORTIZED'!DO23</f>
        <v>3.4779056294698147</v>
      </c>
      <c r="W13" s="192">
        <f>44/12*'Crops; pasture AMORTIZED'!DP23</f>
        <v>3.9521654880338799</v>
      </c>
      <c r="X13" s="296">
        <f>44/12*'Crops; pasture AMORTIZED'!DQ23</f>
        <v>282.29753485956286</v>
      </c>
      <c r="Y13" s="221">
        <f>44/12*'Crops; pasture AMORTIZED'!DR23</f>
        <v>32.934712400282336</v>
      </c>
      <c r="Z13" s="220">
        <f t="shared" si="16"/>
        <v>1.3779189299047099</v>
      </c>
      <c r="AA13" s="220">
        <f t="shared" si="17"/>
        <v>1.5658169658008063</v>
      </c>
      <c r="AB13" s="249">
        <f t="shared" si="18"/>
        <v>111.8440689857719</v>
      </c>
      <c r="AC13" s="220">
        <f t="shared" si="19"/>
        <v>13.048474715006721</v>
      </c>
      <c r="AD13" s="220">
        <f>44/12*'Crops; pasture AMORTIZED'!DG23</f>
        <v>1.0324782374591503</v>
      </c>
      <c r="AE13" s="220">
        <f>44/12*'Crops; pasture AMORTIZED'!DH23</f>
        <v>1.1732707243853979</v>
      </c>
      <c r="AF13" s="221">
        <f>44/12*'Crops; pasture AMORTIZED'!DI23</f>
        <v>83.80505174181414</v>
      </c>
      <c r="AG13" s="221">
        <f>44/12*'Crops; pasture AMORTIZED'!DJ23</f>
        <v>9.7772560365449834</v>
      </c>
      <c r="AH13" s="220">
        <f>44/12*'Crops; pasture AMORTIZED'!DS23</f>
        <v>1.7233596223502692</v>
      </c>
      <c r="AI13" s="220">
        <f>44/12*'Crops; pasture AMORTIZED'!DT23</f>
        <v>1.9583632072162149</v>
      </c>
      <c r="AJ13" s="221">
        <f>44/12*'Crops; pasture AMORTIZED'!DU23</f>
        <v>139.88308622972966</v>
      </c>
      <c r="AK13" s="221">
        <f>44/12*'Crops; pasture AMORTIZED'!DV23</f>
        <v>16.319693393468459</v>
      </c>
      <c r="AL13" s="407">
        <f>'Crops; pasture AMORTIZED'!EJ23</f>
        <v>0.21093754358867345</v>
      </c>
      <c r="AM13" s="407">
        <f>'Crops; pasture AMORTIZED'!EK23</f>
        <v>0.23970175407803801</v>
      </c>
      <c r="AN13" s="249">
        <f>'Crops; pasture AMORTIZED'!EL23</f>
        <v>17.121553862717001</v>
      </c>
      <c r="AO13" s="407">
        <f>'Crops; pasture AMORTIZED'!EM23</f>
        <v>1.9975146173169835</v>
      </c>
      <c r="AP13" s="194">
        <f>'Crops; pasture AMORTIZED'!FR23</f>
        <v>0.51684051966</v>
      </c>
      <c r="AQ13" s="194">
        <f>'Crops; pasture AMORTIZED'!FS23</f>
        <v>0.58731877234090912</v>
      </c>
      <c r="AR13" s="248">
        <f>'Crops; pasture AMORTIZED'!FT23</f>
        <v>41.951340881493515</v>
      </c>
      <c r="AS13" s="189">
        <f>'Crops; pasture AMORTIZED'!FU23</f>
        <v>4.8943231028409091</v>
      </c>
      <c r="AT13" s="189">
        <f t="shared" si="20"/>
        <v>3.6963646480755985</v>
      </c>
      <c r="AU13" s="189">
        <f t="shared" si="21"/>
        <v>4.2004143728131798</v>
      </c>
      <c r="AV13" s="188">
        <f t="shared" si="22"/>
        <v>300.02959805808433</v>
      </c>
      <c r="AW13" s="189">
        <f t="shared" si="23"/>
        <v>35.003453106776504</v>
      </c>
      <c r="AX13" s="189">
        <f t="shared" si="24"/>
        <v>3.3596367380708316</v>
      </c>
      <c r="AY13" s="189">
        <f t="shared" si="25"/>
        <v>3.8177690205350356</v>
      </c>
      <c r="AZ13" s="188">
        <f t="shared" si="26"/>
        <v>272.69778718107398</v>
      </c>
      <c r="BA13" s="189">
        <f t="shared" si="27"/>
        <v>31.814741837791964</v>
      </c>
      <c r="BB13" s="250"/>
      <c r="BC13" s="250"/>
      <c r="BD13" s="250"/>
      <c r="BE13" s="250"/>
      <c r="BF13" s="250"/>
      <c r="BG13" s="250"/>
      <c r="BH13" s="250"/>
      <c r="BI13" s="250"/>
      <c r="BJ13" s="250"/>
      <c r="BK13" s="250"/>
      <c r="BL13" s="250"/>
      <c r="BM13" s="250"/>
      <c r="BN13" s="250"/>
      <c r="BO13" s="250"/>
      <c r="BP13" s="250"/>
      <c r="BQ13" s="250"/>
      <c r="BR13" s="250"/>
      <c r="BS13" s="250"/>
      <c r="BT13" s="250"/>
      <c r="BU13" s="250"/>
      <c r="BV13" s="250"/>
      <c r="BW13" s="250"/>
      <c r="BX13" s="250"/>
      <c r="BY13" s="250"/>
      <c r="BZ13" s="250"/>
    </row>
    <row r="14" spans="1:80" x14ac:dyDescent="0.25">
      <c r="A14" s="241" t="s">
        <v>307</v>
      </c>
      <c r="B14" s="220">
        <f t="shared" si="11"/>
        <v>5.4180223880697049</v>
      </c>
      <c r="C14" s="220">
        <f t="shared" si="12"/>
        <v>6.1568436228064831</v>
      </c>
      <c r="D14" s="297">
        <f t="shared" si="13"/>
        <v>424.6099050211368</v>
      </c>
      <c r="E14" s="220">
        <f t="shared" si="14"/>
        <v>61.568436228064826</v>
      </c>
      <c r="F14" s="220">
        <f>44/12*'Crops; pasture AMORTIZED'!CY24</f>
        <v>4.0273139937131797</v>
      </c>
      <c r="G14" s="220">
        <f>44/12*'Crops; pasture AMORTIZED'!CZ24</f>
        <v>4.5764931746740674</v>
      </c>
      <c r="H14" s="221">
        <f>44/12*'Crops; pasture AMORTIZED'!DA24</f>
        <v>315.62021894303911</v>
      </c>
      <c r="I14" s="221">
        <f>44/12*'Crops; pasture AMORTIZED'!DB24</f>
        <v>45.764931746740672</v>
      </c>
      <c r="J14" s="220">
        <f>44/12*'Crops; pasture AMORTIZED'!DK24</f>
        <v>6.8087307824262311</v>
      </c>
      <c r="K14" s="220">
        <f>44/12*'Crops; pasture AMORTIZED'!DL24</f>
        <v>7.7371940709388989</v>
      </c>
      <c r="L14" s="221">
        <f>44/12*'Crops; pasture AMORTIZED'!DM24</f>
        <v>533.59959109923443</v>
      </c>
      <c r="M14" s="221">
        <f>44/12*'Crops; pasture AMORTIZED'!DN24</f>
        <v>77.37194070938898</v>
      </c>
      <c r="N14" s="220">
        <f t="shared" si="15"/>
        <v>6.2129109646445331</v>
      </c>
      <c r="O14" s="220">
        <f t="shared" si="3"/>
        <v>7.0601260961869681</v>
      </c>
      <c r="P14" s="249">
        <f t="shared" si="4"/>
        <v>486.90524801289439</v>
      </c>
      <c r="Q14" s="220">
        <f t="shared" si="5"/>
        <v>70.601260961869684</v>
      </c>
      <c r="R14" s="220">
        <f>44/12*'Crops; pasture AMORTIZED'!DC24</f>
        <v>4.651679934003595</v>
      </c>
      <c r="S14" s="220">
        <f>44/12*'Crops; pasture AMORTIZED'!DD24</f>
        <v>5.2859999250040852</v>
      </c>
      <c r="T14" s="296">
        <f>44/12*'Crops; pasture AMORTIZED'!DE24</f>
        <v>364.55171896579901</v>
      </c>
      <c r="U14" s="296">
        <f>44/12*'Crops; pasture AMORTIZED'!DF24</f>
        <v>52.85999925004085</v>
      </c>
      <c r="V14" s="192">
        <f>44/12*'Crops; pasture AMORTIZED'!DO24</f>
        <v>7.7741419952854711</v>
      </c>
      <c r="W14" s="192">
        <f>44/12*'Crops; pasture AMORTIZED'!DP24</f>
        <v>8.8342522673698518</v>
      </c>
      <c r="X14" s="296">
        <f>44/12*'Crops; pasture AMORTIZED'!DQ24</f>
        <v>609.25877705998982</v>
      </c>
      <c r="Y14" s="221">
        <f>44/12*'Crops; pasture AMORTIZED'!DR24</f>
        <v>88.342522673698525</v>
      </c>
      <c r="Z14" s="220">
        <f t="shared" si="16"/>
        <v>1.5278939601358026</v>
      </c>
      <c r="AA14" s="220">
        <f t="shared" si="17"/>
        <v>1.7362431365179574</v>
      </c>
      <c r="AB14" s="249">
        <f t="shared" si="18"/>
        <v>119.74090596675569</v>
      </c>
      <c r="AC14" s="220">
        <f t="shared" si="19"/>
        <v>17.362431365179575</v>
      </c>
      <c r="AD14" s="220">
        <f>44/12*'Crops; pasture AMORTIZED'!DG24</f>
        <v>0.97077341034255915</v>
      </c>
      <c r="AE14" s="220">
        <f>44/12*'Crops; pasture AMORTIZED'!DH24</f>
        <v>1.103151602661999</v>
      </c>
      <c r="AF14" s="221">
        <f>44/12*'Crops; pasture AMORTIZED'!DI24</f>
        <v>76.079420873241318</v>
      </c>
      <c r="AG14" s="221">
        <f>44/12*'Crops; pasture AMORTIZED'!DJ24</f>
        <v>11.03151602661999</v>
      </c>
      <c r="AH14" s="220">
        <f>44/12*'Crops; pasture AMORTIZED'!DS24</f>
        <v>2.0850145099290458</v>
      </c>
      <c r="AI14" s="220">
        <f>44/12*'Crops; pasture AMORTIZED'!DT24</f>
        <v>2.3693346703739158</v>
      </c>
      <c r="AJ14" s="221">
        <f>44/12*'Crops; pasture AMORTIZED'!DU24</f>
        <v>163.40239106027005</v>
      </c>
      <c r="AK14" s="221">
        <f>44/12*'Crops; pasture AMORTIZED'!DV24</f>
        <v>23.693346703739156</v>
      </c>
      <c r="AL14" s="407">
        <f>'Crops; pasture AMORTIZED'!EJ24</f>
        <v>0.43382136393977061</v>
      </c>
      <c r="AM14" s="407">
        <f>'Crops; pasture AMORTIZED'!EK24</f>
        <v>0.49297882265883025</v>
      </c>
      <c r="AN14" s="249">
        <f>'Crops; pasture AMORTIZED'!EL24</f>
        <v>33.998539493712435</v>
      </c>
      <c r="AO14" s="407">
        <f>'Crops; pasture AMORTIZED'!EM24</f>
        <v>4.9297882265883022</v>
      </c>
      <c r="AP14" s="194">
        <f>'Crops; pasture AMORTIZED'!FR24</f>
        <v>0.42779734332000002</v>
      </c>
      <c r="AQ14" s="194">
        <f>'Crops; pasture AMORTIZED'!FS24</f>
        <v>0.48613334468181824</v>
      </c>
      <c r="AR14" s="248">
        <f>'Crops; pasture AMORTIZED'!FT24</f>
        <v>33.526437564263325</v>
      </c>
      <c r="AS14" s="189">
        <f>'Crops; pasture AMORTIZED'!FU24</f>
        <v>4.8613334468181817</v>
      </c>
      <c r="AT14" s="189">
        <f t="shared" si="20"/>
        <v>6.2796410953294757</v>
      </c>
      <c r="AU14" s="189">
        <f t="shared" si="21"/>
        <v>7.1359557901471309</v>
      </c>
      <c r="AV14" s="188">
        <f t="shared" si="22"/>
        <v>492.13488207911257</v>
      </c>
      <c r="AW14" s="189">
        <f t="shared" si="23"/>
        <v>71.359557901471305</v>
      </c>
      <c r="AX14" s="189">
        <f t="shared" si="24"/>
        <v>4.8889327009729504</v>
      </c>
      <c r="AY14" s="189">
        <f t="shared" si="25"/>
        <v>5.5556053420147151</v>
      </c>
      <c r="AZ14" s="188">
        <f t="shared" si="26"/>
        <v>383.14519600101488</v>
      </c>
      <c r="BA14" s="189">
        <f t="shared" si="27"/>
        <v>55.556053420147151</v>
      </c>
      <c r="BB14" s="250"/>
      <c r="BC14" s="250"/>
      <c r="BD14" s="250"/>
      <c r="BE14" s="250"/>
      <c r="BF14" s="250"/>
      <c r="BG14" s="250"/>
      <c r="BH14" s="250"/>
      <c r="BI14" s="250"/>
      <c r="BJ14" s="250"/>
      <c r="BK14" s="250"/>
      <c r="BL14" s="250"/>
      <c r="BM14" s="250"/>
      <c r="BN14" s="250"/>
      <c r="BO14" s="250"/>
      <c r="BP14" s="250"/>
      <c r="BQ14" s="250"/>
      <c r="BR14" s="250"/>
      <c r="BS14" s="250"/>
      <c r="BT14" s="250"/>
      <c r="BU14" s="250"/>
      <c r="BV14" s="250"/>
      <c r="BW14" s="250"/>
      <c r="BX14" s="250"/>
      <c r="BY14" s="250"/>
      <c r="BZ14" s="250"/>
    </row>
    <row r="15" spans="1:80" x14ac:dyDescent="0.25">
      <c r="A15" s="241" t="s">
        <v>308</v>
      </c>
      <c r="B15" s="220">
        <f t="shared" si="11"/>
        <v>5.6052165682079877</v>
      </c>
      <c r="C15" s="220">
        <f t="shared" si="12"/>
        <v>6.3695642820545313</v>
      </c>
      <c r="D15" s="297">
        <f t="shared" si="13"/>
        <v>439.28029531410562</v>
      </c>
      <c r="E15" s="220">
        <f t="shared" si="14"/>
        <v>70.772936467272572</v>
      </c>
      <c r="F15" s="220">
        <f>44/12*'Crops; pasture AMORTIZED'!CY25</f>
        <v>3.9268856920657678</v>
      </c>
      <c r="G15" s="220">
        <f>44/12*'Crops; pasture AMORTIZED'!CZ25</f>
        <v>4.4623701046201907</v>
      </c>
      <c r="H15" s="221">
        <f>44/12*'Crops; pasture AMORTIZED'!DA25</f>
        <v>307.74966238759936</v>
      </c>
      <c r="I15" s="221">
        <f>44/12*'Crops; pasture AMORTIZED'!DB25</f>
        <v>49.581890051335456</v>
      </c>
      <c r="J15" s="220">
        <f>44/12*'Crops; pasture AMORTIZED'!DK25</f>
        <v>7.2835474443502077</v>
      </c>
      <c r="K15" s="220">
        <f>44/12*'Crops; pasture AMORTIZED'!DL25</f>
        <v>8.2767584594888728</v>
      </c>
      <c r="L15" s="221">
        <f>44/12*'Crops; pasture AMORTIZED'!DM25</f>
        <v>570.81092824061182</v>
      </c>
      <c r="M15" s="221">
        <f>44/12*'Crops; pasture AMORTIZED'!DN25</f>
        <v>91.963982883209695</v>
      </c>
      <c r="N15" s="220">
        <f t="shared" si="15"/>
        <v>5.8870897724156137</v>
      </c>
      <c r="O15" s="220">
        <f t="shared" si="3"/>
        <v>6.6898747413813791</v>
      </c>
      <c r="P15" s="249">
        <f t="shared" si="4"/>
        <v>461.37067181940552</v>
      </c>
      <c r="Q15" s="220">
        <f t="shared" si="5"/>
        <v>74.33194157090422</v>
      </c>
      <c r="R15" s="220">
        <f>44/12*'Crops; pasture AMORTIZED'!DC25</f>
        <v>4.1122280537222053</v>
      </c>
      <c r="S15" s="220">
        <f>44/12*'Crops; pasture AMORTIZED'!DD25</f>
        <v>4.6729864246843231</v>
      </c>
      <c r="T15" s="296">
        <f>44/12*'Crops; pasture AMORTIZED'!DE25</f>
        <v>322.27492584029818</v>
      </c>
      <c r="U15" s="296">
        <f>44/12*'Crops; pasture AMORTIZED'!DF25</f>
        <v>51.922071385381379</v>
      </c>
      <c r="V15" s="192">
        <f>44/12*'Crops; pasture AMORTIZED'!DO25</f>
        <v>7.661951491109023</v>
      </c>
      <c r="W15" s="192">
        <f>44/12*'Crops; pasture AMORTIZED'!DP25</f>
        <v>8.706763058078435</v>
      </c>
      <c r="X15" s="296">
        <f>44/12*'Crops; pasture AMORTIZED'!DQ25</f>
        <v>600.46641779851279</v>
      </c>
      <c r="Y15" s="221">
        <f>44/12*'Crops; pasture AMORTIZED'!DR25</f>
        <v>96.741811756427055</v>
      </c>
      <c r="Z15" s="220">
        <f t="shared" si="16"/>
        <v>2.571531218261581</v>
      </c>
      <c r="AA15" s="220">
        <f t="shared" si="17"/>
        <v>2.9221945662063415</v>
      </c>
      <c r="AB15" s="249">
        <f t="shared" si="18"/>
        <v>201.53065973836843</v>
      </c>
      <c r="AC15" s="220">
        <f t="shared" si="19"/>
        <v>32.4688285134038</v>
      </c>
      <c r="AD15" s="220">
        <f>44/12*'Crops; pasture AMORTIZED'!DG25</f>
        <v>1.9324896421411146</v>
      </c>
      <c r="AE15" s="220">
        <f>44/12*'Crops; pasture AMORTIZED'!DH25</f>
        <v>2.1960109569785393</v>
      </c>
      <c r="AF15" s="221">
        <f>44/12*'Crops; pasture AMORTIZED'!DI25</f>
        <v>151.44903151576136</v>
      </c>
      <c r="AG15" s="221">
        <f>44/12*'Crops; pasture AMORTIZED'!DJ25</f>
        <v>24.400121744205997</v>
      </c>
      <c r="AH15" s="220">
        <f>44/12*'Crops; pasture AMORTIZED'!DS25</f>
        <v>3.2105727943820472</v>
      </c>
      <c r="AI15" s="220">
        <f>44/12*'Crops; pasture AMORTIZED'!DT25</f>
        <v>3.6483781754341442</v>
      </c>
      <c r="AJ15" s="221">
        <f>44/12*'Crops; pasture AMORTIZED'!DU25</f>
        <v>251.61228796097549</v>
      </c>
      <c r="AK15" s="221">
        <f>44/12*'Crops; pasture AMORTIZED'!DV25</f>
        <v>40.537535282601603</v>
      </c>
      <c r="AL15" s="407">
        <f>'Crops; pasture AMORTIZED'!EJ25</f>
        <v>0.94972118553755225</v>
      </c>
      <c r="AM15" s="407">
        <f>'Crops; pasture AMORTIZED'!EK25</f>
        <v>1.0792286199290366</v>
      </c>
      <c r="AN15" s="249">
        <f>'Crops; pasture AMORTIZED'!EL25</f>
        <v>74.429559995105961</v>
      </c>
      <c r="AO15" s="220">
        <f>'Crops; pasture AMORTIZED'!EM25</f>
        <v>11.991429110322629</v>
      </c>
      <c r="AP15" s="194">
        <f>'Crops; pasture AMORTIZED'!FR25</f>
        <v>0.54224401676</v>
      </c>
      <c r="AQ15" s="194">
        <f>'Crops; pasture AMORTIZED'!FS25</f>
        <v>0.61618638268181813</v>
      </c>
      <c r="AR15" s="248">
        <f>'Crops; pasture AMORTIZED'!FT25</f>
        <v>42.495612598746078</v>
      </c>
      <c r="AS15" s="189">
        <f>'Crops; pasture AMORTIZED'!FU25</f>
        <v>6.8465153631313127</v>
      </c>
      <c r="AT15" s="189">
        <f t="shared" si="20"/>
        <v>7.0971817705055393</v>
      </c>
      <c r="AU15" s="189">
        <f t="shared" si="21"/>
        <v>8.0649792846653856</v>
      </c>
      <c r="AV15" s="188">
        <f t="shared" si="22"/>
        <v>556.20546790795765</v>
      </c>
      <c r="AW15" s="189">
        <f t="shared" si="23"/>
        <v>89.610880940726517</v>
      </c>
      <c r="AX15" s="189">
        <f t="shared" si="24"/>
        <v>5.4188508943633202</v>
      </c>
      <c r="AY15" s="189">
        <f t="shared" si="25"/>
        <v>6.1577851072310459</v>
      </c>
      <c r="AZ15" s="188">
        <f t="shared" si="26"/>
        <v>424.67483498145145</v>
      </c>
      <c r="BA15" s="189">
        <f t="shared" si="27"/>
        <v>68.419834524789394</v>
      </c>
      <c r="BB15" s="250"/>
      <c r="BC15" s="250"/>
      <c r="BD15" s="250"/>
      <c r="BE15" s="250"/>
      <c r="BF15" s="250"/>
      <c r="BG15" s="250"/>
      <c r="BH15" s="250"/>
      <c r="BI15" s="250"/>
      <c r="BJ15" s="250"/>
      <c r="BK15" s="250"/>
      <c r="BL15" s="250"/>
      <c r="BM15" s="250"/>
      <c r="BN15" s="250"/>
      <c r="BO15" s="250"/>
      <c r="BP15" s="250"/>
      <c r="BQ15" s="250"/>
      <c r="BR15" s="250"/>
      <c r="BS15" s="250"/>
      <c r="BT15" s="250"/>
      <c r="BU15" s="250"/>
      <c r="BV15" s="250"/>
      <c r="BW15" s="250"/>
      <c r="BX15" s="250"/>
      <c r="BY15" s="250"/>
      <c r="BZ15" s="250"/>
    </row>
    <row r="16" spans="1:80" x14ac:dyDescent="0.25">
      <c r="A16" s="242"/>
      <c r="R16" s="222"/>
      <c r="S16" s="222"/>
      <c r="T16" s="223"/>
      <c r="U16" s="223"/>
      <c r="X16" s="223"/>
      <c r="Y16" s="223"/>
      <c r="Z16" s="223"/>
      <c r="AA16" s="223"/>
      <c r="AB16" s="223"/>
      <c r="AC16" s="223"/>
      <c r="AD16" s="223"/>
      <c r="AE16" s="223"/>
      <c r="AF16" s="223"/>
      <c r="AG16" s="223"/>
      <c r="AH16" s="223"/>
      <c r="AI16" s="223"/>
      <c r="AJ16" s="223"/>
      <c r="AK16" s="223"/>
      <c r="AL16" s="223"/>
      <c r="AM16" s="223"/>
      <c r="AN16" s="223"/>
      <c r="AO16" s="223"/>
      <c r="BB16" s="250"/>
      <c r="BC16" s="250"/>
      <c r="BD16" s="250"/>
      <c r="BE16" s="250"/>
      <c r="BF16" s="250"/>
      <c r="BG16" s="250"/>
      <c r="BH16" s="250"/>
      <c r="BI16" s="250"/>
      <c r="BJ16" s="250"/>
      <c r="BK16" s="250"/>
      <c r="BL16" s="250"/>
      <c r="BM16" s="250"/>
      <c r="BN16" s="250"/>
      <c r="BO16" s="250"/>
      <c r="BP16" s="250"/>
      <c r="BQ16" s="250"/>
      <c r="BR16" s="250"/>
      <c r="BS16" s="250"/>
      <c r="BT16" s="250"/>
      <c r="BU16" s="250"/>
      <c r="BV16" s="250"/>
      <c r="BW16" s="250"/>
      <c r="BX16" s="250"/>
      <c r="BY16" s="250"/>
      <c r="BZ16" s="250"/>
    </row>
    <row r="17" spans="1:78" ht="13.8" x14ac:dyDescent="0.3">
      <c r="A17" s="237" t="s">
        <v>75</v>
      </c>
      <c r="B17" s="319">
        <f t="shared" ref="B17:B21" si="28">(F17+J17)/2</f>
        <v>0.99643336703872532</v>
      </c>
      <c r="C17" s="327">
        <f t="shared" ref="C17" si="29">(G17+K17)/2</f>
        <v>3.6508667589476826</v>
      </c>
      <c r="D17" s="320">
        <f t="shared" ref="D17" si="30">(H17+L17)/2</f>
        <v>273.50999453642282</v>
      </c>
      <c r="E17" s="327"/>
      <c r="F17" s="319">
        <f>44/12*'Crops; pasture AMORTIZED'!CY27</f>
        <v>1.0671964272615793</v>
      </c>
      <c r="G17" s="327">
        <f>44/12*'Crops; pasture AMORTIZED'!CZ27</f>
        <v>3.8997426881596797</v>
      </c>
      <c r="H17" s="320">
        <f>44/12*'Crops; pasture AMORTIZED'!DA27</f>
        <v>292.15489683864786</v>
      </c>
      <c r="I17" s="320"/>
      <c r="J17" s="319">
        <f>44/12*'Crops; pasture AMORTIZED'!DK27</f>
        <v>0.92567030681587137</v>
      </c>
      <c r="K17" s="327">
        <f>44/12*'Crops; pasture AMORTIZED'!DL27</f>
        <v>3.4019908297356856</v>
      </c>
      <c r="L17" s="320">
        <f>44/12*'Crops; pasture AMORTIZED'!DM27</f>
        <v>254.86509223419779</v>
      </c>
      <c r="M17" s="320"/>
      <c r="N17" s="327"/>
      <c r="O17" s="327">
        <f t="shared" ref="O17" si="31">(S17+W17)/2</f>
        <v>3.8956632940764395</v>
      </c>
      <c r="P17" s="320">
        <f t="shared" ref="P17" si="32">(T17+X17)/2</f>
        <v>292.12076707566098</v>
      </c>
      <c r="Q17" s="327"/>
      <c r="R17" s="327"/>
      <c r="S17" s="327">
        <f>44/12*'Crops; pasture AMORTIZED'!DD27</f>
        <v>4.1743399194265702</v>
      </c>
      <c r="T17" s="320">
        <f>44/12*'Crops; pasture AMORTIZED'!DE27</f>
        <v>313.0176525141743</v>
      </c>
      <c r="U17" s="320"/>
      <c r="V17" s="322"/>
      <c r="W17" s="322">
        <f>44/12*'Crops; pasture AMORTIZED'!DP27</f>
        <v>3.6169866687263088</v>
      </c>
      <c r="X17" s="320">
        <f>44/12*'Crops; pasture AMORTIZED'!DQ27</f>
        <v>271.22388163714766</v>
      </c>
      <c r="Y17" s="320"/>
      <c r="Z17" s="327"/>
      <c r="AA17" s="327">
        <f t="shared" ref="AA17" si="33">(AE17+AI17)/2</f>
        <v>1.6312845033138572</v>
      </c>
      <c r="AB17" s="320">
        <f t="shared" ref="AB17" si="34">(AF17+AJ17)/2</f>
        <v>121.28028208647032</v>
      </c>
      <c r="AC17" s="327"/>
      <c r="AD17" s="327"/>
      <c r="AE17" s="327">
        <f>44/12*'Crops; pasture AMORTIZED'!DH27</f>
        <v>1.63408743473847</v>
      </c>
      <c r="AF17" s="320">
        <f>44/12*'Crops; pasture AMORTIZED'!DI27</f>
        <v>121.48867020831879</v>
      </c>
      <c r="AG17" s="320"/>
      <c r="AH17" s="327"/>
      <c r="AI17" s="327">
        <f>44/12*'Crops; pasture AMORTIZED'!DT27</f>
        <v>1.6284815718892443</v>
      </c>
      <c r="AJ17" s="320">
        <f>44/12*'Crops; pasture AMORTIZED'!DU27</f>
        <v>121.07189396462185</v>
      </c>
      <c r="AK17" s="320"/>
      <c r="AL17" s="411">
        <f>'Crops; pasture AMORTIZED'!EJ27</f>
        <v>8.7063049658089336E-2</v>
      </c>
      <c r="AM17" s="320"/>
      <c r="AN17" s="320"/>
      <c r="AO17" s="320"/>
      <c r="AP17" s="324">
        <f>'Crops; pasture AMORTIZED'!FR27</f>
        <v>6.3158360903075902E-2</v>
      </c>
      <c r="AQ17" s="324">
        <f>'Crops; pasture AMORTIZED'!FS27</f>
        <v>0.2495917993752641</v>
      </c>
      <c r="AR17" s="325">
        <f>'Crops; pasture AMORTIZED'!FT27</f>
        <v>18.698532756955835</v>
      </c>
      <c r="AS17" s="322"/>
      <c r="AT17" s="322"/>
      <c r="AU17" s="322"/>
      <c r="AV17" s="322"/>
      <c r="AW17" s="322"/>
      <c r="AX17" s="322"/>
      <c r="AY17" s="322"/>
      <c r="AZ17" s="322"/>
      <c r="BA17" s="322"/>
      <c r="BB17" s="250"/>
      <c r="BC17" s="250"/>
      <c r="BD17" s="250"/>
      <c r="BE17" s="250"/>
      <c r="BF17" s="250"/>
      <c r="BG17" s="250"/>
      <c r="BH17" s="250"/>
      <c r="BI17" s="250"/>
      <c r="BJ17" s="250"/>
      <c r="BK17" s="250"/>
      <c r="BL17" s="250"/>
      <c r="BM17" s="250"/>
      <c r="BN17" s="250"/>
      <c r="BO17" s="250"/>
      <c r="BP17" s="250"/>
      <c r="BQ17" s="250"/>
      <c r="BR17" s="250"/>
      <c r="BS17" s="250"/>
      <c r="BT17" s="250"/>
      <c r="BU17" s="250"/>
      <c r="BV17" s="250"/>
      <c r="BW17" s="250"/>
      <c r="BX17" s="250"/>
      <c r="BY17" s="250"/>
      <c r="BZ17" s="250"/>
    </row>
    <row r="18" spans="1:78" x14ac:dyDescent="0.25">
      <c r="A18" s="243" t="s">
        <v>68</v>
      </c>
      <c r="B18" s="220">
        <f t="shared" si="28"/>
        <v>1.4243683205531168</v>
      </c>
      <c r="C18" s="220">
        <f t="shared" ref="C18:C21" si="35">(G18+K18)/2</f>
        <v>4.0696237730089058</v>
      </c>
      <c r="D18" s="297">
        <f t="shared" ref="D18:D21" si="36">(H18+L18)/2</f>
        <v>317.93935726632077</v>
      </c>
      <c r="E18" s="220">
        <f t="shared" ref="E18:E21" si="37">(I18+M18)/2</f>
        <v>135.65412576696352</v>
      </c>
      <c r="F18" s="220">
        <f>44/12*'Crops; pasture AMORTIZED'!CY28</f>
        <v>1.5074208297707914</v>
      </c>
      <c r="G18" s="220">
        <f>44/12*'Crops; pasture AMORTIZED'!CZ28</f>
        <v>4.3069166564879762</v>
      </c>
      <c r="H18" s="221">
        <f>44/12*'Crops; pasture AMORTIZED'!DA28</f>
        <v>336.47786378812316</v>
      </c>
      <c r="I18" s="221">
        <f>44/12*'Crops; pasture AMORTIZED'!DB28</f>
        <v>143.5638885495992</v>
      </c>
      <c r="J18" s="220">
        <f>44/12*'Crops; pasture AMORTIZED'!DK28</f>
        <v>1.3413158113354424</v>
      </c>
      <c r="K18" s="220">
        <f>44/12*'Crops; pasture AMORTIZED'!DL28</f>
        <v>3.8323308895298354</v>
      </c>
      <c r="L18" s="221">
        <f>44/12*'Crops; pasture AMORTIZED'!DM28</f>
        <v>299.40085074451838</v>
      </c>
      <c r="M18" s="221">
        <f>44/12*'Crops; pasture AMORTIZED'!DN28</f>
        <v>127.74436298432785</v>
      </c>
      <c r="N18" s="220">
        <f t="shared" ref="N18:N21" si="38">(R18+V18)/2</f>
        <v>1.4370503872497973</v>
      </c>
      <c r="O18" s="220">
        <f t="shared" ref="O18:O21" si="39">(S18+W18)/2</f>
        <v>4.1058582492851361</v>
      </c>
      <c r="P18" s="249">
        <f t="shared" ref="P18:P21" si="40">(T18+X18)/2</f>
        <v>320.77017572540126</v>
      </c>
      <c r="Q18" s="220">
        <f t="shared" ref="Q18:Q21" si="41">(U18+Y18)/2</f>
        <v>136.86194164283788</v>
      </c>
      <c r="R18" s="220">
        <f>44/12*'Crops; pasture AMORTIZED'!DC28</f>
        <v>1.5201514074894644</v>
      </c>
      <c r="S18" s="220">
        <f>44/12*'Crops; pasture AMORTIZED'!DD28</f>
        <v>4.3432897356841851</v>
      </c>
      <c r="T18" s="296">
        <f>44/12*'Crops; pasture AMORTIZED'!DE28</f>
        <v>339.31951060032691</v>
      </c>
      <c r="U18" s="296">
        <f>44/12*'Crops; pasture AMORTIZED'!DF28</f>
        <v>144.77632452280616</v>
      </c>
      <c r="V18" s="192">
        <f>44/12*'Crops; pasture AMORTIZED'!DO28</f>
        <v>1.3539493670101304</v>
      </c>
      <c r="W18" s="192">
        <f>44/12*'Crops; pasture AMORTIZED'!DP28</f>
        <v>3.8684267628860871</v>
      </c>
      <c r="X18" s="296">
        <f>44/12*'Crops; pasture AMORTIZED'!DQ28</f>
        <v>302.22084085047555</v>
      </c>
      <c r="Y18" s="221">
        <f>44/12*'Crops; pasture AMORTIZED'!DR28</f>
        <v>128.94755876286959</v>
      </c>
      <c r="Z18" s="220">
        <f t="shared" ref="Z18:Z21" si="42">(AD18+AH18)/2</f>
        <v>0.79734999503199255</v>
      </c>
      <c r="AA18" s="220">
        <f t="shared" ref="AA18:AA21" si="43">(AE18+AI18)/2</f>
        <v>2.27814284294855</v>
      </c>
      <c r="AB18" s="249">
        <f t="shared" ref="AB18:AB21" si="44">(AF18+AJ18)/2</f>
        <v>177.97990960535549</v>
      </c>
      <c r="AC18" s="220">
        <f t="shared" ref="AC18:AC21" si="45">(AG18+AK18)/2</f>
        <v>75.938094764951671</v>
      </c>
      <c r="AD18" s="220">
        <f>44/12*'Crops; pasture AMORTIZED'!DG28</f>
        <v>0.87804332042146005</v>
      </c>
      <c r="AE18" s="220">
        <f>44/12*'Crops; pasture AMORTIZED'!DH28</f>
        <v>2.5086952012041714</v>
      </c>
      <c r="AF18" s="221">
        <f>44/12*'Crops; pasture AMORTIZED'!DI28</f>
        <v>195.99181259407592</v>
      </c>
      <c r="AG18" s="221">
        <f>44/12*'Crops; pasture AMORTIZED'!DJ28</f>
        <v>83.623173373472383</v>
      </c>
      <c r="AH18" s="220">
        <f>44/12*'Crops; pasture AMORTIZED'!DS28</f>
        <v>0.71665666964252506</v>
      </c>
      <c r="AI18" s="220">
        <f>44/12*'Crops; pasture AMORTIZED'!DT28</f>
        <v>2.0475904846929289</v>
      </c>
      <c r="AJ18" s="221">
        <f>44/12*'Crops; pasture AMORTIZED'!DU28</f>
        <v>159.96800661663502</v>
      </c>
      <c r="AK18" s="221">
        <f>44/12*'Crops; pasture AMORTIZED'!DV28</f>
        <v>68.253016156430959</v>
      </c>
      <c r="AL18" s="407">
        <f>'Crops; pasture AMORTIZED'!EJ28</f>
        <v>0.16283797717605955</v>
      </c>
      <c r="AM18" s="407">
        <f>'Crops; pasture AMORTIZED'!EK28</f>
        <v>0.4652513633601702</v>
      </c>
      <c r="AN18" s="249">
        <f>'Crops; pasture AMORTIZED'!EL28</f>
        <v>36.347762762513298</v>
      </c>
      <c r="AO18" s="220">
        <f>'Crops; pasture AMORTIZED'!EM28</f>
        <v>15.508378778672341</v>
      </c>
      <c r="AP18" s="194">
        <f>'Crops; pasture AMORTIZED'!FR28</f>
        <v>4.0830815499999999E-2</v>
      </c>
      <c r="AQ18" s="194">
        <f>'Crops; pasture AMORTIZED'!FS28</f>
        <v>0.11665947285714287</v>
      </c>
      <c r="AR18" s="248">
        <f>'Crops; pasture AMORTIZED'!FT28</f>
        <v>9.114021316964287</v>
      </c>
      <c r="AS18" s="189">
        <f>'Crops; pasture AMORTIZED'!FU28</f>
        <v>3.8886490952380957</v>
      </c>
      <c r="AT18" s="189">
        <f t="shared" ref="AT18:AT21" si="46">B18+AL18+AP18</f>
        <v>1.6280371132291762</v>
      </c>
      <c r="AU18" s="189">
        <f t="shared" ref="AU18:AU21" si="47">C18+AM18+AQ18</f>
        <v>4.6515346092262186</v>
      </c>
      <c r="AV18" s="188">
        <f t="shared" ref="AV18:AV21" si="48">D18+AN18+AR18</f>
        <v>363.40114134579835</v>
      </c>
      <c r="AW18" s="189">
        <f t="shared" ref="AW18:AW21" si="49">E18+AO18+AS18</f>
        <v>155.05115364087396</v>
      </c>
      <c r="AX18" s="189">
        <f t="shared" ref="AX18:AX21" si="50">F18+AL18+AP18</f>
        <v>1.7110896224468508</v>
      </c>
      <c r="AY18" s="189">
        <f t="shared" ref="AY18:AY21" si="51">G18+AM18+AQ18</f>
        <v>4.888827492705289</v>
      </c>
      <c r="AZ18" s="188">
        <f t="shared" ref="AZ18:AZ21" si="52">H18+AN18+AR18</f>
        <v>381.93964786760074</v>
      </c>
      <c r="BA18" s="189">
        <f t="shared" ref="BA18:BA21" si="53">I18+AO18+AS18</f>
        <v>162.96091642350964</v>
      </c>
      <c r="BB18" s="250"/>
      <c r="BC18" s="250"/>
      <c r="BD18" s="250"/>
      <c r="BE18" s="250"/>
      <c r="BF18" s="250"/>
      <c r="BG18" s="250"/>
      <c r="BH18" s="250"/>
      <c r="BI18" s="250"/>
      <c r="BJ18" s="250"/>
      <c r="BK18" s="250"/>
      <c r="BL18" s="250"/>
      <c r="BM18" s="250"/>
      <c r="BN18" s="250"/>
      <c r="BO18" s="250"/>
      <c r="BP18" s="250"/>
      <c r="BQ18" s="250"/>
      <c r="BR18" s="250"/>
      <c r="BS18" s="250"/>
      <c r="BT18" s="250"/>
      <c r="BU18" s="250"/>
      <c r="BV18" s="250"/>
      <c r="BW18" s="250"/>
      <c r="BX18" s="250"/>
      <c r="BY18" s="250"/>
      <c r="BZ18" s="250"/>
    </row>
    <row r="19" spans="1:78" x14ac:dyDescent="0.25">
      <c r="A19" s="243" t="s">
        <v>69</v>
      </c>
      <c r="B19" s="220">
        <f t="shared" si="28"/>
        <v>0.62544926978476423</v>
      </c>
      <c r="C19" s="220">
        <f t="shared" si="35"/>
        <v>2.9783298561179246</v>
      </c>
      <c r="D19" s="297">
        <f t="shared" si="36"/>
        <v>220.61702637910554</v>
      </c>
      <c r="E19" s="220">
        <f t="shared" si="37"/>
        <v>33.092553956865828</v>
      </c>
      <c r="F19" s="220">
        <f>44/12*'Crops; pasture AMORTIZED'!CY29</f>
        <v>0.64871551590682774</v>
      </c>
      <c r="G19" s="220">
        <f>44/12*'Crops; pasture AMORTIZED'!CZ29</f>
        <v>3.0891215043182272</v>
      </c>
      <c r="H19" s="221">
        <f>44/12*'Crops; pasture AMORTIZED'!DA29</f>
        <v>228.82381513468349</v>
      </c>
      <c r="I19" s="221">
        <f>44/12*'Crops; pasture AMORTIZED'!DB29</f>
        <v>34.323572270202526</v>
      </c>
      <c r="J19" s="220">
        <f>44/12*'Crops; pasture AMORTIZED'!DK29</f>
        <v>0.6021830236627006</v>
      </c>
      <c r="K19" s="220">
        <f>44/12*'Crops; pasture AMORTIZED'!DL29</f>
        <v>2.8675382079176219</v>
      </c>
      <c r="L19" s="221">
        <f>44/12*'Crops; pasture AMORTIZED'!DM29</f>
        <v>212.41023762352756</v>
      </c>
      <c r="M19" s="221">
        <f>44/12*'Crops; pasture AMORTIZED'!DN29</f>
        <v>31.86153564352913</v>
      </c>
      <c r="N19" s="220">
        <f t="shared" si="38"/>
        <v>0.73437266256651956</v>
      </c>
      <c r="O19" s="220">
        <f t="shared" si="39"/>
        <v>3.4970126788881886</v>
      </c>
      <c r="P19" s="249">
        <f t="shared" si="40"/>
        <v>259.03797621393994</v>
      </c>
      <c r="Q19" s="220">
        <f t="shared" si="41"/>
        <v>38.855696432090987</v>
      </c>
      <c r="R19" s="220">
        <f>44/12*'Crops; pasture AMORTIZED'!DC29</f>
        <v>0.76907254555734694</v>
      </c>
      <c r="S19" s="220">
        <f>44/12*'Crops; pasture AMORTIZED'!DD29</f>
        <v>3.6622502169397477</v>
      </c>
      <c r="T19" s="296">
        <f>44/12*'Crops; pasture AMORTIZED'!DE29</f>
        <v>271.27779384738875</v>
      </c>
      <c r="U19" s="296">
        <f>44/12*'Crops; pasture AMORTIZED'!DF29</f>
        <v>40.691669077108308</v>
      </c>
      <c r="V19" s="192">
        <f>44/12*'Crops; pasture AMORTIZED'!DO29</f>
        <v>0.69967277957569218</v>
      </c>
      <c r="W19" s="192">
        <f>44/12*'Crops; pasture AMORTIZED'!DP29</f>
        <v>3.3317751408366294</v>
      </c>
      <c r="X19" s="296">
        <f>44/12*'Crops; pasture AMORTIZED'!DQ29</f>
        <v>246.79815858049108</v>
      </c>
      <c r="Y19" s="221">
        <f>44/12*'Crops; pasture AMORTIZED'!DR29</f>
        <v>37.019723787073666</v>
      </c>
      <c r="Z19" s="220">
        <f t="shared" si="42"/>
        <v>0.32019896166748474</v>
      </c>
      <c r="AA19" s="220">
        <f t="shared" si="43"/>
        <v>1.524756960321356</v>
      </c>
      <c r="AB19" s="249">
        <f t="shared" si="44"/>
        <v>112.94496002380414</v>
      </c>
      <c r="AC19" s="220">
        <f t="shared" si="45"/>
        <v>16.941744003570623</v>
      </c>
      <c r="AD19" s="220">
        <f>44/12*'Crops; pasture AMORTIZED'!DG29</f>
        <v>0.31132449957036623</v>
      </c>
      <c r="AE19" s="220">
        <f>44/12*'Crops; pasture AMORTIZED'!DH29</f>
        <v>1.4824976170017439</v>
      </c>
      <c r="AF19" s="221">
        <f>44/12*'Crops; pasture AMORTIZED'!DI29</f>
        <v>109.81463829642547</v>
      </c>
      <c r="AG19" s="221">
        <f>44/12*'Crops; pasture AMORTIZED'!DJ29</f>
        <v>16.472195744463821</v>
      </c>
      <c r="AH19" s="220">
        <f>44/12*'Crops; pasture AMORTIZED'!DS29</f>
        <v>0.3290734237646033</v>
      </c>
      <c r="AI19" s="220">
        <f>44/12*'Crops; pasture AMORTIZED'!DT29</f>
        <v>1.5670163036409681</v>
      </c>
      <c r="AJ19" s="221">
        <f>44/12*'Crops; pasture AMORTIZED'!DU29</f>
        <v>116.07528175118281</v>
      </c>
      <c r="AK19" s="221">
        <f>44/12*'Crops; pasture AMORTIZED'!DV29</f>
        <v>17.411292262677424</v>
      </c>
      <c r="AL19" s="407">
        <f>'Crops; pasture AMORTIZED'!EJ29</f>
        <v>3.4118827597537316E-2</v>
      </c>
      <c r="AM19" s="407">
        <f>'Crops; pasture AMORTIZED'!EK29</f>
        <v>0.16247060760732057</v>
      </c>
      <c r="AN19" s="249">
        <f>'Crops; pasture AMORTIZED'!EL29</f>
        <v>12.034859822764487</v>
      </c>
      <c r="AO19" s="407">
        <f>'Crops; pasture AMORTIZED'!EM29</f>
        <v>1.8052289734146731</v>
      </c>
      <c r="AP19" s="194">
        <f>'Crops; pasture AMORTIZED'!FR29</f>
        <v>8.9055312920000004E-2</v>
      </c>
      <c r="AQ19" s="194">
        <f>'Crops; pasture AMORTIZED'!FS29</f>
        <v>0.42407291866666669</v>
      </c>
      <c r="AR19" s="248">
        <f>'Crops; pasture AMORTIZED'!FT29</f>
        <v>31.412808790123457</v>
      </c>
      <c r="AS19" s="189">
        <f>'Crops; pasture AMORTIZED'!FU29</f>
        <v>4.7119213185185194</v>
      </c>
      <c r="AT19" s="189">
        <f t="shared" si="46"/>
        <v>0.74862341030230151</v>
      </c>
      <c r="AU19" s="189">
        <f t="shared" si="47"/>
        <v>3.5648733823919119</v>
      </c>
      <c r="AV19" s="188">
        <f t="shared" si="48"/>
        <v>264.06469499199346</v>
      </c>
      <c r="AW19" s="189">
        <f t="shared" si="49"/>
        <v>39.609704248799019</v>
      </c>
      <c r="AX19" s="189">
        <f t="shared" si="50"/>
        <v>0.77188965642436513</v>
      </c>
      <c r="AY19" s="189">
        <f t="shared" si="51"/>
        <v>3.6756650305922141</v>
      </c>
      <c r="AZ19" s="188">
        <f t="shared" si="52"/>
        <v>272.27148374757144</v>
      </c>
      <c r="BA19" s="189">
        <f t="shared" si="53"/>
        <v>40.840722562135717</v>
      </c>
      <c r="BB19" s="250"/>
      <c r="BC19" s="250"/>
      <c r="BD19" s="250"/>
      <c r="BE19" s="250"/>
      <c r="BF19" s="250"/>
      <c r="BG19" s="250"/>
      <c r="BH19" s="250"/>
      <c r="BI19" s="250"/>
      <c r="BJ19" s="250"/>
      <c r="BK19" s="250"/>
      <c r="BL19" s="250"/>
      <c r="BM19" s="250"/>
      <c r="BN19" s="250"/>
      <c r="BO19" s="250"/>
      <c r="BP19" s="250"/>
      <c r="BQ19" s="250"/>
      <c r="BR19" s="250"/>
      <c r="BS19" s="250"/>
      <c r="BT19" s="250"/>
      <c r="BU19" s="250"/>
      <c r="BV19" s="250"/>
      <c r="BW19" s="250"/>
      <c r="BX19" s="250"/>
      <c r="BY19" s="250"/>
      <c r="BZ19" s="250"/>
    </row>
    <row r="20" spans="1:78" x14ac:dyDescent="0.25">
      <c r="A20" s="243" t="s">
        <v>70</v>
      </c>
      <c r="B20" s="220">
        <f t="shared" si="28"/>
        <v>1.0996768490664188</v>
      </c>
      <c r="C20" s="220">
        <f t="shared" si="35"/>
        <v>3.7919891347117902</v>
      </c>
      <c r="D20" s="297">
        <f t="shared" si="36"/>
        <v>280.88808405272516</v>
      </c>
      <c r="E20" s="220">
        <f t="shared" si="37"/>
        <v>75.839782694235794</v>
      </c>
      <c r="F20" s="220">
        <f>44/12*'Crops; pasture AMORTIZED'!CY30</f>
        <v>1.2646260829795855</v>
      </c>
      <c r="G20" s="220">
        <f>44/12*'Crops; pasture AMORTIZED'!CZ30</f>
        <v>4.3607795964813301</v>
      </c>
      <c r="H20" s="221">
        <f>44/12*'Crops; pasture AMORTIZED'!DA30</f>
        <v>323.0207108504689</v>
      </c>
      <c r="I20" s="221">
        <f>44/12*'Crops; pasture AMORTIZED'!DB30</f>
        <v>87.215591929626598</v>
      </c>
      <c r="J20" s="220">
        <f>44/12*'Crops; pasture AMORTIZED'!DK30</f>
        <v>0.93472761515325231</v>
      </c>
      <c r="K20" s="220">
        <f>44/12*'Crops; pasture AMORTIZED'!DL30</f>
        <v>3.2231986729422499</v>
      </c>
      <c r="L20" s="221">
        <f>44/12*'Crops; pasture AMORTIZED'!DM30</f>
        <v>238.75545725498145</v>
      </c>
      <c r="M20" s="221">
        <f>44/12*'Crops; pasture AMORTIZED'!DN30</f>
        <v>64.46397345884499</v>
      </c>
      <c r="N20" s="220">
        <f t="shared" si="38"/>
        <v>1.1188374322684904</v>
      </c>
      <c r="O20" s="220">
        <f t="shared" si="39"/>
        <v>3.8580601112706567</v>
      </c>
      <c r="P20" s="249">
        <f t="shared" si="40"/>
        <v>285.78223046449313</v>
      </c>
      <c r="Q20" s="220">
        <f t="shared" si="41"/>
        <v>77.161202225413135</v>
      </c>
      <c r="R20" s="220">
        <f>44/12*'Crops; pasture AMORTIZED'!DC30</f>
        <v>1.2870183069947934</v>
      </c>
      <c r="S20" s="220">
        <f>44/12*'Crops; pasture AMORTIZED'!DD30</f>
        <v>4.4379941620510115</v>
      </c>
      <c r="T20" s="296">
        <f>44/12*'Crops; pasture AMORTIZED'!DE30</f>
        <v>328.74030830007496</v>
      </c>
      <c r="U20" s="296">
        <f>44/12*'Crops; pasture AMORTIZED'!DF30</f>
        <v>88.759883241020233</v>
      </c>
      <c r="V20" s="192">
        <f>44/12*'Crops; pasture AMORTIZED'!DO30</f>
        <v>0.95065655754218747</v>
      </c>
      <c r="W20" s="192">
        <f>44/12*'Crops; pasture AMORTIZED'!DP30</f>
        <v>3.278126060490302</v>
      </c>
      <c r="X20" s="296">
        <f>44/12*'Crops; pasture AMORTIZED'!DQ30</f>
        <v>242.82415262891126</v>
      </c>
      <c r="Y20" s="221">
        <f>44/12*'Crops; pasture AMORTIZED'!DR30</f>
        <v>65.562521209806036</v>
      </c>
      <c r="Z20" s="220">
        <f t="shared" si="42"/>
        <v>0.65779666009835558</v>
      </c>
      <c r="AA20" s="220">
        <f t="shared" si="43"/>
        <v>2.2682643451667439</v>
      </c>
      <c r="AB20" s="249">
        <f t="shared" si="44"/>
        <v>168.0195811234625</v>
      </c>
      <c r="AC20" s="220">
        <f t="shared" si="45"/>
        <v>45.365286903334876</v>
      </c>
      <c r="AD20" s="220">
        <f>44/12*'Crops; pasture AMORTIZED'!DG30</f>
        <v>0.74781217226972918</v>
      </c>
      <c r="AE20" s="220">
        <f>44/12*'Crops; pasture AMORTIZED'!DH30</f>
        <v>2.5786626629990663</v>
      </c>
      <c r="AF20" s="221">
        <f>44/12*'Crops; pasture AMORTIZED'!DI30</f>
        <v>191.01204911104193</v>
      </c>
      <c r="AG20" s="221">
        <f>44/12*'Crops; pasture AMORTIZED'!DJ30</f>
        <v>51.573253259981321</v>
      </c>
      <c r="AH20" s="220">
        <f>44/12*'Crops; pasture AMORTIZED'!DS30</f>
        <v>0.56778114792698209</v>
      </c>
      <c r="AI20" s="220">
        <f>44/12*'Crops; pasture AMORTIZED'!DT30</f>
        <v>1.9578660273344213</v>
      </c>
      <c r="AJ20" s="221">
        <f>44/12*'Crops; pasture AMORTIZED'!DU30</f>
        <v>145.02711313588307</v>
      </c>
      <c r="AK20" s="221">
        <f>44/12*'Crops; pasture AMORTIZED'!DV30</f>
        <v>39.157320546688425</v>
      </c>
      <c r="AL20" s="407">
        <f>'Crops; pasture AMORTIZED'!EJ30</f>
        <v>6.3634493173849255E-2</v>
      </c>
      <c r="AM20" s="407">
        <f>'Crops; pasture AMORTIZED'!EK30</f>
        <v>0.21942928680637677</v>
      </c>
      <c r="AN20" s="249">
        <f>'Crops; pasture AMORTIZED'!EL30</f>
        <v>16.2540212449168</v>
      </c>
      <c r="AO20" s="407">
        <f>'Crops; pasture AMORTIZED'!EM30</f>
        <v>4.3885857361275349</v>
      </c>
      <c r="AP20" s="194">
        <f>'Crops; pasture AMORTIZED'!FR30</f>
        <v>7.8177030500001979E-2</v>
      </c>
      <c r="AQ20" s="194">
        <f>'Crops; pasture AMORTIZED'!FS30</f>
        <v>0.26957596724138616</v>
      </c>
      <c r="AR20" s="248">
        <f>'Crops; pasture AMORTIZED'!FT30</f>
        <v>19.968590166028601</v>
      </c>
      <c r="AS20" s="189">
        <f>'Crops; pasture AMORTIZED'!FU30</f>
        <v>5.3915193448277225</v>
      </c>
      <c r="AT20" s="189">
        <f t="shared" si="46"/>
        <v>1.2414883727402701</v>
      </c>
      <c r="AU20" s="189">
        <f t="shared" si="47"/>
        <v>4.2809943887595532</v>
      </c>
      <c r="AV20" s="188">
        <f t="shared" si="48"/>
        <v>317.11069546367054</v>
      </c>
      <c r="AW20" s="189">
        <f t="shared" si="49"/>
        <v>85.61988777519106</v>
      </c>
      <c r="AX20" s="189">
        <f t="shared" si="50"/>
        <v>1.4064376066534368</v>
      </c>
      <c r="AY20" s="189">
        <f t="shared" si="51"/>
        <v>4.849784850529093</v>
      </c>
      <c r="AZ20" s="188">
        <f t="shared" si="52"/>
        <v>359.24332226141433</v>
      </c>
      <c r="BA20" s="189">
        <f t="shared" si="53"/>
        <v>96.995697010581864</v>
      </c>
      <c r="BB20" s="250"/>
      <c r="BC20" s="250"/>
      <c r="BD20" s="250"/>
      <c r="BE20" s="250"/>
      <c r="BF20" s="250"/>
      <c r="BG20" s="250"/>
      <c r="BH20" s="250"/>
      <c r="BI20" s="250"/>
      <c r="BJ20" s="250"/>
      <c r="BK20" s="250"/>
      <c r="BL20" s="250"/>
      <c r="BM20" s="250"/>
      <c r="BN20" s="250"/>
      <c r="BO20" s="250"/>
      <c r="BP20" s="250"/>
      <c r="BQ20" s="250"/>
      <c r="BR20" s="250"/>
      <c r="BS20" s="250"/>
      <c r="BT20" s="250"/>
      <c r="BU20" s="250"/>
      <c r="BV20" s="250"/>
      <c r="BW20" s="250"/>
      <c r="BX20" s="250"/>
      <c r="BY20" s="250"/>
      <c r="BZ20" s="250"/>
    </row>
    <row r="21" spans="1:78" x14ac:dyDescent="0.25">
      <c r="A21" s="243" t="s">
        <v>311</v>
      </c>
      <c r="B21" s="220">
        <f t="shared" si="28"/>
        <v>1.2857541776908594</v>
      </c>
      <c r="C21" s="220">
        <f t="shared" si="35"/>
        <v>4.2858472589695316</v>
      </c>
      <c r="D21" s="297">
        <f t="shared" si="36"/>
        <v>285.72315059796875</v>
      </c>
      <c r="E21" s="220">
        <f t="shared" si="37"/>
        <v>85.716945179390621</v>
      </c>
      <c r="F21" s="220">
        <f>44/12*'Crops; pasture AMORTIZED'!CY31</f>
        <v>1.3391668715030183</v>
      </c>
      <c r="G21" s="220">
        <f>44/12*'Crops; pasture AMORTIZED'!CZ31</f>
        <v>4.4638895716767273</v>
      </c>
      <c r="H21" s="221">
        <f>44/12*'Crops; pasture AMORTIZED'!DA31</f>
        <v>297.59263811178187</v>
      </c>
      <c r="I21" s="221">
        <f>44/12*'Crops; pasture AMORTIZED'!DB31</f>
        <v>89.27779143353456</v>
      </c>
      <c r="J21" s="220">
        <f>44/12*'Crops; pasture AMORTIZED'!DK31</f>
        <v>1.2323414838787006</v>
      </c>
      <c r="K21" s="220">
        <f>44/12*'Crops; pasture AMORTIZED'!DL31</f>
        <v>4.1078049462623358</v>
      </c>
      <c r="L21" s="221">
        <f>44/12*'Crops; pasture AMORTIZED'!DM31</f>
        <v>273.85366308415564</v>
      </c>
      <c r="M21" s="221">
        <f>44/12*'Crops; pasture AMORTIZED'!DN31</f>
        <v>82.156098925246695</v>
      </c>
      <c r="N21" s="220">
        <f t="shared" si="38"/>
        <v>1.2857541776908594</v>
      </c>
      <c r="O21" s="220">
        <f t="shared" si="39"/>
        <v>4.2858472589695316</v>
      </c>
      <c r="P21" s="249">
        <f t="shared" si="40"/>
        <v>285.72315059796875</v>
      </c>
      <c r="Q21" s="220">
        <f t="shared" si="41"/>
        <v>85.716945179390621</v>
      </c>
      <c r="R21" s="220">
        <f>44/12*'Crops; pasture AMORTIZED'!DC31</f>
        <v>1.3391668715030183</v>
      </c>
      <c r="S21" s="220">
        <f>44/12*'Crops; pasture AMORTIZED'!DD31</f>
        <v>4.4638895716767273</v>
      </c>
      <c r="T21" s="296">
        <f>44/12*'Crops; pasture AMORTIZED'!DE31</f>
        <v>297.59263811178187</v>
      </c>
      <c r="U21" s="296">
        <f>44/12*'Crops; pasture AMORTIZED'!DF31</f>
        <v>89.27779143353456</v>
      </c>
      <c r="V21" s="192">
        <f>44/12*'Crops; pasture AMORTIZED'!DO31</f>
        <v>1.2323414838787006</v>
      </c>
      <c r="W21" s="192">
        <f>44/12*'Crops; pasture AMORTIZED'!DP31</f>
        <v>4.1078049462623358</v>
      </c>
      <c r="X21" s="296">
        <f>44/12*'Crops; pasture AMORTIZED'!DQ31</f>
        <v>273.85366308415564</v>
      </c>
      <c r="Y21" s="221">
        <f>44/12*'Crops; pasture AMORTIZED'!DR31</f>
        <v>82.156098925246695</v>
      </c>
      <c r="Z21" s="220">
        <f t="shared" si="42"/>
        <v>1.4192820429505153</v>
      </c>
      <c r="AA21" s="220">
        <f t="shared" si="43"/>
        <v>4.7309401431683842</v>
      </c>
      <c r="AB21" s="249">
        <f t="shared" si="44"/>
        <v>315.39600954455898</v>
      </c>
      <c r="AC21" s="220">
        <f t="shared" si="45"/>
        <v>94.618802863367677</v>
      </c>
      <c r="AD21" s="220">
        <f>44/12*'Crops; pasture AMORTIZED'!DG31</f>
        <v>1.6542758442613328</v>
      </c>
      <c r="AE21" s="220">
        <f>44/12*'Crops; pasture AMORTIZED'!DH31</f>
        <v>5.5142528142044425</v>
      </c>
      <c r="AF21" s="221">
        <f>44/12*'Crops; pasture AMORTIZED'!DI31</f>
        <v>367.6168542802962</v>
      </c>
      <c r="AG21" s="221">
        <f>44/12*'Crops; pasture AMORTIZED'!DJ31</f>
        <v>110.28505628408884</v>
      </c>
      <c r="AH21" s="220">
        <f>44/12*'Crops; pasture AMORTIZED'!DS31</f>
        <v>1.1842882416396978</v>
      </c>
      <c r="AI21" s="220">
        <f>44/12*'Crops; pasture AMORTIZED'!DT31</f>
        <v>3.9476274721323263</v>
      </c>
      <c r="AJ21" s="221">
        <f>44/12*'Crops; pasture AMORTIZED'!DU31</f>
        <v>263.17516480882182</v>
      </c>
      <c r="AK21" s="221">
        <f>44/12*'Crops; pasture AMORTIZED'!DV31</f>
        <v>78.952549442646529</v>
      </c>
      <c r="AL21" s="407">
        <f>'Crops; pasture AMORTIZED'!EJ31</f>
        <v>0.16463115789473684</v>
      </c>
      <c r="AM21" s="407">
        <f>'Crops; pasture AMORTIZED'!EK31</f>
        <v>0.54877052631578949</v>
      </c>
      <c r="AN21" s="249">
        <f>'Crops; pasture AMORTIZED'!EL31</f>
        <v>36.584701754385968</v>
      </c>
      <c r="AO21" s="220">
        <f>'Crops; pasture AMORTIZED'!EM31</f>
        <v>10.975410526315789</v>
      </c>
      <c r="AP21" s="194">
        <f>'Crops; pasture AMORTIZED'!FR31</f>
        <v>2.14113931000194E-2</v>
      </c>
      <c r="AQ21" s="194">
        <f>'Crops; pasture AMORTIZED'!FS31</f>
        <v>7.1371310333397997E-2</v>
      </c>
      <c r="AR21" s="248">
        <f>'Crops; pasture AMORTIZED'!FT31</f>
        <v>4.7580873555598666</v>
      </c>
      <c r="AS21" s="189">
        <f>'Crops; pasture AMORTIZED'!FU31</f>
        <v>1.4274262066679599</v>
      </c>
      <c r="AT21" s="189">
        <f t="shared" si="46"/>
        <v>1.4717967286856157</v>
      </c>
      <c r="AU21" s="189">
        <f t="shared" si="47"/>
        <v>4.9059890956187191</v>
      </c>
      <c r="AV21" s="188">
        <f t="shared" si="48"/>
        <v>327.06593970791459</v>
      </c>
      <c r="AW21" s="189">
        <f t="shared" si="49"/>
        <v>98.119781912374364</v>
      </c>
      <c r="AX21" s="189">
        <f t="shared" si="50"/>
        <v>1.5252094224977746</v>
      </c>
      <c r="AY21" s="189">
        <f t="shared" si="51"/>
        <v>5.0840314083259148</v>
      </c>
      <c r="AZ21" s="188">
        <f t="shared" si="52"/>
        <v>338.93542722172771</v>
      </c>
      <c r="BA21" s="189">
        <f t="shared" si="53"/>
        <v>101.6806281665183</v>
      </c>
      <c r="BB21" s="250"/>
      <c r="BC21" s="250"/>
      <c r="BD21" s="250"/>
      <c r="BE21" s="250"/>
      <c r="BF21" s="250"/>
      <c r="BG21" s="250"/>
      <c r="BH21" s="250"/>
      <c r="BI21" s="250"/>
      <c r="BJ21" s="250"/>
      <c r="BK21" s="250"/>
      <c r="BL21" s="250"/>
      <c r="BM21" s="250"/>
      <c r="BN21" s="250"/>
      <c r="BO21" s="250"/>
      <c r="BP21" s="250"/>
      <c r="BQ21" s="250"/>
      <c r="BR21" s="250"/>
      <c r="BS21" s="250"/>
      <c r="BT21" s="250"/>
      <c r="BU21" s="250"/>
      <c r="BV21" s="250"/>
      <c r="BW21" s="250"/>
      <c r="BX21" s="250"/>
      <c r="BY21" s="250"/>
      <c r="BZ21" s="250"/>
    </row>
    <row r="22" spans="1:78" x14ac:dyDescent="0.25">
      <c r="A22" s="242"/>
      <c r="R22" s="222"/>
      <c r="S22" s="222"/>
      <c r="T22" s="223"/>
      <c r="U22" s="223"/>
      <c r="X22" s="223"/>
      <c r="Y22" s="223"/>
      <c r="Z22" s="223"/>
      <c r="AA22" s="223"/>
      <c r="AB22" s="223"/>
      <c r="AC22" s="223"/>
      <c r="AD22" s="223"/>
      <c r="AE22" s="223"/>
      <c r="AF22" s="223"/>
      <c r="AG22" s="223"/>
      <c r="AH22" s="223"/>
      <c r="AI22" s="223"/>
      <c r="AJ22" s="223"/>
      <c r="AK22" s="223"/>
      <c r="AL22" s="223"/>
      <c r="AM22" s="223"/>
      <c r="AN22" s="223"/>
      <c r="AO22" s="223"/>
      <c r="BB22" s="250"/>
      <c r="BC22" s="250"/>
      <c r="BD22" s="250"/>
      <c r="BE22" s="250"/>
      <c r="BF22" s="250"/>
      <c r="BG22" s="250"/>
      <c r="BH22" s="250"/>
      <c r="BI22" s="250"/>
      <c r="BJ22" s="250"/>
      <c r="BK22" s="250"/>
      <c r="BL22" s="250"/>
      <c r="BM22" s="250"/>
      <c r="BN22" s="250"/>
      <c r="BO22" s="250"/>
      <c r="BP22" s="250"/>
      <c r="BQ22" s="250"/>
      <c r="BR22" s="250"/>
      <c r="BS22" s="250"/>
      <c r="BT22" s="250"/>
      <c r="BU22" s="250"/>
      <c r="BV22" s="250"/>
      <c r="BW22" s="250"/>
      <c r="BX22" s="250"/>
      <c r="BY22" s="250"/>
      <c r="BZ22" s="250"/>
    </row>
    <row r="23" spans="1:78" ht="13.8" x14ac:dyDescent="0.3">
      <c r="A23" s="237" t="s">
        <v>76</v>
      </c>
      <c r="R23" s="222"/>
      <c r="S23" s="222"/>
      <c r="T23" s="223"/>
      <c r="U23" s="223"/>
      <c r="X23" s="223"/>
      <c r="Y23" s="223"/>
      <c r="Z23" s="223"/>
      <c r="AA23" s="223"/>
      <c r="AB23" s="223"/>
      <c r="AC23" s="223"/>
      <c r="AD23" s="223"/>
      <c r="AE23" s="223"/>
      <c r="AF23" s="223"/>
      <c r="AG23" s="223"/>
      <c r="AH23" s="223"/>
      <c r="AI23" s="223"/>
      <c r="AJ23" s="223"/>
      <c r="AK23" s="223"/>
      <c r="AL23" s="411">
        <f>'Crops; pasture AMORTIZED'!EJ33</f>
        <v>1.7064263154667997E-2</v>
      </c>
      <c r="AM23" s="320"/>
      <c r="AN23" s="320"/>
      <c r="AO23" s="320"/>
      <c r="AP23" s="324">
        <f>'Crops; pasture AMORTIZED'!FR33</f>
        <v>3.9396429857948757E-2</v>
      </c>
      <c r="BB23" s="250"/>
      <c r="BC23" s="250"/>
      <c r="BD23" s="250"/>
      <c r="BE23" s="250"/>
      <c r="BF23" s="250"/>
      <c r="BG23" s="250"/>
      <c r="BH23" s="250"/>
      <c r="BI23" s="250"/>
      <c r="BJ23" s="250"/>
      <c r="BK23" s="250"/>
      <c r="BL23" s="250"/>
      <c r="BM23" s="250"/>
      <c r="BN23" s="250"/>
      <c r="BO23" s="250"/>
      <c r="BP23" s="250"/>
      <c r="BQ23" s="250"/>
      <c r="BR23" s="250"/>
      <c r="BS23" s="250"/>
      <c r="BT23" s="250"/>
      <c r="BU23" s="250"/>
      <c r="BV23" s="250"/>
      <c r="BW23" s="250"/>
      <c r="BX23" s="250"/>
      <c r="BY23" s="250"/>
      <c r="BZ23" s="250"/>
    </row>
    <row r="24" spans="1:78" x14ac:dyDescent="0.25">
      <c r="A24" s="243" t="s">
        <v>72</v>
      </c>
      <c r="B24" s="220">
        <f t="shared" ref="B24:B25" si="54">(F24+J24)/2</f>
        <v>0.19789345028509051</v>
      </c>
      <c r="C24" s="220">
        <f t="shared" ref="C24:C25" si="55">(G24+K24)/2</f>
        <v>0.73293870475959433</v>
      </c>
      <c r="D24" s="297">
        <f t="shared" ref="D24:D25" si="56">(H24+L24)/2</f>
        <v>129.26608549551932</v>
      </c>
      <c r="E24" s="220">
        <f t="shared" ref="E24:E25" si="57">(I24+M24)/2</f>
        <v>48.862580317306296</v>
      </c>
      <c r="F24" s="220">
        <f>44/12*'Crops; pasture AMORTIZED'!CY34</f>
        <v>0.19511999308946454</v>
      </c>
      <c r="G24" s="220">
        <f>44/12*'Crops; pasture AMORTIZED'!CZ34</f>
        <v>0.72266664107209078</v>
      </c>
      <c r="H24" s="221">
        <f>44/12*'Crops; pasture AMORTIZED'!DA34</f>
        <v>127.45443405151515</v>
      </c>
      <c r="I24" s="221">
        <f>44/12*'Crops; pasture AMORTIZED'!DB34</f>
        <v>48.177776071472721</v>
      </c>
      <c r="J24" s="220">
        <f>44/12*'Crops; pasture AMORTIZED'!DK34</f>
        <v>0.20066690748071647</v>
      </c>
      <c r="K24" s="220">
        <f>44/12*'Crops; pasture AMORTIZED'!DL34</f>
        <v>0.74321076844709799</v>
      </c>
      <c r="L24" s="221">
        <f>44/12*'Crops; pasture AMORTIZED'!DM34</f>
        <v>131.07773693952348</v>
      </c>
      <c r="M24" s="221">
        <f>44/12*'Crops; pasture AMORTIZED'!DN34</f>
        <v>49.547384563139865</v>
      </c>
      <c r="N24" s="220">
        <f t="shared" ref="N24:N25" si="58">(R24+V24)/2</f>
        <v>0.26746558223397932</v>
      </c>
      <c r="O24" s="220">
        <f t="shared" ref="O24:O25" si="59">(S24+W24)/2</f>
        <v>0.99061326753325685</v>
      </c>
      <c r="P24" s="249">
        <f t="shared" ref="P24:P25" si="60">(T24+X24)/2</f>
        <v>174.71133466195008</v>
      </c>
      <c r="Q24" s="220">
        <f t="shared" ref="Q24:Q25" si="61">(U24+Y24)/2</f>
        <v>66.040884502217111</v>
      </c>
      <c r="R24" s="220">
        <f>44/12*'Crops; pasture AMORTIZED'!DC34</f>
        <v>0.27578202746687991</v>
      </c>
      <c r="S24" s="220">
        <f>44/12*'Crops; pasture AMORTIZED'!DD34</f>
        <v>1.0214149165439996</v>
      </c>
      <c r="T24" s="296">
        <f>44/12*'Crops; pasture AMORTIZED'!DE34</f>
        <v>180.14372425820102</v>
      </c>
      <c r="U24" s="296">
        <f>44/12*'Crops; pasture AMORTIZED'!DF34</f>
        <v>68.094327769599971</v>
      </c>
      <c r="V24" s="192">
        <f>44/12*'Crops; pasture AMORTIZED'!DO34</f>
        <v>0.25914913700107878</v>
      </c>
      <c r="W24" s="192">
        <f>44/12*'Crops; pasture AMORTIZED'!DP34</f>
        <v>0.95981161852251395</v>
      </c>
      <c r="X24" s="296">
        <f>44/12*'Crops; pasture AMORTIZED'!DQ34</f>
        <v>169.27894506569913</v>
      </c>
      <c r="Y24" s="221">
        <f>44/12*'Crops; pasture AMORTIZED'!DR34</f>
        <v>63.987441234834257</v>
      </c>
      <c r="Z24" s="220">
        <f t="shared" ref="Z24:Z25" si="62">(AD24+AH24)/2</f>
        <v>0.12001977600596155</v>
      </c>
      <c r="AA24" s="220">
        <f t="shared" ref="AA24:AA25" si="63">(AE24+AI24)/2</f>
        <v>0.44451768891096866</v>
      </c>
      <c r="AB24" s="249">
        <f t="shared" ref="AB24:AB25" si="64">(AF24+AJ24)/2</f>
        <v>78.398181465779317</v>
      </c>
      <c r="AC24" s="220">
        <f t="shared" ref="AC24:AC25" si="65">(AG24+AK24)/2</f>
        <v>29.634512594064578</v>
      </c>
      <c r="AD24" s="220">
        <f>44/12*'Crops; pasture AMORTIZED'!DG34</f>
        <v>0.10491794524968032</v>
      </c>
      <c r="AE24" s="220">
        <f>44/12*'Crops; pasture AMORTIZED'!DH34</f>
        <v>0.38858498240622336</v>
      </c>
      <c r="AF24" s="221">
        <f>44/12*'Crops; pasture AMORTIZED'!DI34</f>
        <v>68.533506597217539</v>
      </c>
      <c r="AG24" s="221">
        <f>44/12*'Crops; pasture AMORTIZED'!DJ34</f>
        <v>25.905665493748224</v>
      </c>
      <c r="AH24" s="220">
        <f>44/12*'Crops; pasture AMORTIZED'!DS34</f>
        <v>0.13512160676224277</v>
      </c>
      <c r="AI24" s="220">
        <f>44/12*'Crops; pasture AMORTIZED'!DT34</f>
        <v>0.5004503954157139</v>
      </c>
      <c r="AJ24" s="221">
        <f>44/12*'Crops; pasture AMORTIZED'!DU34</f>
        <v>88.262856334341109</v>
      </c>
      <c r="AK24" s="221">
        <f>44/12*'Crops; pasture AMORTIZED'!DV34</f>
        <v>33.363359694380932</v>
      </c>
      <c r="AL24" s="407">
        <f>'Crops; pasture AMORTIZED'!EJ34</f>
        <v>1.794087270802E-2</v>
      </c>
      <c r="AM24" s="407">
        <f>'Crops; pasture AMORTIZED'!EK34</f>
        <v>6.6447676696370361E-2</v>
      </c>
      <c r="AN24" s="249">
        <f>'Crops; pasture AMORTIZED'!EL34</f>
        <v>11.719166965850155</v>
      </c>
      <c r="AO24" s="407">
        <f>'Crops; pasture AMORTIZED'!EM34</f>
        <v>4.4298451130913579</v>
      </c>
      <c r="AP24" s="194">
        <f>'Crops; pasture AMORTIZED'!FR34</f>
        <v>3.6026080879999998E-2</v>
      </c>
      <c r="AQ24" s="194">
        <f>'Crops; pasture AMORTIZED'!FS34</f>
        <v>0.13342992918518518</v>
      </c>
      <c r="AR24" s="248">
        <f>'Crops; pasture AMORTIZED'!FT34</f>
        <v>23.532615376575876</v>
      </c>
      <c r="AS24" s="189">
        <f>'Crops; pasture AMORTIZED'!FU34</f>
        <v>8.8953286123456792</v>
      </c>
      <c r="AT24" s="189">
        <f t="shared" ref="AT24:AT25" si="66">B24+AL24+AP24</f>
        <v>0.25186040387311048</v>
      </c>
      <c r="AU24" s="189">
        <f t="shared" ref="AU24:AU25" si="67">C24+AM24+AQ24</f>
        <v>0.93281631064114989</v>
      </c>
      <c r="AV24" s="188">
        <f t="shared" ref="AV24:AV25" si="68">D24+AN24+AR24</f>
        <v>164.51786783794535</v>
      </c>
      <c r="AW24" s="189">
        <f t="shared" ref="AW24:AW25" si="69">E24+AO24+AS24</f>
        <v>62.187754042743336</v>
      </c>
      <c r="AX24" s="189">
        <f t="shared" ref="AX24:AX25" si="70">F24+AL24+AP24</f>
        <v>0.24908694667748454</v>
      </c>
      <c r="AY24" s="189">
        <f t="shared" ref="AY24:AY25" si="71">G24+AM24+AQ24</f>
        <v>0.92254424695364634</v>
      </c>
      <c r="AZ24" s="188">
        <f t="shared" ref="AZ24:AZ25" si="72">H24+AN24+AR24</f>
        <v>162.70621639394119</v>
      </c>
      <c r="BA24" s="189">
        <f t="shared" ref="BA24:BA25" si="73">I24+AO24+AS24</f>
        <v>61.50294979690976</v>
      </c>
      <c r="BB24" s="250"/>
      <c r="BC24" s="250"/>
      <c r="BD24" s="250"/>
      <c r="BE24" s="250"/>
      <c r="BF24" s="250"/>
      <c r="BG24" s="250"/>
      <c r="BH24" s="250"/>
      <c r="BI24" s="250"/>
      <c r="BJ24" s="250"/>
      <c r="BK24" s="250"/>
      <c r="BL24" s="250"/>
      <c r="BM24" s="250"/>
      <c r="BN24" s="250"/>
      <c r="BO24" s="250"/>
      <c r="BP24" s="250"/>
      <c r="BQ24" s="250"/>
      <c r="BR24" s="250"/>
      <c r="BS24" s="250"/>
      <c r="BT24" s="250"/>
      <c r="BU24" s="250"/>
      <c r="BV24" s="250"/>
      <c r="BW24" s="250"/>
      <c r="BX24" s="250"/>
      <c r="BY24" s="250"/>
      <c r="BZ24" s="250"/>
    </row>
    <row r="25" spans="1:78" x14ac:dyDescent="0.25">
      <c r="A25" s="243" t="s">
        <v>73</v>
      </c>
      <c r="B25" s="220">
        <f t="shared" si="54"/>
        <v>0.20083230076246228</v>
      </c>
      <c r="C25" s="220">
        <f t="shared" si="55"/>
        <v>0.83680125317692622</v>
      </c>
      <c r="D25" s="297">
        <f t="shared" si="56"/>
        <v>93.917087898644922</v>
      </c>
      <c r="E25" s="220">
        <f t="shared" si="57"/>
        <v>23.908607233626462</v>
      </c>
      <c r="F25" s="220">
        <f>44/12*'Crops; pasture AMORTIZED'!CY35</f>
        <v>0.19569211545237725</v>
      </c>
      <c r="G25" s="220">
        <f>44/12*'Crops; pasture AMORTIZED'!CZ35</f>
        <v>0.81538381438490515</v>
      </c>
      <c r="H25" s="221">
        <f>44/12*'Crops; pasture AMORTIZED'!DA35</f>
        <v>91.513334947800814</v>
      </c>
      <c r="I25" s="221">
        <f>44/12*'Crops; pasture AMORTIZED'!DB35</f>
        <v>23.296680410997286</v>
      </c>
      <c r="J25" s="220">
        <f>44/12*'Crops; pasture AMORTIZED'!DK35</f>
        <v>0.20597248607254731</v>
      </c>
      <c r="K25" s="220">
        <f>44/12*'Crops; pasture AMORTIZED'!DL35</f>
        <v>0.85821869196894729</v>
      </c>
      <c r="L25" s="221">
        <f>44/12*'Crops; pasture AMORTIZED'!DM35</f>
        <v>96.320840849489031</v>
      </c>
      <c r="M25" s="221">
        <f>44/12*'Crops; pasture AMORTIZED'!DN35</f>
        <v>24.520534056255634</v>
      </c>
      <c r="N25" s="220">
        <f t="shared" si="58"/>
        <v>0.23392665954096808</v>
      </c>
      <c r="O25" s="220">
        <f t="shared" si="59"/>
        <v>0.97469441475403362</v>
      </c>
      <c r="P25" s="249">
        <f t="shared" si="60"/>
        <v>109.39331254254024</v>
      </c>
      <c r="Q25" s="220">
        <f t="shared" si="61"/>
        <v>27.848411850115241</v>
      </c>
      <c r="R25" s="220">
        <f>44/12*'Crops; pasture AMORTIZED'!DC35</f>
        <v>0.23251268662937422</v>
      </c>
      <c r="S25" s="220">
        <f>44/12*'Crops; pasture AMORTIZED'!DD35</f>
        <v>0.96880286095572588</v>
      </c>
      <c r="T25" s="296">
        <f>44/12*'Crops; pasture AMORTIZED'!DE35</f>
        <v>108.73208316001413</v>
      </c>
      <c r="U25" s="296">
        <f>44/12*'Crops; pasture AMORTIZED'!DF35</f>
        <v>27.680081741592165</v>
      </c>
      <c r="V25" s="192">
        <f>44/12*'Crops; pasture AMORTIZED'!DO35</f>
        <v>0.23534063245256195</v>
      </c>
      <c r="W25" s="192">
        <f>44/12*'Crops; pasture AMORTIZED'!DP35</f>
        <v>0.98058596855234137</v>
      </c>
      <c r="X25" s="296">
        <f>44/12*'Crops; pasture AMORTIZED'!DQ35</f>
        <v>110.05454192506636</v>
      </c>
      <c r="Y25" s="221">
        <f>44/12*'Crops; pasture AMORTIZED'!DR35</f>
        <v>28.01674195863832</v>
      </c>
      <c r="Z25" s="220">
        <f t="shared" si="62"/>
        <v>0.11858201351631931</v>
      </c>
      <c r="AA25" s="220">
        <f t="shared" si="63"/>
        <v>0.49409172298466375</v>
      </c>
      <c r="AB25" s="249">
        <f t="shared" si="64"/>
        <v>55.453616496595259</v>
      </c>
      <c r="AC25" s="220">
        <f t="shared" si="65"/>
        <v>14.116906370990392</v>
      </c>
      <c r="AD25" s="220">
        <f>44/12*'Crops; pasture AMORTIZED'!DG35</f>
        <v>0.10411299167534918</v>
      </c>
      <c r="AE25" s="220">
        <f>44/12*'Crops; pasture AMORTIZED'!DH35</f>
        <v>0.43380413198062157</v>
      </c>
      <c r="AF25" s="221">
        <f>44/12*'Crops; pasture AMORTIZED'!DI35</f>
        <v>48.687332433290855</v>
      </c>
      <c r="AG25" s="221">
        <f>44/12*'Crops; pasture AMORTIZED'!DJ35</f>
        <v>12.3944037708749</v>
      </c>
      <c r="AH25" s="220">
        <f>44/12*'Crops; pasture AMORTIZED'!DS35</f>
        <v>0.13305103535728943</v>
      </c>
      <c r="AI25" s="220">
        <f>44/12*'Crops; pasture AMORTIZED'!DT35</f>
        <v>0.55437931398870588</v>
      </c>
      <c r="AJ25" s="221">
        <f>44/12*'Crops; pasture AMORTIZED'!DU35</f>
        <v>62.219900559899656</v>
      </c>
      <c r="AK25" s="221">
        <f>44/12*'Crops; pasture AMORTIZED'!DV35</f>
        <v>15.839408971105883</v>
      </c>
      <c r="AL25" s="407">
        <f>'Crops; pasture AMORTIZED'!EJ35</f>
        <v>1.2439316575620418E-2</v>
      </c>
      <c r="AM25" s="407">
        <f>'Crops; pasture AMORTIZED'!EK35</f>
        <v>5.1830485731751745E-2</v>
      </c>
      <c r="AN25" s="301">
        <f>'Crops; pasture AMORTIZED'!EL35</f>
        <v>5.8171139990742695</v>
      </c>
      <c r="AO25" s="407">
        <f>'Crops; pasture AMORTIZED'!EM35</f>
        <v>1.4808710209071925</v>
      </c>
      <c r="AP25" s="194">
        <f>'Crops; pasture AMORTIZED'!FR35</f>
        <v>5.9400939739999999E-2</v>
      </c>
      <c r="AQ25" s="194">
        <f>'Crops; pasture AMORTIZED'!FS35</f>
        <v>0.24750391558333334</v>
      </c>
      <c r="AR25" s="248">
        <f>'Crops; pasture AMORTIZED'!FT35</f>
        <v>27.778217237186681</v>
      </c>
      <c r="AS25" s="189">
        <f>'Crops; pasture AMORTIZED'!FU35</f>
        <v>7.071540445238095</v>
      </c>
      <c r="AT25" s="189">
        <f t="shared" si="66"/>
        <v>0.27267255707808269</v>
      </c>
      <c r="AU25" s="189">
        <f t="shared" si="67"/>
        <v>1.1361356544920114</v>
      </c>
      <c r="AV25" s="188">
        <f t="shared" si="68"/>
        <v>127.51241913490587</v>
      </c>
      <c r="AW25" s="189">
        <f t="shared" si="69"/>
        <v>32.461018699771749</v>
      </c>
      <c r="AX25" s="189">
        <f t="shared" si="70"/>
        <v>0.26753237176799766</v>
      </c>
      <c r="AY25" s="189">
        <f t="shared" si="71"/>
        <v>1.1147182156999902</v>
      </c>
      <c r="AZ25" s="188">
        <f t="shared" si="72"/>
        <v>125.10866618406176</v>
      </c>
      <c r="BA25" s="189">
        <f t="shared" si="73"/>
        <v>31.849091877142573</v>
      </c>
      <c r="BB25" s="250"/>
      <c r="BC25" s="250"/>
      <c r="BD25" s="250"/>
      <c r="BE25" s="250"/>
      <c r="BF25" s="250"/>
      <c r="BG25" s="250"/>
      <c r="BH25" s="250"/>
      <c r="BI25" s="250"/>
      <c r="BJ25" s="250"/>
      <c r="BK25" s="250"/>
      <c r="BL25" s="250"/>
      <c r="BM25" s="250"/>
      <c r="BN25" s="250"/>
      <c r="BO25" s="250"/>
      <c r="BP25" s="250"/>
      <c r="BQ25" s="250"/>
      <c r="BR25" s="250"/>
      <c r="BS25" s="250"/>
      <c r="BT25" s="250"/>
      <c r="BU25" s="250"/>
      <c r="BV25" s="250"/>
      <c r="BW25" s="250"/>
      <c r="BX25" s="250"/>
      <c r="BY25" s="250"/>
      <c r="BZ25" s="250"/>
    </row>
    <row r="26" spans="1:78" x14ac:dyDescent="0.25">
      <c r="A26" s="243"/>
      <c r="R26" s="222"/>
      <c r="S26" s="222"/>
      <c r="T26" s="223"/>
      <c r="U26" s="223"/>
      <c r="X26" s="223"/>
      <c r="Y26" s="223"/>
      <c r="Z26" s="223"/>
      <c r="AA26" s="223"/>
      <c r="AB26" s="223"/>
      <c r="AC26" s="223"/>
      <c r="AD26" s="223"/>
      <c r="AE26" s="223"/>
      <c r="AF26" s="223"/>
      <c r="AG26" s="223"/>
      <c r="AH26" s="223"/>
      <c r="AI26" s="223"/>
      <c r="AJ26" s="223"/>
      <c r="AK26" s="223"/>
      <c r="AL26" s="223"/>
      <c r="AM26" s="223"/>
      <c r="AN26" s="223"/>
      <c r="AO26" s="223"/>
      <c r="BB26" s="250"/>
      <c r="BC26" s="250"/>
      <c r="BD26" s="250"/>
      <c r="BE26" s="250"/>
      <c r="BF26" s="250"/>
      <c r="BG26" s="250"/>
      <c r="BH26" s="250"/>
      <c r="BI26" s="250"/>
      <c r="BJ26" s="250"/>
      <c r="BK26" s="250"/>
      <c r="BL26" s="250"/>
      <c r="BM26" s="250"/>
      <c r="BN26" s="250"/>
      <c r="BO26" s="250"/>
      <c r="BP26" s="250"/>
      <c r="BQ26" s="250"/>
      <c r="BR26" s="250"/>
      <c r="BS26" s="250"/>
      <c r="BT26" s="250"/>
      <c r="BU26" s="250"/>
      <c r="BV26" s="250"/>
      <c r="BW26" s="250"/>
      <c r="BX26" s="250"/>
      <c r="BY26" s="250"/>
      <c r="BZ26" s="250"/>
    </row>
    <row r="27" spans="1:78" ht="13.8" x14ac:dyDescent="0.3">
      <c r="A27" s="237" t="s">
        <v>192</v>
      </c>
      <c r="R27" s="222"/>
      <c r="S27" s="222"/>
      <c r="T27" s="223"/>
      <c r="U27" s="223"/>
      <c r="X27" s="223"/>
      <c r="Y27" s="223"/>
      <c r="Z27" s="223"/>
      <c r="AA27" s="223"/>
      <c r="AB27" s="223"/>
      <c r="AC27" s="223"/>
      <c r="AD27" s="223"/>
      <c r="AE27" s="223"/>
      <c r="AF27" s="223"/>
      <c r="AG27" s="223"/>
      <c r="AH27" s="223"/>
      <c r="AI27" s="223"/>
      <c r="AJ27" s="223"/>
      <c r="AK27" s="223"/>
      <c r="AL27" s="411">
        <f>'Crops; pasture AMORTIZED'!EJ37</f>
        <v>0.36589499632431394</v>
      </c>
      <c r="AM27" s="320"/>
      <c r="AN27" s="320"/>
      <c r="AO27" s="320"/>
      <c r="AP27" s="324">
        <f>'Crops; pasture AMORTIZED'!FR37</f>
        <v>0.32796564764976682</v>
      </c>
      <c r="BB27" s="250"/>
      <c r="BC27" s="250"/>
      <c r="BD27" s="250"/>
      <c r="BE27" s="250"/>
      <c r="BF27" s="250"/>
      <c r="BG27" s="250"/>
      <c r="BH27" s="250"/>
      <c r="BI27" s="250"/>
      <c r="BJ27" s="250"/>
      <c r="BK27" s="250"/>
      <c r="BL27" s="250"/>
      <c r="BM27" s="250"/>
      <c r="BN27" s="250"/>
      <c r="BO27" s="250"/>
      <c r="BP27" s="250"/>
      <c r="BQ27" s="250"/>
      <c r="BR27" s="250"/>
      <c r="BS27" s="250"/>
      <c r="BT27" s="250"/>
      <c r="BU27" s="250"/>
      <c r="BV27" s="250"/>
      <c r="BW27" s="250"/>
      <c r="BX27" s="250"/>
      <c r="BY27" s="250"/>
      <c r="BZ27" s="250"/>
    </row>
    <row r="28" spans="1:78" x14ac:dyDescent="0.25">
      <c r="A28" s="243" t="s">
        <v>77</v>
      </c>
      <c r="B28" s="407">
        <f t="shared" ref="B28" si="74">(F28+J28)/2</f>
        <v>5.8353423748096684</v>
      </c>
      <c r="C28" s="220">
        <f t="shared" ref="C28" si="75">(G28+K28)/2</f>
        <v>6.412464148142492</v>
      </c>
      <c r="D28" s="297">
        <f t="shared" ref="D28" si="76">(H28+L28)/2</f>
        <v>337.49811306013117</v>
      </c>
      <c r="E28" s="314">
        <f t="shared" ref="E28" si="77">(I28+M28)/2</f>
        <v>16.031160370356229</v>
      </c>
      <c r="F28" s="314">
        <f>44/12*'Crops; pasture AMORTIZED'!CY38</f>
        <v>6.33515706211554</v>
      </c>
      <c r="G28" s="314">
        <f>44/12*'Crops; pasture AMORTIZED'!CZ38</f>
        <v>6.9617110572698238</v>
      </c>
      <c r="H28" s="296">
        <f>44/12*'Crops; pasture AMORTIZED'!DA38</f>
        <v>366.4058451194644</v>
      </c>
      <c r="I28" s="296">
        <f>44/12*'Crops; pasture AMORTIZED'!DB38</f>
        <v>17.404277643174556</v>
      </c>
      <c r="J28" s="314">
        <f>44/12*'Crops; pasture AMORTIZED'!DK38</f>
        <v>5.3355276875037969</v>
      </c>
      <c r="K28" s="314">
        <f>44/12*'Crops; pasture AMORTIZED'!DL38</f>
        <v>5.8632172390151611</v>
      </c>
      <c r="L28" s="296">
        <f>44/12*'Crops; pasture AMORTIZED'!DM38</f>
        <v>308.59038100079795</v>
      </c>
      <c r="M28" s="296">
        <f>44/12*'Crops; pasture AMORTIZED'!DN38</f>
        <v>14.658043097537902</v>
      </c>
      <c r="N28" s="314">
        <f t="shared" ref="N28" si="78">(R28+V28)/2</f>
        <v>5.9074929767745701</v>
      </c>
      <c r="O28" s="314">
        <f t="shared" ref="O28" si="79">(S28+W28)/2</f>
        <v>6.4917505239280988</v>
      </c>
      <c r="P28" s="249">
        <f t="shared" ref="P28" si="80">(T28+X28)/2</f>
        <v>341.67108020674198</v>
      </c>
      <c r="Q28" s="314">
        <f t="shared" ref="Q28" si="81">(U28+Y28)/2</f>
        <v>16.229376309820246</v>
      </c>
      <c r="R28" s="314">
        <f>44/12*'Crops; pasture AMORTIZED'!DC38</f>
        <v>6.4227709229845944</v>
      </c>
      <c r="S28" s="314">
        <f>44/12*'Crops; pasture AMORTIZED'!DD38</f>
        <v>7.0579900252577961</v>
      </c>
      <c r="T28" s="296">
        <f>44/12*'Crops; pasture AMORTIZED'!DE38</f>
        <v>371.4731592240945</v>
      </c>
      <c r="U28" s="296">
        <f>44/12*'Crops; pasture AMORTIZED'!DF38</f>
        <v>17.644975063144489</v>
      </c>
      <c r="V28" s="192">
        <f>44/12*'Crops; pasture AMORTIZED'!DO38</f>
        <v>5.3922150305645458</v>
      </c>
      <c r="W28" s="192">
        <f>44/12*'Crops; pasture AMORTIZED'!DP38</f>
        <v>5.9255110225984016</v>
      </c>
      <c r="X28" s="296">
        <f>44/12*'Crops; pasture AMORTIZED'!DQ38</f>
        <v>311.86900118938951</v>
      </c>
      <c r="Y28" s="296">
        <f>44/12*'Crops; pasture AMORTIZED'!DR38</f>
        <v>14.813777556496001</v>
      </c>
      <c r="Z28" s="314">
        <f t="shared" ref="Z28" si="82">(AD28+AH28)/2</f>
        <v>4.5480989675815753</v>
      </c>
      <c r="AA28" s="314">
        <f t="shared" ref="AA28" si="83">(AE28+AI28)/2</f>
        <v>4.9979109533863459</v>
      </c>
      <c r="AB28" s="249">
        <f t="shared" ref="AB28" si="84">(AF28+AJ28)/2</f>
        <v>263.04794491507084</v>
      </c>
      <c r="AC28" s="314">
        <f t="shared" ref="AC28" si="85">(AG28+AK28)/2</f>
        <v>12.494777383465863</v>
      </c>
      <c r="AD28" s="220">
        <f>44/12*'Crops; pasture AMORTIZED'!DG38</f>
        <v>4.7720639306084331</v>
      </c>
      <c r="AE28" s="220">
        <f>44/12*'Crops; pasture AMORTIZED'!DH38</f>
        <v>5.2440262973719047</v>
      </c>
      <c r="AF28" s="221">
        <f>44/12*'Crops; pasture AMORTIZED'!DI38</f>
        <v>276.0013840722055</v>
      </c>
      <c r="AG28" s="221">
        <f>44/12*'Crops; pasture AMORTIZED'!DJ38</f>
        <v>13.110065743429761</v>
      </c>
      <c r="AH28" s="220">
        <f>44/12*'Crops; pasture AMORTIZED'!DS38</f>
        <v>4.3241340045547165</v>
      </c>
      <c r="AI28" s="220">
        <f>44/12*'Crops; pasture AMORTIZED'!DT38</f>
        <v>4.7517956094007872</v>
      </c>
      <c r="AJ28" s="221">
        <f>44/12*'Crops; pasture AMORTIZED'!DU38</f>
        <v>250.09450575793616</v>
      </c>
      <c r="AK28" s="221">
        <f>44/12*'Crops; pasture AMORTIZED'!DV38</f>
        <v>11.879489023501966</v>
      </c>
      <c r="AL28" s="407">
        <f>'Crops; pasture AMORTIZED'!EJ38</f>
        <v>0.16590669386284537</v>
      </c>
      <c r="AM28" s="407">
        <f>'Crops; pasture AMORTIZED'!EK38</f>
        <v>0.18231504820092898</v>
      </c>
      <c r="AN28" s="249">
        <f>'Crops; pasture AMORTIZED'!EL38</f>
        <v>9.5955288526804718</v>
      </c>
      <c r="AO28" s="407">
        <f>'Crops; pasture AMORTIZED'!EM38</f>
        <v>0.45578762050232241</v>
      </c>
      <c r="AP28" s="194">
        <f>'Crops; pasture AMORTIZED'!FR38</f>
        <v>0.2607622846</v>
      </c>
      <c r="AQ28" s="194">
        <f>'Crops; pasture AMORTIZED'!FS38</f>
        <v>0.28655196109890108</v>
      </c>
      <c r="AR28" s="248">
        <f>'Crops; pasture AMORTIZED'!FT38</f>
        <v>15.081682163100057</v>
      </c>
      <c r="AS28" s="189">
        <f>'Crops; pasture AMORTIZED'!FU38</f>
        <v>0.71637990274725261</v>
      </c>
      <c r="AT28" s="189">
        <f t="shared" ref="AT28:AT33" si="86">B28+AL28+AP28</f>
        <v>6.2620113532725137</v>
      </c>
      <c r="AU28" s="189">
        <f t="shared" ref="AU28:AU33" si="87">C28+AM28+AQ28</f>
        <v>6.8813311574423217</v>
      </c>
      <c r="AV28" s="188">
        <f t="shared" ref="AV28:AV33" si="88">D28+AN28+AR28</f>
        <v>362.1753240759117</v>
      </c>
      <c r="AW28" s="189">
        <f t="shared" ref="AW28:AW33" si="89">E28+AO28+AS28</f>
        <v>17.203327893605806</v>
      </c>
      <c r="AX28" s="189">
        <f t="shared" ref="AX28:AX33" si="90">F28+AL28+AP28</f>
        <v>6.7618260405783852</v>
      </c>
      <c r="AY28" s="189">
        <f t="shared" ref="AY28:AY33" si="91">G28+AM28+AQ28</f>
        <v>7.4305780665696535</v>
      </c>
      <c r="AZ28" s="188">
        <f t="shared" ref="AZ28:AZ33" si="92">H28+AN28+AR28</f>
        <v>391.08305613524493</v>
      </c>
      <c r="BA28" s="189">
        <f t="shared" ref="BA28:BA33" si="93">I28+AO28+AS28</f>
        <v>18.576445166424133</v>
      </c>
      <c r="BB28" s="250"/>
      <c r="BC28" s="250"/>
      <c r="BD28" s="250"/>
      <c r="BE28" s="250"/>
      <c r="BF28" s="250"/>
      <c r="BG28" s="250"/>
      <c r="BH28" s="250"/>
      <c r="BI28" s="250"/>
      <c r="BJ28" s="250"/>
      <c r="BK28" s="250"/>
      <c r="BL28" s="250"/>
      <c r="BM28" s="250"/>
      <c r="BN28" s="250"/>
      <c r="BO28" s="250"/>
      <c r="BP28" s="250"/>
      <c r="BQ28" s="250"/>
      <c r="BR28" s="250"/>
      <c r="BS28" s="250"/>
      <c r="BT28" s="250"/>
      <c r="BU28" s="250"/>
      <c r="BV28" s="250"/>
      <c r="BW28" s="250"/>
      <c r="BX28" s="250"/>
      <c r="BY28" s="250"/>
      <c r="BZ28" s="250"/>
    </row>
    <row r="29" spans="1:78" x14ac:dyDescent="0.25">
      <c r="A29" s="243" t="s">
        <v>425</v>
      </c>
      <c r="B29" s="220">
        <f t="shared" ref="B29:B33" si="94">(F29+J29)/2</f>
        <v>1.4776264042859546</v>
      </c>
      <c r="C29" s="220">
        <f t="shared" ref="C29:C33" si="95">(G29+K29)/2</f>
        <v>2.841589239011451</v>
      </c>
      <c r="D29" s="297">
        <f t="shared" ref="D29:D33" si="96">(H29+L29)/2</f>
        <v>180.70519802934504</v>
      </c>
      <c r="E29" s="314">
        <f t="shared" ref="E29:E33" si="97">(I29+M29)/2</f>
        <v>81.188263971755731</v>
      </c>
      <c r="F29" s="314">
        <f>44/12*'Crops; pasture AMORTIZED'!CY39</f>
        <v>1.6689041510967721</v>
      </c>
      <c r="G29" s="314">
        <f>44/12*'Crops; pasture AMORTIZED'!CZ39</f>
        <v>3.2094310598014846</v>
      </c>
      <c r="H29" s="296">
        <f>44/12*'Crops; pasture AMORTIZED'!DA39</f>
        <v>204.09736469325816</v>
      </c>
      <c r="I29" s="296">
        <f>44/12*'Crops; pasture AMORTIZED'!DB39</f>
        <v>91.698030280042417</v>
      </c>
      <c r="J29" s="314">
        <f>44/12*'Crops; pasture AMORTIZED'!DK39</f>
        <v>1.286348657475137</v>
      </c>
      <c r="K29" s="314">
        <f>44/12*'Crops; pasture AMORTIZED'!DL39</f>
        <v>2.4737474182214174</v>
      </c>
      <c r="L29" s="296">
        <f>44/12*'Crops; pasture AMORTIZED'!DM39</f>
        <v>157.31303136543193</v>
      </c>
      <c r="M29" s="296">
        <f>44/12*'Crops; pasture AMORTIZED'!DN39</f>
        <v>70.678497663469059</v>
      </c>
      <c r="N29" s="314">
        <f t="shared" ref="N29:N33" si="98">(R29+V29)/2</f>
        <v>1.4776264042859548</v>
      </c>
      <c r="O29" s="314">
        <f t="shared" ref="O29:O33" si="99">(S29+W29)/2</f>
        <v>2.8415892390114514</v>
      </c>
      <c r="P29" s="249">
        <f t="shared" ref="P29:P33" si="100">(T29+X29)/2</f>
        <v>180.70519802934507</v>
      </c>
      <c r="Q29" s="314">
        <f t="shared" ref="Q29:Q33" si="101">(U29+Y29)/2</f>
        <v>81.188263971755759</v>
      </c>
      <c r="R29" s="314">
        <f>44/12*'Crops; pasture AMORTIZED'!DC39</f>
        <v>1.6689041510967726</v>
      </c>
      <c r="S29" s="314">
        <f>44/12*'Crops; pasture AMORTIZED'!DD39</f>
        <v>3.2094310598014859</v>
      </c>
      <c r="T29" s="296">
        <f>44/12*'Crops; pasture AMORTIZED'!DE39</f>
        <v>204.09736469325824</v>
      </c>
      <c r="U29" s="296">
        <f>44/12*'Crops; pasture AMORTIZED'!DF39</f>
        <v>91.698030280042445</v>
      </c>
      <c r="V29" s="192">
        <f>44/12*'Crops; pasture AMORTIZED'!DO39</f>
        <v>1.286348657475137</v>
      </c>
      <c r="W29" s="192">
        <f>44/12*'Crops; pasture AMORTIZED'!DP39</f>
        <v>2.4737474182214174</v>
      </c>
      <c r="X29" s="296">
        <f>44/12*'Crops; pasture AMORTIZED'!DQ39</f>
        <v>157.31303136543193</v>
      </c>
      <c r="Y29" s="296">
        <f>44/12*'Crops; pasture AMORTIZED'!DR39</f>
        <v>70.678497663469059</v>
      </c>
      <c r="Z29" s="314">
        <f t="shared" ref="Z29:Z33" si="102">(AD29+AH29)/2</f>
        <v>1.0602242621705691</v>
      </c>
      <c r="AA29" s="314">
        <f t="shared" ref="AA29:AA33" si="103">(AE29+AI29)/2</f>
        <v>2.0388928118664791</v>
      </c>
      <c r="AB29" s="249">
        <f t="shared" ref="AB29:AB33" si="104">(AF29+AJ29)/2</f>
        <v>129.65932030947403</v>
      </c>
      <c r="AC29" s="314">
        <f t="shared" ref="AC29:AC33" si="105">(AG29+AK29)/2</f>
        <v>58.254080339042254</v>
      </c>
      <c r="AD29" s="220">
        <f>44/12*'Crops; pasture AMORTIZED'!DG39</f>
        <v>0.86064989075609688</v>
      </c>
      <c r="AE29" s="220">
        <f>44/12*'Crops; pasture AMORTIZED'!DH39</f>
        <v>1.6550959437617245</v>
      </c>
      <c r="AF29" s="221">
        <f>44/12*'Crops; pasture AMORTIZED'!DI39</f>
        <v>105.25252424557866</v>
      </c>
      <c r="AG29" s="221">
        <f>44/12*'Crops; pasture AMORTIZED'!DJ39</f>
        <v>47.28845553604927</v>
      </c>
      <c r="AH29" s="220">
        <f>44/12*'Crops; pasture AMORTIZED'!DS39</f>
        <v>1.2597986335850415</v>
      </c>
      <c r="AI29" s="220">
        <f>44/12*'Crops; pasture AMORTIZED'!DT39</f>
        <v>2.4226896799712336</v>
      </c>
      <c r="AJ29" s="221">
        <f>44/12*'Crops; pasture AMORTIZED'!DU39</f>
        <v>154.06611637336937</v>
      </c>
      <c r="AK29" s="221">
        <f>44/12*'Crops; pasture AMORTIZED'!DV39</f>
        <v>69.219705142035238</v>
      </c>
      <c r="AL29" s="407">
        <f>'Crops; pasture AMORTIZED'!EJ39</f>
        <v>0.53543086027397258</v>
      </c>
      <c r="AM29" s="407">
        <f>'Crops; pasture AMORTIZED'!EK39</f>
        <v>1.029674731296101</v>
      </c>
      <c r="AN29" s="249">
        <f>'Crops; pasture AMORTIZED'!EL39</f>
        <v>65.480110098321205</v>
      </c>
      <c r="AO29" s="220">
        <f>'Crops; pasture AMORTIZED'!EM39</f>
        <v>29.419278037031454</v>
      </c>
      <c r="AP29" s="194">
        <f>'Crops; pasture AMORTIZED'!FR39</f>
        <v>8.3893459560002007E-2</v>
      </c>
      <c r="AQ29" s="194">
        <f>'Crops; pasture AMORTIZED'!FS39</f>
        <v>0.16133357607692694</v>
      </c>
      <c r="AR29" s="248">
        <f>'Crops; pasture AMORTIZED'!FT39</f>
        <v>10.259686872936529</v>
      </c>
      <c r="AS29" s="189">
        <f>'Crops; pasture AMORTIZED'!FU39</f>
        <v>4.6095307450550553</v>
      </c>
      <c r="AT29" s="189">
        <f t="shared" si="86"/>
        <v>2.096950724119929</v>
      </c>
      <c r="AU29" s="189">
        <f t="shared" si="87"/>
        <v>4.032597546384479</v>
      </c>
      <c r="AV29" s="188">
        <f t="shared" si="88"/>
        <v>256.44499500060277</v>
      </c>
      <c r="AW29" s="189">
        <f t="shared" si="89"/>
        <v>115.21707275384225</v>
      </c>
      <c r="AX29" s="189">
        <f t="shared" si="90"/>
        <v>2.2882284709307465</v>
      </c>
      <c r="AY29" s="189">
        <f t="shared" si="91"/>
        <v>4.4004393671745126</v>
      </c>
      <c r="AZ29" s="188">
        <f t="shared" si="92"/>
        <v>279.83716166451586</v>
      </c>
      <c r="BA29" s="189">
        <f t="shared" si="93"/>
        <v>125.72683906212893</v>
      </c>
      <c r="BB29" s="250"/>
      <c r="BC29" s="250"/>
      <c r="BD29" s="250"/>
      <c r="BE29" s="250"/>
      <c r="BF29" s="250"/>
      <c r="BG29" s="250"/>
      <c r="BH29" s="250"/>
      <c r="BI29" s="250"/>
      <c r="BJ29" s="250"/>
      <c r="BK29" s="250"/>
      <c r="BL29" s="250"/>
      <c r="BM29" s="250"/>
      <c r="BN29" s="250"/>
      <c r="BO29" s="250"/>
      <c r="BP29" s="250"/>
      <c r="BQ29" s="250"/>
      <c r="BR29" s="250"/>
      <c r="BS29" s="250"/>
      <c r="BT29" s="250"/>
      <c r="BU29" s="250"/>
      <c r="BV29" s="250"/>
      <c r="BW29" s="250"/>
      <c r="BX29" s="250"/>
      <c r="BY29" s="250"/>
      <c r="BZ29" s="250"/>
    </row>
    <row r="30" spans="1:78" x14ac:dyDescent="0.25">
      <c r="A30" s="243" t="s">
        <v>80</v>
      </c>
      <c r="B30" s="220">
        <f t="shared" si="94"/>
        <v>5.4660944828845546</v>
      </c>
      <c r="C30" s="220">
        <f t="shared" si="95"/>
        <v>5.9414070466136462</v>
      </c>
      <c r="D30" s="297">
        <f t="shared" si="96"/>
        <v>297.07035233068228</v>
      </c>
      <c r="E30" s="314">
        <f t="shared" si="97"/>
        <v>25.832204550494112</v>
      </c>
      <c r="F30" s="314">
        <f>44/12*'Crops; pasture AMORTIZED'!CY40</f>
        <v>5.8962878225725426</v>
      </c>
      <c r="G30" s="314">
        <f>44/12*'Crops; pasture AMORTIZED'!CZ40</f>
        <v>6.4090085027962411</v>
      </c>
      <c r="H30" s="296">
        <f>44/12*'Crops; pasture AMORTIZED'!DA40</f>
        <v>320.45042513981207</v>
      </c>
      <c r="I30" s="296">
        <f>44/12*'Crops; pasture AMORTIZED'!DB40</f>
        <v>27.865254359983656</v>
      </c>
      <c r="J30" s="314">
        <f>44/12*'Crops; pasture AMORTIZED'!DK40</f>
        <v>5.0359011431965666</v>
      </c>
      <c r="K30" s="314">
        <f>44/12*'Crops; pasture AMORTIZED'!DL40</f>
        <v>5.4738055904310503</v>
      </c>
      <c r="L30" s="296">
        <f>44/12*'Crops; pasture AMORTIZED'!DM40</f>
        <v>273.6902795215525</v>
      </c>
      <c r="M30" s="296">
        <f>44/12*'Crops; pasture AMORTIZED'!DN40</f>
        <v>23.799154741004564</v>
      </c>
      <c r="N30" s="314">
        <f t="shared" si="98"/>
        <v>5.6435256511048841</v>
      </c>
      <c r="O30" s="314">
        <f t="shared" si="99"/>
        <v>6.1342670120705272</v>
      </c>
      <c r="P30" s="249">
        <f t="shared" si="100"/>
        <v>306.71335060352635</v>
      </c>
      <c r="Q30" s="314">
        <f t="shared" si="101"/>
        <v>26.670726139437072</v>
      </c>
      <c r="R30" s="314">
        <f>44/12*'Crops; pasture AMORTIZED'!DC40</f>
        <v>6.0888426606980106</v>
      </c>
      <c r="S30" s="314">
        <f>44/12*'Crops; pasture AMORTIZED'!DD40</f>
        <v>6.618307239889142</v>
      </c>
      <c r="T30" s="296">
        <f>44/12*'Crops; pasture AMORTIZED'!DE40</f>
        <v>330.9153619944571</v>
      </c>
      <c r="U30" s="296">
        <f>44/12*'Crops; pasture AMORTIZED'!DF40</f>
        <v>28.775248869083224</v>
      </c>
      <c r="V30" s="192">
        <f>44/12*'Crops; pasture AMORTIZED'!DO40</f>
        <v>5.1982086415117585</v>
      </c>
      <c r="W30" s="192">
        <f>44/12*'Crops; pasture AMORTIZED'!DP40</f>
        <v>5.6502267842519114</v>
      </c>
      <c r="X30" s="296">
        <f>44/12*'Crops; pasture AMORTIZED'!DQ40</f>
        <v>282.51133921259554</v>
      </c>
      <c r="Y30" s="296">
        <f>44/12*'Crops; pasture AMORTIZED'!DR40</f>
        <v>24.566203409790919</v>
      </c>
      <c r="Z30" s="314">
        <f t="shared" si="102"/>
        <v>4.3526010410206482</v>
      </c>
      <c r="AA30" s="314">
        <f t="shared" si="103"/>
        <v>4.7310880880659214</v>
      </c>
      <c r="AB30" s="249">
        <f t="shared" si="104"/>
        <v>236.55440440329608</v>
      </c>
      <c r="AC30" s="314">
        <f t="shared" si="105"/>
        <v>20.569948208982265</v>
      </c>
      <c r="AD30" s="220">
        <f>44/12*'Crops; pasture AMORTIZED'!DG40</f>
        <v>4.6767830481206438</v>
      </c>
      <c r="AE30" s="220">
        <f>44/12*'Crops; pasture AMORTIZED'!DH40</f>
        <v>5.083459834913743</v>
      </c>
      <c r="AF30" s="221">
        <f>44/12*'Crops; pasture AMORTIZED'!DI40</f>
        <v>254.17299174568711</v>
      </c>
      <c r="AG30" s="221">
        <f>44/12*'Crops; pasture AMORTIZED'!DJ40</f>
        <v>22.101999282233663</v>
      </c>
      <c r="AH30" s="220">
        <f>44/12*'Crops; pasture AMORTIZED'!DS40</f>
        <v>4.0284190339206516</v>
      </c>
      <c r="AI30" s="220">
        <f>44/12*'Crops; pasture AMORTIZED'!DT40</f>
        <v>4.3787163412180998</v>
      </c>
      <c r="AJ30" s="221">
        <f>44/12*'Crops; pasture AMORTIZED'!DU40</f>
        <v>218.93581706090501</v>
      </c>
      <c r="AK30" s="221">
        <f>44/12*'Crops; pasture AMORTIZED'!DV40</f>
        <v>19.037897135730866</v>
      </c>
      <c r="AL30" s="407">
        <f>'Crops; pasture AMORTIZED'!EJ40</f>
        <v>0.61041976219308014</v>
      </c>
      <c r="AM30" s="407">
        <f>'Crops; pasture AMORTIZED'!EK40</f>
        <v>0.66349974151421753</v>
      </c>
      <c r="AN30" s="249">
        <f>'Crops; pasture AMORTIZED'!EL40</f>
        <v>33.174987075710881</v>
      </c>
      <c r="AO30" s="407">
        <f>'Crops; pasture AMORTIZED'!EM40</f>
        <v>2.884781484844424</v>
      </c>
      <c r="AP30" s="194">
        <f>'Crops; pasture AMORTIZED'!FR40</f>
        <v>1.0044077964</v>
      </c>
      <c r="AQ30" s="194">
        <f>'Crops; pasture AMORTIZED'!FS40</f>
        <v>1.0917476047826087</v>
      </c>
      <c r="AR30" s="248">
        <f>'Crops; pasture AMORTIZED'!FT40</f>
        <v>54.587380239130439</v>
      </c>
      <c r="AS30" s="189">
        <f>'Crops; pasture AMORTIZED'!FU40</f>
        <v>4.7467287164461247</v>
      </c>
      <c r="AT30" s="189">
        <f t="shared" si="86"/>
        <v>7.0809220414776348</v>
      </c>
      <c r="AU30" s="189">
        <f t="shared" si="87"/>
        <v>7.6966543929104727</v>
      </c>
      <c r="AV30" s="188">
        <f t="shared" si="88"/>
        <v>384.83271964552358</v>
      </c>
      <c r="AW30" s="189">
        <f t="shared" si="89"/>
        <v>33.463714751784664</v>
      </c>
      <c r="AX30" s="189">
        <f t="shared" si="90"/>
        <v>7.5111153811656228</v>
      </c>
      <c r="AY30" s="189">
        <f t="shared" si="91"/>
        <v>8.1642558490930668</v>
      </c>
      <c r="AZ30" s="188">
        <f t="shared" si="92"/>
        <v>408.21279245465337</v>
      </c>
      <c r="BA30" s="189">
        <f t="shared" si="93"/>
        <v>35.496764561274205</v>
      </c>
      <c r="BB30" s="250"/>
      <c r="BC30" s="250"/>
      <c r="BD30" s="250"/>
      <c r="BE30" s="250"/>
      <c r="BF30" s="250"/>
      <c r="BG30" s="250"/>
      <c r="BH30" s="250"/>
      <c r="BI30" s="250"/>
      <c r="BJ30" s="250"/>
      <c r="BK30" s="250"/>
      <c r="BL30" s="250"/>
      <c r="BM30" s="250"/>
      <c r="BN30" s="250"/>
      <c r="BO30" s="250"/>
      <c r="BP30" s="250"/>
      <c r="BQ30" s="250"/>
      <c r="BR30" s="250"/>
      <c r="BS30" s="250"/>
      <c r="BT30" s="250"/>
      <c r="BU30" s="250"/>
      <c r="BV30" s="250"/>
      <c r="BW30" s="250"/>
      <c r="BX30" s="250"/>
      <c r="BY30" s="250"/>
      <c r="BZ30" s="250"/>
    </row>
    <row r="31" spans="1:78" x14ac:dyDescent="0.25">
      <c r="A31" s="243" t="s">
        <v>426</v>
      </c>
      <c r="B31" s="220">
        <f t="shared" si="94"/>
        <v>6.1788649987300612</v>
      </c>
      <c r="C31" s="220">
        <f t="shared" si="95"/>
        <v>6.7161576073152842</v>
      </c>
      <c r="D31" s="297">
        <f t="shared" si="96"/>
        <v>260.31618633004979</v>
      </c>
      <c r="E31" s="314">
        <f t="shared" si="97"/>
        <v>30.527989124160385</v>
      </c>
      <c r="F31" s="314">
        <f>44/12*'Crops; pasture AMORTIZED'!CY41</f>
        <v>5.1560829849073047</v>
      </c>
      <c r="G31" s="314">
        <f>44/12*'Crops; pasture AMORTIZED'!CZ41</f>
        <v>5.6044380270731571</v>
      </c>
      <c r="H31" s="296">
        <f>44/12*'Crops; pasture AMORTIZED'!DA41</f>
        <v>217.22628011911465</v>
      </c>
      <c r="I31" s="296">
        <f>44/12*'Crops; pasture AMORTIZED'!DB41</f>
        <v>25.474718304877989</v>
      </c>
      <c r="J31" s="314">
        <f>44/12*'Crops; pasture AMORTIZED'!DK41</f>
        <v>7.2016470125528187</v>
      </c>
      <c r="K31" s="314">
        <f>44/12*'Crops; pasture AMORTIZED'!DL41</f>
        <v>7.8278771875574114</v>
      </c>
      <c r="L31" s="296">
        <f>44/12*'Crops; pasture AMORTIZED'!DM41</f>
        <v>303.40609254098496</v>
      </c>
      <c r="M31" s="296">
        <f>44/12*'Crops; pasture AMORTIZED'!DN41</f>
        <v>35.581259943442781</v>
      </c>
      <c r="N31" s="314">
        <f t="shared" si="98"/>
        <v>6.3381831282706189</v>
      </c>
      <c r="O31" s="314">
        <f t="shared" si="99"/>
        <v>6.8893294872506727</v>
      </c>
      <c r="P31" s="249">
        <f t="shared" si="100"/>
        <v>267.02827469963847</v>
      </c>
      <c r="Q31" s="314">
        <f t="shared" si="101"/>
        <v>31.315134032957605</v>
      </c>
      <c r="R31" s="314">
        <f>44/12*'Crops; pasture AMORTIZED'!DC41</f>
        <v>5.311389629428688</v>
      </c>
      <c r="S31" s="314">
        <f>44/12*'Crops; pasture AMORTIZED'!DD41</f>
        <v>5.7732495972050959</v>
      </c>
      <c r="T31" s="296">
        <f>44/12*'Crops; pasture AMORTIZED'!DE41</f>
        <v>223.76936423275563</v>
      </c>
      <c r="U31" s="296">
        <f>44/12*'Crops; pasture AMORTIZED'!DF41</f>
        <v>26.242043623659526</v>
      </c>
      <c r="V31" s="192">
        <f>44/12*'Crops; pasture AMORTIZED'!DO41</f>
        <v>7.3649766271125499</v>
      </c>
      <c r="W31" s="192">
        <f>44/12*'Crops; pasture AMORTIZED'!DP41</f>
        <v>8.0054093772962496</v>
      </c>
      <c r="X31" s="296">
        <f>44/12*'Crops; pasture AMORTIZED'!DQ41</f>
        <v>310.28718516652128</v>
      </c>
      <c r="Y31" s="296">
        <f>44/12*'Crops; pasture AMORTIZED'!DR41</f>
        <v>36.388224442255684</v>
      </c>
      <c r="Z31" s="314">
        <f t="shared" si="102"/>
        <v>3.0583246598097436</v>
      </c>
      <c r="AA31" s="314">
        <f t="shared" si="103"/>
        <v>3.3242659345758083</v>
      </c>
      <c r="AB31" s="249">
        <f t="shared" si="104"/>
        <v>128.84751684402357</v>
      </c>
      <c r="AC31" s="314">
        <f t="shared" si="105"/>
        <v>15.110299702617311</v>
      </c>
      <c r="AD31" s="220">
        <f>44/12*'Crops; pasture AMORTIZED'!DG41</f>
        <v>2.1122651744586434</v>
      </c>
      <c r="AE31" s="220">
        <f>44/12*'Crops; pasture AMORTIZED'!DH41</f>
        <v>2.2959404070202645</v>
      </c>
      <c r="AF31" s="221">
        <f>44/12*'Crops; pasture AMORTIZED'!DI41</f>
        <v>88.989938256599402</v>
      </c>
      <c r="AG31" s="221">
        <f>44/12*'Crops; pasture AMORTIZED'!DJ41</f>
        <v>10.436092759183021</v>
      </c>
      <c r="AH31" s="220">
        <f>44/12*'Crops; pasture AMORTIZED'!DS41</f>
        <v>4.0043841451608442</v>
      </c>
      <c r="AI31" s="220">
        <f>44/12*'Crops; pasture AMORTIZED'!DT41</f>
        <v>4.3525914621313522</v>
      </c>
      <c r="AJ31" s="221">
        <f>44/12*'Crops; pasture AMORTIZED'!DU41</f>
        <v>168.70509543144775</v>
      </c>
      <c r="AK31" s="221">
        <f>44/12*'Crops; pasture AMORTIZED'!DV41</f>
        <v>19.784506646051604</v>
      </c>
      <c r="AL31" s="407">
        <f>'Crops; pasture AMORTIZED'!EJ41</f>
        <v>0.15133685770444891</v>
      </c>
      <c r="AM31" s="407">
        <f>'Crops; pasture AMORTIZED'!EK41</f>
        <v>0.16449658446135751</v>
      </c>
      <c r="AN31" s="249">
        <f>'Crops; pasture AMORTIZED'!EL41</f>
        <v>6.3758366070293606</v>
      </c>
      <c r="AO31" s="407">
        <f>'Crops; pasture AMORTIZED'!EM41</f>
        <v>0.74771174755162506</v>
      </c>
      <c r="AP31" s="194">
        <f>'Crops; pasture AMORTIZED'!FR41</f>
        <v>0.75353474499999984</v>
      </c>
      <c r="AQ31" s="194">
        <f>'Crops; pasture AMORTIZED'!FS41</f>
        <v>0.81905950543478245</v>
      </c>
      <c r="AR31" s="248">
        <f>'Crops; pasture AMORTIZED'!FT41</f>
        <v>31.746492458712495</v>
      </c>
      <c r="AS31" s="189">
        <f>'Crops; pasture AMORTIZED'!FU41</f>
        <v>3.7229977519762838</v>
      </c>
      <c r="AT31" s="189">
        <f t="shared" si="86"/>
        <v>7.0837366014345093</v>
      </c>
      <c r="AU31" s="189">
        <f t="shared" si="87"/>
        <v>7.6997136972114237</v>
      </c>
      <c r="AV31" s="188">
        <f t="shared" si="88"/>
        <v>298.43851539579168</v>
      </c>
      <c r="AW31" s="189">
        <f t="shared" si="89"/>
        <v>34.998698623688298</v>
      </c>
      <c r="AX31" s="189">
        <f t="shared" si="90"/>
        <v>6.0609545876117528</v>
      </c>
      <c r="AY31" s="189">
        <f t="shared" si="91"/>
        <v>6.5879941169692966</v>
      </c>
      <c r="AZ31" s="188">
        <f t="shared" si="92"/>
        <v>255.34860918485651</v>
      </c>
      <c r="BA31" s="189">
        <f t="shared" si="93"/>
        <v>29.945427804405899</v>
      </c>
      <c r="BB31" s="250"/>
      <c r="BC31" s="250"/>
      <c r="BD31" s="250"/>
      <c r="BE31" s="250"/>
      <c r="BF31" s="250"/>
      <c r="BG31" s="250"/>
      <c r="BH31" s="250"/>
      <c r="BI31" s="250"/>
      <c r="BJ31" s="250"/>
      <c r="BK31" s="250"/>
      <c r="BL31" s="250"/>
      <c r="BM31" s="250"/>
      <c r="BN31" s="250"/>
      <c r="BO31" s="250"/>
      <c r="BP31" s="250"/>
      <c r="BQ31" s="250"/>
      <c r="BR31" s="250"/>
      <c r="BS31" s="250"/>
      <c r="BT31" s="250"/>
      <c r="BU31" s="250"/>
      <c r="BV31" s="250"/>
      <c r="BW31" s="250"/>
      <c r="BX31" s="250"/>
      <c r="BY31" s="250"/>
      <c r="BZ31" s="250"/>
    </row>
    <row r="32" spans="1:78" x14ac:dyDescent="0.25">
      <c r="A32" s="243" t="s">
        <v>427</v>
      </c>
      <c r="B32" s="220">
        <f t="shared" si="94"/>
        <v>6.3272802105838863</v>
      </c>
      <c r="C32" s="220">
        <f t="shared" si="95"/>
        <v>6.8774784897650942</v>
      </c>
      <c r="D32" s="297">
        <f t="shared" si="96"/>
        <v>404.55755822147609</v>
      </c>
      <c r="E32" s="314">
        <f t="shared" si="97"/>
        <v>36.197255209289963</v>
      </c>
      <c r="F32" s="314">
        <f>44/12*'Crops; pasture AMORTIZED'!CY42</f>
        <v>5.7995234355425218</v>
      </c>
      <c r="G32" s="314">
        <f>44/12*'Crops; pasture AMORTIZED'!CZ42</f>
        <v>6.3038298212418713</v>
      </c>
      <c r="H32" s="296">
        <f>44/12*'Crops; pasture AMORTIZED'!DA42</f>
        <v>370.8135188965806</v>
      </c>
      <c r="I32" s="296">
        <f>44/12*'Crops; pasture AMORTIZED'!DB42</f>
        <v>33.178051690746692</v>
      </c>
      <c r="J32" s="314">
        <f>44/12*'Crops; pasture AMORTIZED'!DK42</f>
        <v>6.8550369856252518</v>
      </c>
      <c r="K32" s="314">
        <f>44/12*'Crops; pasture AMORTIZED'!DL42</f>
        <v>7.4511271582883172</v>
      </c>
      <c r="L32" s="296">
        <f>44/12*'Crops; pasture AMORTIZED'!DM42</f>
        <v>438.30159754637157</v>
      </c>
      <c r="M32" s="296">
        <f>44/12*'Crops; pasture AMORTIZED'!DN42</f>
        <v>39.216458727833242</v>
      </c>
      <c r="N32" s="314">
        <f t="shared" si="98"/>
        <v>7.4316641271861172</v>
      </c>
      <c r="O32" s="314">
        <f t="shared" si="99"/>
        <v>8.0778957904196922</v>
      </c>
      <c r="P32" s="249">
        <f t="shared" si="100"/>
        <v>475.17034061292304</v>
      </c>
      <c r="Q32" s="314">
        <f t="shared" si="101"/>
        <v>42.515241002208903</v>
      </c>
      <c r="R32" s="314">
        <f>44/12*'Crops; pasture AMORTIZED'!DC42</f>
        <v>6.7778647833030226</v>
      </c>
      <c r="S32" s="314">
        <f>44/12*'Crops; pasture AMORTIZED'!DD42</f>
        <v>7.3672443296771979</v>
      </c>
      <c r="T32" s="296">
        <f>44/12*'Crops; pasture AMORTIZED'!DE42</f>
        <v>433.3673135104234</v>
      </c>
      <c r="U32" s="296">
        <f>44/12*'Crops; pasture AMORTIZED'!DF42</f>
        <v>38.774970156195778</v>
      </c>
      <c r="V32" s="192">
        <f>44/12*'Crops; pasture AMORTIZED'!DO42</f>
        <v>8.085463471069211</v>
      </c>
      <c r="W32" s="192">
        <f>44/12*'Crops; pasture AMORTIZED'!DP42</f>
        <v>8.7885472511621856</v>
      </c>
      <c r="X32" s="296">
        <f>44/12*'Crops; pasture AMORTIZED'!DQ42</f>
        <v>516.97336771542268</v>
      </c>
      <c r="Y32" s="296">
        <f>44/12*'Crops; pasture AMORTIZED'!DR42</f>
        <v>46.255511848222028</v>
      </c>
      <c r="Z32" s="314">
        <f t="shared" si="102"/>
        <v>3.1888207485771307</v>
      </c>
      <c r="AA32" s="314">
        <f t="shared" si="103"/>
        <v>3.4661095093229681</v>
      </c>
      <c r="AB32" s="249">
        <f t="shared" si="104"/>
        <v>203.88879466605692</v>
      </c>
      <c r="AC32" s="314">
        <f t="shared" si="105"/>
        <v>18.242681628015617</v>
      </c>
      <c r="AD32" s="220">
        <f>44/12*'Crops; pasture AMORTIZED'!DG42</f>
        <v>3.0193158872561092</v>
      </c>
      <c r="AE32" s="220">
        <f>44/12*'Crops; pasture AMORTIZED'!DH42</f>
        <v>3.2818650948435968</v>
      </c>
      <c r="AF32" s="221">
        <f>44/12*'Crops; pasture AMORTIZED'!DI42</f>
        <v>193.05088793197629</v>
      </c>
      <c r="AG32" s="221">
        <f>44/12*'Crops; pasture AMORTIZED'!DJ42</f>
        <v>17.272974183387351</v>
      </c>
      <c r="AH32" s="220">
        <f>44/12*'Crops; pasture AMORTIZED'!DS42</f>
        <v>3.3583256098981518</v>
      </c>
      <c r="AI32" s="220">
        <f>44/12*'Crops; pasture AMORTIZED'!DT42</f>
        <v>3.650353923802339</v>
      </c>
      <c r="AJ32" s="221">
        <f>44/12*'Crops; pasture AMORTIZED'!DU42</f>
        <v>214.72670140013759</v>
      </c>
      <c r="AK32" s="221">
        <f>44/12*'Crops; pasture AMORTIZED'!DV42</f>
        <v>19.212389072643887</v>
      </c>
      <c r="AL32" s="407">
        <f>'Crops; pasture AMORTIZED'!EJ42</f>
        <v>0.37926643892684558</v>
      </c>
      <c r="AM32" s="407">
        <f>'Crops; pasture AMORTIZED'!EK42</f>
        <v>0.41224612926831039</v>
      </c>
      <c r="AN32" s="249">
        <f>'Crops; pasture AMORTIZED'!EL42</f>
        <v>24.24977230990061</v>
      </c>
      <c r="AO32" s="407">
        <f>'Crops; pasture AMORTIZED'!EM42</f>
        <v>2.1697164698332125</v>
      </c>
      <c r="AP32" s="194">
        <f>'Crops; pasture AMORTIZED'!FR42</f>
        <v>0.31567647658000003</v>
      </c>
      <c r="AQ32" s="194">
        <f>'Crops; pasture AMORTIZED'!FS42</f>
        <v>0.34312660497826086</v>
      </c>
      <c r="AR32" s="248">
        <f>'Crops; pasture AMORTIZED'!FT42</f>
        <v>20.183917939897697</v>
      </c>
      <c r="AS32" s="189">
        <f>'Crops; pasture AMORTIZED'!FU42</f>
        <v>1.8059294998855835</v>
      </c>
      <c r="AT32" s="189">
        <f t="shared" si="86"/>
        <v>7.022223126090732</v>
      </c>
      <c r="AU32" s="189">
        <f t="shared" si="87"/>
        <v>7.6328512240116657</v>
      </c>
      <c r="AV32" s="188">
        <f t="shared" si="88"/>
        <v>448.99124847127439</v>
      </c>
      <c r="AW32" s="189">
        <f t="shared" si="89"/>
        <v>40.172901179008761</v>
      </c>
      <c r="AX32" s="189">
        <f t="shared" si="90"/>
        <v>6.4944663510493674</v>
      </c>
      <c r="AY32" s="189">
        <f t="shared" si="91"/>
        <v>7.0592025554884428</v>
      </c>
      <c r="AZ32" s="188">
        <f t="shared" si="92"/>
        <v>415.24720914637891</v>
      </c>
      <c r="BA32" s="189">
        <f t="shared" si="93"/>
        <v>37.15369766046549</v>
      </c>
      <c r="BB32" s="250"/>
      <c r="BC32" s="250"/>
      <c r="BD32" s="250"/>
      <c r="BE32" s="250"/>
      <c r="BF32" s="250"/>
      <c r="BG32" s="250"/>
      <c r="BH32" s="250"/>
      <c r="BI32" s="250"/>
      <c r="BJ32" s="250"/>
      <c r="BK32" s="250"/>
      <c r="BL32" s="250"/>
      <c r="BM32" s="250"/>
      <c r="BN32" s="250"/>
      <c r="BO32" s="250"/>
      <c r="BP32" s="250"/>
      <c r="BQ32" s="250"/>
      <c r="BR32" s="250"/>
      <c r="BS32" s="250"/>
      <c r="BT32" s="250"/>
      <c r="BU32" s="250"/>
      <c r="BV32" s="250"/>
      <c r="BW32" s="250"/>
      <c r="BX32" s="250"/>
      <c r="BY32" s="250"/>
      <c r="BZ32" s="250"/>
    </row>
    <row r="33" spans="1:78" x14ac:dyDescent="0.25">
      <c r="A33" s="243" t="s">
        <v>310</v>
      </c>
      <c r="B33" s="220">
        <f t="shared" si="94"/>
        <v>3.1103893297879734</v>
      </c>
      <c r="C33" s="220">
        <f t="shared" si="95"/>
        <v>6.7617159343216802</v>
      </c>
      <c r="D33" s="297">
        <f t="shared" si="96"/>
        <v>520.13199494782157</v>
      </c>
      <c r="E33" s="296">
        <f t="shared" si="97"/>
        <v>225.39053114405604</v>
      </c>
      <c r="F33" s="314">
        <f>44/12*'Crops; pasture AMORTIZED'!CY43</f>
        <v>2.6682605217922468</v>
      </c>
      <c r="G33" s="314">
        <f>44/12*'Crops; pasture AMORTIZED'!CZ43</f>
        <v>5.8005663517222752</v>
      </c>
      <c r="H33" s="296">
        <f>44/12*'Crops; pasture AMORTIZED'!DA43</f>
        <v>446.19741167094423</v>
      </c>
      <c r="I33" s="296">
        <f>44/12*'Crops; pasture AMORTIZED'!DB43</f>
        <v>193.35221172407586</v>
      </c>
      <c r="J33" s="314">
        <f>44/12*'Crops; pasture AMORTIZED'!DK43</f>
        <v>3.5525181377837001</v>
      </c>
      <c r="K33" s="314">
        <f>44/12*'Crops; pasture AMORTIZED'!DL43</f>
        <v>7.722865516921086</v>
      </c>
      <c r="L33" s="296">
        <f>44/12*'Crops; pasture AMORTIZED'!DM43</f>
        <v>594.0665782246989</v>
      </c>
      <c r="M33" s="296">
        <f>44/12*'Crops; pasture AMORTIZED'!DN43</f>
        <v>257.42885056403622</v>
      </c>
      <c r="N33" s="314">
        <f t="shared" si="98"/>
        <v>3.1103893297879734</v>
      </c>
      <c r="O33" s="314">
        <f t="shared" si="99"/>
        <v>6.7617159343216802</v>
      </c>
      <c r="P33" s="249">
        <f t="shared" si="100"/>
        <v>520.13199494782157</v>
      </c>
      <c r="Q33" s="296">
        <f t="shared" si="101"/>
        <v>225.39053114405604</v>
      </c>
      <c r="R33" s="314">
        <f>44/12*'Crops; pasture AMORTIZED'!DC43</f>
        <v>2.6682605217922468</v>
      </c>
      <c r="S33" s="314">
        <f>44/12*'Crops; pasture AMORTIZED'!DD43</f>
        <v>5.8005663517222752</v>
      </c>
      <c r="T33" s="296">
        <f>44/12*'Crops; pasture AMORTIZED'!DE43</f>
        <v>446.19741167094423</v>
      </c>
      <c r="U33" s="296">
        <f>44/12*'Crops; pasture AMORTIZED'!DF43</f>
        <v>193.35221172407586</v>
      </c>
      <c r="V33" s="192">
        <f>44/12*'Crops; pasture AMORTIZED'!DO43</f>
        <v>3.5525181377837001</v>
      </c>
      <c r="W33" s="192">
        <f>44/12*'Crops; pasture AMORTIZED'!DP43</f>
        <v>7.722865516921086</v>
      </c>
      <c r="X33" s="296">
        <f>44/12*'Crops; pasture AMORTIZED'!DQ43</f>
        <v>594.0665782246989</v>
      </c>
      <c r="Y33" s="296">
        <f>44/12*'Crops; pasture AMORTIZED'!DR43</f>
        <v>257.42885056403622</v>
      </c>
      <c r="Z33" s="314">
        <f t="shared" si="102"/>
        <v>1.585711605976265</v>
      </c>
      <c r="AA33" s="314">
        <f t="shared" si="103"/>
        <v>3.4471991434266633</v>
      </c>
      <c r="AB33" s="249">
        <f t="shared" si="104"/>
        <v>265.16916487897413</v>
      </c>
      <c r="AC33" s="296">
        <f t="shared" si="105"/>
        <v>114.90663811422212</v>
      </c>
      <c r="AD33" s="220">
        <f>44/12*'Crops; pasture AMORTIZED'!DG43</f>
        <v>1.2968634190445112</v>
      </c>
      <c r="AE33" s="220">
        <f>44/12*'Crops; pasture AMORTIZED'!DH43</f>
        <v>2.8192683022706762</v>
      </c>
      <c r="AF33" s="221">
        <f>44/12*'Crops; pasture AMORTIZED'!DI43</f>
        <v>216.8667924823597</v>
      </c>
      <c r="AG33" s="221">
        <f>44/12*'Crops; pasture AMORTIZED'!DJ43</f>
        <v>93.975610075689204</v>
      </c>
      <c r="AH33" s="220">
        <f>44/12*'Crops; pasture AMORTIZED'!DS43</f>
        <v>1.8745597929080191</v>
      </c>
      <c r="AI33" s="220">
        <f>44/12*'Crops; pasture AMORTIZED'!DT43</f>
        <v>4.0751299845826505</v>
      </c>
      <c r="AJ33" s="221">
        <f>44/12*'Crops; pasture AMORTIZED'!DU43</f>
        <v>313.4715372755885</v>
      </c>
      <c r="AK33" s="221">
        <f>44/12*'Crops; pasture AMORTIZED'!DV43</f>
        <v>135.83766615275502</v>
      </c>
      <c r="AL33" s="407">
        <f>'Crops; pasture AMORTIZED'!EJ43</f>
        <v>0.47711505882352934</v>
      </c>
      <c r="AM33" s="407">
        <f>'Crops; pasture AMORTIZED'!EK43</f>
        <v>1.0372066496163681</v>
      </c>
      <c r="AN33" s="249">
        <f>'Crops; pasture AMORTIZED'!EL43</f>
        <v>79.785126893566783</v>
      </c>
      <c r="AO33" s="220">
        <f>'Crops; pasture AMORTIZED'!EM43</f>
        <v>34.573554987212269</v>
      </c>
      <c r="AP33" s="194">
        <f>'Crops; pasture AMORTIZED'!FR43</f>
        <v>0.11161316524000001</v>
      </c>
      <c r="AQ33" s="194">
        <f>'Crops; pasture AMORTIZED'!FS43</f>
        <v>0.24263731573913044</v>
      </c>
      <c r="AR33" s="248">
        <f>'Crops; pasture AMORTIZED'!FT43</f>
        <v>18.664408903010035</v>
      </c>
      <c r="AS33" s="189">
        <f>'Crops; pasture AMORTIZED'!FU43</f>
        <v>8.0879105246376817</v>
      </c>
      <c r="AT33" s="189">
        <f t="shared" si="86"/>
        <v>3.6991175538515031</v>
      </c>
      <c r="AU33" s="189">
        <f t="shared" si="87"/>
        <v>8.0415598996771784</v>
      </c>
      <c r="AV33" s="188">
        <f t="shared" si="88"/>
        <v>618.58153074439838</v>
      </c>
      <c r="AW33" s="189">
        <f t="shared" si="89"/>
        <v>268.05199665590595</v>
      </c>
      <c r="AX33" s="189">
        <f t="shared" si="90"/>
        <v>3.2569887458557765</v>
      </c>
      <c r="AY33" s="189">
        <f t="shared" si="91"/>
        <v>7.0804103170777735</v>
      </c>
      <c r="AZ33" s="188">
        <f t="shared" si="92"/>
        <v>544.64694746752104</v>
      </c>
      <c r="BA33" s="189">
        <f t="shared" si="93"/>
        <v>236.01367723592583</v>
      </c>
      <c r="BB33" s="250"/>
      <c r="BC33" s="250"/>
      <c r="BD33" s="250"/>
      <c r="BE33" s="250"/>
      <c r="BF33" s="250"/>
      <c r="BG33" s="250"/>
      <c r="BH33" s="250"/>
      <c r="BI33" s="250"/>
      <c r="BJ33" s="250"/>
      <c r="BK33" s="250"/>
      <c r="BL33" s="250"/>
      <c r="BM33" s="250"/>
      <c r="BN33" s="250"/>
      <c r="BO33" s="250"/>
      <c r="BP33" s="250"/>
      <c r="BQ33" s="250"/>
      <c r="BR33" s="250"/>
      <c r="BS33" s="250"/>
      <c r="BT33" s="250"/>
      <c r="BU33" s="250"/>
      <c r="BV33" s="250"/>
      <c r="BW33" s="250"/>
      <c r="BX33" s="250"/>
      <c r="BY33" s="250"/>
      <c r="BZ33" s="250"/>
    </row>
    <row r="34" spans="1:78" x14ac:dyDescent="0.25">
      <c r="A34" s="244"/>
      <c r="R34" s="222"/>
      <c r="S34" s="222"/>
      <c r="T34" s="223"/>
      <c r="U34" s="300"/>
      <c r="V34" s="192"/>
      <c r="W34" s="192"/>
      <c r="X34" s="300"/>
      <c r="Y34" s="300"/>
      <c r="Z34" s="300"/>
      <c r="AA34" s="300"/>
      <c r="AB34" s="300"/>
      <c r="AC34" s="300"/>
      <c r="AD34" s="300"/>
      <c r="AE34" s="300"/>
      <c r="AF34" s="300"/>
      <c r="AG34" s="300"/>
      <c r="AH34" s="300"/>
      <c r="AI34" s="300"/>
      <c r="AJ34" s="300"/>
      <c r="AK34" s="300"/>
      <c r="AL34" s="300"/>
      <c r="AM34" s="300"/>
      <c r="AN34" s="300"/>
      <c r="AO34" s="300"/>
      <c r="BB34" s="250"/>
      <c r="BC34" s="250"/>
      <c r="BD34" s="250"/>
      <c r="BE34" s="250"/>
      <c r="BF34" s="250"/>
      <c r="BG34" s="250"/>
      <c r="BH34" s="250"/>
      <c r="BI34" s="250"/>
      <c r="BJ34" s="250"/>
      <c r="BK34" s="250"/>
      <c r="BL34" s="250"/>
      <c r="BM34" s="250"/>
      <c r="BN34" s="250"/>
      <c r="BO34" s="250"/>
      <c r="BP34" s="250"/>
      <c r="BQ34" s="250"/>
      <c r="BR34" s="250"/>
      <c r="BS34" s="250"/>
      <c r="BT34" s="250"/>
      <c r="BU34" s="250"/>
      <c r="BV34" s="250"/>
      <c r="BW34" s="250"/>
      <c r="BX34" s="250"/>
      <c r="BY34" s="250"/>
      <c r="BZ34" s="250"/>
    </row>
    <row r="35" spans="1:78" s="250" customFormat="1" ht="13.8" x14ac:dyDescent="0.3">
      <c r="A35" s="326" t="s">
        <v>79</v>
      </c>
      <c r="B35" s="319">
        <f t="shared" ref="B35:B40" si="106">(F35+J35)/2</f>
        <v>11.91625754898768</v>
      </c>
      <c r="C35" s="327">
        <f t="shared" ref="C35" si="107">(G35+K35)/2</f>
        <v>13.237671879896226</v>
      </c>
      <c r="D35" s="320">
        <f t="shared" ref="D35" si="108">(H35+L35)/2</f>
        <v>854.19282001092483</v>
      </c>
      <c r="E35" s="327">
        <f t="shared" ref="E35" si="109">(I35+M35)/2</f>
        <v>54.239541596650838</v>
      </c>
      <c r="F35" s="319">
        <f>44/12*'Crops; pasture AMORTIZED'!CY45</f>
        <v>10.071590654322449</v>
      </c>
      <c r="G35" s="327">
        <f>44/12*'Crops; pasture AMORTIZED'!CZ45</f>
        <v>11.166468710726861</v>
      </c>
      <c r="H35" s="320">
        <f>44/12*'Crops; pasture AMORTIZED'!DA45</f>
        <v>720.54342214548888</v>
      </c>
      <c r="I35" s="320">
        <f>44/12*'Crops; pasture AMORTIZED'!DB45</f>
        <v>45.753071206046357</v>
      </c>
      <c r="J35" s="319">
        <f>44/12*'Crops; pasture AMORTIZED'!DK45</f>
        <v>13.760924443652911</v>
      </c>
      <c r="K35" s="327">
        <f>44/12*'Crops; pasture AMORTIZED'!DL45</f>
        <v>15.308875049065591</v>
      </c>
      <c r="L35" s="320">
        <f>44/12*'Crops; pasture AMORTIZED'!DM45</f>
        <v>987.84221787636091</v>
      </c>
      <c r="M35" s="320">
        <f>44/12*'Crops; pasture AMORTIZED'!DN45</f>
        <v>62.726011987255312</v>
      </c>
      <c r="N35" s="220"/>
      <c r="O35" s="327">
        <f t="shared" ref="O35" si="110">(S35+W35)/2</f>
        <v>14.533036664228879</v>
      </c>
      <c r="P35" s="320">
        <f t="shared" ref="P35" si="111">(T35+X35)/2</f>
        <v>937.78860086244526</v>
      </c>
      <c r="Q35" s="327">
        <f t="shared" ref="Q35" si="112">(U35+Y35)/2</f>
        <v>59.410921899310267</v>
      </c>
      <c r="R35" s="327"/>
      <c r="S35" s="327">
        <f>44/12*'Crops; pasture AMORTIZED'!DD45</f>
        <v>12.368542681907911</v>
      </c>
      <c r="T35" s="320">
        <f>44/12*'Crops; pasture AMORTIZED'!DE45</f>
        <v>798.11801238508053</v>
      </c>
      <c r="U35" s="320">
        <f>44/12*'Crops; pasture AMORTIZED'!DF45</f>
        <v>50.562490156774551</v>
      </c>
      <c r="V35" s="322"/>
      <c r="W35" s="322">
        <f>44/12*'Crops; pasture AMORTIZED'!DP45</f>
        <v>16.697530646549847</v>
      </c>
      <c r="X35" s="320">
        <f>44/12*'Crops; pasture AMORTIZED'!DQ45</f>
        <v>1077.4591893398099</v>
      </c>
      <c r="Y35" s="320">
        <f>44/12*'Crops; pasture AMORTIZED'!DR45</f>
        <v>68.259353641845976</v>
      </c>
      <c r="Z35" s="327"/>
      <c r="AA35" s="327">
        <f t="shared" ref="AA35" si="113">(AE35+AI35)/2</f>
        <v>5.4628131611441741</v>
      </c>
      <c r="AB35" s="320">
        <f t="shared" ref="AB35" si="114">(AF35+AJ35)/2</f>
        <v>352.48042061982306</v>
      </c>
      <c r="AC35" s="327">
        <f t="shared" ref="AC35" si="115">(AG35+AK35)/2</f>
        <v>22.695299035255157</v>
      </c>
      <c r="AD35" s="327"/>
      <c r="AE35" s="327">
        <f>44/12*'Crops; pasture AMORTIZED'!DH45</f>
        <v>3.9486936567060154</v>
      </c>
      <c r="AF35" s="320">
        <f>44/12*'Crops; pasture AMORTIZED'!DI45</f>
        <v>254.78396568903452</v>
      </c>
      <c r="AG35" s="320">
        <f>44/12*'Crops; pasture AMORTIZED'!DJ45</f>
        <v>16.404877980265422</v>
      </c>
      <c r="AH35" s="327"/>
      <c r="AI35" s="327">
        <f>44/12*'Crops; pasture AMORTIZED'!DT45</f>
        <v>6.9769326655823329</v>
      </c>
      <c r="AJ35" s="320">
        <f>44/12*'Crops; pasture AMORTIZED'!DU45</f>
        <v>450.17687555061161</v>
      </c>
      <c r="AK35" s="320">
        <f>44/12*'Crops; pasture AMORTIZED'!DV45</f>
        <v>28.985720090244893</v>
      </c>
      <c r="AL35" s="411">
        <f>'Crops; pasture AMORTIZED'!EJ45</f>
        <v>0.62463532311007841</v>
      </c>
      <c r="AM35" s="320"/>
      <c r="AN35" s="320"/>
      <c r="AO35" s="320"/>
      <c r="AP35" s="324">
        <f>'Crops; pasture AMORTIZED'!FR45</f>
        <v>0.54817233411007338</v>
      </c>
      <c r="AQ35" s="324">
        <f>'Crops; pasture AMORTIZED'!FS45</f>
        <v>0.60973755974470456</v>
      </c>
      <c r="AR35" s="325">
        <f>'Crops; pasture AMORTIZED'!FT45</f>
        <v>39.344791920389547</v>
      </c>
      <c r="AS35" s="323">
        <f>'Crops; pasture AMORTIZED'!FU45</f>
        <v>2.4926016068088384</v>
      </c>
      <c r="AT35" s="323">
        <f t="shared" ref="AT35" si="116">B35+AL35+AP35</f>
        <v>13.089065206207833</v>
      </c>
      <c r="AU35" s="323">
        <f t="shared" ref="AU35" si="117">C35+AM35+AQ35</f>
        <v>13.847409439640931</v>
      </c>
      <c r="AV35" s="325">
        <f t="shared" ref="AV35" si="118">D35+AN35+AR35</f>
        <v>893.53761193131436</v>
      </c>
      <c r="AW35" s="323">
        <f t="shared" ref="AW35" si="119">E35+AO35+AS35</f>
        <v>56.732143203459678</v>
      </c>
      <c r="AX35" s="323">
        <f t="shared" ref="AX35" si="120">F35+AL35+AP35</f>
        <v>11.244398311542602</v>
      </c>
      <c r="AY35" s="323">
        <f t="shared" ref="AY35" si="121">G35+AM35+AQ35</f>
        <v>11.776206270471565</v>
      </c>
      <c r="AZ35" s="325">
        <f t="shared" ref="AZ35" si="122">H35+AN35+AR35</f>
        <v>759.8882140658784</v>
      </c>
      <c r="BA35" s="323">
        <f t="shared" ref="BA35" si="123">I35+AO35+AS35</f>
        <v>48.245672812855197</v>
      </c>
    </row>
    <row r="36" spans="1:78" x14ac:dyDescent="0.25">
      <c r="A36" s="243" t="s">
        <v>82</v>
      </c>
      <c r="B36" s="220">
        <f t="shared" si="106"/>
        <v>14.663963283800634</v>
      </c>
      <c r="C36" s="220">
        <f t="shared" ref="C36:C40" si="124">(G36+K36)/2</f>
        <v>16.293292537556258</v>
      </c>
      <c r="D36" s="296">
        <f t="shared" ref="D36:D40" si="125">(H36+L36)/2</f>
        <v>1051.1801637133071</v>
      </c>
      <c r="E36" s="299">
        <f t="shared" ref="E36:E40" si="126">(I36+M36)/2</f>
        <v>67.888718906484428</v>
      </c>
      <c r="F36" s="220">
        <f>44/12*'Crops; pasture AMORTIZED'!CY46</f>
        <v>13.964704743084214</v>
      </c>
      <c r="G36" s="220">
        <f>44/12*'Crops; pasture AMORTIZED'!CZ46</f>
        <v>15.516338603426904</v>
      </c>
      <c r="H36" s="221">
        <f>44/12*'Crops; pasture AMORTIZED'!DA46</f>
        <v>1001.0541034468971</v>
      </c>
      <c r="I36" s="221">
        <f>44/12*'Crops; pasture AMORTIZED'!DB46</f>
        <v>64.651410847612112</v>
      </c>
      <c r="J36" s="220">
        <f>44/12*'Crops; pasture AMORTIZED'!DK46</f>
        <v>15.363221824517053</v>
      </c>
      <c r="K36" s="220">
        <f>44/12*'Crops; pasture AMORTIZED'!DL46</f>
        <v>17.070246471685614</v>
      </c>
      <c r="L36" s="221">
        <f>44/12*'Crops; pasture AMORTIZED'!DM46</f>
        <v>1101.3062239797171</v>
      </c>
      <c r="M36" s="221">
        <f>44/12*'Crops; pasture AMORTIZED'!DN46</f>
        <v>71.126026965356729</v>
      </c>
      <c r="N36" s="220">
        <f t="shared" ref="N36:N40" si="127">(R36+V36)/2</f>
        <v>16.21910507272861</v>
      </c>
      <c r="O36" s="220">
        <f t="shared" ref="O36:O40" si="128">(S36+W36)/2</f>
        <v>18.021227858587345</v>
      </c>
      <c r="P36" s="296">
        <f t="shared" ref="P36:P40" si="129">(T36+X36)/2</f>
        <v>1162.6598618443445</v>
      </c>
      <c r="Q36" s="301">
        <f t="shared" ref="Q36:Q40" si="130">(U36+Y36)/2</f>
        <v>75.088449410780584</v>
      </c>
      <c r="R36" s="220">
        <f>44/12*'Crops; pasture AMORTIZED'!DC46</f>
        <v>15.546796359362132</v>
      </c>
      <c r="S36" s="220">
        <f>44/12*'Crops; pasture AMORTIZED'!DD46</f>
        <v>17.274218177069034</v>
      </c>
      <c r="T36" s="221">
        <f>44/12*'Crops; pasture AMORTIZED'!DE46</f>
        <v>1114.4656888431632</v>
      </c>
      <c r="U36" s="296">
        <f>44/12*'Crops; pasture AMORTIZED'!DF46</f>
        <v>71.975909071120967</v>
      </c>
      <c r="V36" s="192">
        <f>44/12*'Crops; pasture AMORTIZED'!DO46</f>
        <v>16.891413786095089</v>
      </c>
      <c r="W36" s="192">
        <f>44/12*'Crops; pasture AMORTIZED'!DP46</f>
        <v>18.768237540105652</v>
      </c>
      <c r="X36" s="296">
        <f>44/12*'Crops; pasture AMORTIZED'!DQ46</f>
        <v>1210.854034845526</v>
      </c>
      <c r="Y36" s="296">
        <f>44/12*'Crops; pasture AMORTIZED'!DR46</f>
        <v>78.200989750440215</v>
      </c>
      <c r="Z36" s="220">
        <f t="shared" ref="Z36:Z40" si="131">(AD36+AH36)/2</f>
        <v>5.6060436371933378</v>
      </c>
      <c r="AA36" s="220">
        <f t="shared" ref="AA36:AA40" si="132">(AE36+AI36)/2</f>
        <v>6.2289373746592638</v>
      </c>
      <c r="AB36" s="296">
        <f t="shared" ref="AB36:AB40" si="133">(AF36+AJ36)/2</f>
        <v>401.8669273973718</v>
      </c>
      <c r="AC36" s="301">
        <f t="shared" ref="AC36:AC40" si="134">(AG36+AK36)/2</f>
        <v>25.953905727746928</v>
      </c>
      <c r="AD36" s="220">
        <f>44/12*'Crops; pasture AMORTIZED'!DG46</f>
        <v>4.7481450218676802</v>
      </c>
      <c r="AE36" s="220">
        <f>44/12*'Crops; pasture AMORTIZED'!DH46</f>
        <v>5.2757166909640887</v>
      </c>
      <c r="AF36" s="221">
        <f>44/12*'Crops; pasture AMORTIZED'!DI46</f>
        <v>340.36881877187665</v>
      </c>
      <c r="AG36" s="221">
        <f>44/12*'Crops; pasture AMORTIZED'!DJ46</f>
        <v>21.982152879017036</v>
      </c>
      <c r="AH36" s="220">
        <f>44/12*'Crops; pasture AMORTIZED'!DS46</f>
        <v>6.4639422525189945</v>
      </c>
      <c r="AI36" s="220">
        <f>44/12*'Crops; pasture AMORTIZED'!DT46</f>
        <v>7.182158058354438</v>
      </c>
      <c r="AJ36" s="221">
        <f>44/12*'Crops; pasture AMORTIZED'!DU46</f>
        <v>463.365036022867</v>
      </c>
      <c r="AK36" s="221">
        <f>44/12*'Crops; pasture AMORTIZED'!DV46</f>
        <v>29.92565857647682</v>
      </c>
      <c r="AL36" s="407">
        <f>'Crops; pasture AMORTIZED'!EJ46</f>
        <v>0.55551057379607116</v>
      </c>
      <c r="AM36" s="407">
        <f>'Crops; pasture AMORTIZED'!EK46</f>
        <v>0.61723397088452348</v>
      </c>
      <c r="AN36" s="296">
        <f>'Crops; pasture AMORTIZED'!EL46</f>
        <v>39.821546508678935</v>
      </c>
      <c r="AO36" s="301">
        <f>'Crops; pasture AMORTIZED'!EM46</f>
        <v>2.5718082120188481</v>
      </c>
      <c r="AP36" s="194">
        <f>'Crops; pasture AMORTIZED'!FR46</f>
        <v>0.62229013888000007</v>
      </c>
      <c r="AQ36" s="194">
        <f>'Crops; pasture AMORTIZED'!FS46</f>
        <v>0.69143348764444446</v>
      </c>
      <c r="AR36" s="193">
        <f>'Crops; pasture AMORTIZED'!FT46</f>
        <v>44.60861210609319</v>
      </c>
      <c r="AS36" s="247">
        <f>'Crops; pasture AMORTIZED'!FU46</f>
        <v>2.8809728651851851</v>
      </c>
      <c r="AT36" s="189">
        <f t="shared" ref="AT36:AT40" si="135">B36+AL36+AP36</f>
        <v>15.841763996476706</v>
      </c>
      <c r="AU36" s="189">
        <f t="shared" ref="AU36:AU40" si="136">C36+AM36+AQ36</f>
        <v>17.601959996085228</v>
      </c>
      <c r="AV36" s="188">
        <f t="shared" ref="AV36:AV40" si="137">D36+AN36+AR36</f>
        <v>1135.6103223280793</v>
      </c>
      <c r="AW36" s="189">
        <f t="shared" ref="AW36:AW40" si="138">E36+AO36+AS36</f>
        <v>73.341499983688465</v>
      </c>
      <c r="AX36" s="189">
        <f t="shared" ref="AX36:AX40" si="139">F36+AL36+AP36</f>
        <v>15.142505455760286</v>
      </c>
      <c r="AY36" s="189">
        <f t="shared" ref="AY36:AY40" si="140">G36+AM36+AQ36</f>
        <v>16.825006061955872</v>
      </c>
      <c r="AZ36" s="188">
        <f t="shared" ref="AZ36:AZ40" si="141">H36+AN36+AR36</f>
        <v>1085.4842620616694</v>
      </c>
      <c r="BA36" s="189">
        <f t="shared" ref="BA36:BA40" si="142">I36+AO36+AS36</f>
        <v>70.104191924816149</v>
      </c>
      <c r="BB36" s="250"/>
      <c r="BC36" s="250"/>
      <c r="BD36" s="250"/>
      <c r="BE36" s="250"/>
      <c r="BF36" s="250"/>
      <c r="BG36" s="250"/>
      <c r="BH36" s="250"/>
      <c r="BI36" s="250"/>
      <c r="BJ36" s="250"/>
      <c r="BK36" s="250"/>
      <c r="BL36" s="250"/>
      <c r="BM36" s="250"/>
      <c r="BN36" s="250"/>
      <c r="BO36" s="250"/>
      <c r="BP36" s="250"/>
      <c r="BQ36" s="250"/>
      <c r="BR36" s="250"/>
      <c r="BS36" s="250"/>
      <c r="BT36" s="250"/>
      <c r="BU36" s="250"/>
      <c r="BV36" s="250"/>
      <c r="BW36" s="250"/>
      <c r="BX36" s="250"/>
      <c r="BY36" s="250"/>
      <c r="BZ36" s="250"/>
    </row>
    <row r="37" spans="1:78" x14ac:dyDescent="0.25">
      <c r="A37" s="243" t="s">
        <v>325</v>
      </c>
      <c r="B37" s="220">
        <f t="shared" si="106"/>
        <v>6.4680903479976335</v>
      </c>
      <c r="C37" s="220">
        <f t="shared" si="124"/>
        <v>7.1077915912061904</v>
      </c>
      <c r="D37" s="296">
        <f t="shared" si="125"/>
        <v>452.72557905771919</v>
      </c>
      <c r="E37" s="299">
        <f t="shared" si="126"/>
        <v>30.903441700896479</v>
      </c>
      <c r="F37" s="220">
        <f>44/12*'Crops; pasture AMORTIZED'!CY47</f>
        <v>3.801868050079793</v>
      </c>
      <c r="G37" s="220">
        <f>44/12*'Crops; pasture AMORTIZED'!CZ47</f>
        <v>4.177876978109663</v>
      </c>
      <c r="H37" s="221">
        <f>44/12*'Crops; pasture AMORTIZED'!DA47</f>
        <v>266.1068138923352</v>
      </c>
      <c r="I37" s="221">
        <f>44/12*'Crops; pasture AMORTIZED'!DB47</f>
        <v>18.164682513520273</v>
      </c>
      <c r="J37" s="220">
        <f>44/12*'Crops; pasture AMORTIZED'!DK47</f>
        <v>9.1343126459154735</v>
      </c>
      <c r="K37" s="220">
        <f>44/12*'Crops; pasture AMORTIZED'!DL47</f>
        <v>10.037706204302719</v>
      </c>
      <c r="L37" s="221">
        <f>44/12*'Crops; pasture AMORTIZED'!DM47</f>
        <v>639.34434422310312</v>
      </c>
      <c r="M37" s="221">
        <f>44/12*'Crops; pasture AMORTIZED'!DN47</f>
        <v>43.642200888272683</v>
      </c>
      <c r="N37" s="220">
        <f t="shared" si="127"/>
        <v>7.139594952632776</v>
      </c>
      <c r="O37" s="220">
        <f t="shared" si="128"/>
        <v>7.8457087391568967</v>
      </c>
      <c r="P37" s="296">
        <f t="shared" si="129"/>
        <v>499.72667128387877</v>
      </c>
      <c r="Q37" s="301">
        <f t="shared" si="130"/>
        <v>34.111777126769113</v>
      </c>
      <c r="R37" s="220">
        <f>44/12*'Crops; pasture AMORTIZED'!DC47</f>
        <v>4.2546383850290272</v>
      </c>
      <c r="S37" s="220">
        <f>44/12*'Crops; pasture AMORTIZED'!DD47</f>
        <v>4.675426796735195</v>
      </c>
      <c r="T37" s="221">
        <f>44/12*'Crops; pasture AMORTIZED'!DE47</f>
        <v>297.79788514236913</v>
      </c>
      <c r="U37" s="296">
        <f>44/12*'Crops; pasture AMORTIZED'!DF47</f>
        <v>20.327942594500847</v>
      </c>
      <c r="V37" s="192">
        <f>44/12*'Crops; pasture AMORTIZED'!DO47</f>
        <v>10.024551520236525</v>
      </c>
      <c r="W37" s="192">
        <f>44/12*'Crops; pasture AMORTIZED'!DP47</f>
        <v>11.015990681578598</v>
      </c>
      <c r="X37" s="296">
        <f>44/12*'Crops; pasture AMORTIZED'!DQ47</f>
        <v>701.65545742538848</v>
      </c>
      <c r="Y37" s="296">
        <f>44/12*'Crops; pasture AMORTIZED'!DR47</f>
        <v>47.895611659037385</v>
      </c>
      <c r="Z37" s="220">
        <f t="shared" si="131"/>
        <v>3.7320143134751689</v>
      </c>
      <c r="AA37" s="220">
        <f t="shared" si="132"/>
        <v>4.1011146301924928</v>
      </c>
      <c r="AB37" s="296">
        <f t="shared" si="133"/>
        <v>261.21749236894863</v>
      </c>
      <c r="AC37" s="301">
        <f t="shared" si="134"/>
        <v>17.830933174749969</v>
      </c>
      <c r="AD37" s="220">
        <f>44/12*'Crops; pasture AMORTIZED'!DG47</f>
        <v>1.9570347398593644</v>
      </c>
      <c r="AE37" s="220">
        <f>44/12*'Crops; pasture AMORTIZED'!DH47</f>
        <v>2.1505876262190817</v>
      </c>
      <c r="AF37" s="221">
        <f>44/12*'Crops; pasture AMORTIZED'!DI47</f>
        <v>136.98010358083323</v>
      </c>
      <c r="AG37" s="221">
        <f>44/12*'Crops; pasture AMORTIZED'!DJ47</f>
        <v>9.350380983561223</v>
      </c>
      <c r="AH37" s="220">
        <f>44/12*'Crops; pasture AMORTIZED'!DS47</f>
        <v>5.5069938870909736</v>
      </c>
      <c r="AI37" s="220">
        <f>44/12*'Crops; pasture AMORTIZED'!DT47</f>
        <v>6.0516416341659047</v>
      </c>
      <c r="AJ37" s="221">
        <f>44/12*'Crops; pasture AMORTIZED'!DU47</f>
        <v>385.45488115706399</v>
      </c>
      <c r="AK37" s="221">
        <f>44/12*'Crops; pasture AMORTIZED'!DV47</f>
        <v>26.311485365938715</v>
      </c>
      <c r="AL37" s="407">
        <f>'Crops; pasture AMORTIZED'!EJ47</f>
        <v>0</v>
      </c>
      <c r="AM37" s="407">
        <f>'Crops; pasture AMORTIZED'!EK47</f>
        <v>0</v>
      </c>
      <c r="AN37" s="296">
        <f>'Crops; pasture AMORTIZED'!EL47</f>
        <v>0</v>
      </c>
      <c r="AO37" s="301">
        <f>'Crops; pasture AMORTIZED'!EM47</f>
        <v>0</v>
      </c>
      <c r="AP37" s="194">
        <f>'Crops; pasture AMORTIZED'!FR47</f>
        <v>0.47700412367999995</v>
      </c>
      <c r="AQ37" s="194">
        <f>'Crops; pasture AMORTIZED'!FS47</f>
        <v>0.52418035569230759</v>
      </c>
      <c r="AR37" s="193">
        <f>'Crops; pasture AMORTIZED'!FT47</f>
        <v>33.387283802057809</v>
      </c>
      <c r="AS37" s="247">
        <f>'Crops; pasture AMORTIZED'!FU47</f>
        <v>2.2790450247491632</v>
      </c>
      <c r="AT37" s="189">
        <f t="shared" si="135"/>
        <v>6.9450944716776331</v>
      </c>
      <c r="AU37" s="189">
        <f t="shared" si="136"/>
        <v>7.6319719468984983</v>
      </c>
      <c r="AV37" s="188">
        <f t="shared" si="137"/>
        <v>486.11286285977701</v>
      </c>
      <c r="AW37" s="189">
        <f t="shared" si="138"/>
        <v>33.182486725645646</v>
      </c>
      <c r="AX37" s="189">
        <f t="shared" si="139"/>
        <v>4.278872173759793</v>
      </c>
      <c r="AY37" s="189">
        <f t="shared" si="140"/>
        <v>4.7020573338019709</v>
      </c>
      <c r="AZ37" s="188">
        <f t="shared" si="141"/>
        <v>299.49409769439302</v>
      </c>
      <c r="BA37" s="189">
        <f t="shared" si="142"/>
        <v>20.443727538269435</v>
      </c>
      <c r="BB37" s="250"/>
      <c r="BC37" s="250"/>
      <c r="BD37" s="250"/>
      <c r="BE37" s="250"/>
      <c r="BF37" s="250"/>
      <c r="BG37" s="250"/>
      <c r="BH37" s="250"/>
      <c r="BI37" s="250"/>
      <c r="BJ37" s="250"/>
      <c r="BK37" s="250"/>
      <c r="BL37" s="250"/>
      <c r="BM37" s="250"/>
      <c r="BN37" s="250"/>
      <c r="BO37" s="250"/>
      <c r="BP37" s="250"/>
      <c r="BQ37" s="250"/>
      <c r="BR37" s="250"/>
      <c r="BS37" s="250"/>
      <c r="BT37" s="250"/>
      <c r="BU37" s="250"/>
      <c r="BV37" s="250"/>
      <c r="BW37" s="250"/>
      <c r="BX37" s="250"/>
      <c r="BY37" s="250"/>
      <c r="BZ37" s="250"/>
    </row>
    <row r="38" spans="1:78" x14ac:dyDescent="0.25">
      <c r="A38" s="243" t="s">
        <v>324</v>
      </c>
      <c r="B38" s="220">
        <f t="shared" si="106"/>
        <v>14.420352555275091</v>
      </c>
      <c r="C38" s="220">
        <f t="shared" si="124"/>
        <v>16.38676426735806</v>
      </c>
      <c r="D38" s="296">
        <f t="shared" si="125"/>
        <v>1057.2105978940683</v>
      </c>
      <c r="E38" s="299">
        <f t="shared" si="126"/>
        <v>60.691719508733549</v>
      </c>
      <c r="F38" s="220">
        <f>44/12*'Crops; pasture AMORTIZED'!CY48</f>
        <v>10.428263542768812</v>
      </c>
      <c r="G38" s="220">
        <f>44/12*'Crops; pasture AMORTIZED'!CZ48</f>
        <v>11.850299480419105</v>
      </c>
      <c r="H38" s="221">
        <f>44/12*'Crops; pasture AMORTIZED'!DA48</f>
        <v>764.53545034961974</v>
      </c>
      <c r="I38" s="221">
        <f>44/12*'Crops; pasture AMORTIZED'!DB48</f>
        <v>43.889998075626309</v>
      </c>
      <c r="J38" s="220">
        <f>44/12*'Crops; pasture AMORTIZED'!DK48</f>
        <v>18.412441567781372</v>
      </c>
      <c r="K38" s="220">
        <f>44/12*'Crops; pasture AMORTIZED'!DL48</f>
        <v>20.923229054297014</v>
      </c>
      <c r="L38" s="221">
        <f>44/12*'Crops; pasture AMORTIZED'!DM48</f>
        <v>1349.885745438517</v>
      </c>
      <c r="M38" s="221">
        <f>44/12*'Crops; pasture AMORTIZED'!DN48</f>
        <v>77.493440941840788</v>
      </c>
      <c r="N38" s="220">
        <f t="shared" si="127"/>
        <v>14.420352555275091</v>
      </c>
      <c r="O38" s="220">
        <f t="shared" si="128"/>
        <v>16.38676426735806</v>
      </c>
      <c r="P38" s="296">
        <f t="shared" si="129"/>
        <v>1057.2105978940683</v>
      </c>
      <c r="Q38" s="301">
        <f t="shared" si="130"/>
        <v>60.691719508733549</v>
      </c>
      <c r="R38" s="220">
        <f>44/12*'Crops; pasture AMORTIZED'!DC48</f>
        <v>10.428263542768812</v>
      </c>
      <c r="S38" s="220">
        <f>44/12*'Crops; pasture AMORTIZED'!DD48</f>
        <v>11.850299480419105</v>
      </c>
      <c r="T38" s="221">
        <f>44/12*'Crops; pasture AMORTIZED'!DE48</f>
        <v>764.53545034961974</v>
      </c>
      <c r="U38" s="296">
        <f>44/12*'Crops; pasture AMORTIZED'!DF48</f>
        <v>43.889998075626309</v>
      </c>
      <c r="V38" s="192">
        <f>44/12*'Crops; pasture AMORTIZED'!DO48</f>
        <v>18.412441567781372</v>
      </c>
      <c r="W38" s="192">
        <f>44/12*'Crops; pasture AMORTIZED'!DP48</f>
        <v>20.923229054297014</v>
      </c>
      <c r="X38" s="296">
        <f>44/12*'Crops; pasture AMORTIZED'!DQ48</f>
        <v>1349.885745438517</v>
      </c>
      <c r="Y38" s="296">
        <f>44/12*'Crops; pasture AMORTIZED'!DR48</f>
        <v>77.493440941840788</v>
      </c>
      <c r="Z38" s="220">
        <f t="shared" si="131"/>
        <v>5.1625950860458545</v>
      </c>
      <c r="AA38" s="220">
        <f t="shared" si="132"/>
        <v>5.8665853250521076</v>
      </c>
      <c r="AB38" s="296">
        <f t="shared" si="133"/>
        <v>378.4893758098134</v>
      </c>
      <c r="AC38" s="301">
        <f t="shared" si="134"/>
        <v>21.728093796489286</v>
      </c>
      <c r="AD38" s="220">
        <f>44/12*'Crops; pasture AMORTIZED'!DG48</f>
        <v>4.5825685362661908</v>
      </c>
      <c r="AE38" s="220">
        <f>44/12*'Crops; pasture AMORTIZED'!DH48</f>
        <v>5.2074642457570341</v>
      </c>
      <c r="AF38" s="221">
        <f>44/12*'Crops; pasture AMORTIZED'!DI48</f>
        <v>335.9654352101312</v>
      </c>
      <c r="AG38" s="221">
        <f>44/12*'Crops; pasture AMORTIZED'!DJ48</f>
        <v>19.286904613914942</v>
      </c>
      <c r="AH38" s="220">
        <f>44/12*'Crops; pasture AMORTIZED'!DS48</f>
        <v>5.7426216358255191</v>
      </c>
      <c r="AI38" s="220">
        <f>44/12*'Crops; pasture AMORTIZED'!DT48</f>
        <v>6.5257064043471811</v>
      </c>
      <c r="AJ38" s="221">
        <f>44/12*'Crops; pasture AMORTIZED'!DU48</f>
        <v>421.01331640949553</v>
      </c>
      <c r="AK38" s="221">
        <f>44/12*'Crops; pasture AMORTIZED'!DV48</f>
        <v>24.169282979063631</v>
      </c>
      <c r="AL38" s="407">
        <f>'Crops; pasture AMORTIZED'!EJ48</f>
        <v>2.4711564705882352</v>
      </c>
      <c r="AM38" s="407">
        <f>'Crops; pasture AMORTIZED'!EK48</f>
        <v>2.8081323529411764</v>
      </c>
      <c r="AN38" s="296">
        <f>'Crops; pasture AMORTIZED'!EL48</f>
        <v>181.1698292220114</v>
      </c>
      <c r="AO38" s="301">
        <f>'Crops; pasture AMORTIZED'!EM48</f>
        <v>10.40049019607843</v>
      </c>
      <c r="AP38" s="194">
        <f>'Crops; pasture AMORTIZED'!FR48</f>
        <v>0.47700412368</v>
      </c>
      <c r="AQ38" s="194">
        <f>'Crops; pasture AMORTIZED'!FS48</f>
        <v>0.54205014054545453</v>
      </c>
      <c r="AR38" s="193">
        <f>'Crops; pasture AMORTIZED'!FT48</f>
        <v>34.970976809384162</v>
      </c>
      <c r="AS38" s="247">
        <f>'Crops; pasture AMORTIZED'!FU48</f>
        <v>2.0075931131313127</v>
      </c>
      <c r="AT38" s="189">
        <f t="shared" si="135"/>
        <v>17.368513149543325</v>
      </c>
      <c r="AU38" s="189">
        <f t="shared" si="136"/>
        <v>19.736946760844692</v>
      </c>
      <c r="AV38" s="188">
        <f t="shared" si="137"/>
        <v>1273.351403925464</v>
      </c>
      <c r="AW38" s="189">
        <f t="shared" si="138"/>
        <v>73.099802817943285</v>
      </c>
      <c r="AX38" s="189">
        <f t="shared" si="139"/>
        <v>13.376424137037048</v>
      </c>
      <c r="AY38" s="189">
        <f t="shared" si="140"/>
        <v>15.200481973905736</v>
      </c>
      <c r="AZ38" s="188">
        <f t="shared" si="141"/>
        <v>980.67625638101526</v>
      </c>
      <c r="BA38" s="189">
        <f t="shared" si="142"/>
        <v>56.298081384836053</v>
      </c>
      <c r="BB38" s="250"/>
      <c r="BC38" s="250"/>
      <c r="BD38" s="250"/>
      <c r="BE38" s="250"/>
      <c r="BF38" s="250"/>
      <c r="BG38" s="250"/>
      <c r="BH38" s="250"/>
      <c r="BI38" s="250"/>
      <c r="BJ38" s="250"/>
      <c r="BK38" s="250"/>
      <c r="BL38" s="250"/>
      <c r="BM38" s="250"/>
      <c r="BN38" s="250"/>
      <c r="BO38" s="250"/>
      <c r="BP38" s="250"/>
      <c r="BQ38" s="250"/>
      <c r="BR38" s="250"/>
      <c r="BS38" s="250"/>
      <c r="BT38" s="250"/>
      <c r="BU38" s="250"/>
      <c r="BV38" s="250"/>
      <c r="BW38" s="250"/>
      <c r="BX38" s="250"/>
      <c r="BY38" s="250"/>
      <c r="BZ38" s="250"/>
    </row>
    <row r="39" spans="1:78" x14ac:dyDescent="0.25">
      <c r="A39" s="243" t="s">
        <v>313</v>
      </c>
      <c r="B39" s="220">
        <f t="shared" si="106"/>
        <v>10.906470036250298</v>
      </c>
      <c r="C39" s="220">
        <f t="shared" si="124"/>
        <v>12.254460714887973</v>
      </c>
      <c r="D39" s="296">
        <f t="shared" si="125"/>
        <v>790.61036870244993</v>
      </c>
      <c r="E39" s="299">
        <f t="shared" si="126"/>
        <v>51.060252978699893</v>
      </c>
      <c r="F39" s="220">
        <f>44/12*'Crops; pasture AMORTIZED'!CY49</f>
        <v>7.4751659417772327</v>
      </c>
      <c r="G39" s="220">
        <f>44/12*'Crops; pasture AMORTIZED'!CZ49</f>
        <v>8.3990628559294755</v>
      </c>
      <c r="H39" s="221">
        <f>44/12*'Crops; pasture AMORTIZED'!DA49</f>
        <v>541.8750229631919</v>
      </c>
      <c r="I39" s="221">
        <f>44/12*'Crops; pasture AMORTIZED'!DB49</f>
        <v>34.996095233039483</v>
      </c>
      <c r="J39" s="220">
        <f>44/12*'Crops; pasture AMORTIZED'!DK49</f>
        <v>14.337774130723361</v>
      </c>
      <c r="K39" s="220">
        <f>44/12*'Crops; pasture AMORTIZED'!DL49</f>
        <v>16.10985857384647</v>
      </c>
      <c r="L39" s="221">
        <f>44/12*'Crops; pasture AMORTIZED'!DM49</f>
        <v>1039.345714441708</v>
      </c>
      <c r="M39" s="221">
        <f>44/12*'Crops; pasture AMORTIZED'!DN49</f>
        <v>67.124410724360303</v>
      </c>
      <c r="N39" s="220">
        <f t="shared" si="127"/>
        <v>11.591176689984152</v>
      </c>
      <c r="O39" s="220">
        <f t="shared" si="128"/>
        <v>13.023794033690059</v>
      </c>
      <c r="P39" s="296">
        <f t="shared" si="129"/>
        <v>840.2447763671006</v>
      </c>
      <c r="Q39" s="301">
        <f t="shared" si="130"/>
        <v>54.265808473708574</v>
      </c>
      <c r="R39" s="220">
        <f>44/12*'Crops; pasture AMORTIZED'!DC49</f>
        <v>8.0045299254458193</v>
      </c>
      <c r="S39" s="220">
        <f>44/12*'Crops; pasture AMORTIZED'!DD49</f>
        <v>8.9938538488155277</v>
      </c>
      <c r="T39" s="221">
        <f>44/12*'Crops; pasture AMORTIZED'!DE49</f>
        <v>580.24863540745332</v>
      </c>
      <c r="U39" s="296">
        <f>44/12*'Crops; pasture AMORTIZED'!DF49</f>
        <v>37.474391036731369</v>
      </c>
      <c r="V39" s="192">
        <f>44/12*'Crops; pasture AMORTIZED'!DO49</f>
        <v>15.177823454522487</v>
      </c>
      <c r="W39" s="192">
        <f>44/12*'Crops; pasture AMORTIZED'!DP49</f>
        <v>17.053734218564589</v>
      </c>
      <c r="X39" s="296">
        <f>44/12*'Crops; pasture AMORTIZED'!DQ49</f>
        <v>1100.2409173267479</v>
      </c>
      <c r="Y39" s="296">
        <f>44/12*'Crops; pasture AMORTIZED'!DR49</f>
        <v>71.057225910685787</v>
      </c>
      <c r="Z39" s="220">
        <f t="shared" si="131"/>
        <v>6.1926057579918039</v>
      </c>
      <c r="AA39" s="220">
        <f t="shared" si="132"/>
        <v>6.9579839977436002</v>
      </c>
      <c r="AB39" s="296">
        <f t="shared" si="133"/>
        <v>448.90219340281288</v>
      </c>
      <c r="AC39" s="301">
        <f t="shared" si="134"/>
        <v>28.991599990598331</v>
      </c>
      <c r="AD39" s="220">
        <f>44/12*'Crops; pasture AMORTIZED'!DG49</f>
        <v>3.8307585752002251</v>
      </c>
      <c r="AE39" s="220">
        <f>44/12*'Crops; pasture AMORTIZED'!DH49</f>
        <v>4.3042231182024997</v>
      </c>
      <c r="AF39" s="221">
        <f>44/12*'Crops; pasture AMORTIZED'!DI49</f>
        <v>277.6918140775806</v>
      </c>
      <c r="AG39" s="221">
        <f>44/12*'Crops; pasture AMORTIZED'!DJ49</f>
        <v>17.934262992510416</v>
      </c>
      <c r="AH39" s="220">
        <f>44/12*'Crops; pasture AMORTIZED'!DS49</f>
        <v>8.5544529407833831</v>
      </c>
      <c r="AI39" s="220">
        <f>44/12*'Crops; pasture AMORTIZED'!DT49</f>
        <v>9.6117448772846998</v>
      </c>
      <c r="AJ39" s="221">
        <f>44/12*'Crops; pasture AMORTIZED'!DU49</f>
        <v>620.11257272804517</v>
      </c>
      <c r="AK39" s="221">
        <f>44/12*'Crops; pasture AMORTIZED'!DV49</f>
        <v>40.048936988686251</v>
      </c>
      <c r="AL39" s="407">
        <f>'Crops; pasture AMORTIZED'!EJ49</f>
        <v>0</v>
      </c>
      <c r="AM39" s="407">
        <f>'Crops; pasture AMORTIZED'!EK49</f>
        <v>0</v>
      </c>
      <c r="AN39" s="296">
        <f>'Crops; pasture AMORTIZED'!EL49</f>
        <v>0</v>
      </c>
      <c r="AO39" s="301">
        <f>'Crops; pasture AMORTIZED'!EM49</f>
        <v>0</v>
      </c>
      <c r="AP39" s="194">
        <f>'Crops; pasture AMORTIZED'!FR49</f>
        <v>0.47700412367999995</v>
      </c>
      <c r="AQ39" s="194">
        <f>'Crops; pasture AMORTIZED'!FS49</f>
        <v>0.53595968952808981</v>
      </c>
      <c r="AR39" s="193">
        <f>'Crops; pasture AMORTIZED'!FT49</f>
        <v>34.578044485683215</v>
      </c>
      <c r="AS39" s="247">
        <f>'Crops; pasture AMORTIZED'!FU49</f>
        <v>2.2331653730337075</v>
      </c>
      <c r="AT39" s="189">
        <f t="shared" si="135"/>
        <v>11.383474159930298</v>
      </c>
      <c r="AU39" s="189">
        <f t="shared" si="136"/>
        <v>12.790420404416063</v>
      </c>
      <c r="AV39" s="188">
        <f t="shared" si="137"/>
        <v>825.18841318813315</v>
      </c>
      <c r="AW39" s="189">
        <f t="shared" si="138"/>
        <v>53.2934183517336</v>
      </c>
      <c r="AX39" s="189">
        <f t="shared" si="139"/>
        <v>7.9521700654572323</v>
      </c>
      <c r="AY39" s="189">
        <f t="shared" si="140"/>
        <v>8.9350225454575654</v>
      </c>
      <c r="AZ39" s="188">
        <f t="shared" si="141"/>
        <v>576.45306744887512</v>
      </c>
      <c r="BA39" s="189">
        <f t="shared" si="142"/>
        <v>37.22926060607319</v>
      </c>
      <c r="BB39" s="250"/>
      <c r="BC39" s="250"/>
      <c r="BD39" s="250"/>
      <c r="BE39" s="250"/>
      <c r="BF39" s="250"/>
      <c r="BG39" s="250"/>
      <c r="BH39" s="250"/>
      <c r="BI39" s="250"/>
      <c r="BJ39" s="250"/>
      <c r="BK39" s="250"/>
      <c r="BL39" s="250"/>
      <c r="BM39" s="250"/>
      <c r="BN39" s="250"/>
      <c r="BO39" s="250"/>
      <c r="BP39" s="250"/>
      <c r="BQ39" s="250"/>
      <c r="BR39" s="250"/>
      <c r="BS39" s="250"/>
      <c r="BT39" s="250"/>
      <c r="BU39" s="250"/>
      <c r="BV39" s="250"/>
      <c r="BW39" s="250"/>
      <c r="BX39" s="250"/>
      <c r="BY39" s="250"/>
      <c r="BZ39" s="250"/>
    </row>
    <row r="40" spans="1:78" x14ac:dyDescent="0.25">
      <c r="A40" s="243" t="s">
        <v>314</v>
      </c>
      <c r="B40" s="220">
        <f t="shared" si="106"/>
        <v>7.4563649306535833</v>
      </c>
      <c r="C40" s="220">
        <f t="shared" si="124"/>
        <v>8.2848499229484265</v>
      </c>
      <c r="D40" s="296">
        <f t="shared" si="125"/>
        <v>552.32332819656176</v>
      </c>
      <c r="E40" s="299">
        <f t="shared" si="126"/>
        <v>30.684629344253427</v>
      </c>
      <c r="F40" s="220">
        <f>44/12*'Crops; pasture AMORTIZED'!CY50</f>
        <v>5.5093151275795673</v>
      </c>
      <c r="G40" s="220">
        <f>44/12*'Crops; pasture AMORTIZED'!CZ50</f>
        <v>6.1214612528661858</v>
      </c>
      <c r="H40" s="221">
        <f>44/12*'Crops; pasture AMORTIZED'!DA50</f>
        <v>408.09741685774577</v>
      </c>
      <c r="I40" s="221">
        <f>44/12*'Crops; pasture AMORTIZED'!DB50</f>
        <v>22.672078714319206</v>
      </c>
      <c r="J40" s="220">
        <f>44/12*'Crops; pasture AMORTIZED'!DK50</f>
        <v>9.4034147337275993</v>
      </c>
      <c r="K40" s="220">
        <f>44/12*'Crops; pasture AMORTIZED'!DL50</f>
        <v>10.448238593030666</v>
      </c>
      <c r="L40" s="221">
        <f>44/12*'Crops; pasture AMORTIZED'!DM50</f>
        <v>696.54923953537764</v>
      </c>
      <c r="M40" s="221">
        <f>44/12*'Crops; pasture AMORTIZED'!DN50</f>
        <v>38.697179974187648</v>
      </c>
      <c r="N40" s="220">
        <f t="shared" si="127"/>
        <v>8.2213971520893292</v>
      </c>
      <c r="O40" s="220">
        <f t="shared" si="128"/>
        <v>9.1348857245436985</v>
      </c>
      <c r="P40" s="296">
        <f t="shared" si="129"/>
        <v>608.99238163624659</v>
      </c>
      <c r="Q40" s="301">
        <f t="shared" si="130"/>
        <v>33.832910090902587</v>
      </c>
      <c r="R40" s="220">
        <f>44/12*'Crops; pasture AMORTIZED'!DC50</f>
        <v>6.2451343589458963</v>
      </c>
      <c r="S40" s="220">
        <f>44/12*'Crops; pasture AMORTIZED'!DD50</f>
        <v>6.9390381766065516</v>
      </c>
      <c r="T40" s="221">
        <f>44/12*'Crops; pasture AMORTIZED'!DE50</f>
        <v>462.60254510710348</v>
      </c>
      <c r="U40" s="296">
        <f>44/12*'Crops; pasture AMORTIZED'!DF50</f>
        <v>25.700141394839079</v>
      </c>
      <c r="V40" s="192">
        <f>44/12*'Crops; pasture AMORTIZED'!DO50</f>
        <v>10.197659945232761</v>
      </c>
      <c r="W40" s="192">
        <f>44/12*'Crops; pasture AMORTIZED'!DP50</f>
        <v>11.330733272480845</v>
      </c>
      <c r="X40" s="296">
        <f>44/12*'Crops; pasture AMORTIZED'!DQ50</f>
        <v>755.38221816538965</v>
      </c>
      <c r="Y40" s="296">
        <f>44/12*'Crops; pasture AMORTIZED'!DR50</f>
        <v>41.965678786966087</v>
      </c>
      <c r="Z40" s="220">
        <f t="shared" si="131"/>
        <v>4.2092252257993845</v>
      </c>
      <c r="AA40" s="220">
        <f t="shared" si="132"/>
        <v>4.6769169175548715</v>
      </c>
      <c r="AB40" s="296">
        <f t="shared" si="133"/>
        <v>311.79446117032478</v>
      </c>
      <c r="AC40" s="301">
        <f t="shared" si="134"/>
        <v>17.321914509462488</v>
      </c>
      <c r="AD40" s="220">
        <f>44/12*'Crops; pasture AMORTIZED'!DG50</f>
        <v>2.3791696173664789</v>
      </c>
      <c r="AE40" s="220">
        <f>44/12*'Crops; pasture AMORTIZED'!DH50</f>
        <v>2.6435217970738654</v>
      </c>
      <c r="AF40" s="221">
        <f>44/12*'Crops; pasture AMORTIZED'!DI50</f>
        <v>176.23478647159104</v>
      </c>
      <c r="AG40" s="221">
        <f>44/12*'Crops; pasture AMORTIZED'!DJ50</f>
        <v>9.7908214706439463</v>
      </c>
      <c r="AH40" s="220">
        <f>44/12*'Crops; pasture AMORTIZED'!DS50</f>
        <v>6.0392808342322892</v>
      </c>
      <c r="AI40" s="220">
        <f>44/12*'Crops; pasture AMORTIZED'!DT50</f>
        <v>6.7103120380358776</v>
      </c>
      <c r="AJ40" s="221">
        <f>44/12*'Crops; pasture AMORTIZED'!DU50</f>
        <v>447.35413586905855</v>
      </c>
      <c r="AK40" s="221">
        <f>44/12*'Crops; pasture AMORTIZED'!DV50</f>
        <v>24.853007548281028</v>
      </c>
      <c r="AL40" s="407">
        <f>'Crops; pasture AMORTIZED'!EJ50</f>
        <v>0.66933200277816374</v>
      </c>
      <c r="AM40" s="407">
        <f>'Crops; pasture AMORTIZED'!EK50</f>
        <v>0.74370222530907082</v>
      </c>
      <c r="AN40" s="296">
        <f>'Crops; pasture AMORTIZED'!EL50</f>
        <v>49.580148353938057</v>
      </c>
      <c r="AO40" s="301">
        <f>'Crops; pasture AMORTIZED'!EM50</f>
        <v>2.7544526863298917</v>
      </c>
      <c r="AP40" s="194">
        <f>'Crops; pasture AMORTIZED'!FR50</f>
        <v>0.47700412368</v>
      </c>
      <c r="AQ40" s="194">
        <f>'Crops; pasture AMORTIZED'!FS50</f>
        <v>0.53000458186666666</v>
      </c>
      <c r="AR40" s="193">
        <f>'Crops; pasture AMORTIZED'!FT50</f>
        <v>35.333638791111106</v>
      </c>
      <c r="AS40" s="247">
        <f>'Crops; pasture AMORTIZED'!FU50</f>
        <v>1.9629799328395061</v>
      </c>
      <c r="AT40" s="189">
        <f t="shared" si="135"/>
        <v>8.6027010571117479</v>
      </c>
      <c r="AU40" s="189">
        <f t="shared" si="136"/>
        <v>9.5585567301241632</v>
      </c>
      <c r="AV40" s="188">
        <f t="shared" si="137"/>
        <v>637.23711534161089</v>
      </c>
      <c r="AW40" s="189">
        <f t="shared" si="138"/>
        <v>35.402061963422831</v>
      </c>
      <c r="AX40" s="189">
        <f t="shared" si="139"/>
        <v>6.6556512540377319</v>
      </c>
      <c r="AY40" s="189">
        <f t="shared" si="140"/>
        <v>7.3951680600419234</v>
      </c>
      <c r="AZ40" s="188">
        <f t="shared" si="141"/>
        <v>493.01120400279495</v>
      </c>
      <c r="BA40" s="189">
        <f t="shared" si="142"/>
        <v>27.389511333488603</v>
      </c>
      <c r="BB40" s="250"/>
      <c r="BC40" s="250"/>
      <c r="BD40" s="250"/>
      <c r="BE40" s="250"/>
      <c r="BF40" s="250"/>
      <c r="BG40" s="250"/>
      <c r="BH40" s="250"/>
      <c r="BI40" s="250"/>
      <c r="BJ40" s="250"/>
      <c r="BK40" s="250"/>
      <c r="BL40" s="250"/>
      <c r="BM40" s="250"/>
      <c r="BN40" s="250"/>
      <c r="BO40" s="250"/>
      <c r="BP40" s="250"/>
      <c r="BQ40" s="250"/>
      <c r="BR40" s="250"/>
      <c r="BS40" s="250"/>
      <c r="BT40" s="250"/>
      <c r="BU40" s="250"/>
      <c r="BV40" s="250"/>
      <c r="BW40" s="250"/>
      <c r="BX40" s="250"/>
      <c r="BY40" s="250"/>
      <c r="BZ40" s="250"/>
    </row>
    <row r="41" spans="1:78" x14ac:dyDescent="0.25">
      <c r="A41" s="243"/>
      <c r="R41" s="222"/>
      <c r="S41" s="222"/>
      <c r="T41" s="223"/>
      <c r="U41" s="223"/>
      <c r="BB41" s="250"/>
      <c r="BC41" s="250"/>
      <c r="BD41" s="250"/>
      <c r="BE41" s="250"/>
      <c r="BF41" s="250"/>
      <c r="BG41" s="250"/>
      <c r="BH41" s="250"/>
      <c r="BI41" s="250"/>
      <c r="BJ41" s="250"/>
      <c r="BK41" s="250"/>
      <c r="BL41" s="250"/>
      <c r="BM41" s="250"/>
      <c r="BN41" s="250"/>
      <c r="BO41" s="250"/>
      <c r="BP41" s="250"/>
      <c r="BQ41" s="250"/>
      <c r="BR41" s="250"/>
      <c r="BS41" s="250"/>
      <c r="BT41" s="250"/>
      <c r="BU41" s="250"/>
      <c r="BV41" s="250"/>
      <c r="BW41" s="250"/>
      <c r="BX41" s="250"/>
      <c r="BY41" s="250"/>
      <c r="BZ41" s="250"/>
    </row>
    <row r="42" spans="1:78" ht="13.8" x14ac:dyDescent="0.3">
      <c r="A42" s="237" t="s">
        <v>81</v>
      </c>
      <c r="B42" s="319"/>
      <c r="C42" s="319">
        <f t="shared" ref="C42" si="143">(G42+K42)/2</f>
        <v>5.3632264249466886</v>
      </c>
      <c r="D42" s="320">
        <f t="shared" ref="D42" si="144">(H42+L42)/2</f>
        <v>536.32264249466903</v>
      </c>
      <c r="E42" s="319"/>
      <c r="F42" s="319"/>
      <c r="G42" s="319">
        <f>44/12*'Crops; pasture AMORTIZED'!CZ52</f>
        <v>5.5928085746818592</v>
      </c>
      <c r="H42" s="321">
        <f>44/12*'Crops; pasture AMORTIZED'!DA52</f>
        <v>559.28085746818601</v>
      </c>
      <c r="I42" s="321"/>
      <c r="J42" s="319"/>
      <c r="K42" s="319">
        <f>44/12*'Crops; pasture AMORTIZED'!DL52</f>
        <v>5.1336442752115188</v>
      </c>
      <c r="L42" s="321">
        <f>44/12*'Crops; pasture AMORTIZED'!DM52</f>
        <v>513.36442752115192</v>
      </c>
      <c r="M42" s="321"/>
      <c r="N42" s="319"/>
      <c r="O42" s="319">
        <f t="shared" ref="O42" si="145">(S42+W42)/2</f>
        <v>6.0152650028120505</v>
      </c>
      <c r="P42" s="329">
        <f t="shared" ref="P42" si="146">(T42+X42)/2</f>
        <v>601.52650028120502</v>
      </c>
      <c r="Q42" s="319"/>
      <c r="R42" s="319"/>
      <c r="S42" s="319">
        <f>44/12*'Crops; pasture AMORTIZED'!DD52</f>
        <v>6.358714951829449</v>
      </c>
      <c r="T42" s="320">
        <f>44/12*'Crops; pasture AMORTIZED'!DE52</f>
        <v>635.87149518294484</v>
      </c>
      <c r="U42" s="320"/>
      <c r="V42" s="322"/>
      <c r="W42" s="322">
        <f>44/12*'Crops; pasture AMORTIZED'!DP52</f>
        <v>5.6718150537946528</v>
      </c>
      <c r="X42" s="320">
        <f>44/12*'Crops; pasture AMORTIZED'!DQ52</f>
        <v>567.18150537946519</v>
      </c>
      <c r="Y42" s="321"/>
      <c r="Z42" s="319"/>
      <c r="AA42" s="319">
        <f t="shared" ref="AA42" si="147">(AE42+AI42)/2</f>
        <v>2.121535435538886</v>
      </c>
      <c r="AB42" s="329">
        <f t="shared" ref="AB42" si="148">(AF42+AJ42)/2</f>
        <v>212.1535435538886</v>
      </c>
      <c r="AC42" s="319"/>
      <c r="AD42" s="319"/>
      <c r="AE42" s="319">
        <f>44/12*'Crops; pasture AMORTIZED'!DH52</f>
        <v>1.7864359665772331</v>
      </c>
      <c r="AF42" s="321">
        <f>44/12*'Crops; pasture AMORTIZED'!DI52</f>
        <v>178.64359665772332</v>
      </c>
      <c r="AG42" s="321"/>
      <c r="AH42" s="319"/>
      <c r="AI42" s="319">
        <f>44/12*'Crops; pasture AMORTIZED'!DT52</f>
        <v>2.4566349045005387</v>
      </c>
      <c r="AJ42" s="321">
        <f>44/12*'Crops; pasture AMORTIZED'!DU52</f>
        <v>245.66349045005387</v>
      </c>
      <c r="AK42" s="321"/>
      <c r="AL42" s="411">
        <f>'Crops; pasture AMORTIZED'!EJ52</f>
        <v>6.8684797930187683E-2</v>
      </c>
      <c r="AM42" s="320"/>
      <c r="AN42" s="320"/>
      <c r="AO42" s="320"/>
      <c r="AP42" s="324">
        <f>'Crops; pasture AMORTIZED'!FR52</f>
        <v>0.1232951944650684</v>
      </c>
      <c r="AQ42" s="324">
        <f>'Crops; pasture AMORTIZED'!FS52</f>
        <v>0.64247476207774312</v>
      </c>
      <c r="AR42" s="325">
        <f>'Crops; pasture AMORTIZED'!FT52</f>
        <v>64.247476207774312</v>
      </c>
      <c r="AS42" s="323"/>
      <c r="AT42" s="323"/>
      <c r="AU42" s="323"/>
      <c r="AV42" s="323"/>
      <c r="AW42" s="323"/>
      <c r="AX42" s="323"/>
      <c r="AY42" s="323"/>
      <c r="AZ42" s="323"/>
      <c r="BA42" s="323"/>
      <c r="BB42" s="250"/>
      <c r="BC42" s="250"/>
      <c r="BD42" s="250"/>
      <c r="BE42" s="250"/>
      <c r="BF42" s="250"/>
      <c r="BG42" s="250"/>
      <c r="BH42" s="250"/>
      <c r="BI42" s="250"/>
      <c r="BJ42" s="250"/>
      <c r="BK42" s="250"/>
      <c r="BL42" s="250"/>
      <c r="BM42" s="250"/>
      <c r="BN42" s="250"/>
      <c r="BO42" s="250"/>
      <c r="BP42" s="250"/>
      <c r="BQ42" s="250"/>
      <c r="BR42" s="250"/>
      <c r="BS42" s="250"/>
      <c r="BT42" s="250"/>
      <c r="BU42" s="250"/>
      <c r="BV42" s="250"/>
      <c r="BW42" s="250"/>
      <c r="BX42" s="250"/>
      <c r="BY42" s="250"/>
      <c r="BZ42" s="250"/>
    </row>
    <row r="43" spans="1:78" x14ac:dyDescent="0.25">
      <c r="A43" s="243" t="s">
        <v>71</v>
      </c>
      <c r="B43" s="220">
        <f t="shared" ref="B43:B46" si="149">(F43+J43)/2</f>
        <v>0.98456102691194003</v>
      </c>
      <c r="C43" s="220">
        <f t="shared" ref="C43:C46" si="150">(G43+K43)/2</f>
        <v>3.9382441076477601</v>
      </c>
      <c r="D43" s="297">
        <f t="shared" ref="D43:D46" si="151">(H43+L43)/2</f>
        <v>393.82441076477596</v>
      </c>
      <c r="E43" s="220">
        <f t="shared" ref="E43:E46" si="152">(I43+M43)/2</f>
        <v>131.27480358825866</v>
      </c>
      <c r="F43" s="220">
        <f>44/12*'Crops; pasture AMORTIZED'!CY53</f>
        <v>1.058433823065448</v>
      </c>
      <c r="G43" s="220">
        <f>44/12*'Crops; pasture AMORTIZED'!CZ53</f>
        <v>4.2337352922617919</v>
      </c>
      <c r="H43" s="221">
        <f>44/12*'Crops; pasture AMORTIZED'!DA53</f>
        <v>423.37352922617919</v>
      </c>
      <c r="I43" s="221">
        <f>44/12*'Crops; pasture AMORTIZED'!DB53</f>
        <v>141.12450974205973</v>
      </c>
      <c r="J43" s="220">
        <f>44/12*'Crops; pasture AMORTIZED'!DK53</f>
        <v>0.91068823075843208</v>
      </c>
      <c r="K43" s="220">
        <f>44/12*'Crops; pasture AMORTIZED'!DL53</f>
        <v>3.6427529230337283</v>
      </c>
      <c r="L43" s="221">
        <f>44/12*'Crops; pasture AMORTIZED'!DM53</f>
        <v>364.27529230337279</v>
      </c>
      <c r="M43" s="221">
        <f>44/12*'Crops; pasture AMORTIZED'!DN53</f>
        <v>121.4250974344576</v>
      </c>
      <c r="N43" s="220">
        <f t="shared" ref="N43:N46" si="153">(R43+V43)/2</f>
        <v>1.07284118828521</v>
      </c>
      <c r="O43" s="220">
        <f t="shared" ref="O43:O46" si="154">(S43+W43)/2</f>
        <v>4.2913647531408401</v>
      </c>
      <c r="P43" s="249">
        <f t="shared" ref="P43:P46" si="155">(T43+X43)/2</f>
        <v>429.13647531408407</v>
      </c>
      <c r="Q43" s="220">
        <f t="shared" ref="Q43:Q46" si="156">(U43+Y43)/2</f>
        <v>143.04549177136136</v>
      </c>
      <c r="R43" s="220">
        <f>44/12*'Crops; pasture AMORTIZED'!DC53</f>
        <v>1.1604552400487853</v>
      </c>
      <c r="S43" s="220">
        <f>44/12*'Crops; pasture AMORTIZED'!DD53</f>
        <v>4.6418209601951412</v>
      </c>
      <c r="T43" s="296">
        <f>44/12*'Crops; pasture AMORTIZED'!DE53</f>
        <v>464.18209601951412</v>
      </c>
      <c r="U43" s="296">
        <f>44/12*'Crops; pasture AMORTIZED'!DF53</f>
        <v>154.72736533983806</v>
      </c>
      <c r="V43" s="192">
        <f>44/12*'Crops; pasture AMORTIZED'!DO53</f>
        <v>0.98522713652163496</v>
      </c>
      <c r="W43" s="192">
        <f>44/12*'Crops; pasture AMORTIZED'!DP53</f>
        <v>3.9409085460865398</v>
      </c>
      <c r="X43" s="296">
        <f>44/12*'Crops; pasture AMORTIZED'!DQ53</f>
        <v>394.09085460865401</v>
      </c>
      <c r="Y43" s="221">
        <f>44/12*'Crops; pasture AMORTIZED'!DR53</f>
        <v>131.36361820288468</v>
      </c>
      <c r="Z43" s="220">
        <f t="shared" ref="Z43:Z46" si="157">(AD43+AH43)/2</f>
        <v>0.48053957367484301</v>
      </c>
      <c r="AA43" s="220">
        <f t="shared" ref="AA43:AA46" si="158">(AE43+AI43)/2</f>
        <v>1.922158294699372</v>
      </c>
      <c r="AB43" s="249">
        <f t="shared" ref="AB43:AB46" si="159">(AF43+AJ43)/2</f>
        <v>192.2158294699372</v>
      </c>
      <c r="AC43" s="220">
        <f t="shared" ref="AC43:AC46" si="160">(AG43+AK43)/2</f>
        <v>64.071943156645744</v>
      </c>
      <c r="AD43" s="220">
        <f>44/12*'Crops; pasture AMORTIZED'!DG53</f>
        <v>0.47639870019779396</v>
      </c>
      <c r="AE43" s="220">
        <f>44/12*'Crops; pasture AMORTIZED'!DH53</f>
        <v>1.9055948007911758</v>
      </c>
      <c r="AF43" s="221">
        <f>44/12*'Crops; pasture AMORTIZED'!DI53</f>
        <v>190.55948007911758</v>
      </c>
      <c r="AG43" s="221">
        <f>44/12*'Crops; pasture AMORTIZED'!DJ53</f>
        <v>63.519826693039199</v>
      </c>
      <c r="AH43" s="220">
        <f>44/12*'Crops; pasture AMORTIZED'!DS53</f>
        <v>0.48468044715189207</v>
      </c>
      <c r="AI43" s="220">
        <f>44/12*'Crops; pasture AMORTIZED'!DT53</f>
        <v>1.9387217886075683</v>
      </c>
      <c r="AJ43" s="221">
        <f>44/12*'Crops; pasture AMORTIZED'!DU53</f>
        <v>193.8721788607568</v>
      </c>
      <c r="AK43" s="221">
        <f>44/12*'Crops; pasture AMORTIZED'!DV53</f>
        <v>64.624059620252282</v>
      </c>
      <c r="AL43" s="407">
        <f>'Crops; pasture AMORTIZED'!EJ53</f>
        <v>0.10156173183356558</v>
      </c>
      <c r="AM43" s="407">
        <f>'Crops; pasture AMORTIZED'!EK53</f>
        <v>0.40624692733426232</v>
      </c>
      <c r="AN43" s="249">
        <f>'Crops; pasture AMORTIZED'!EL53</f>
        <v>40.62469273342623</v>
      </c>
      <c r="AO43" s="220">
        <f>'Crops; pasture AMORTIZED'!EM53</f>
        <v>13.541564244475412</v>
      </c>
      <c r="AP43" s="194">
        <f>'Crops; pasture AMORTIZED'!FR53</f>
        <v>7.9377231520000008E-2</v>
      </c>
      <c r="AQ43" s="194">
        <f>'Crops; pasture AMORTIZED'!FS53</f>
        <v>0.31750892608000003</v>
      </c>
      <c r="AR43" s="248">
        <f>'Crops; pasture AMORTIZED'!FT53</f>
        <v>31.750892608000004</v>
      </c>
      <c r="AS43" s="189">
        <f>'Crops; pasture AMORTIZED'!FU53</f>
        <v>10.583630869333335</v>
      </c>
      <c r="AT43" s="189">
        <f t="shared" ref="AT43:AT46" si="161">B43+AL43+AP43</f>
        <v>1.1654999902655057</v>
      </c>
      <c r="AU43" s="189">
        <f t="shared" ref="AU43:AU46" si="162">C43+AM43+AQ43</f>
        <v>4.6619999610620226</v>
      </c>
      <c r="AV43" s="188">
        <f t="shared" ref="AV43:AV46" si="163">D43+AN43+AR43</f>
        <v>466.19999610620221</v>
      </c>
      <c r="AW43" s="189">
        <f t="shared" ref="AW43:AW46" si="164">E43+AO43+AS43</f>
        <v>155.39999870206742</v>
      </c>
      <c r="AX43" s="189">
        <f t="shared" ref="AX43:AX46" si="165">F43+AL43+AP43</f>
        <v>1.2393727864190136</v>
      </c>
      <c r="AY43" s="189">
        <f t="shared" ref="AY43:AY46" si="166">G43+AM43+AQ43</f>
        <v>4.9574911456760544</v>
      </c>
      <c r="AZ43" s="188">
        <f t="shared" ref="AZ43:AZ46" si="167">H43+AN43+AR43</f>
        <v>495.74911456760543</v>
      </c>
      <c r="BA43" s="189">
        <f t="shared" ref="BA43:BA46" si="168">I43+AO43+AS43</f>
        <v>165.24970485586849</v>
      </c>
      <c r="BB43" s="250"/>
      <c r="BC43" s="250"/>
      <c r="BD43" s="250"/>
      <c r="BE43" s="250"/>
      <c r="BF43" s="250"/>
      <c r="BG43" s="250"/>
      <c r="BH43" s="250"/>
      <c r="BI43" s="250"/>
      <c r="BJ43" s="250"/>
      <c r="BK43" s="250"/>
      <c r="BL43" s="250"/>
      <c r="BM43" s="250"/>
      <c r="BN43" s="250"/>
      <c r="BO43" s="250"/>
      <c r="BP43" s="250"/>
      <c r="BQ43" s="250"/>
      <c r="BR43" s="250"/>
      <c r="BS43" s="250"/>
      <c r="BT43" s="250"/>
      <c r="BU43" s="250"/>
      <c r="BV43" s="250"/>
      <c r="BW43" s="250"/>
      <c r="BX43" s="250"/>
      <c r="BY43" s="250"/>
      <c r="BZ43" s="250"/>
    </row>
    <row r="44" spans="1:78" x14ac:dyDescent="0.25">
      <c r="A44" s="243" t="s">
        <v>312</v>
      </c>
      <c r="B44" s="220">
        <f t="shared" si="149"/>
        <v>2.5885633977728411</v>
      </c>
      <c r="C44" s="220">
        <f t="shared" si="150"/>
        <v>7.3958954222081186</v>
      </c>
      <c r="D44" s="297">
        <f t="shared" si="151"/>
        <v>739.58954222081184</v>
      </c>
      <c r="E44" s="220">
        <f t="shared" si="152"/>
        <v>369.79477111040592</v>
      </c>
      <c r="F44" s="220">
        <f>44/12*'Crops; pasture AMORTIZED'!CY54</f>
        <v>2.8929602418694564</v>
      </c>
      <c r="G44" s="220">
        <f>44/12*'Crops; pasture AMORTIZED'!CZ54</f>
        <v>8.2656006910555906</v>
      </c>
      <c r="H44" s="221">
        <f>44/12*'Crops; pasture AMORTIZED'!DA54</f>
        <v>826.56006910555902</v>
      </c>
      <c r="I44" s="221">
        <f>44/12*'Crops; pasture AMORTIZED'!DB54</f>
        <v>413.28003455277951</v>
      </c>
      <c r="J44" s="220">
        <f>44/12*'Crops; pasture AMORTIZED'!DK54</f>
        <v>2.2841665536762261</v>
      </c>
      <c r="K44" s="220">
        <f>44/12*'Crops; pasture AMORTIZED'!DL54</f>
        <v>6.5261901533606457</v>
      </c>
      <c r="L44" s="221">
        <f>44/12*'Crops; pasture AMORTIZED'!DM54</f>
        <v>652.61901533606465</v>
      </c>
      <c r="M44" s="221">
        <f>44/12*'Crops; pasture AMORTIZED'!DN54</f>
        <v>326.30950766803232</v>
      </c>
      <c r="N44" s="220">
        <f t="shared" si="153"/>
        <v>2.6123594504352576</v>
      </c>
      <c r="O44" s="220">
        <f t="shared" si="154"/>
        <v>7.463884144100736</v>
      </c>
      <c r="P44" s="249">
        <f t="shared" si="155"/>
        <v>746.38841441007366</v>
      </c>
      <c r="Q44" s="220">
        <f t="shared" si="156"/>
        <v>373.19420720503678</v>
      </c>
      <c r="R44" s="220">
        <f>44/12*'Crops; pasture AMORTIZED'!DC54</f>
        <v>2.9231637048978429</v>
      </c>
      <c r="S44" s="220">
        <f>44/12*'Crops; pasture AMORTIZED'!DD54</f>
        <v>8.3518962997081232</v>
      </c>
      <c r="T44" s="296">
        <f>44/12*'Crops; pasture AMORTIZED'!DE54</f>
        <v>835.18962997081235</v>
      </c>
      <c r="U44" s="296">
        <f>44/12*'Crops; pasture AMORTIZED'!DF54</f>
        <v>417.59481498540612</v>
      </c>
      <c r="V44" s="192">
        <f>44/12*'Crops; pasture AMORTIZED'!DO54</f>
        <v>2.3015551959726719</v>
      </c>
      <c r="W44" s="192">
        <f>44/12*'Crops; pasture AMORTIZED'!DP54</f>
        <v>6.5758719884933488</v>
      </c>
      <c r="X44" s="296">
        <f>44/12*'Crops; pasture AMORTIZED'!DQ54</f>
        <v>657.58719884933487</v>
      </c>
      <c r="Y44" s="221">
        <f>44/12*'Crops; pasture AMORTIZED'!DR54</f>
        <v>328.79359942466743</v>
      </c>
      <c r="Z44" s="220">
        <f t="shared" si="157"/>
        <v>1.3574005593001974</v>
      </c>
      <c r="AA44" s="220">
        <f t="shared" si="158"/>
        <v>3.8782873122862784</v>
      </c>
      <c r="AB44" s="249">
        <f t="shared" si="159"/>
        <v>387.82873122862782</v>
      </c>
      <c r="AC44" s="220">
        <f t="shared" si="160"/>
        <v>193.91436561431391</v>
      </c>
      <c r="AD44" s="220">
        <f>44/12*'Crops; pasture AMORTIZED'!DG54</f>
        <v>1.330243504645181</v>
      </c>
      <c r="AE44" s="220">
        <f>44/12*'Crops; pasture AMORTIZED'!DH54</f>
        <v>3.8006957275576601</v>
      </c>
      <c r="AF44" s="221">
        <f>44/12*'Crops; pasture AMORTIZED'!DI54</f>
        <v>380.06957275576599</v>
      </c>
      <c r="AG44" s="221">
        <f>44/12*'Crops; pasture AMORTIZED'!DJ54</f>
        <v>190.03478637788299</v>
      </c>
      <c r="AH44" s="220">
        <f>44/12*'Crops; pasture AMORTIZED'!DS54</f>
        <v>1.3845576139552138</v>
      </c>
      <c r="AI44" s="220">
        <f>44/12*'Crops; pasture AMORTIZED'!DT54</f>
        <v>3.9558788970148968</v>
      </c>
      <c r="AJ44" s="221">
        <f>44/12*'Crops; pasture AMORTIZED'!DU54</f>
        <v>395.5878897014897</v>
      </c>
      <c r="AK44" s="221">
        <f>44/12*'Crops; pasture AMORTIZED'!DV54</f>
        <v>197.79394485074485</v>
      </c>
      <c r="AL44" s="407">
        <f>'Crops; pasture AMORTIZED'!EJ54</f>
        <v>0.21367341654970581</v>
      </c>
      <c r="AM44" s="407">
        <f>'Crops; pasture AMORTIZED'!EK54</f>
        <v>0.61049547585630237</v>
      </c>
      <c r="AN44" s="249">
        <f>'Crops; pasture AMORTIZED'!EL54</f>
        <v>61.049547585630236</v>
      </c>
      <c r="AO44" s="220">
        <f>'Crops; pasture AMORTIZED'!EM54</f>
        <v>30.524773792815118</v>
      </c>
      <c r="AP44" s="194">
        <f>'Crops; pasture AMORTIZED'!FR54</f>
        <v>9.5344731240000008E-2</v>
      </c>
      <c r="AQ44" s="194">
        <f>'Crops; pasture AMORTIZED'!FS54</f>
        <v>0.27241351782857148</v>
      </c>
      <c r="AR44" s="248">
        <f>'Crops; pasture AMORTIZED'!FT54</f>
        <v>27.241351782857144</v>
      </c>
      <c r="AS44" s="189">
        <f>'Crops; pasture AMORTIZED'!FU54</f>
        <v>13.620675891428574</v>
      </c>
      <c r="AT44" s="189">
        <f t="shared" si="161"/>
        <v>2.8975815455625469</v>
      </c>
      <c r="AU44" s="189">
        <f t="shared" si="162"/>
        <v>8.2788044158929921</v>
      </c>
      <c r="AV44" s="188">
        <f t="shared" si="163"/>
        <v>827.88044158929915</v>
      </c>
      <c r="AW44" s="189">
        <f t="shared" si="164"/>
        <v>413.94022079464958</v>
      </c>
      <c r="AX44" s="189">
        <f t="shared" si="165"/>
        <v>3.2019783896591623</v>
      </c>
      <c r="AY44" s="189">
        <f t="shared" si="166"/>
        <v>9.1485096847404641</v>
      </c>
      <c r="AZ44" s="188">
        <f t="shared" si="167"/>
        <v>914.85096847404634</v>
      </c>
      <c r="BA44" s="189">
        <f t="shared" si="168"/>
        <v>457.42548423702317</v>
      </c>
      <c r="BB44" s="250"/>
      <c r="BC44" s="250"/>
      <c r="BD44" s="250"/>
      <c r="BE44" s="250"/>
      <c r="BF44" s="250"/>
      <c r="BG44" s="250"/>
      <c r="BH44" s="250"/>
      <c r="BI44" s="250"/>
      <c r="BJ44" s="250"/>
      <c r="BK44" s="250"/>
      <c r="BL44" s="250"/>
      <c r="BM44" s="250"/>
      <c r="BN44" s="250"/>
      <c r="BO44" s="250"/>
      <c r="BP44" s="250"/>
      <c r="BQ44" s="250"/>
      <c r="BR44" s="250"/>
      <c r="BS44" s="250"/>
      <c r="BT44" s="250"/>
      <c r="BU44" s="250"/>
      <c r="BV44" s="250"/>
      <c r="BW44" s="250"/>
      <c r="BX44" s="250"/>
      <c r="BY44" s="250"/>
      <c r="BZ44" s="250"/>
    </row>
    <row r="45" spans="1:78" x14ac:dyDescent="0.25">
      <c r="A45" s="244" t="s">
        <v>357</v>
      </c>
      <c r="B45" s="220">
        <f t="shared" si="149"/>
        <v>1.033436590037911</v>
      </c>
      <c r="C45" s="220">
        <f t="shared" si="150"/>
        <v>5.7413143890995055</v>
      </c>
      <c r="D45" s="297">
        <f t="shared" si="151"/>
        <v>574.13143890995048</v>
      </c>
      <c r="E45" s="220">
        <f t="shared" si="152"/>
        <v>164.03755397427159</v>
      </c>
      <c r="F45" s="220">
        <f>44/12*'Crops; pasture AMORTIZED'!CY55</f>
        <v>1.0022565837526811</v>
      </c>
      <c r="G45" s="220">
        <f>44/12*'Crops; pasture AMORTIZED'!CZ55</f>
        <v>5.5680921319593395</v>
      </c>
      <c r="H45" s="221">
        <f>44/12*'Crops; pasture AMORTIZED'!DA55</f>
        <v>556.80921319593392</v>
      </c>
      <c r="I45" s="221">
        <f>44/12*'Crops; pasture AMORTIZED'!DB55</f>
        <v>159.08834662740969</v>
      </c>
      <c r="J45" s="220">
        <f>44/12*'Crops; pasture AMORTIZED'!DK55</f>
        <v>1.0646165963231409</v>
      </c>
      <c r="K45" s="220">
        <f>44/12*'Crops; pasture AMORTIZED'!DL55</f>
        <v>5.9145366462396716</v>
      </c>
      <c r="L45" s="221">
        <f>44/12*'Crops; pasture AMORTIZED'!DM55</f>
        <v>591.45366462396714</v>
      </c>
      <c r="M45" s="221">
        <f>44/12*'Crops; pasture AMORTIZED'!DN55</f>
        <v>168.98676132113346</v>
      </c>
      <c r="N45" s="220">
        <f t="shared" si="153"/>
        <v>1.1664297536123578</v>
      </c>
      <c r="O45" s="220">
        <f t="shared" si="154"/>
        <v>6.4801652978464324</v>
      </c>
      <c r="P45" s="249">
        <f t="shared" si="155"/>
        <v>648.01652978464335</v>
      </c>
      <c r="Q45" s="220">
        <f t="shared" si="156"/>
        <v>185.14757993846945</v>
      </c>
      <c r="R45" s="220">
        <f>44/12*'Crops; pasture AMORTIZED'!DC55</f>
        <v>1.1508521409007801</v>
      </c>
      <c r="S45" s="220">
        <f>44/12*'Crops; pasture AMORTIZED'!DD55</f>
        <v>6.3936230050043337</v>
      </c>
      <c r="T45" s="296">
        <f>44/12*'Crops; pasture AMORTIZED'!DE55</f>
        <v>639.36230050043343</v>
      </c>
      <c r="U45" s="296">
        <f>44/12*'Crops; pasture AMORTIZED'!DF55</f>
        <v>182.67494300012379</v>
      </c>
      <c r="V45" s="192">
        <f>44/12*'Crops; pasture AMORTIZED'!DO55</f>
        <v>1.1820073663239354</v>
      </c>
      <c r="W45" s="192">
        <f>44/12*'Crops; pasture AMORTIZED'!DP55</f>
        <v>6.566707590688531</v>
      </c>
      <c r="X45" s="296">
        <f>44/12*'Crops; pasture AMORTIZED'!DQ55</f>
        <v>656.67075906885316</v>
      </c>
      <c r="Y45" s="221">
        <f>44/12*'Crops; pasture AMORTIZED'!DR55</f>
        <v>187.62021687681514</v>
      </c>
      <c r="Z45" s="220">
        <f t="shared" si="157"/>
        <v>0.47481902665102116</v>
      </c>
      <c r="AA45" s="220">
        <f t="shared" si="158"/>
        <v>2.637883481394562</v>
      </c>
      <c r="AB45" s="249">
        <f t="shared" si="159"/>
        <v>263.78834813945622</v>
      </c>
      <c r="AC45" s="220">
        <f t="shared" si="160"/>
        <v>75.368099468416048</v>
      </c>
      <c r="AD45" s="220">
        <f>44/12*'Crops; pasture AMORTIZED'!DG55</f>
        <v>0.37808517963549554</v>
      </c>
      <c r="AE45" s="220">
        <f>44/12*'Crops; pasture AMORTIZED'!DH55</f>
        <v>2.1004732201971974</v>
      </c>
      <c r="AF45" s="221">
        <f>44/12*'Crops; pasture AMORTIZED'!DI55</f>
        <v>210.04732201971973</v>
      </c>
      <c r="AG45" s="221">
        <f>44/12*'Crops; pasture AMORTIZED'!DJ55</f>
        <v>60.013520577062771</v>
      </c>
      <c r="AH45" s="220">
        <f>44/12*'Crops; pasture AMORTIZED'!DS55</f>
        <v>0.57155287366654683</v>
      </c>
      <c r="AI45" s="220">
        <f>44/12*'Crops; pasture AMORTIZED'!DT55</f>
        <v>3.1752937425919265</v>
      </c>
      <c r="AJ45" s="221">
        <f>44/12*'Crops; pasture AMORTIZED'!DU55</f>
        <v>317.52937425919271</v>
      </c>
      <c r="AK45" s="221">
        <f>44/12*'Crops; pasture AMORTIZED'!DV55</f>
        <v>90.722678359769318</v>
      </c>
      <c r="AL45" s="407">
        <f>'Crops; pasture AMORTIZED'!EJ55</f>
        <v>3.3639376823540255E-2</v>
      </c>
      <c r="AM45" s="407">
        <f>'Crops; pasture AMORTIZED'!EK55</f>
        <v>0.18688542679744585</v>
      </c>
      <c r="AN45" s="249">
        <f>'Crops; pasture AMORTIZED'!EL55</f>
        <v>18.688542679744586</v>
      </c>
      <c r="AO45" s="220">
        <f>'Crops; pasture AMORTIZED'!EM55</f>
        <v>5.3395836227841666</v>
      </c>
      <c r="AP45" s="194">
        <f>'Crops; pasture AMORTIZED'!FR55</f>
        <v>0.22792678763000104</v>
      </c>
      <c r="AQ45" s="194">
        <f>'Crops; pasture AMORTIZED'!FS55</f>
        <v>1.2662599312777836</v>
      </c>
      <c r="AR45" s="248">
        <f>'Crops; pasture AMORTIZED'!FT55</f>
        <v>126.62599312777836</v>
      </c>
      <c r="AS45" s="189">
        <f>'Crops; pasture AMORTIZED'!FU55</f>
        <v>36.178855179365243</v>
      </c>
      <c r="AT45" s="189">
        <f t="shared" si="161"/>
        <v>1.2950027544914524</v>
      </c>
      <c r="AU45" s="189">
        <f t="shared" si="162"/>
        <v>7.1944597471747347</v>
      </c>
      <c r="AV45" s="188">
        <f t="shared" si="163"/>
        <v>719.4459747174734</v>
      </c>
      <c r="AW45" s="189">
        <f t="shared" si="164"/>
        <v>205.55599277642102</v>
      </c>
      <c r="AX45" s="189">
        <f t="shared" si="165"/>
        <v>1.2638227482062225</v>
      </c>
      <c r="AY45" s="189">
        <f t="shared" si="166"/>
        <v>7.0212374900345687</v>
      </c>
      <c r="AZ45" s="188">
        <f t="shared" si="167"/>
        <v>702.12374900345685</v>
      </c>
      <c r="BA45" s="189">
        <f t="shared" si="168"/>
        <v>200.60678542955912</v>
      </c>
      <c r="BB45" s="250"/>
      <c r="BC45" s="250"/>
      <c r="BD45" s="250"/>
      <c r="BE45" s="250"/>
      <c r="BF45" s="250"/>
      <c r="BG45" s="250"/>
      <c r="BH45" s="250"/>
      <c r="BI45" s="250"/>
      <c r="BJ45" s="250"/>
      <c r="BK45" s="250"/>
      <c r="BL45" s="250"/>
      <c r="BM45" s="250"/>
      <c r="BN45" s="250"/>
      <c r="BO45" s="250"/>
      <c r="BP45" s="250"/>
      <c r="BQ45" s="250"/>
      <c r="BR45" s="250"/>
      <c r="BS45" s="250"/>
      <c r="BT45" s="250"/>
      <c r="BU45" s="250"/>
      <c r="BV45" s="250"/>
      <c r="BW45" s="250"/>
      <c r="BX45" s="250"/>
      <c r="BY45" s="250"/>
      <c r="BZ45" s="250"/>
    </row>
    <row r="46" spans="1:78" x14ac:dyDescent="0.25">
      <c r="A46" s="244" t="s">
        <v>358</v>
      </c>
      <c r="B46" s="220">
        <f t="shared" si="149"/>
        <v>0.93431947079373479</v>
      </c>
      <c r="C46" s="220">
        <f t="shared" si="150"/>
        <v>5.1906637266318603</v>
      </c>
      <c r="D46" s="297">
        <f t="shared" si="151"/>
        <v>519.06637266318603</v>
      </c>
      <c r="E46" s="220">
        <f t="shared" si="152"/>
        <v>148.30467790376741</v>
      </c>
      <c r="F46" s="220">
        <f>44/12*'Crops; pasture AMORTIZED'!CY56</f>
        <v>0.99661754075624165</v>
      </c>
      <c r="G46" s="220">
        <f>44/12*'Crops; pasture AMORTIZED'!CZ56</f>
        <v>5.5367641153124536</v>
      </c>
      <c r="H46" s="221">
        <f>44/12*'Crops; pasture AMORTIZED'!DA56</f>
        <v>553.67641153124532</v>
      </c>
      <c r="I46" s="221">
        <f>44/12*'Crops; pasture AMORTIZED'!DB56</f>
        <v>158.19326043749865</v>
      </c>
      <c r="J46" s="220">
        <f>44/12*'Crops; pasture AMORTIZED'!DK56</f>
        <v>0.87202140083122803</v>
      </c>
      <c r="K46" s="220">
        <f>44/12*'Crops; pasture AMORTIZED'!DL56</f>
        <v>4.8445633379512669</v>
      </c>
      <c r="L46" s="221">
        <f>44/12*'Crops; pasture AMORTIZED'!DM56</f>
        <v>484.45633379512662</v>
      </c>
      <c r="M46" s="221">
        <f>44/12*'Crops; pasture AMORTIZED'!DN56</f>
        <v>138.4160953700362</v>
      </c>
      <c r="N46" s="220">
        <f t="shared" si="153"/>
        <v>1.0753738904013166</v>
      </c>
      <c r="O46" s="220">
        <f t="shared" si="154"/>
        <v>5.974299391118425</v>
      </c>
      <c r="P46" s="249">
        <f t="shared" si="155"/>
        <v>597.42993911184249</v>
      </c>
      <c r="Q46" s="220">
        <f t="shared" si="156"/>
        <v>170.6942683176693</v>
      </c>
      <c r="R46" s="220">
        <f>44/12*'Crops; pasture AMORTIZED'!DC56</f>
        <v>1.1641078859175791</v>
      </c>
      <c r="S46" s="220">
        <f>44/12*'Crops; pasture AMORTIZED'!DD56</f>
        <v>6.4672660328754397</v>
      </c>
      <c r="T46" s="296">
        <f>44/12*'Crops; pasture AMORTIZED'!DE56</f>
        <v>646.72660328754398</v>
      </c>
      <c r="U46" s="296">
        <f>44/12*'Crops; pasture AMORTIZED'!DF56</f>
        <v>184.77902951072684</v>
      </c>
      <c r="V46" s="192">
        <f>44/12*'Crops; pasture AMORTIZED'!DO56</f>
        <v>0.98663989488505399</v>
      </c>
      <c r="W46" s="192">
        <f>44/12*'Crops; pasture AMORTIZED'!DP56</f>
        <v>5.4813327493614104</v>
      </c>
      <c r="X46" s="296">
        <f>44/12*'Crops; pasture AMORTIZED'!DQ56</f>
        <v>548.13327493614099</v>
      </c>
      <c r="Y46" s="221">
        <f>44/12*'Crops; pasture AMORTIZED'!DR56</f>
        <v>156.60950712461172</v>
      </c>
      <c r="Z46" s="220">
        <f t="shared" si="157"/>
        <v>0.32105099598179782</v>
      </c>
      <c r="AA46" s="220">
        <f t="shared" si="158"/>
        <v>1.7836166443433212</v>
      </c>
      <c r="AB46" s="249">
        <f t="shared" si="159"/>
        <v>178.36166443433211</v>
      </c>
      <c r="AC46" s="220">
        <f t="shared" si="160"/>
        <v>50.960475552666324</v>
      </c>
      <c r="AD46" s="220">
        <f>44/12*'Crops; pasture AMORTIZED'!DG56</f>
        <v>0.26892277459258812</v>
      </c>
      <c r="AE46" s="220">
        <f>44/12*'Crops; pasture AMORTIZED'!DH56</f>
        <v>1.4940154144032673</v>
      </c>
      <c r="AF46" s="221">
        <f>44/12*'Crops; pasture AMORTIZED'!DI56</f>
        <v>149.40154144032672</v>
      </c>
      <c r="AG46" s="221">
        <f>44/12*'Crops; pasture AMORTIZED'!DJ56</f>
        <v>42.686154697236212</v>
      </c>
      <c r="AH46" s="220">
        <f>44/12*'Crops; pasture AMORTIZED'!DS56</f>
        <v>0.37317921737100751</v>
      </c>
      <c r="AI46" s="220">
        <f>44/12*'Crops; pasture AMORTIZED'!DT56</f>
        <v>2.0732178742833751</v>
      </c>
      <c r="AJ46" s="221">
        <f>44/12*'Crops; pasture AMORTIZED'!DU56</f>
        <v>207.32178742833753</v>
      </c>
      <c r="AK46" s="221">
        <f>44/12*'Crops; pasture AMORTIZED'!DV56</f>
        <v>59.234796408096429</v>
      </c>
      <c r="AL46" s="407">
        <f>'Crops; pasture AMORTIZED'!EJ56</f>
        <v>6.9032845841035098E-2</v>
      </c>
      <c r="AM46" s="407">
        <f>'Crops; pasture AMORTIZED'!EK56</f>
        <v>0.38351581022797282</v>
      </c>
      <c r="AN46" s="249">
        <f>'Crops; pasture AMORTIZED'!EL56</f>
        <v>38.351581022797276</v>
      </c>
      <c r="AO46" s="220">
        <f>'Crops; pasture AMORTIZED'!EM56</f>
        <v>10.95759457794208</v>
      </c>
      <c r="AP46" s="194">
        <f>'Crops; pasture AMORTIZED'!FR56</f>
        <v>7.4004927799995998E-2</v>
      </c>
      <c r="AQ46" s="194">
        <f>'Crops; pasture AMORTIZED'!FS56</f>
        <v>0.41113848777775552</v>
      </c>
      <c r="AR46" s="248">
        <f>'Crops; pasture AMORTIZED'!FT56</f>
        <v>41.113848777775551</v>
      </c>
      <c r="AS46" s="189">
        <f>'Crops; pasture AMORTIZED'!FU56</f>
        <v>11.7468139365073</v>
      </c>
      <c r="AT46" s="189">
        <f t="shared" si="161"/>
        <v>1.0773572444347659</v>
      </c>
      <c r="AU46" s="189">
        <f t="shared" si="162"/>
        <v>5.9853180246375883</v>
      </c>
      <c r="AV46" s="188">
        <f t="shared" si="163"/>
        <v>598.53180246375882</v>
      </c>
      <c r="AW46" s="189">
        <f t="shared" si="164"/>
        <v>171.00908641821678</v>
      </c>
      <c r="AX46" s="189">
        <f t="shared" si="165"/>
        <v>1.1396553143972727</v>
      </c>
      <c r="AY46" s="189">
        <f t="shared" si="166"/>
        <v>6.3314184133181817</v>
      </c>
      <c r="AZ46" s="188">
        <f t="shared" si="167"/>
        <v>633.14184133181811</v>
      </c>
      <c r="BA46" s="189">
        <f t="shared" si="168"/>
        <v>180.89766895194802</v>
      </c>
      <c r="BB46" s="250"/>
      <c r="BC46" s="250"/>
      <c r="BD46" s="250"/>
      <c r="BE46" s="250"/>
      <c r="BF46" s="250"/>
      <c r="BG46" s="250"/>
      <c r="BH46" s="250"/>
      <c r="BI46" s="250"/>
      <c r="BJ46" s="250"/>
      <c r="BK46" s="250"/>
      <c r="BL46" s="250"/>
      <c r="BM46" s="250"/>
      <c r="BN46" s="250"/>
      <c r="BO46" s="250"/>
      <c r="BP46" s="250"/>
      <c r="BQ46" s="250"/>
      <c r="BR46" s="250"/>
      <c r="BS46" s="250"/>
      <c r="BT46" s="250"/>
      <c r="BU46" s="250"/>
      <c r="BV46" s="250"/>
      <c r="BW46" s="250"/>
      <c r="BX46" s="250"/>
      <c r="BY46" s="250"/>
      <c r="BZ46" s="250"/>
    </row>
    <row r="47" spans="1:78" x14ac:dyDescent="0.25">
      <c r="A47" s="243"/>
      <c r="R47" s="222"/>
      <c r="S47" s="222"/>
      <c r="T47" s="223"/>
      <c r="U47" s="223"/>
      <c r="BB47" s="250"/>
      <c r="BC47" s="250"/>
      <c r="BD47" s="250"/>
      <c r="BE47" s="250"/>
      <c r="BF47" s="250"/>
      <c r="BG47" s="250"/>
      <c r="BH47" s="250"/>
      <c r="BI47" s="250"/>
      <c r="BJ47" s="250"/>
      <c r="BK47" s="250"/>
      <c r="BL47" s="250"/>
      <c r="BM47" s="250"/>
      <c r="BN47" s="250"/>
      <c r="BO47" s="250"/>
      <c r="BP47" s="250"/>
      <c r="BQ47" s="250"/>
      <c r="BR47" s="250"/>
      <c r="BS47" s="250"/>
      <c r="BT47" s="250"/>
      <c r="BU47" s="250"/>
      <c r="BV47" s="250"/>
      <c r="BW47" s="250"/>
      <c r="BX47" s="250"/>
      <c r="BY47" s="250"/>
      <c r="BZ47" s="250"/>
    </row>
    <row r="48" spans="1:78" ht="13.8" x14ac:dyDescent="0.3">
      <c r="A48" s="237" t="s">
        <v>83</v>
      </c>
      <c r="R48" s="222"/>
      <c r="S48" s="222"/>
      <c r="T48" s="223"/>
      <c r="U48" s="223"/>
      <c r="BB48" s="250"/>
      <c r="BC48" s="250"/>
      <c r="BD48" s="250"/>
      <c r="BE48" s="250"/>
      <c r="BF48" s="250"/>
      <c r="BG48" s="250"/>
      <c r="BH48" s="250"/>
      <c r="BI48" s="250"/>
      <c r="BJ48" s="250"/>
      <c r="BK48" s="250"/>
      <c r="BL48" s="250"/>
      <c r="BM48" s="250"/>
      <c r="BN48" s="250"/>
      <c r="BO48" s="250"/>
      <c r="BP48" s="250"/>
      <c r="BQ48" s="250"/>
      <c r="BR48" s="250"/>
      <c r="BS48" s="250"/>
      <c r="BT48" s="250"/>
      <c r="BU48" s="250"/>
      <c r="BV48" s="250"/>
      <c r="BW48" s="250"/>
      <c r="BX48" s="250"/>
      <c r="BY48" s="250"/>
      <c r="BZ48" s="250"/>
    </row>
    <row r="49" spans="1:78" x14ac:dyDescent="0.25">
      <c r="A49" s="243" t="s">
        <v>83</v>
      </c>
      <c r="B49" s="220">
        <f t="shared" ref="B49" si="169">(F49+J49)/2</f>
        <v>0.69115422629697498</v>
      </c>
      <c r="C49" s="220">
        <f t="shared" ref="C49" si="170">(G49+K49)/2</f>
        <v>8.6394278287121864</v>
      </c>
      <c r="D49" s="297">
        <f t="shared" ref="D49" si="171">(H49+L49)/2</f>
        <v>664.57137143939894</v>
      </c>
      <c r="E49" s="220">
        <f t="shared" ref="E49" si="172">(I49+M49)/2</f>
        <v>57.596185524747909</v>
      </c>
      <c r="F49" s="220">
        <f>44/12*'Crops; pasture AMORTIZED'!CY59</f>
        <v>0.7429081099001329</v>
      </c>
      <c r="G49" s="220">
        <f>44/12*'Crops; pasture AMORTIZED'!CZ59</f>
        <v>9.2863513737516605</v>
      </c>
      <c r="H49" s="221">
        <f>44/12*'Crops; pasture AMORTIZED'!DA59</f>
        <v>714.33472105782005</v>
      </c>
      <c r="I49" s="221">
        <f>44/12*'Crops; pasture AMORTIZED'!DB59</f>
        <v>61.909009158344404</v>
      </c>
      <c r="J49" s="220">
        <f>44/12*'Crops; pasture AMORTIZED'!DK59</f>
        <v>0.63940034269381696</v>
      </c>
      <c r="K49" s="220">
        <f>44/12*'Crops; pasture AMORTIZED'!DL59</f>
        <v>7.9925042836727114</v>
      </c>
      <c r="L49" s="221">
        <f>44/12*'Crops; pasture AMORTIZED'!DM59</f>
        <v>614.80802182097773</v>
      </c>
      <c r="M49" s="221">
        <f>44/12*'Crops; pasture AMORTIZED'!DN59</f>
        <v>53.283361891151408</v>
      </c>
      <c r="N49" s="220">
        <f t="shared" ref="N49" si="173">(R49+V49)/2</f>
        <v>0.79185172215073885</v>
      </c>
      <c r="O49" s="220">
        <f t="shared" ref="O49" si="174">(S49+W49)/2</f>
        <v>9.8981465268842364</v>
      </c>
      <c r="P49" s="249">
        <f t="shared" ref="P49" si="175">(T49+X49)/2</f>
        <v>761.39588668340275</v>
      </c>
      <c r="Q49" s="220">
        <f t="shared" ref="Q49" si="176">(U49+Y49)/2</f>
        <v>65.987643512561576</v>
      </c>
      <c r="R49" s="220">
        <f>44/12*'Crops; pasture AMORTIZED'!DC59</f>
        <v>0.86766404999886881</v>
      </c>
      <c r="S49" s="220">
        <f>44/12*'Crops; pasture AMORTIZED'!DD59</f>
        <v>10.845800624985861</v>
      </c>
      <c r="T49" s="296">
        <f>44/12*'Crops; pasture AMORTIZED'!DE59</f>
        <v>834.29235576814301</v>
      </c>
      <c r="U49" s="296">
        <f>44/12*'Crops; pasture AMORTIZED'!DF59</f>
        <v>72.305337499905747</v>
      </c>
      <c r="V49" s="192">
        <f>44/12*'Crops; pasture AMORTIZED'!DO59</f>
        <v>0.71603939430260888</v>
      </c>
      <c r="W49" s="192">
        <f>44/12*'Crops; pasture AMORTIZED'!DP59</f>
        <v>8.9504924287826118</v>
      </c>
      <c r="X49" s="296">
        <f>44/12*'Crops; pasture AMORTIZED'!DQ59</f>
        <v>688.49941759866249</v>
      </c>
      <c r="Y49" s="221">
        <f>44/12*'Crops; pasture AMORTIZED'!DR59</f>
        <v>59.669949525217405</v>
      </c>
      <c r="Z49" s="220">
        <f t="shared" ref="Z49" si="177">(AD49+AH49)/2</f>
        <v>0.38172160568034352</v>
      </c>
      <c r="AA49" s="220">
        <f t="shared" ref="AA49" si="178">(AE49+AI49)/2</f>
        <v>4.7715200710042946</v>
      </c>
      <c r="AB49" s="249">
        <f t="shared" ref="AB49" si="179">(AF49+AJ49)/2</f>
        <v>367.04000546186882</v>
      </c>
      <c r="AC49" s="220">
        <f t="shared" ref="AC49" si="180">(AG49+AK49)/2</f>
        <v>31.810133806695298</v>
      </c>
      <c r="AD49" s="220">
        <f>44/12*'Crops; pasture AMORTIZED'!DG59</f>
        <v>0.35969056891023454</v>
      </c>
      <c r="AE49" s="220">
        <f>44/12*'Crops; pasture AMORTIZED'!DH59</f>
        <v>4.496132111377932</v>
      </c>
      <c r="AF49" s="221">
        <f>44/12*'Crops; pasture AMORTIZED'!DI59</f>
        <v>345.85631625984092</v>
      </c>
      <c r="AG49" s="221">
        <f>44/12*'Crops; pasture AMORTIZED'!DJ59</f>
        <v>29.974214075852878</v>
      </c>
      <c r="AH49" s="220">
        <f>44/12*'Crops; pasture AMORTIZED'!DS59</f>
        <v>0.40375264245045256</v>
      </c>
      <c r="AI49" s="220">
        <f>44/12*'Crops; pasture AMORTIZED'!DT59</f>
        <v>5.0469080306306573</v>
      </c>
      <c r="AJ49" s="221">
        <f>44/12*'Crops; pasture AMORTIZED'!DU59</f>
        <v>388.22369466389671</v>
      </c>
      <c r="AK49" s="221">
        <f>44/12*'Crops; pasture AMORTIZED'!DV59</f>
        <v>33.646053537537718</v>
      </c>
      <c r="AL49" s="407">
        <f>'Crops; pasture AMORTIZED'!EJ59</f>
        <v>3.1323841311534817E-2</v>
      </c>
      <c r="AM49" s="407">
        <f>'Crops; pasture AMORTIZED'!EK59</f>
        <v>0.39154801639418524</v>
      </c>
      <c r="AN49" s="249">
        <f>'Crops; pasture AMORTIZED'!EL59</f>
        <v>30.119078184168096</v>
      </c>
      <c r="AO49" s="220">
        <f>'Crops; pasture AMORTIZED'!EM59</f>
        <v>2.6103201092945683</v>
      </c>
      <c r="AP49" s="194">
        <f>'Crops; pasture AMORTIZED'!FR59</f>
        <v>0.20398691616</v>
      </c>
      <c r="AQ49" s="194">
        <f>'Crops; pasture AMORTIZED'!FS59</f>
        <v>2.5498364520000001</v>
      </c>
      <c r="AR49" s="248">
        <f>'Crops; pasture AMORTIZED'!FT59</f>
        <v>196.14126553846154</v>
      </c>
      <c r="AS49" s="189">
        <f>'Crops; pasture AMORTIZED'!FU59</f>
        <v>16.998909680000001</v>
      </c>
      <c r="AT49" s="189">
        <f>B49+AL49+AP49</f>
        <v>0.92646498376850983</v>
      </c>
      <c r="AU49" s="189">
        <f t="shared" ref="AU49" si="181">C49+AM49+AQ49</f>
        <v>11.580812297106373</v>
      </c>
      <c r="AV49" s="188">
        <f t="shared" ref="AV49" si="182">D49+AN49+AR49</f>
        <v>890.83171516202856</v>
      </c>
      <c r="AW49" s="189">
        <f t="shared" ref="AW49" si="183">E49+AO49+AS49</f>
        <v>77.205415314042483</v>
      </c>
      <c r="AX49" s="189">
        <f>F49+AL49+AP49</f>
        <v>0.97821886737166774</v>
      </c>
      <c r="AY49" s="189">
        <f t="shared" ref="AY49" si="184">G49+AM49+AQ49</f>
        <v>12.227735842145847</v>
      </c>
      <c r="AZ49" s="188">
        <f t="shared" ref="AZ49" si="185">H49+AN49+AR49</f>
        <v>940.59506478044966</v>
      </c>
      <c r="BA49" s="189">
        <f t="shared" ref="BA49" si="186">I49+AO49+AS49</f>
        <v>81.518238947638963</v>
      </c>
      <c r="BB49" s="250"/>
      <c r="BC49" s="250"/>
      <c r="BD49" s="250"/>
      <c r="BE49" s="250"/>
      <c r="BF49" s="250"/>
      <c r="BG49" s="250"/>
      <c r="BH49" s="250"/>
      <c r="BI49" s="250"/>
      <c r="BJ49" s="250"/>
      <c r="BK49" s="250"/>
      <c r="BL49" s="250"/>
      <c r="BM49" s="250"/>
      <c r="BN49" s="250"/>
      <c r="BO49" s="250"/>
      <c r="BP49" s="250"/>
      <c r="BQ49" s="250"/>
      <c r="BR49" s="250"/>
      <c r="BS49" s="250"/>
      <c r="BT49" s="250"/>
      <c r="BU49" s="250"/>
      <c r="BV49" s="250"/>
      <c r="BW49" s="250"/>
      <c r="BX49" s="250"/>
      <c r="BY49" s="250"/>
      <c r="BZ49" s="250"/>
    </row>
    <row r="50" spans="1:78" x14ac:dyDescent="0.25">
      <c r="A50" s="243"/>
      <c r="R50" s="222"/>
      <c r="S50" s="222"/>
      <c r="T50" s="223"/>
      <c r="U50" s="223"/>
      <c r="BB50" s="250"/>
      <c r="BC50" s="250"/>
      <c r="BD50" s="250"/>
      <c r="BE50" s="250"/>
      <c r="BF50" s="250"/>
      <c r="BG50" s="250"/>
      <c r="BH50" s="250"/>
      <c r="BI50" s="250"/>
      <c r="BJ50" s="250"/>
      <c r="BK50" s="250"/>
      <c r="BL50" s="250"/>
      <c r="BM50" s="250"/>
      <c r="BN50" s="250"/>
      <c r="BO50" s="250"/>
      <c r="BP50" s="250"/>
      <c r="BQ50" s="250"/>
      <c r="BR50" s="250"/>
      <c r="BS50" s="250"/>
      <c r="BT50" s="250"/>
      <c r="BU50" s="250"/>
      <c r="BV50" s="250"/>
      <c r="BW50" s="250"/>
      <c r="BX50" s="250"/>
      <c r="BY50" s="250"/>
      <c r="BZ50" s="250"/>
    </row>
    <row r="51" spans="1:78" ht="13.8" x14ac:dyDescent="0.3">
      <c r="A51" s="237" t="s">
        <v>309</v>
      </c>
      <c r="R51" s="222"/>
      <c r="S51" s="222"/>
      <c r="T51" s="223"/>
      <c r="U51" s="223"/>
      <c r="BB51" s="250"/>
      <c r="BC51" s="250"/>
      <c r="BD51" s="250"/>
      <c r="BE51" s="250"/>
      <c r="BF51" s="250"/>
      <c r="BG51" s="250"/>
      <c r="BH51" s="250"/>
      <c r="BI51" s="250"/>
      <c r="BJ51" s="250"/>
      <c r="BK51" s="250"/>
      <c r="BL51" s="250"/>
      <c r="BM51" s="250"/>
      <c r="BN51" s="250"/>
      <c r="BO51" s="250"/>
      <c r="BP51" s="250"/>
      <c r="BQ51" s="250"/>
      <c r="BR51" s="250"/>
      <c r="BS51" s="250"/>
      <c r="BT51" s="250"/>
      <c r="BU51" s="250"/>
      <c r="BV51" s="250"/>
      <c r="BW51" s="250"/>
      <c r="BX51" s="250"/>
      <c r="BY51" s="250"/>
      <c r="BZ51" s="250"/>
    </row>
    <row r="52" spans="1:78" x14ac:dyDescent="0.25">
      <c r="A52" s="14" t="s">
        <v>471</v>
      </c>
      <c r="B52" s="220">
        <f t="shared" ref="B52" si="187">(F52+J52)/2</f>
        <v>27.528244243235218</v>
      </c>
      <c r="C52" s="220">
        <f t="shared" ref="C52" si="188">(G52+K52)/2</f>
        <v>30.58693804803913</v>
      </c>
      <c r="F52" s="220">
        <f>44/12*'Crops; pasture AMORTIZED'!CY66</f>
        <v>30.038167835903995</v>
      </c>
      <c r="G52" s="220">
        <f>44/12*'Crops; pasture AMORTIZED'!CZ66</f>
        <v>33.375742039893325</v>
      </c>
      <c r="J52" s="220">
        <f>44/12*'Crops; pasture AMORTIZED'!DK66</f>
        <v>25.018320650566441</v>
      </c>
      <c r="K52" s="220">
        <f>44/12*'Crops; pasture AMORTIZED'!DL66</f>
        <v>27.798134056184935</v>
      </c>
      <c r="N52" s="220">
        <f t="shared" ref="N52" si="189">(R52+V52)/2</f>
        <v>29.921273818388542</v>
      </c>
      <c r="O52" s="220">
        <f t="shared" ref="O52" si="190">(S52+W52)/2</f>
        <v>33.245859798209487</v>
      </c>
      <c r="Q52" s="220"/>
      <c r="R52" s="220">
        <f>44/12*'Crops; pasture AMORTIZED'!DC66</f>
        <v>32.663585382246069</v>
      </c>
      <c r="S52" s="220">
        <f>44/12*'Crops; pasture AMORTIZED'!DD66</f>
        <v>36.292872646940069</v>
      </c>
      <c r="T52" s="221"/>
      <c r="U52" s="221"/>
      <c r="V52" s="189">
        <f>44/12*'Crops; pasture AMORTIZED'!DO66</f>
        <v>27.178962254531012</v>
      </c>
      <c r="W52" s="189">
        <f>44/12*'Crops; pasture AMORTIZED'!DP66</f>
        <v>30.198846949478902</v>
      </c>
      <c r="Z52" s="220">
        <f t="shared" ref="Z52" si="191">(AD52+AH52)/2</f>
        <v>9.872820170903136</v>
      </c>
      <c r="AA52" s="220">
        <f t="shared" ref="AA52" si="192">(AE52+AI52)/2</f>
        <v>10.969800189892371</v>
      </c>
      <c r="AD52" s="220">
        <f>44/12*'Crops; pasture AMORTIZED'!DG66</f>
        <v>10.673892445770166</v>
      </c>
      <c r="AE52" s="220">
        <f>44/12*'Crops; pasture AMORTIZED'!DH66</f>
        <v>11.859880495300182</v>
      </c>
      <c r="AH52" s="220">
        <f>44/12*'Crops; pasture AMORTIZED'!DS66</f>
        <v>9.0717478960361042</v>
      </c>
      <c r="AI52" s="220">
        <f>44/12*'Crops; pasture AMORTIZED'!DT66</f>
        <v>10.079719884484559</v>
      </c>
      <c r="AL52" s="407">
        <f>'Crops; pasture AMORTIZED'!EJ66</f>
        <v>1.713860420095165</v>
      </c>
      <c r="AM52" s="407">
        <f>'Crops; pasture AMORTIZED'!EK66</f>
        <v>1.9042893556612945</v>
      </c>
      <c r="AN52" s="296"/>
      <c r="AO52" s="314"/>
      <c r="AP52" s="194">
        <f>'Crops; pasture AMORTIZED'!FR66</f>
        <v>0.68300884288000008</v>
      </c>
      <c r="AQ52" s="194">
        <f>'Crops; pasture AMORTIZED'!FS66</f>
        <v>0.75889871431111122</v>
      </c>
      <c r="AR52" s="193"/>
      <c r="AS52" s="189"/>
      <c r="AT52" s="189">
        <f t="shared" ref="AT52:AT55" si="193">B52+AL52+AP52</f>
        <v>29.925113506210383</v>
      </c>
      <c r="AU52" s="189">
        <f t="shared" ref="AU52:AU55" si="194">C52+AM52+AQ52</f>
        <v>33.250126118011529</v>
      </c>
      <c r="AV52" s="188"/>
      <c r="AW52" s="189"/>
      <c r="AX52" s="189">
        <f t="shared" ref="AX52:AX55" si="195">F52+AL52+AP52</f>
        <v>32.435037098879164</v>
      </c>
      <c r="AY52" s="189">
        <f t="shared" ref="AY52:AY55" si="196">G52+AM52+AQ52</f>
        <v>36.038930109865724</v>
      </c>
      <c r="AZ52" s="188"/>
      <c r="BA52" s="189"/>
      <c r="BB52" s="250"/>
      <c r="BC52" s="250"/>
      <c r="BD52" s="250"/>
      <c r="BE52" s="250"/>
      <c r="BF52" s="250"/>
      <c r="BG52" s="250"/>
      <c r="BH52" s="250"/>
      <c r="BI52" s="250"/>
      <c r="BJ52" s="192"/>
      <c r="BK52" s="192"/>
      <c r="BL52" s="250"/>
      <c r="BM52" s="250"/>
      <c r="BN52" s="250"/>
      <c r="BO52" s="250"/>
      <c r="BP52" s="250"/>
      <c r="BQ52" s="250"/>
      <c r="BR52" s="250"/>
      <c r="BS52" s="250"/>
      <c r="BT52" s="250"/>
      <c r="BU52" s="250"/>
      <c r="BV52" s="250"/>
      <c r="BW52" s="250"/>
      <c r="BX52" s="250"/>
      <c r="BY52" s="250"/>
      <c r="BZ52" s="250"/>
    </row>
    <row r="53" spans="1:78" x14ac:dyDescent="0.25">
      <c r="A53" s="14" t="s">
        <v>473</v>
      </c>
      <c r="B53" s="220">
        <f t="shared" ref="B53:B55" si="197">(F53+J53)/2</f>
        <v>13.523291169227084</v>
      </c>
      <c r="C53" s="220">
        <f t="shared" ref="C53:C55" si="198">(G53+K53)/2</f>
        <v>15.025879076918983</v>
      </c>
      <c r="F53" s="220">
        <f>44/12*'Crops; pasture AMORTIZED'!CY67</f>
        <v>15.951611264016538</v>
      </c>
      <c r="G53" s="220">
        <f>44/12*'Crops; pasture AMORTIZED'!CZ67</f>
        <v>17.724012515573932</v>
      </c>
      <c r="J53" s="220">
        <f>44/12*'Crops; pasture AMORTIZED'!DK67</f>
        <v>11.09497107443763</v>
      </c>
      <c r="K53" s="220">
        <f>44/12*'Crops; pasture AMORTIZED'!DL67</f>
        <v>12.327745638264032</v>
      </c>
      <c r="N53" s="220">
        <f t="shared" ref="N53:N55" si="199">(R53+V53)/2</f>
        <v>13.682516974780405</v>
      </c>
      <c r="O53" s="220">
        <f t="shared" ref="O53:O55" si="200">(S53+W53)/2</f>
        <v>15.202796638644895</v>
      </c>
      <c r="Q53" s="220"/>
      <c r="R53" s="220">
        <f>44/12*'Crops; pasture AMORTIZED'!DC67</f>
        <v>16.165285657579506</v>
      </c>
      <c r="S53" s="220">
        <f>44/12*'Crops; pasture AMORTIZED'!DD67</f>
        <v>17.961428508421672</v>
      </c>
      <c r="T53" s="221"/>
      <c r="U53" s="221"/>
      <c r="V53" s="189">
        <f>44/12*'Crops; pasture AMORTIZED'!DO67</f>
        <v>11.199748291981303</v>
      </c>
      <c r="W53" s="189">
        <f>44/12*'Crops; pasture AMORTIZED'!DP67</f>
        <v>12.444164768868115</v>
      </c>
      <c r="Z53" s="220">
        <f t="shared" ref="Z53:Z55" si="201">(AD53+AH53)/2</f>
        <v>10.117637932625033</v>
      </c>
      <c r="AA53" s="220">
        <f t="shared" ref="AA53:AA55" si="202">(AE53+AI53)/2</f>
        <v>11.241819925138927</v>
      </c>
      <c r="AD53" s="220">
        <f>44/12*'Crops; pasture AMORTIZED'!DG67</f>
        <v>11.376845644306361</v>
      </c>
      <c r="AE53" s="220">
        <f>44/12*'Crops; pasture AMORTIZED'!DH67</f>
        <v>12.640939604784846</v>
      </c>
      <c r="AH53" s="220">
        <f>44/12*'Crops; pasture AMORTIZED'!DS67</f>
        <v>8.8584302209437062</v>
      </c>
      <c r="AI53" s="220">
        <f>44/12*'Crops; pasture AMORTIZED'!DT67</f>
        <v>9.8427002454930062</v>
      </c>
      <c r="AL53" s="407">
        <f>'Crops; pasture AMORTIZED'!EJ67</f>
        <v>0.30139527182320447</v>
      </c>
      <c r="AM53" s="407">
        <f>'Crops; pasture AMORTIZED'!EK67</f>
        <v>0.33488363535911608</v>
      </c>
      <c r="AN53" s="296"/>
      <c r="AO53" s="314"/>
      <c r="AP53" s="194">
        <f>'Crops; pasture AMORTIZED'!FR67</f>
        <v>0.96260806339999994</v>
      </c>
      <c r="AQ53" s="194">
        <f>'Crops; pasture AMORTIZED'!FS67</f>
        <v>1.0695645148888888</v>
      </c>
      <c r="AR53" s="193"/>
      <c r="AS53" s="189"/>
      <c r="AT53" s="189">
        <f t="shared" si="193"/>
        <v>14.787294504450289</v>
      </c>
      <c r="AU53" s="189">
        <f t="shared" si="194"/>
        <v>16.430327227166988</v>
      </c>
      <c r="AV53" s="188"/>
      <c r="AW53" s="189"/>
      <c r="AX53" s="189">
        <f t="shared" si="195"/>
        <v>17.215614599239743</v>
      </c>
      <c r="AY53" s="189">
        <f t="shared" si="196"/>
        <v>19.128460665821937</v>
      </c>
      <c r="AZ53" s="188"/>
      <c r="BA53" s="189"/>
      <c r="BB53" s="250"/>
      <c r="BC53" s="250"/>
      <c r="BD53" s="250"/>
      <c r="BE53" s="250"/>
      <c r="BF53" s="250"/>
      <c r="BG53" s="250"/>
      <c r="BH53" s="250"/>
      <c r="BI53" s="250"/>
      <c r="BJ53" s="192"/>
      <c r="BK53" s="192"/>
      <c r="BL53" s="250"/>
      <c r="BM53" s="250"/>
      <c r="BN53" s="250"/>
      <c r="BO53" s="250"/>
      <c r="BP53" s="250"/>
      <c r="BQ53" s="250"/>
      <c r="BR53" s="250"/>
      <c r="BS53" s="250"/>
      <c r="BT53" s="250"/>
      <c r="BU53" s="250"/>
      <c r="BV53" s="250"/>
      <c r="BW53" s="250"/>
      <c r="BX53" s="250"/>
      <c r="BY53" s="250"/>
      <c r="BZ53" s="250"/>
    </row>
    <row r="54" spans="1:78" x14ac:dyDescent="0.25">
      <c r="A54" s="14" t="s">
        <v>472</v>
      </c>
      <c r="B54" s="220">
        <f t="shared" si="197"/>
        <v>36.678800801371295</v>
      </c>
      <c r="C54" s="220">
        <f t="shared" si="198"/>
        <v>39.868261740620973</v>
      </c>
      <c r="F54" s="220">
        <f>44/12*'Crops; pasture AMORTIZED'!CY68</f>
        <v>38.713701519347048</v>
      </c>
      <c r="G54" s="220">
        <f>44/12*'Crops; pasture AMORTIZED'!CZ68</f>
        <v>42.080110347116353</v>
      </c>
      <c r="J54" s="220">
        <f>44/12*'Crops; pasture AMORTIZED'!DK68</f>
        <v>34.64390008339555</v>
      </c>
      <c r="K54" s="220">
        <f>44/12*'Crops; pasture AMORTIZED'!DL68</f>
        <v>37.656413134125593</v>
      </c>
      <c r="N54" s="220">
        <f t="shared" si="199"/>
        <v>36.759862917563837</v>
      </c>
      <c r="O54" s="220">
        <f t="shared" si="200"/>
        <v>39.956372736482436</v>
      </c>
      <c r="Q54" s="220"/>
      <c r="R54" s="220">
        <f>44/12*'Crops; pasture AMORTIZED'!DC68</f>
        <v>38.804601629206537</v>
      </c>
      <c r="S54" s="220">
        <f>44/12*'Crops; pasture AMORTIZED'!DD68</f>
        <v>42.178914814354933</v>
      </c>
      <c r="T54" s="221"/>
      <c r="U54" s="221"/>
      <c r="V54" s="189">
        <f>44/12*'Crops; pasture AMORTIZED'!DO68</f>
        <v>34.715124205921136</v>
      </c>
      <c r="W54" s="189">
        <f>44/12*'Crops; pasture AMORTIZED'!DP68</f>
        <v>37.733830658609932</v>
      </c>
      <c r="Z54" s="220">
        <f t="shared" si="201"/>
        <v>30.39995347151492</v>
      </c>
      <c r="AA54" s="220">
        <f t="shared" si="202"/>
        <v>33.043427686429261</v>
      </c>
      <c r="AD54" s="220">
        <f>44/12*'Crops; pasture AMORTIZED'!DG68</f>
        <v>31.65745632367932</v>
      </c>
      <c r="AE54" s="220">
        <f>44/12*'Crops; pasture AMORTIZED'!DH68</f>
        <v>34.41027861269491</v>
      </c>
      <c r="AH54" s="220">
        <f>44/12*'Crops; pasture AMORTIZED'!DS68</f>
        <v>29.142450619350523</v>
      </c>
      <c r="AI54" s="220">
        <f>44/12*'Crops; pasture AMORTIZED'!DT68</f>
        <v>31.676576760163609</v>
      </c>
      <c r="AL54" s="407">
        <f>'Crops; pasture AMORTIZED'!EJ68</f>
        <v>1.8616003922432789</v>
      </c>
      <c r="AM54" s="407">
        <f>'Crops; pasture AMORTIZED'!EK68</f>
        <v>2.0234786872209551</v>
      </c>
      <c r="AN54" s="296"/>
      <c r="AO54" s="314"/>
      <c r="AP54" s="194">
        <f>'Crops; pasture AMORTIZED'!FR68</f>
        <v>0.68300884288000008</v>
      </c>
      <c r="AQ54" s="194">
        <f>'Crops; pasture AMORTIZED'!FS68</f>
        <v>0.74240091617391313</v>
      </c>
      <c r="AR54" s="193"/>
      <c r="AS54" s="189"/>
      <c r="AT54" s="189">
        <f t="shared" si="193"/>
        <v>39.22341003649457</v>
      </c>
      <c r="AU54" s="189">
        <f t="shared" si="194"/>
        <v>42.634141344015845</v>
      </c>
      <c r="AV54" s="188"/>
      <c r="AW54" s="189"/>
      <c r="AX54" s="189">
        <f t="shared" si="195"/>
        <v>41.25831075447033</v>
      </c>
      <c r="AY54" s="189">
        <f t="shared" si="196"/>
        <v>44.845989950511225</v>
      </c>
      <c r="AZ54" s="188"/>
      <c r="BA54" s="189"/>
      <c r="BB54" s="250"/>
      <c r="BC54" s="250"/>
      <c r="BD54" s="250"/>
      <c r="BE54" s="250"/>
      <c r="BF54" s="250"/>
      <c r="BG54" s="250"/>
      <c r="BH54" s="250"/>
      <c r="BI54" s="250"/>
      <c r="BJ54" s="192"/>
      <c r="BK54" s="192"/>
      <c r="BL54" s="250"/>
      <c r="BM54" s="250"/>
      <c r="BN54" s="250"/>
      <c r="BO54" s="250"/>
      <c r="BP54" s="250"/>
      <c r="BQ54" s="250"/>
      <c r="BR54" s="250"/>
      <c r="BS54" s="250"/>
      <c r="BT54" s="250"/>
      <c r="BU54" s="250"/>
      <c r="BV54" s="250"/>
      <c r="BW54" s="250"/>
      <c r="BX54" s="250"/>
      <c r="BY54" s="250"/>
      <c r="BZ54" s="250"/>
    </row>
    <row r="55" spans="1:78" x14ac:dyDescent="0.25">
      <c r="A55" s="243" t="s">
        <v>347</v>
      </c>
      <c r="B55" s="220">
        <f t="shared" si="197"/>
        <v>3.4387346331435107</v>
      </c>
      <c r="C55" s="220">
        <f t="shared" si="198"/>
        <v>3.7788292671906714</v>
      </c>
      <c r="F55" s="220">
        <f>44/12*'Crops; pasture AMORTIZED'!CY69</f>
        <v>2.9178666190127505</v>
      </c>
      <c r="G55" s="220">
        <f>44/12*'Crops; pasture AMORTIZED'!CZ69</f>
        <v>3.2064468340799457</v>
      </c>
      <c r="J55" s="220">
        <f>44/12*'Crops; pasture AMORTIZED'!DK69</f>
        <v>3.9596026472742709</v>
      </c>
      <c r="K55" s="220">
        <f>44/12*'Crops; pasture AMORTIZED'!DL69</f>
        <v>4.3512117003013966</v>
      </c>
      <c r="N55" s="220">
        <f t="shared" si="199"/>
        <v>6.5737174373654064</v>
      </c>
      <c r="O55" s="220">
        <f t="shared" si="200"/>
        <v>7.2238653157861616</v>
      </c>
      <c r="Q55" s="220"/>
      <c r="R55" s="220">
        <f>44/12*'Crops; pasture AMORTIZED'!DC69</f>
        <v>5.5157953007745339</v>
      </c>
      <c r="S55" s="220">
        <f>44/12*'Crops; pasture AMORTIZED'!DD69</f>
        <v>6.0613135173346526</v>
      </c>
      <c r="T55" s="221"/>
      <c r="U55" s="221"/>
      <c r="V55" s="189">
        <f>44/12*'Crops; pasture AMORTIZED'!DO69</f>
        <v>7.6316395739562797</v>
      </c>
      <c r="W55" s="189">
        <f>44/12*'Crops; pasture AMORTIZED'!DP69</f>
        <v>8.3864171142376698</v>
      </c>
      <c r="Z55" s="220">
        <f t="shared" si="201"/>
        <v>1.6019457835738939</v>
      </c>
      <c r="AA55" s="220">
        <f t="shared" si="202"/>
        <v>1.760379981949334</v>
      </c>
      <c r="AD55" s="220">
        <f>44/12*'Crops; pasture AMORTIZED'!DG69</f>
        <v>1.3952935833621707</v>
      </c>
      <c r="AE55" s="220">
        <f>44/12*'Crops; pasture AMORTIZED'!DH69</f>
        <v>1.5332896520463413</v>
      </c>
      <c r="AH55" s="220">
        <f>44/12*'Crops; pasture AMORTIZED'!DS69</f>
        <v>1.8085979837856174</v>
      </c>
      <c r="AI55" s="220">
        <f>44/12*'Crops; pasture AMORTIZED'!DT69</f>
        <v>1.9874703118523267</v>
      </c>
      <c r="AL55" s="407">
        <f>'Crops; pasture AMORTIZED'!EJ69</f>
        <v>8.4335721807065236E-2</v>
      </c>
      <c r="AM55" s="407">
        <f>'Crops; pasture AMORTIZED'!EK69</f>
        <v>9.2676617370401351E-2</v>
      </c>
      <c r="AN55" s="296"/>
      <c r="AO55" s="314"/>
      <c r="AP55" s="194">
        <f>'Crops; pasture AMORTIZED'!FR69</f>
        <v>1.1236187909400002</v>
      </c>
      <c r="AQ55" s="194">
        <f>'Crops; pasture AMORTIZED'!FS69</f>
        <v>1.2347459241098901</v>
      </c>
      <c r="AR55" s="193"/>
      <c r="AS55" s="189"/>
      <c r="AT55" s="189">
        <f t="shared" si="193"/>
        <v>4.6466891458905764</v>
      </c>
      <c r="AU55" s="189">
        <f t="shared" si="194"/>
        <v>5.1062518086709634</v>
      </c>
      <c r="AV55" s="188"/>
      <c r="AW55" s="189"/>
      <c r="AX55" s="189">
        <f t="shared" si="195"/>
        <v>4.1258211317598157</v>
      </c>
      <c r="AY55" s="189">
        <f t="shared" si="196"/>
        <v>4.5338693755602373</v>
      </c>
      <c r="AZ55" s="188"/>
      <c r="BA55" s="189"/>
      <c r="BB55" s="250"/>
      <c r="BC55" s="250"/>
      <c r="BD55" s="250"/>
      <c r="BE55" s="250"/>
      <c r="BF55" s="250"/>
      <c r="BG55" s="250"/>
      <c r="BH55" s="250"/>
      <c r="BI55" s="250"/>
      <c r="BJ55" s="192"/>
      <c r="BK55" s="192"/>
      <c r="BL55" s="250"/>
      <c r="BM55" s="250"/>
      <c r="BN55" s="250"/>
      <c r="BO55" s="250"/>
      <c r="BP55" s="250"/>
      <c r="BQ55" s="250"/>
      <c r="BR55" s="250"/>
      <c r="BS55" s="250"/>
      <c r="BT55" s="250"/>
      <c r="BU55" s="250"/>
      <c r="BV55" s="250"/>
      <c r="BW55" s="250"/>
      <c r="BX55" s="250"/>
      <c r="BY55" s="250"/>
      <c r="BZ55" s="250"/>
    </row>
    <row r="56" spans="1:78" x14ac:dyDescent="0.25">
      <c r="BB56" s="250"/>
      <c r="BC56" s="250"/>
      <c r="BD56" s="250"/>
      <c r="BE56" s="250"/>
      <c r="BF56" s="250"/>
      <c r="BG56" s="250"/>
      <c r="BH56" s="250"/>
      <c r="BI56" s="250"/>
      <c r="BJ56" s="250"/>
      <c r="BK56" s="250"/>
      <c r="BL56" s="250"/>
      <c r="BM56" s="250"/>
      <c r="BN56" s="250"/>
      <c r="BO56" s="250"/>
      <c r="BP56" s="250"/>
      <c r="BQ56" s="250"/>
      <c r="BR56" s="250"/>
      <c r="BS56" s="250"/>
      <c r="BT56" s="250"/>
      <c r="BU56" s="250"/>
      <c r="BV56" s="250"/>
      <c r="BW56" s="250"/>
      <c r="BX56" s="250"/>
      <c r="BY56" s="250"/>
      <c r="BZ56" s="250"/>
    </row>
    <row r="57" spans="1:78" x14ac:dyDescent="0.25">
      <c r="BB57" s="250"/>
      <c r="BC57" s="250"/>
      <c r="BD57" s="250"/>
      <c r="BE57" s="250"/>
      <c r="BF57" s="250"/>
      <c r="BG57" s="250"/>
      <c r="BH57" s="250"/>
      <c r="BI57" s="250"/>
      <c r="BJ57" s="250"/>
      <c r="BK57" s="250"/>
      <c r="BL57" s="250"/>
      <c r="BM57" s="250"/>
      <c r="BN57" s="250"/>
      <c r="BO57" s="250"/>
      <c r="BP57" s="250"/>
      <c r="BQ57" s="250"/>
      <c r="BR57" s="250"/>
      <c r="BS57" s="250"/>
      <c r="BT57" s="250"/>
      <c r="BU57" s="250"/>
      <c r="BV57" s="250"/>
      <c r="BW57" s="250"/>
      <c r="BX57" s="250"/>
      <c r="BY57" s="250"/>
      <c r="BZ57" s="250"/>
    </row>
    <row r="58" spans="1:78" ht="14.4" x14ac:dyDescent="0.3">
      <c r="A58" s="245" t="s">
        <v>422</v>
      </c>
      <c r="B58" s="230"/>
      <c r="C58" s="230"/>
      <c r="D58" s="230"/>
      <c r="E58" s="230"/>
      <c r="F58" s="230"/>
      <c r="G58" s="230"/>
      <c r="H58" s="230"/>
      <c r="I58" s="230"/>
      <c r="J58" s="230"/>
      <c r="K58" s="230"/>
      <c r="L58" s="230"/>
      <c r="M58" s="230"/>
      <c r="N58" s="230"/>
      <c r="O58" s="230"/>
      <c r="P58" s="230"/>
      <c r="Q58" s="230"/>
      <c r="R58" s="232"/>
      <c r="S58" s="232"/>
      <c r="T58" s="230"/>
      <c r="U58" s="230"/>
      <c r="V58" s="232"/>
      <c r="W58" s="232"/>
      <c r="X58" s="230"/>
      <c r="Y58" s="230"/>
      <c r="Z58" s="230"/>
      <c r="AA58" s="230"/>
      <c r="AB58" s="230"/>
      <c r="AC58" s="230"/>
      <c r="AD58" s="230"/>
      <c r="AE58" s="230"/>
      <c r="AF58" s="230"/>
      <c r="AG58" s="230"/>
      <c r="AH58" s="230"/>
      <c r="AI58" s="230"/>
      <c r="AJ58" s="230"/>
      <c r="AK58" s="230"/>
      <c r="AL58" s="230"/>
      <c r="AM58" s="230"/>
      <c r="AN58" s="230"/>
      <c r="AO58" s="230"/>
      <c r="AP58" s="232"/>
      <c r="AQ58" s="231"/>
      <c r="AR58" s="231"/>
      <c r="AS58" s="231"/>
      <c r="AT58" s="231"/>
      <c r="AU58" s="231"/>
      <c r="AV58" s="231"/>
      <c r="AW58" s="231"/>
      <c r="AX58" s="231"/>
      <c r="AY58" s="231"/>
      <c r="AZ58" s="231"/>
      <c r="BA58" s="231"/>
      <c r="BB58" s="250"/>
      <c r="BC58" s="250"/>
      <c r="BD58" s="250"/>
      <c r="BE58" s="250"/>
      <c r="BF58" s="250"/>
      <c r="BG58" s="250"/>
      <c r="BH58" s="250"/>
      <c r="BI58" s="250"/>
      <c r="BJ58" s="250"/>
      <c r="BK58" s="250"/>
      <c r="BL58" s="250"/>
      <c r="BM58" s="250"/>
      <c r="BN58" s="250"/>
      <c r="BO58" s="250"/>
      <c r="BP58" s="250"/>
      <c r="BQ58" s="250"/>
      <c r="BR58" s="250"/>
      <c r="BS58" s="250"/>
      <c r="BT58" s="250"/>
      <c r="BU58" s="250"/>
      <c r="BV58" s="250"/>
      <c r="BW58" s="250"/>
      <c r="BX58" s="250"/>
      <c r="BY58" s="250"/>
      <c r="BZ58" s="250"/>
    </row>
    <row r="59" spans="1:78" x14ac:dyDescent="0.25">
      <c r="A59" s="186"/>
      <c r="BB59" s="250"/>
      <c r="BC59" s="250"/>
      <c r="BD59" s="250"/>
      <c r="BE59" s="250"/>
      <c r="BF59" s="250"/>
      <c r="BG59" s="250"/>
      <c r="BH59" s="250"/>
      <c r="BI59" s="250"/>
      <c r="BJ59" s="250"/>
      <c r="BK59" s="250"/>
      <c r="BL59" s="250"/>
      <c r="BM59" s="250"/>
      <c r="BN59" s="250"/>
      <c r="BO59" s="250"/>
      <c r="BP59" s="250"/>
      <c r="BQ59" s="250"/>
      <c r="BR59" s="250"/>
      <c r="BS59" s="250"/>
      <c r="BT59" s="250"/>
      <c r="BU59" s="250"/>
      <c r="BV59" s="250"/>
      <c r="BW59" s="250"/>
      <c r="BX59" s="250"/>
      <c r="BY59" s="250"/>
      <c r="BZ59" s="250"/>
    </row>
    <row r="60" spans="1:78" ht="13.8" x14ac:dyDescent="0.3">
      <c r="A60" s="190" t="s">
        <v>446</v>
      </c>
      <c r="BB60" s="250"/>
      <c r="BC60" s="250"/>
      <c r="BD60" s="250"/>
      <c r="BE60" s="250"/>
      <c r="BF60" s="250"/>
      <c r="BG60" s="250"/>
      <c r="BH60" s="250"/>
      <c r="BI60" s="250"/>
      <c r="BJ60" s="250"/>
      <c r="BK60" s="250"/>
      <c r="BL60" s="250"/>
      <c r="BM60" s="250"/>
      <c r="BN60" s="250"/>
      <c r="BO60" s="250"/>
      <c r="BP60" s="250"/>
      <c r="BQ60" s="250"/>
      <c r="BR60" s="250"/>
      <c r="BS60" s="250"/>
      <c r="BT60" s="250"/>
      <c r="BU60" s="250"/>
      <c r="BV60" s="250"/>
      <c r="BW60" s="250"/>
      <c r="BX60" s="250"/>
      <c r="BY60" s="250"/>
      <c r="BZ60" s="250"/>
    </row>
    <row r="61" spans="1:78" x14ac:dyDescent="0.25">
      <c r="A61" s="186"/>
      <c r="BB61" s="250"/>
      <c r="BC61" s="250"/>
      <c r="BD61" s="250"/>
      <c r="BE61" s="250"/>
      <c r="BF61" s="250"/>
      <c r="BG61" s="250"/>
      <c r="BH61" s="250"/>
      <c r="BI61" s="250"/>
      <c r="BJ61" s="250"/>
      <c r="BK61" s="250"/>
      <c r="BL61" s="250"/>
      <c r="BM61" s="250"/>
      <c r="BN61" s="250"/>
      <c r="BO61" s="250"/>
      <c r="BP61" s="250"/>
      <c r="BQ61" s="250"/>
      <c r="BR61" s="250"/>
      <c r="BS61" s="250"/>
      <c r="BT61" s="250"/>
      <c r="BU61" s="250"/>
      <c r="BV61" s="250"/>
      <c r="BW61" s="250"/>
      <c r="BX61" s="250"/>
      <c r="BY61" s="250"/>
      <c r="BZ61" s="250"/>
    </row>
    <row r="62" spans="1:78" ht="13.8" x14ac:dyDescent="0.3">
      <c r="A62" s="206" t="s">
        <v>433</v>
      </c>
      <c r="BB62" s="250"/>
      <c r="BC62" s="250"/>
      <c r="BD62" s="250"/>
      <c r="BE62" s="250"/>
      <c r="BF62" s="250"/>
      <c r="BG62" s="250"/>
      <c r="BH62" s="250"/>
      <c r="BI62" s="250"/>
      <c r="BJ62" s="250"/>
      <c r="BK62" s="250"/>
      <c r="BL62" s="250"/>
      <c r="BM62" s="250"/>
      <c r="BN62" s="250"/>
      <c r="BO62" s="250"/>
      <c r="BP62" s="250"/>
      <c r="BQ62" s="250"/>
      <c r="BR62" s="250"/>
      <c r="BS62" s="250"/>
      <c r="BT62" s="250"/>
      <c r="BU62" s="250"/>
      <c r="BV62" s="250"/>
      <c r="BW62" s="250"/>
      <c r="BX62" s="250"/>
      <c r="BY62" s="250"/>
      <c r="BZ62" s="250"/>
    </row>
    <row r="63" spans="1:78" x14ac:dyDescent="0.25">
      <c r="A63" s="191" t="s">
        <v>164</v>
      </c>
      <c r="B63" s="220">
        <f t="shared" ref="B63" si="203">(F63+J63)/2</f>
        <v>2.2759137434383625</v>
      </c>
      <c r="C63" s="220">
        <f t="shared" ref="C63" si="204">(G63+K63)/2</f>
        <v>2.6159928085498421</v>
      </c>
      <c r="D63" s="306">
        <f t="shared" ref="D63" si="205">(H63+L63)/2</f>
        <v>163.49955053436514</v>
      </c>
      <c r="E63" s="221">
        <f t="shared" ref="E63" si="206">(I63+M63)/2</f>
        <v>30.068882856894739</v>
      </c>
      <c r="F63" s="189">
        <f>44/12*'Crops proc. &amp; prod. AMORTIZED'!BV44</f>
        <v>2.3498447501372</v>
      </c>
      <c r="G63" s="189">
        <f>44/12*'Crops proc. &amp; prod. AMORTIZED'!BW44</f>
        <v>2.7009709771691957</v>
      </c>
      <c r="H63" s="188">
        <f>44/12*'Crops proc. &amp; prod. AMORTIZED'!BX44</f>
        <v>168.81068607307472</v>
      </c>
      <c r="I63" s="188">
        <f>44/12*'Crops proc. &amp; prod. AMORTIZED'!BY44</f>
        <v>31.045643415737878</v>
      </c>
      <c r="J63" s="192">
        <f>44/12*'Crops proc. &amp; prod. AMORTIZED'!DL44</f>
        <v>2.201982736739525</v>
      </c>
      <c r="K63" s="192">
        <f>44/12*'Crops proc. &amp; prod. AMORTIZED'!DM44</f>
        <v>2.5310146399304885</v>
      </c>
      <c r="L63" s="193">
        <f>44/12*'Crops proc. &amp; prod. AMORTIZED'!DN44</f>
        <v>158.18841499565553</v>
      </c>
      <c r="M63" s="193">
        <f>44/12*'Crops proc. &amp; prod. AMORTIZED'!DO44</f>
        <v>29.092122298051596</v>
      </c>
      <c r="N63" s="220">
        <f t="shared" ref="N63" si="207">(R63+V63)/2</f>
        <v>2.6827251347463825</v>
      </c>
      <c r="O63" s="220">
        <f t="shared" ref="O63" si="208">(S63+W63)/2</f>
        <v>3.083592108903888</v>
      </c>
      <c r="P63" s="305">
        <f t="shared" ref="P63" si="209">(T63+X63)/2</f>
        <v>192.72450680649297</v>
      </c>
      <c r="Q63" s="221">
        <f t="shared" ref="Q63" si="210">(U63+Y63)/2</f>
        <v>35.443587458665377</v>
      </c>
      <c r="R63" s="189">
        <f>44/12*'Crops proc. &amp; prod. AMORTIZED'!CJ44</f>
        <v>2.804398247634317</v>
      </c>
      <c r="S63" s="189">
        <f>44/12*'Crops proc. &amp; prod. AMORTIZED'!CK44</f>
        <v>3.2234462616486406</v>
      </c>
      <c r="T63" s="193">
        <f>44/12*'Crops proc. &amp; prod. AMORTIZED'!CL44</f>
        <v>201.46539135304002</v>
      </c>
      <c r="U63" s="193">
        <f>44/12*'Crops proc. &amp; prod. AMORTIZED'!CM44</f>
        <v>37.0511064557315</v>
      </c>
      <c r="V63" s="192">
        <f>44/12*'Crops proc. &amp; prod. AMORTIZED'!DZ44</f>
        <v>2.5610520218584476</v>
      </c>
      <c r="W63" s="192">
        <f>44/12*'Crops proc. &amp; prod. AMORTIZED'!EA44</f>
        <v>2.943737956159135</v>
      </c>
      <c r="X63" s="193">
        <f>44/12*'Crops proc. &amp; prod. AMORTIZED'!EB44</f>
        <v>183.98362225994595</v>
      </c>
      <c r="Y63" s="188">
        <f>44/12*'Crops proc. &amp; prod. AMORTIZED'!EC44</f>
        <v>33.836068461599254</v>
      </c>
      <c r="Z63" s="220">
        <f t="shared" ref="Z63" si="211">(AD63+AH63)/2</f>
        <v>1.0288324705140115</v>
      </c>
      <c r="AA63" s="220">
        <f t="shared" ref="AA63" si="212">(AE63+AI63)/2</f>
        <v>1.1825660580620823</v>
      </c>
      <c r="AB63" s="305">
        <f t="shared" ref="AB63" si="213">(AF63+AJ63)/2</f>
        <v>73.910378628880139</v>
      </c>
      <c r="AC63" s="220">
        <f t="shared" ref="AC63" si="214">(AG63+AK63)/2</f>
        <v>13.592713311058418</v>
      </c>
      <c r="AD63" s="189">
        <f>44/12*'Crops proc. &amp; prod. AMORTIZED'!CX44</f>
        <v>0.95613118803138797</v>
      </c>
      <c r="AE63" s="189">
        <f>44/12*'Crops proc. &amp; prod. AMORTIZED'!CY44</f>
        <v>1.0990013655533195</v>
      </c>
      <c r="AF63" s="188">
        <f>44/12*'Crops proc. &amp; prod. AMORTIZED'!CZ44</f>
        <v>68.687585347082475</v>
      </c>
      <c r="AG63" s="188">
        <f>44/12*'Crops proc. &amp; prod. AMORTIZED'!DA44</f>
        <v>12.632199604061146</v>
      </c>
      <c r="AH63" s="189">
        <f>44/12*'Crops proc. &amp; prod. AMORTIZED'!EN44</f>
        <v>1.1015337529966349</v>
      </c>
      <c r="AI63" s="189">
        <f>44/12*'Crops proc. &amp; prod. AMORTIZED'!EO44</f>
        <v>1.2661307505708448</v>
      </c>
      <c r="AJ63" s="188">
        <f>44/12*'Crops proc. &amp; prod. AMORTIZED'!EP44</f>
        <v>79.133171910677802</v>
      </c>
      <c r="AK63" s="188">
        <f>44/12*'Crops proc. &amp; prod. AMORTIZED'!EQ44</f>
        <v>14.553227018055688</v>
      </c>
      <c r="AL63" s="194">
        <f>'Crops proc. &amp; prod. AMORTIZED'!GY44</f>
        <v>0.1047888626988603</v>
      </c>
      <c r="AM63" s="194">
        <f>'Crops proc. &amp; prod. AMORTIZED'!GZ44</f>
        <v>0.12044696861937966</v>
      </c>
      <c r="AN63" s="226">
        <f>'Crops proc. &amp; prod. AMORTIZED'!HA44</f>
        <v>7.5279355387112288</v>
      </c>
      <c r="AO63" s="189">
        <f>'Crops proc. &amp; prod. AMORTIZED'!HB44</f>
        <v>1.3844479151652835</v>
      </c>
      <c r="AP63" s="194">
        <f>'Crops proc. &amp; prod. AMORTIZED'!IV44</f>
        <v>0.43593657141503528</v>
      </c>
      <c r="AQ63" s="194">
        <f>'Crops proc. &amp; prod. AMORTIZED'!IW44</f>
        <v>0.50107651886785665</v>
      </c>
      <c r="AR63" s="225">
        <f>'Crops proc. &amp; prod. AMORTIZED'!IX44</f>
        <v>31.31728242924104</v>
      </c>
      <c r="AS63" s="189">
        <f>'Crops proc. &amp; prod. AMORTIZED'!IY44</f>
        <v>5.759500216871916</v>
      </c>
      <c r="AT63" s="189">
        <f t="shared" ref="AT63:AT65" si="215">B63+AL63+AP63</f>
        <v>2.8166391775522581</v>
      </c>
      <c r="AU63" s="189">
        <f t="shared" ref="AU63:AU65" si="216">C63+AM63+AQ63</f>
        <v>3.2375162960370782</v>
      </c>
      <c r="AV63" s="188">
        <f t="shared" ref="AV63:AV65" si="217">D63+AN63+AR63</f>
        <v>202.34476850231741</v>
      </c>
      <c r="AW63" s="189">
        <f t="shared" ref="AW63:AW65" si="218">E63+AO63+AS63</f>
        <v>37.212830988931934</v>
      </c>
      <c r="AX63" s="189">
        <f t="shared" ref="AX63:AX65" si="219">F63+AL63+AP63</f>
        <v>2.8905701842510956</v>
      </c>
      <c r="AY63" s="189">
        <f t="shared" ref="AY63:AY65" si="220">G63+AM63+AQ63</f>
        <v>3.3224944646564318</v>
      </c>
      <c r="AZ63" s="188">
        <f t="shared" ref="AZ63:AZ65" si="221">H63+AN63+AR63</f>
        <v>207.65590404102699</v>
      </c>
      <c r="BA63" s="189">
        <f t="shared" ref="BA63:BA65" si="222">I63+AO63+AS63</f>
        <v>38.189591547775073</v>
      </c>
      <c r="BB63" s="250"/>
      <c r="BC63" s="250"/>
      <c r="BD63" s="250"/>
      <c r="BE63" s="250"/>
      <c r="BF63" s="250"/>
      <c r="BG63" s="250"/>
      <c r="BH63" s="250"/>
      <c r="BI63" s="250"/>
      <c r="BJ63" s="193"/>
      <c r="BK63" s="193"/>
      <c r="BL63" s="193"/>
      <c r="BM63" s="193"/>
      <c r="BN63" s="250"/>
      <c r="BO63" s="250"/>
      <c r="BP63" s="250"/>
      <c r="BQ63" s="250"/>
      <c r="BR63" s="250"/>
      <c r="BS63" s="250"/>
      <c r="BT63" s="250"/>
      <c r="BU63" s="250"/>
      <c r="BV63" s="290"/>
      <c r="BW63" s="250"/>
      <c r="BX63" s="250"/>
      <c r="BY63" s="250"/>
      <c r="BZ63" s="250"/>
    </row>
    <row r="64" spans="1:78" x14ac:dyDescent="0.25">
      <c r="A64" s="191" t="s">
        <v>163</v>
      </c>
      <c r="B64" s="220">
        <f t="shared" ref="B64" si="223">(F64+J64)/2</f>
        <v>2.8754082488409831</v>
      </c>
      <c r="C64" s="220">
        <f t="shared" ref="C64" si="224">(G64+K64)/2</f>
        <v>3.2675093736829353</v>
      </c>
      <c r="D64" s="306">
        <f t="shared" ref="D64" si="225">(H64+L64)/2</f>
        <v>198.03087113229913</v>
      </c>
      <c r="E64" s="221">
        <f t="shared" ref="E64" si="226">(I64+M64)/2</f>
        <v>40.843867171036692</v>
      </c>
      <c r="F64" s="189">
        <f>44/12*'Crops proc. &amp; prod. AMORTIZED'!BV49</f>
        <v>2.982834608679219</v>
      </c>
      <c r="G64" s="189">
        <f>44/12*'Crops proc. &amp; prod. AMORTIZED'!BW49</f>
        <v>3.3895847825900214</v>
      </c>
      <c r="H64" s="188">
        <f>44/12*'Crops proc. &amp; prod. AMORTIZED'!BX49</f>
        <v>205.42938076303159</v>
      </c>
      <c r="I64" s="188">
        <f>44/12*'Crops proc. &amp; prod. AMORTIZED'!BY49</f>
        <v>42.369809782375263</v>
      </c>
      <c r="J64" s="192">
        <f>44/12*'Crops proc. &amp; prod. AMORTIZED'!DL49</f>
        <v>2.7679818890027472</v>
      </c>
      <c r="K64" s="192">
        <f>44/12*'Crops proc. &amp; prod. AMORTIZED'!DM49</f>
        <v>3.1454339647758491</v>
      </c>
      <c r="L64" s="193">
        <f>44/12*'Crops proc. &amp; prod. AMORTIZED'!DN49</f>
        <v>190.63236150156663</v>
      </c>
      <c r="M64" s="193">
        <f>44/12*'Crops proc. &amp; prod. AMORTIZED'!DO49</f>
        <v>39.317924559698113</v>
      </c>
      <c r="N64" s="220">
        <f t="shared" ref="N64" si="227">(R64+V64)/2</f>
        <v>5.6498388410923983</v>
      </c>
      <c r="O64" s="220">
        <f t="shared" ref="O64" si="228">(S64+W64)/2</f>
        <v>6.4202714103322709</v>
      </c>
      <c r="P64" s="305">
        <f t="shared" ref="P64" si="229">(T64+X64)/2</f>
        <v>389.10735820195578</v>
      </c>
      <c r="Q64" s="221">
        <f t="shared" ref="Q64" si="230">(U64+Y64)/2</f>
        <v>80.253392629153382</v>
      </c>
      <c r="R64" s="189">
        <f>44/12*'Crops proc. &amp; prod. AMORTIZED'!CJ49</f>
        <v>5.7216268287671799</v>
      </c>
      <c r="S64" s="189">
        <f>44/12*'Crops proc. &amp; prod. AMORTIZED'!CK49</f>
        <v>6.5018486690536124</v>
      </c>
      <c r="T64" s="193">
        <f>44/12*'Crops proc. &amp; prod. AMORTIZED'!CL49</f>
        <v>394.05143448809775</v>
      </c>
      <c r="U64" s="193">
        <f>44/12*'Crops proc. &amp; prod. AMORTIZED'!CM49</f>
        <v>81.273108363170152</v>
      </c>
      <c r="V64" s="192">
        <f>44/12*'Crops proc. &amp; prod. AMORTIZED'!DZ49</f>
        <v>5.5780508534176168</v>
      </c>
      <c r="W64" s="192">
        <f>44/12*'Crops proc. &amp; prod. AMORTIZED'!EA49</f>
        <v>6.3386941516109285</v>
      </c>
      <c r="X64" s="193">
        <f>44/12*'Crops proc. &amp; prod. AMORTIZED'!EB49</f>
        <v>384.16328191581385</v>
      </c>
      <c r="Y64" s="188">
        <f>44/12*'Crops proc. &amp; prod. AMORTIZED'!EC49</f>
        <v>79.233676895136611</v>
      </c>
      <c r="Z64" s="220">
        <f t="shared" ref="Z64" si="231">(AD64+AH64)/2</f>
        <v>2.0673715180954169</v>
      </c>
      <c r="AA64" s="220">
        <f t="shared" ref="AA64" si="232">(AE64+AI64)/2</f>
        <v>2.349285816017519</v>
      </c>
      <c r="AB64" s="305">
        <f t="shared" ref="AB64" si="233">(AF64+AJ64)/2</f>
        <v>142.3809585465163</v>
      </c>
      <c r="AC64" s="220">
        <f t="shared" ref="AC64" si="234">(AG64+AK64)/2</f>
        <v>29.366072700218986</v>
      </c>
      <c r="AD64" s="189">
        <f>44/12*'Crops proc. &amp; prod. AMORTIZED'!CX49</f>
        <v>2.1852250313593173</v>
      </c>
      <c r="AE64" s="189">
        <f>44/12*'Crops proc. &amp; prod. AMORTIZED'!CY49</f>
        <v>2.4832102629083148</v>
      </c>
      <c r="AF64" s="188">
        <f>44/12*'Crops proc. &amp; prod. AMORTIZED'!CZ49</f>
        <v>150.49759169141302</v>
      </c>
      <c r="AG64" s="188">
        <f>44/12*'Crops proc. &amp; prod. AMORTIZED'!DA49</f>
        <v>31.040128286353934</v>
      </c>
      <c r="AH64" s="189">
        <f>44/12*'Crops proc. &amp; prod. AMORTIZED'!EN49</f>
        <v>1.9495180048315162</v>
      </c>
      <c r="AI64" s="189">
        <f>44/12*'Crops proc. &amp; prod. AMORTIZED'!EO49</f>
        <v>2.2153613691267231</v>
      </c>
      <c r="AJ64" s="188">
        <f>44/12*'Crops proc. &amp; prod. AMORTIZED'!EP49</f>
        <v>134.2643254016196</v>
      </c>
      <c r="AK64" s="188">
        <f>44/12*'Crops proc. &amp; prod. AMORTIZED'!EQ49</f>
        <v>27.692017114084038</v>
      </c>
      <c r="AL64" s="194">
        <f>'Crops proc. &amp; prod. AMORTIZED'!GY49</f>
        <v>0.30507764013981525</v>
      </c>
      <c r="AM64" s="194">
        <f>'Crops proc. &amp; prod. AMORTIZED'!GZ49</f>
        <v>0.34667913652251736</v>
      </c>
      <c r="AN64" s="225">
        <f>'Crops proc. &amp; prod. AMORTIZED'!HA49</f>
        <v>21.010856758940445</v>
      </c>
      <c r="AO64" s="189">
        <f>'Crops proc. &amp; prod. AMORTIZED'!HB49</f>
        <v>4.3334892065314667</v>
      </c>
      <c r="AP64" s="194">
        <f>'Crops proc. &amp; prod. AMORTIZED'!IV49</f>
        <v>2.7223832518195707</v>
      </c>
      <c r="AQ64" s="194">
        <f>'Crops proc. &amp; prod. AMORTIZED'!IW49</f>
        <v>3.0936173316131486</v>
      </c>
      <c r="AR64" s="225">
        <f>'Crops proc. &amp; prod. AMORTIZED'!IX49</f>
        <v>187.49195949170598</v>
      </c>
      <c r="AS64" s="189">
        <f>'Crops proc. &amp; prod. AMORTIZED'!IY49</f>
        <v>38.670216645164359</v>
      </c>
      <c r="AT64" s="189">
        <f t="shared" si="215"/>
        <v>5.9028691408003695</v>
      </c>
      <c r="AU64" s="189">
        <f t="shared" si="216"/>
        <v>6.7078058418186011</v>
      </c>
      <c r="AV64" s="188">
        <f t="shared" si="217"/>
        <v>406.53368738294557</v>
      </c>
      <c r="AW64" s="189">
        <f t="shared" si="218"/>
        <v>83.847573022732519</v>
      </c>
      <c r="AX64" s="189">
        <f t="shared" si="219"/>
        <v>6.0102955006386054</v>
      </c>
      <c r="AY64" s="189">
        <f t="shared" si="220"/>
        <v>6.8298812507256876</v>
      </c>
      <c r="AZ64" s="188">
        <f t="shared" si="221"/>
        <v>413.93219701367798</v>
      </c>
      <c r="BA64" s="189">
        <f t="shared" si="222"/>
        <v>85.373515634071083</v>
      </c>
      <c r="BB64" s="250"/>
      <c r="BC64" s="250"/>
      <c r="BD64" s="250"/>
      <c r="BE64" s="250"/>
      <c r="BF64" s="250"/>
      <c r="BG64" s="250"/>
      <c r="BH64" s="250"/>
      <c r="BI64" s="250"/>
      <c r="BJ64" s="193"/>
      <c r="BK64" s="193"/>
      <c r="BL64" s="250"/>
      <c r="BM64" s="250"/>
      <c r="BN64" s="250"/>
      <c r="BO64" s="250"/>
      <c r="BP64" s="250"/>
      <c r="BQ64" s="250"/>
      <c r="BR64" s="250"/>
      <c r="BS64" s="250"/>
      <c r="BT64" s="250"/>
      <c r="BU64" s="250"/>
      <c r="BV64" s="290"/>
      <c r="BW64" s="250"/>
      <c r="BX64" s="250"/>
      <c r="BY64" s="250"/>
      <c r="BZ64" s="250"/>
    </row>
    <row r="65" spans="1:78" x14ac:dyDescent="0.25">
      <c r="A65" s="191" t="s">
        <v>161</v>
      </c>
      <c r="B65" s="220">
        <f t="shared" ref="B65" si="235">(F65+J65)/2</f>
        <v>2.2136869103263175</v>
      </c>
      <c r="C65" s="220">
        <f t="shared" ref="C65" si="236">(G65+K65)/2</f>
        <v>2.5740545468910669</v>
      </c>
      <c r="D65" s="306">
        <f t="shared" ref="D65" si="237">(H65+L65)/2</f>
        <v>160.87840918069168</v>
      </c>
      <c r="E65" s="221">
        <f t="shared" ref="E65" si="238">(I65+M65)/2</f>
        <v>22.383083016444058</v>
      </c>
      <c r="F65" s="189">
        <f>44/12*'Crops proc. &amp; prod. AMORTIZED'!BV54</f>
        <v>1.9381875218010394</v>
      </c>
      <c r="G65" s="189">
        <f>44/12*'Crops proc. &amp; prod. AMORTIZED'!BW54</f>
        <v>2.2537064206988831</v>
      </c>
      <c r="H65" s="188">
        <f>44/12*'Crops proc. &amp; prod. AMORTIZED'!BX54</f>
        <v>140.85665129368019</v>
      </c>
      <c r="I65" s="188">
        <f>44/12*'Crops proc. &amp; prod. AMORTIZED'!BY54</f>
        <v>19.597447136512024</v>
      </c>
      <c r="J65" s="192">
        <f>44/12*'Crops proc. &amp; prod. AMORTIZED'!DL54</f>
        <v>2.4891862988515956</v>
      </c>
      <c r="K65" s="192">
        <f>44/12*'Crops proc. &amp; prod. AMORTIZED'!DM54</f>
        <v>2.8944026730832508</v>
      </c>
      <c r="L65" s="193">
        <f>44/12*'Crops proc. &amp; prod. AMORTIZED'!DN54</f>
        <v>180.90016706770317</v>
      </c>
      <c r="M65" s="193">
        <f>44/12*'Crops proc. &amp; prod. AMORTIZED'!DO54</f>
        <v>25.168718896376092</v>
      </c>
      <c r="N65" s="220">
        <f t="shared" ref="N65" si="239">(R65+V65)/2</f>
        <v>2.899993623738288</v>
      </c>
      <c r="O65" s="220">
        <f t="shared" ref="O65" si="240">(S65+W65)/2</f>
        <v>3.3720856089980096</v>
      </c>
      <c r="P65" s="305">
        <f t="shared" ref="P65" si="241">(T65+X65)/2</f>
        <v>210.75535056237561</v>
      </c>
      <c r="Q65" s="221">
        <f t="shared" ref="Q65" si="242">(U65+Y65)/2</f>
        <v>29.32248355650443</v>
      </c>
      <c r="R65" s="189">
        <f>44/12*'Crops proc. &amp; prod. AMORTIZED'!CJ54</f>
        <v>2.6072849615176015</v>
      </c>
      <c r="S65" s="189">
        <f>44/12*'Crops proc. &amp; prod. AMORTIZED'!CK54</f>
        <v>3.0317266994390715</v>
      </c>
      <c r="T65" s="193">
        <f>44/12*'Crops proc. &amp; prod. AMORTIZED'!CL54</f>
        <v>189.48291871494197</v>
      </c>
      <c r="U65" s="193">
        <f>44/12*'Crops proc. &amp; prod. AMORTIZED'!CM54</f>
        <v>26.362840864687577</v>
      </c>
      <c r="V65" s="192">
        <f>44/12*'Crops proc. &amp; prod. AMORTIZED'!DZ54</f>
        <v>3.1927022859589744</v>
      </c>
      <c r="W65" s="192">
        <f>44/12*'Crops proc. &amp; prod. AMORTIZED'!EA54</f>
        <v>3.7124445185569472</v>
      </c>
      <c r="X65" s="193">
        <f>44/12*'Crops proc. &amp; prod. AMORTIZED'!EB54</f>
        <v>232.02778240980922</v>
      </c>
      <c r="Y65" s="188">
        <f>44/12*'Crops proc. &amp; prod. AMORTIZED'!EC54</f>
        <v>32.282126248321283</v>
      </c>
      <c r="Z65" s="220">
        <f t="shared" ref="Z65" si="243">(AD65+AH65)/2</f>
        <v>0.9155802392351331</v>
      </c>
      <c r="AA65" s="220">
        <f t="shared" ref="AA65" si="244">(AE65+AI65)/2</f>
        <v>1.0646281851571315</v>
      </c>
      <c r="AB65" s="305">
        <f t="shared" ref="AB65" si="245">(AF65+AJ65)/2</f>
        <v>66.539261572320711</v>
      </c>
      <c r="AC65" s="220">
        <f t="shared" ref="AC65" si="246">(AG65+AK65)/2</f>
        <v>9.2576363926707081</v>
      </c>
      <c r="AD65" s="189">
        <f>44/12*'Crops proc. &amp; prod. AMORTIZED'!CX54</f>
        <v>0.6713517245305779</v>
      </c>
      <c r="AE65" s="189">
        <f>44/12*'Crops proc. &amp; prod. AMORTIZED'!CY54</f>
        <v>0.78064154015183473</v>
      </c>
      <c r="AF65" s="188">
        <f>44/12*'Crops proc. &amp; prod. AMORTIZED'!CZ54</f>
        <v>48.790096259489665</v>
      </c>
      <c r="AG65" s="188">
        <f>44/12*'Crops proc. &amp; prod. AMORTIZED'!DA54</f>
        <v>6.7881873056681279</v>
      </c>
      <c r="AH65" s="189">
        <f>44/12*'Crops proc. &amp; prod. AMORTIZED'!EN54</f>
        <v>1.1598087539396884</v>
      </c>
      <c r="AI65" s="189">
        <f>44/12*'Crops proc. &amp; prod. AMORTIZED'!EO54</f>
        <v>1.3486148301624283</v>
      </c>
      <c r="AJ65" s="188">
        <f>44/12*'Crops proc. &amp; prod. AMORTIZED'!EP54</f>
        <v>84.288426885151765</v>
      </c>
      <c r="AK65" s="188">
        <f>44/12*'Crops proc. &amp; prod. AMORTIZED'!EQ54</f>
        <v>11.72708547967329</v>
      </c>
      <c r="AL65" s="194">
        <f>'Crops proc. &amp; prod. AMORTIZED'!GY54</f>
        <v>0.1092428611421294</v>
      </c>
      <c r="AM65" s="194">
        <f>'Crops proc. &amp; prod. AMORTIZED'!GZ54</f>
        <v>0.12702658272340628</v>
      </c>
      <c r="AN65" s="226">
        <f>'Crops proc. &amp; prod. AMORTIZED'!HA54</f>
        <v>7.9391614202128924</v>
      </c>
      <c r="AO65" s="189">
        <f>'Crops proc. &amp; prod. AMORTIZED'!HB54</f>
        <v>1.1045789802035328</v>
      </c>
      <c r="AP65" s="194">
        <f>'Crops proc. &amp; prod. AMORTIZED'!IV54</f>
        <v>0.6714203710989467</v>
      </c>
      <c r="AQ65" s="194">
        <f>'Crops proc. &amp; prod. AMORTIZED'!IW54</f>
        <v>0.78072136174296125</v>
      </c>
      <c r="AR65" s="225">
        <f>'Crops proc. &amp; prod. AMORTIZED'!IX54</f>
        <v>48.795085108935076</v>
      </c>
      <c r="AS65" s="189">
        <f>'Crops proc. &amp; prod. AMORTIZED'!IY54</f>
        <v>6.7888814064605327</v>
      </c>
      <c r="AT65" s="189">
        <f t="shared" si="215"/>
        <v>2.9943501425673933</v>
      </c>
      <c r="AU65" s="189">
        <f t="shared" si="216"/>
        <v>3.4818024913574344</v>
      </c>
      <c r="AV65" s="188">
        <f t="shared" si="217"/>
        <v>217.61265570983963</v>
      </c>
      <c r="AW65" s="189">
        <f t="shared" si="218"/>
        <v>30.276543403108125</v>
      </c>
      <c r="AX65" s="189">
        <f t="shared" si="219"/>
        <v>2.7188507540421152</v>
      </c>
      <c r="AY65" s="189">
        <f t="shared" si="220"/>
        <v>3.1614543651652505</v>
      </c>
      <c r="AZ65" s="188">
        <f t="shared" si="221"/>
        <v>197.59089782282814</v>
      </c>
      <c r="BA65" s="189">
        <f t="shared" si="222"/>
        <v>27.490907523176091</v>
      </c>
      <c r="BB65" s="250"/>
      <c r="BC65" s="250"/>
      <c r="BD65" s="250"/>
      <c r="BE65" s="250"/>
      <c r="BF65" s="250"/>
      <c r="BG65" s="250"/>
      <c r="BH65" s="250"/>
      <c r="BI65" s="250"/>
      <c r="BJ65" s="193"/>
      <c r="BK65" s="193"/>
      <c r="BL65" s="250"/>
      <c r="BM65" s="250"/>
      <c r="BN65" s="250"/>
      <c r="BO65" s="250"/>
      <c r="BP65" s="250"/>
      <c r="BQ65" s="250"/>
      <c r="BR65" s="250"/>
      <c r="BS65" s="250"/>
      <c r="BT65" s="250"/>
      <c r="BU65" s="250"/>
      <c r="BV65" s="290"/>
      <c r="BW65" s="250"/>
      <c r="BX65" s="250"/>
      <c r="BY65" s="250"/>
      <c r="BZ65" s="250"/>
    </row>
    <row r="66" spans="1:78" x14ac:dyDescent="0.25">
      <c r="A66" s="229"/>
      <c r="AP66" s="195"/>
      <c r="AQ66" s="195"/>
      <c r="AR66" s="196"/>
      <c r="AS66" s="195"/>
      <c r="AT66" s="195"/>
      <c r="AU66" s="195"/>
      <c r="AV66" s="195"/>
      <c r="AW66" s="195"/>
      <c r="AX66" s="195"/>
      <c r="AY66" s="195"/>
      <c r="AZ66" s="195"/>
      <c r="BA66" s="195"/>
      <c r="BB66" s="250"/>
      <c r="BC66" s="250"/>
      <c r="BD66" s="250"/>
      <c r="BE66" s="250"/>
      <c r="BF66" s="250"/>
      <c r="BG66" s="250"/>
      <c r="BH66" s="250"/>
      <c r="BI66" s="250"/>
      <c r="BJ66" s="250"/>
      <c r="BK66" s="250"/>
      <c r="BL66" s="250"/>
      <c r="BM66" s="250"/>
      <c r="BN66" s="250"/>
      <c r="BO66" s="250"/>
      <c r="BP66" s="250"/>
      <c r="BQ66" s="250"/>
      <c r="BR66" s="250"/>
      <c r="BS66" s="250"/>
      <c r="BT66" s="250"/>
      <c r="BU66" s="250"/>
      <c r="BV66" s="290"/>
      <c r="BW66" s="250"/>
      <c r="BX66" s="250"/>
      <c r="BY66" s="250"/>
      <c r="BZ66" s="250"/>
    </row>
    <row r="67" spans="1:78" ht="13.8" x14ac:dyDescent="0.3">
      <c r="A67" s="190" t="s">
        <v>434</v>
      </c>
      <c r="B67" s="327"/>
      <c r="C67" s="327">
        <f t="shared" ref="C67" si="247">(G67+K67)/2</f>
        <v>0.81286486470984032</v>
      </c>
      <c r="D67" s="320">
        <f t="shared" ref="D67" si="248">(H67+L67)/2</f>
        <v>98.800439904079155</v>
      </c>
      <c r="E67" s="320"/>
      <c r="F67" s="322"/>
      <c r="G67" s="322"/>
      <c r="H67" s="328">
        <f>44/12*'Crops proc. &amp; prod. AMORTIZED'!BX59</f>
        <v>97.247192806943445</v>
      </c>
      <c r="I67" s="328"/>
      <c r="J67" s="322"/>
      <c r="K67" s="322">
        <f>44/12*'Crops proc. &amp; prod. AMORTIZED'!DM59</f>
        <v>1.6257297294196806</v>
      </c>
      <c r="L67" s="328">
        <f>44/12*'Crops proc. &amp; prod. AMORTIZED'!DN59</f>
        <v>100.35368700121487</v>
      </c>
      <c r="M67" s="328"/>
      <c r="N67" s="327"/>
      <c r="O67" s="327"/>
      <c r="P67" s="320"/>
      <c r="Q67" s="320"/>
      <c r="R67" s="322"/>
      <c r="S67" s="322"/>
      <c r="T67" s="328"/>
      <c r="U67" s="328"/>
      <c r="V67" s="322"/>
      <c r="W67" s="322"/>
      <c r="X67" s="328"/>
      <c r="Y67" s="328"/>
      <c r="Z67" s="327"/>
      <c r="AA67" s="327"/>
      <c r="AB67" s="320"/>
      <c r="AC67" s="327"/>
      <c r="AD67" s="322"/>
      <c r="AE67" s="322"/>
      <c r="AF67" s="328"/>
      <c r="AG67" s="328"/>
      <c r="AH67" s="322"/>
      <c r="AI67" s="322"/>
      <c r="AJ67" s="328"/>
      <c r="AK67" s="328"/>
      <c r="AL67" s="328"/>
      <c r="AM67" s="328"/>
      <c r="AN67" s="322">
        <f>'Crops proc. &amp; prod. AMORTIZED'!HA59</f>
        <v>8.5390768271189614</v>
      </c>
      <c r="AO67" s="328"/>
      <c r="AP67" s="290"/>
      <c r="AQ67" s="290"/>
      <c r="AR67" s="328"/>
      <c r="AS67" s="290"/>
      <c r="AT67" s="290"/>
      <c r="AU67" s="290"/>
      <c r="AV67" s="290"/>
      <c r="AW67" s="290"/>
      <c r="AX67" s="290"/>
      <c r="AY67" s="290"/>
      <c r="AZ67" s="290"/>
      <c r="BA67" s="290"/>
      <c r="BB67" s="250"/>
      <c r="BC67" s="250"/>
      <c r="BD67" s="250"/>
      <c r="BE67" s="250"/>
      <c r="BF67" s="250"/>
      <c r="BG67" s="250"/>
      <c r="BH67" s="250"/>
      <c r="BI67" s="250"/>
      <c r="BJ67" s="250"/>
      <c r="BK67" s="250"/>
      <c r="BL67" s="250"/>
      <c r="BM67" s="250"/>
      <c r="BN67" s="250"/>
      <c r="BO67" s="250"/>
      <c r="BP67" s="250"/>
      <c r="BQ67" s="250"/>
      <c r="BR67" s="250"/>
      <c r="BS67" s="250"/>
      <c r="BT67" s="250"/>
      <c r="BU67" s="250"/>
      <c r="BV67" s="290"/>
      <c r="BW67" s="250"/>
      <c r="BX67" s="250"/>
      <c r="BY67" s="250"/>
      <c r="BZ67" s="250"/>
    </row>
    <row r="68" spans="1:78" x14ac:dyDescent="0.25">
      <c r="A68" s="191" t="s">
        <v>175</v>
      </c>
      <c r="B68" s="220">
        <f t="shared" ref="B68" si="249">(F68+J68)/2</f>
        <v>1.8103637732241218</v>
      </c>
      <c r="C68" s="220">
        <f t="shared" ref="C68" si="250">(G68+K68)/2</f>
        <v>1.8103637732241218</v>
      </c>
      <c r="D68" s="306">
        <f t="shared" ref="D68" si="251">(H68+L68)/2</f>
        <v>111.75085019901988</v>
      </c>
      <c r="E68" s="221"/>
      <c r="F68" s="189">
        <f>44/12*'Crops proc. &amp; prod. AMORTIZED'!BV63</f>
        <v>1.7849917034243601</v>
      </c>
      <c r="G68" s="189">
        <f>44/12*'Crops proc. &amp; prod. AMORTIZED'!BW63</f>
        <v>1.7849917034243601</v>
      </c>
      <c r="H68" s="188">
        <f>44/12*'Crops proc. &amp; prod. AMORTIZED'!BX63</f>
        <v>110.18467305088643</v>
      </c>
      <c r="J68" s="192">
        <f>44/12*'Crops proc. &amp; prod. AMORTIZED'!DL63</f>
        <v>1.8357358430238835</v>
      </c>
      <c r="K68" s="192">
        <f>44/12*'Crops proc. &amp; prod. AMORTIZED'!DM63</f>
        <v>1.8357358430238835</v>
      </c>
      <c r="L68" s="193">
        <f>44/12*'Crops proc. &amp; prod. AMORTIZED'!DN63</f>
        <v>113.31702734715331</v>
      </c>
      <c r="M68" s="193"/>
      <c r="N68" s="220">
        <f t="shared" ref="N68" si="252">(R68+V68)/2</f>
        <v>2.4468217617264636</v>
      </c>
      <c r="O68" s="220">
        <f t="shared" ref="O68" si="253">(S68+W68)/2</f>
        <v>2.4468217617264636</v>
      </c>
      <c r="P68" s="305">
        <f t="shared" ref="P68" si="254">(T68+X68)/2</f>
        <v>151.03838035348542</v>
      </c>
      <c r="Q68" s="221"/>
      <c r="R68" s="189">
        <f>44/12*'Crops proc. &amp; prod. AMORTIZED'!CJ63</f>
        <v>2.5229020521552568</v>
      </c>
      <c r="S68" s="189">
        <f>44/12*'Crops proc. &amp; prod. AMORTIZED'!CK63</f>
        <v>2.5229020521552568</v>
      </c>
      <c r="T68" s="193">
        <f>44/12*'Crops proc. &amp; prod. AMORTIZED'!CL63</f>
        <v>155.73469457748499</v>
      </c>
      <c r="U68" s="193"/>
      <c r="V68" s="192">
        <f>44/12*'Crops proc. &amp; prod. AMORTIZED'!DZ63</f>
        <v>2.3707414712976704</v>
      </c>
      <c r="W68" s="192">
        <f>44/12*'Crops proc. &amp; prod. AMORTIZED'!EA63</f>
        <v>2.3707414712976704</v>
      </c>
      <c r="X68" s="193">
        <f>44/12*'Crops proc. &amp; prod. AMORTIZED'!EB63</f>
        <v>146.34206612948583</v>
      </c>
      <c r="Z68" s="220">
        <f t="shared" ref="Z68" si="255">(AD68+AH68)/2</f>
        <v>1.0979618286438888</v>
      </c>
      <c r="AA68" s="220">
        <f t="shared" ref="AA68" si="256">(AE68+AI68)/2</f>
        <v>1.0979618286438888</v>
      </c>
      <c r="AB68" s="305">
        <f t="shared" ref="AB68" si="257">(AF68+AJ68)/2</f>
        <v>67.775421521227699</v>
      </c>
      <c r="AC68" s="220"/>
      <c r="AD68" s="189">
        <f>44/12*'Crops proc. &amp; prod. AMORTIZED'!CX63</f>
        <v>0.95980764885093972</v>
      </c>
      <c r="AE68" s="189">
        <f>44/12*'Crops proc. &amp; prod. AMORTIZED'!CY63</f>
        <v>0.95980764885093972</v>
      </c>
      <c r="AF68" s="188">
        <f>44/12*'Crops proc. &amp; prod. AMORTIZED'!CZ63</f>
        <v>59.247385731539488</v>
      </c>
      <c r="AH68" s="189">
        <f>44/12*'Crops proc. &amp; prod. AMORTIZED'!EN63</f>
        <v>1.2361160084368377</v>
      </c>
      <c r="AI68" s="189">
        <f>44/12*'Crops proc. &amp; prod. AMORTIZED'!EO63</f>
        <v>1.2361160084368377</v>
      </c>
      <c r="AJ68" s="188">
        <f>44/12*'Crops proc. &amp; prod. AMORTIZED'!EP63</f>
        <v>76.303457310915917</v>
      </c>
      <c r="AL68" s="194">
        <f>'Crops proc. &amp; prod. AMORTIZED'!GY63</f>
        <v>0.1641262303721216</v>
      </c>
      <c r="AM68" s="194">
        <f>'Crops proc. &amp; prod. AMORTIZED'!GZ63</f>
        <v>0.1641262303721216</v>
      </c>
      <c r="AN68" s="225">
        <f>'Crops proc. &amp; prod. AMORTIZED'!HA63</f>
        <v>10.131248788402567</v>
      </c>
      <c r="AP68" s="194">
        <f>'Crops proc. &amp; prod. AMORTIZED'!IV63</f>
        <v>0.27029269735225697</v>
      </c>
      <c r="AQ68" s="194">
        <f>'Crops proc. &amp; prod. AMORTIZED'!IW63</f>
        <v>0.27029269735225697</v>
      </c>
      <c r="AR68" s="225">
        <f>'Crops proc. &amp; prod. AMORTIZED'!IX63</f>
        <v>16.684734404460308</v>
      </c>
      <c r="AS68" s="195"/>
      <c r="AT68" s="189">
        <f t="shared" ref="AT68:AT69" si="258">B68+AL68+AP68</f>
        <v>2.2447827009485004</v>
      </c>
      <c r="AU68" s="189">
        <f t="shared" ref="AU68:AU69" si="259">C68+AM68+AQ68</f>
        <v>2.2447827009485004</v>
      </c>
      <c r="AV68" s="188">
        <f t="shared" ref="AV68:AV69" si="260">D68+AN68+AR68</f>
        <v>138.56683339188277</v>
      </c>
      <c r="AW68" s="189"/>
      <c r="AX68" s="189">
        <f t="shared" ref="AX68:AX69" si="261">F68+AL68+AP68</f>
        <v>2.2194106311487385</v>
      </c>
      <c r="AY68" s="189">
        <f t="shared" ref="AY68:AY69" si="262">G68+AM68+AQ68</f>
        <v>2.2194106311487385</v>
      </c>
      <c r="AZ68" s="188">
        <f t="shared" ref="AZ68:AZ69" si="263">H68+AN68+AR68</f>
        <v>137.00065624374932</v>
      </c>
      <c r="BA68" s="189"/>
      <c r="BB68" s="250"/>
      <c r="BC68" s="250"/>
      <c r="BD68" s="250"/>
      <c r="BE68" s="250"/>
      <c r="BF68" s="250"/>
      <c r="BG68" s="250"/>
      <c r="BH68" s="250"/>
      <c r="BI68" s="250"/>
      <c r="BJ68" s="193"/>
      <c r="BK68" s="193"/>
      <c r="BL68" s="250"/>
      <c r="BM68" s="250"/>
      <c r="BN68" s="250"/>
      <c r="BO68" s="250"/>
      <c r="BP68" s="250"/>
      <c r="BQ68" s="250"/>
      <c r="BR68" s="250"/>
      <c r="BS68" s="250"/>
      <c r="BT68" s="250"/>
      <c r="BU68" s="250"/>
      <c r="BV68" s="290"/>
      <c r="BW68" s="250"/>
      <c r="BX68" s="250"/>
      <c r="BY68" s="250"/>
      <c r="BZ68" s="250"/>
    </row>
    <row r="69" spans="1:78" x14ac:dyDescent="0.25">
      <c r="A69" s="191" t="s">
        <v>178</v>
      </c>
      <c r="B69" s="220">
        <f t="shared" ref="B69" si="264">(F69+J69)/2</f>
        <v>0.95806489568833542</v>
      </c>
      <c r="C69" s="220">
        <f t="shared" ref="C69" si="265">(G69+K69)/2</f>
        <v>0.95806489568833542</v>
      </c>
      <c r="D69" s="306">
        <f t="shared" ref="D69" si="266">(H69+L69)/2</f>
        <v>59.139808375823179</v>
      </c>
      <c r="E69" s="221"/>
      <c r="F69" s="189">
        <f>44/12*'Crops proc. &amp; prod. AMORTIZED'!BV68</f>
        <v>0.933543784869862</v>
      </c>
      <c r="G69" s="189">
        <f>44/12*'Crops proc. &amp; prod. AMORTIZED'!BW68</f>
        <v>0.933543784869862</v>
      </c>
      <c r="H69" s="188">
        <f>44/12*'Crops proc. &amp; prod. AMORTIZED'!BX68</f>
        <v>57.626159559868029</v>
      </c>
      <c r="J69" s="192">
        <f>44/12*'Crops proc. &amp; prod. AMORTIZED'!DL68</f>
        <v>0.98258600650680883</v>
      </c>
      <c r="K69" s="192">
        <f>44/12*'Crops proc. &amp; prod. AMORTIZED'!DM68</f>
        <v>0.98258600650680883</v>
      </c>
      <c r="L69" s="193">
        <f>44/12*'Crops proc. &amp; prod. AMORTIZED'!DN68</f>
        <v>60.65345719177833</v>
      </c>
      <c r="M69" s="193"/>
      <c r="N69" s="220">
        <f t="shared" ref="N69" si="267">(R69+V69)/2</f>
        <v>1.1159406122470126</v>
      </c>
      <c r="O69" s="220">
        <f t="shared" ref="O69" si="268">(S69+W69)/2</f>
        <v>1.1159406122470126</v>
      </c>
      <c r="P69" s="305">
        <f t="shared" ref="P69" si="269">(T69+X69)/2</f>
        <v>68.885222978210635</v>
      </c>
      <c r="Q69" s="221"/>
      <c r="R69" s="189">
        <f>44/12*'Crops proc. &amp; prod. AMORTIZED'!CJ68</f>
        <v>1.1091952938649134</v>
      </c>
      <c r="S69" s="189">
        <f>44/12*'Crops proc. &amp; prod. AMORTIZED'!CK68</f>
        <v>1.1091952938649134</v>
      </c>
      <c r="T69" s="193">
        <f>44/12*'Crops proc. &amp; prod. AMORTIZED'!CL68</f>
        <v>68.468845300303286</v>
      </c>
      <c r="U69" s="193"/>
      <c r="V69" s="192">
        <f>44/12*'Crops proc. &amp; prod. AMORTIZED'!DZ68</f>
        <v>1.1226859306291117</v>
      </c>
      <c r="W69" s="192">
        <f>44/12*'Crops proc. &amp; prod. AMORTIZED'!EA68</f>
        <v>1.1226859306291117</v>
      </c>
      <c r="X69" s="193">
        <f>44/12*'Crops proc. &amp; prod. AMORTIZED'!EB68</f>
        <v>69.301600656117998</v>
      </c>
      <c r="Z69" s="220">
        <f t="shared" ref="Z69" si="270">(AD69+AH69)/2</f>
        <v>0.56569219183720088</v>
      </c>
      <c r="AA69" s="220">
        <f t="shared" ref="AA69" si="271">(AE69+AI69)/2</f>
        <v>0.56569219183720088</v>
      </c>
      <c r="AB69" s="305">
        <f t="shared" ref="AB69" si="272">(AF69+AJ69)/2</f>
        <v>34.919271101061788</v>
      </c>
      <c r="AC69" s="220"/>
      <c r="AD69" s="189">
        <f>44/12*'Crops proc. &amp; prod. AMORTIZED'!CX68</f>
        <v>0.49666812624539597</v>
      </c>
      <c r="AE69" s="189">
        <f>44/12*'Crops proc. &amp; prod. AMORTIZED'!CY68</f>
        <v>0.49666812624539597</v>
      </c>
      <c r="AF69" s="188">
        <f>44/12*'Crops proc. &amp; prod. AMORTIZED'!CZ68</f>
        <v>30.658526311444199</v>
      </c>
      <c r="AH69" s="189">
        <f>44/12*'Crops proc. &amp; prod. AMORTIZED'!EN68</f>
        <v>0.63471625742900584</v>
      </c>
      <c r="AI69" s="189">
        <f>44/12*'Crops proc. &amp; prod. AMORTIZED'!EO68</f>
        <v>0.63471625742900584</v>
      </c>
      <c r="AJ69" s="188">
        <f>44/12*'Crops proc. &amp; prod. AMORTIZED'!EP68</f>
        <v>39.180015890679378</v>
      </c>
      <c r="AL69" s="414">
        <f>'Crops proc. &amp; prod. AMORTIZED'!GY68</f>
        <v>5.9341413170144297E-2</v>
      </c>
      <c r="AM69" s="414">
        <f>'Crops proc. &amp; prod. AMORTIZED'!GZ68</f>
        <v>5.9341413170144297E-2</v>
      </c>
      <c r="AN69" s="226">
        <f>'Crops proc. &amp; prod. AMORTIZED'!HA68</f>
        <v>3.6630501956879198</v>
      </c>
      <c r="AP69" s="194">
        <f>'Crops proc. &amp; prod. AMORTIZED'!IV68</f>
        <v>0.28337052814578567</v>
      </c>
      <c r="AQ69" s="194">
        <f>'Crops proc. &amp; prod. AMORTIZED'!IW68</f>
        <v>0.28337052814578567</v>
      </c>
      <c r="AR69" s="225">
        <f>'Crops proc. &amp; prod. AMORTIZED'!IX68</f>
        <v>17.492007910233685</v>
      </c>
      <c r="AS69" s="195"/>
      <c r="AT69" s="189">
        <f t="shared" si="258"/>
        <v>1.3007768370042654</v>
      </c>
      <c r="AU69" s="189">
        <f t="shared" si="259"/>
        <v>1.3007768370042654</v>
      </c>
      <c r="AV69" s="188">
        <f t="shared" si="260"/>
        <v>80.294866481744791</v>
      </c>
      <c r="AW69" s="189"/>
      <c r="AX69" s="189">
        <f t="shared" si="261"/>
        <v>1.2762557261857919</v>
      </c>
      <c r="AY69" s="189">
        <f t="shared" si="262"/>
        <v>1.2762557261857919</v>
      </c>
      <c r="AZ69" s="188">
        <f t="shared" si="263"/>
        <v>78.78121766578964</v>
      </c>
      <c r="BA69" s="189"/>
      <c r="BB69" s="250"/>
      <c r="BC69" s="250"/>
      <c r="BD69" s="250"/>
      <c r="BE69" s="250"/>
      <c r="BF69" s="250"/>
      <c r="BG69" s="250"/>
      <c r="BH69" s="250"/>
      <c r="BI69" s="250"/>
      <c r="BJ69" s="193"/>
      <c r="BK69" s="193"/>
      <c r="BL69" s="250"/>
      <c r="BM69" s="250"/>
      <c r="BN69" s="250"/>
      <c r="BO69" s="250"/>
      <c r="BP69" s="250"/>
      <c r="BQ69" s="250"/>
      <c r="BR69" s="250"/>
      <c r="BS69" s="250"/>
      <c r="BT69" s="250"/>
      <c r="BU69" s="250"/>
      <c r="BV69" s="290"/>
      <c r="BW69" s="250"/>
      <c r="BX69" s="250"/>
      <c r="BY69" s="250"/>
      <c r="BZ69" s="250"/>
    </row>
    <row r="70" spans="1:78" x14ac:dyDescent="0.25">
      <c r="A70" s="202"/>
      <c r="AR70" s="188"/>
      <c r="BB70" s="250"/>
      <c r="BC70" s="250"/>
      <c r="BD70" s="250"/>
      <c r="BE70" s="250"/>
      <c r="BF70" s="250"/>
      <c r="BG70" s="250"/>
      <c r="BH70" s="250"/>
      <c r="BI70" s="250"/>
      <c r="BJ70" s="250"/>
      <c r="BK70" s="250"/>
      <c r="BL70" s="250"/>
      <c r="BM70" s="250"/>
      <c r="BN70" s="250"/>
      <c r="BO70" s="250"/>
      <c r="BP70" s="250"/>
      <c r="BQ70" s="250"/>
      <c r="BR70" s="250"/>
      <c r="BS70" s="250"/>
      <c r="BT70" s="250"/>
      <c r="BU70" s="250"/>
      <c r="BV70" s="250"/>
      <c r="BW70" s="250"/>
      <c r="BX70" s="250"/>
      <c r="BY70" s="250"/>
      <c r="BZ70" s="250"/>
    </row>
    <row r="71" spans="1:78" ht="13.8" x14ac:dyDescent="0.3">
      <c r="A71" s="206" t="s">
        <v>435</v>
      </c>
      <c r="B71" s="327">
        <f t="shared" ref="B71:C71" si="273">(F71+J71)/2</f>
        <v>8.9403905017759069</v>
      </c>
      <c r="C71" s="327">
        <f t="shared" si="273"/>
        <v>8.9403905017759069</v>
      </c>
      <c r="D71" s="320">
        <f t="shared" ref="D71" si="274">(H71+L71)/2</f>
        <v>241.63217572367319</v>
      </c>
      <c r="E71" s="320"/>
      <c r="F71" s="323">
        <f>44/12*'Crops proc. &amp; prod. AMORTIZED'!BV75</f>
        <v>9.3982583994778999</v>
      </c>
      <c r="G71" s="322">
        <f>44/12*'Crops proc. &amp; prod. AMORTIZED'!BW75</f>
        <v>9.3982583994778999</v>
      </c>
      <c r="H71" s="328">
        <f>44/12*'Crops proc. &amp; prod. AMORTIZED'!BX75</f>
        <v>254.00698376967298</v>
      </c>
      <c r="I71" s="328"/>
      <c r="J71" s="322">
        <f>44/12*'Crops proc. &amp; prod. AMORTIZED'!DL75</f>
        <v>8.4825226040739139</v>
      </c>
      <c r="K71" s="322">
        <f>44/12*'Crops proc. &amp; prod. AMORTIZED'!DM75</f>
        <v>8.4825226040739139</v>
      </c>
      <c r="L71" s="328">
        <f>44/12*'Crops proc. &amp; prod. AMORTIZED'!DN75</f>
        <v>229.25736767767336</v>
      </c>
      <c r="M71" s="328"/>
      <c r="N71" s="327"/>
      <c r="O71" s="327"/>
      <c r="P71" s="320"/>
      <c r="Q71" s="320"/>
      <c r="R71" s="322"/>
      <c r="S71" s="322"/>
      <c r="T71" s="328"/>
      <c r="U71" s="328"/>
      <c r="V71" s="322"/>
      <c r="W71" s="322"/>
      <c r="X71" s="328"/>
      <c r="Y71" s="328"/>
      <c r="Z71" s="327"/>
      <c r="AA71" s="327"/>
      <c r="AB71" s="320"/>
      <c r="AC71" s="327"/>
      <c r="AD71" s="322"/>
      <c r="AE71" s="322"/>
      <c r="AF71" s="328"/>
      <c r="AG71" s="328"/>
      <c r="AH71" s="322"/>
      <c r="AI71" s="322"/>
      <c r="AJ71" s="328"/>
      <c r="AK71" s="328"/>
      <c r="AL71" s="323">
        <f>'Crops proc. &amp; prod. AMORTIZED'!GY75</f>
        <v>1.0684117778794353</v>
      </c>
      <c r="AM71" s="328"/>
      <c r="AN71" s="325">
        <f>'Crops proc. &amp; prod. AMORTIZED'!HA75</f>
        <v>28.875993996741492</v>
      </c>
      <c r="AO71" s="328"/>
      <c r="AP71" s="322">
        <f>'Crops proc. &amp; prod. AMORTIZED'!IV75</f>
        <v>1.2960968347280932</v>
      </c>
      <c r="AQ71" s="322"/>
      <c r="AR71" s="328">
        <f>'Crops proc. &amp; prod. AMORTIZED'!IX75</f>
        <v>35.029644181840354</v>
      </c>
      <c r="AS71" s="322"/>
      <c r="AT71" s="323">
        <f t="shared" ref="AT71" si="275">B71+AL71+AP71</f>
        <v>11.304899114383435</v>
      </c>
      <c r="AU71" s="323">
        <f t="shared" ref="AU71" si="276">C71+AM71+AQ71</f>
        <v>8.9403905017759069</v>
      </c>
      <c r="AV71" s="325">
        <f t="shared" ref="AV71" si="277">D71+AN71+AR71</f>
        <v>305.53781390225504</v>
      </c>
      <c r="AW71" s="323"/>
      <c r="AX71" s="323">
        <f t="shared" ref="AX71" si="278">F71+AL71+AP71</f>
        <v>11.762767012085428</v>
      </c>
      <c r="AY71" s="323">
        <f t="shared" ref="AY71" si="279">G71+AM71+AQ71</f>
        <v>9.3982583994778999</v>
      </c>
      <c r="AZ71" s="325">
        <f t="shared" ref="AZ71" si="280">H71+AN71+AR71</f>
        <v>317.91262194825481</v>
      </c>
      <c r="BA71" s="322"/>
      <c r="BB71" s="250"/>
      <c r="BC71" s="250"/>
      <c r="BD71" s="250"/>
      <c r="BE71" s="250"/>
      <c r="BF71" s="250"/>
      <c r="BG71" s="250"/>
      <c r="BH71" s="250"/>
      <c r="BI71" s="250"/>
      <c r="BJ71" s="250"/>
      <c r="BK71" s="250"/>
      <c r="BL71" s="250"/>
      <c r="BM71" s="250"/>
      <c r="BN71" s="250"/>
      <c r="BO71" s="250"/>
      <c r="BP71" s="250"/>
      <c r="BQ71" s="250"/>
      <c r="BR71" s="250"/>
      <c r="BS71" s="250"/>
      <c r="BT71" s="250"/>
      <c r="BU71" s="250"/>
      <c r="BV71" s="250"/>
      <c r="BW71" s="250"/>
      <c r="BX71" s="250"/>
      <c r="BY71" s="250"/>
      <c r="BZ71" s="250"/>
    </row>
    <row r="72" spans="1:78" x14ac:dyDescent="0.25">
      <c r="A72" s="246" t="s">
        <v>124</v>
      </c>
      <c r="B72" s="220">
        <f t="shared" ref="B72" si="281">(F72+J72)/2</f>
        <v>10.742107460443304</v>
      </c>
      <c r="C72" s="220">
        <f t="shared" ref="C72" si="282">(G72+K72)/2</f>
        <v>10.742107460443304</v>
      </c>
      <c r="D72" s="306">
        <f t="shared" ref="D72" si="283">(H72+L72)/2</f>
        <v>290.32722866062988</v>
      </c>
      <c r="E72" s="221"/>
      <c r="F72" s="189">
        <f>44/12*'Crops proc. &amp; prod. AMORTIZED'!BV79</f>
        <v>11.66220138749804</v>
      </c>
      <c r="G72" s="189">
        <f>44/12*'Crops proc. &amp; prod. AMORTIZED'!BW79</f>
        <v>11.66220138749804</v>
      </c>
      <c r="H72" s="188">
        <f>44/12*'Crops proc. &amp; prod. AMORTIZED'!BX79</f>
        <v>315.19463209454165</v>
      </c>
      <c r="J72" s="192">
        <f>44/12*'Crops proc. &amp; prod. AMORTIZED'!DL79</f>
        <v>9.822013533388569</v>
      </c>
      <c r="K72" s="192">
        <f>44/12*'Crops proc. &amp; prod. AMORTIZED'!DM79</f>
        <v>9.822013533388569</v>
      </c>
      <c r="L72" s="193">
        <f>44/12*'Crops proc. &amp; prod. AMORTIZED'!DN79</f>
        <v>265.45982522671807</v>
      </c>
      <c r="M72" s="193"/>
      <c r="N72" s="220">
        <f t="shared" ref="N72" si="284">(R72+V72)/2</f>
        <v>10.874927348268297</v>
      </c>
      <c r="O72" s="220">
        <f t="shared" ref="O72" si="285">(S72+W72)/2</f>
        <v>10.874927348268297</v>
      </c>
      <c r="P72" s="305">
        <f t="shared" ref="P72" si="286">(T72+X72)/2</f>
        <v>293.91695535860265</v>
      </c>
      <c r="Q72" s="221"/>
      <c r="R72" s="189">
        <f>44/12*'Crops proc. &amp; prod. AMORTIZED'!CJ79</f>
        <v>11.82348712671063</v>
      </c>
      <c r="S72" s="189">
        <f>44/12*'Crops proc. &amp; prod. AMORTIZED'!CK79</f>
        <v>11.82348712671063</v>
      </c>
      <c r="T72" s="193">
        <f>44/12*'Crops proc. &amp; prod. AMORTIZED'!CL79</f>
        <v>319.55370612731434</v>
      </c>
      <c r="U72" s="193"/>
      <c r="V72" s="192">
        <f>44/12*'Crops proc. &amp; prod. AMORTIZED'!DZ79</f>
        <v>9.926367569825965</v>
      </c>
      <c r="W72" s="192">
        <f>44/12*'Crops proc. &amp; prod. AMORTIZED'!EA79</f>
        <v>9.926367569825965</v>
      </c>
      <c r="X72" s="193">
        <f>44/12*'Crops proc. &amp; prod. AMORTIZED'!EB79</f>
        <v>268.2802045898909</v>
      </c>
      <c r="Z72" s="220">
        <f t="shared" ref="Z72" si="287">(AD72+AH72)/2</f>
        <v>8.3724595254937491</v>
      </c>
      <c r="AA72" s="220">
        <f t="shared" ref="AA72" si="288">(AE72+AI72)/2</f>
        <v>8.3724595254937491</v>
      </c>
      <c r="AB72" s="305">
        <f t="shared" ref="AB72" si="289">(AF72+AJ72)/2</f>
        <v>226.28268987820945</v>
      </c>
      <c r="AC72" s="220"/>
      <c r="AD72" s="189">
        <f>44/12*'Crops proc. &amp; prod. AMORTIZED'!CX79</f>
        <v>8.7847499354951335</v>
      </c>
      <c r="AE72" s="189">
        <f>44/12*'Crops proc. &amp; prod. AMORTIZED'!CY79</f>
        <v>8.7847499354951335</v>
      </c>
      <c r="AF72" s="188">
        <f>44/12*'Crops proc. &amp; prod. AMORTIZED'!CZ79</f>
        <v>237.42567393230092</v>
      </c>
      <c r="AH72" s="189">
        <f>44/12*'Crops proc. &amp; prod. AMORTIZED'!EN79</f>
        <v>7.9601691154923664</v>
      </c>
      <c r="AI72" s="189">
        <f>44/12*'Crops proc. &amp; prod. AMORTIZED'!EO79</f>
        <v>7.9601691154923664</v>
      </c>
      <c r="AJ72" s="188">
        <f>44/12*'Crops proc. &amp; prod. AMORTIZED'!EP79</f>
        <v>215.13970582411801</v>
      </c>
      <c r="AL72" s="194">
        <f>'Crops proc. &amp; prod. AMORTIZED'!GY79</f>
        <v>0.30541267665373006</v>
      </c>
      <c r="AM72" s="194">
        <f>'Crops proc. &amp; prod. AMORTIZED'!GZ79</f>
        <v>0.30541267665373006</v>
      </c>
      <c r="AN72" s="225">
        <f>'Crops proc. &amp; prod. AMORTIZED'!HA79</f>
        <v>8.2543966663170281</v>
      </c>
      <c r="AP72" s="189">
        <f>'Crops proc. &amp; prod. AMORTIZED'!IV79</f>
        <v>0.75472343355442506</v>
      </c>
      <c r="AQ72" s="189">
        <f>'Crops proc. &amp; prod. AMORTIZED'!IW79</f>
        <v>0.75472343355442506</v>
      </c>
      <c r="AR72" s="225">
        <f>'Crops proc. &amp; prod. AMORTIZED'!IX79</f>
        <v>20.39793063660608</v>
      </c>
      <c r="AS72" s="189"/>
      <c r="AT72" s="189">
        <f t="shared" ref="AT72:AT78" si="290">B72+AL72+AP72</f>
        <v>11.802243570651459</v>
      </c>
      <c r="AU72" s="189">
        <f t="shared" ref="AU72:AU78" si="291">C72+AM72+AQ72</f>
        <v>11.802243570651459</v>
      </c>
      <c r="AV72" s="188">
        <f t="shared" ref="AV72:AV78" si="292">D72+AN72+AR72</f>
        <v>318.97955596355297</v>
      </c>
      <c r="AW72" s="189"/>
      <c r="AX72" s="189">
        <f t="shared" ref="AX72:AX78" si="293">F72+AL72+AP72</f>
        <v>12.722337497706196</v>
      </c>
      <c r="AY72" s="189">
        <f t="shared" ref="AY72:AY78" si="294">G72+AM72+AQ72</f>
        <v>12.722337497706196</v>
      </c>
      <c r="AZ72" s="188">
        <f t="shared" ref="AZ72:AZ78" si="295">H72+AN72+AR72</f>
        <v>343.84695939746473</v>
      </c>
      <c r="BA72" s="189"/>
      <c r="BB72" s="250"/>
      <c r="BC72" s="250"/>
      <c r="BD72" s="250"/>
      <c r="BE72" s="250"/>
      <c r="BF72" s="250"/>
      <c r="BG72" s="250"/>
      <c r="BH72" s="250"/>
      <c r="BI72" s="250"/>
      <c r="BJ72" s="193"/>
      <c r="BK72" s="193"/>
      <c r="BL72" s="250"/>
      <c r="BM72" s="250"/>
      <c r="BN72" s="250"/>
      <c r="BO72" s="250"/>
      <c r="BP72" s="250"/>
      <c r="BQ72" s="250"/>
      <c r="BR72" s="250"/>
      <c r="BS72" s="250"/>
      <c r="BT72" s="250"/>
      <c r="BU72" s="250"/>
      <c r="BV72" s="192"/>
      <c r="BW72" s="250"/>
      <c r="BX72" s="250"/>
      <c r="BY72" s="250"/>
      <c r="BZ72" s="250"/>
    </row>
    <row r="73" spans="1:78" x14ac:dyDescent="0.25">
      <c r="A73" s="246" t="s">
        <v>138</v>
      </c>
      <c r="B73" s="220">
        <f t="shared" ref="B73" si="296">(F73+J73)/2</f>
        <v>6.3084003441971488</v>
      </c>
      <c r="C73" s="220">
        <f t="shared" ref="C73" si="297">(G73+K73)/2</f>
        <v>6.3084003441971488</v>
      </c>
      <c r="D73" s="306">
        <f t="shared" ref="D73" si="298">(H73+L73)/2</f>
        <v>170.49730659992292</v>
      </c>
      <c r="E73" s="221"/>
      <c r="F73" s="189">
        <f>44/12*'Crops proc. &amp; prod. AMORTIZED'!BV83</f>
        <v>7.1250185369410168</v>
      </c>
      <c r="G73" s="189">
        <f>44/12*'Crops proc. &amp; prod. AMORTIZED'!BW83</f>
        <v>7.1250185369410168</v>
      </c>
      <c r="H73" s="188">
        <f>44/12*'Crops proc. &amp; prod. AMORTIZED'!BX83</f>
        <v>192.56806856597339</v>
      </c>
      <c r="J73" s="192">
        <f>44/12*'Crops proc. &amp; prod. AMORTIZED'!DL83</f>
        <v>5.4917821514532807</v>
      </c>
      <c r="K73" s="192">
        <f>44/12*'Crops proc. &amp; prod. AMORTIZED'!DM83</f>
        <v>5.4917821514532807</v>
      </c>
      <c r="L73" s="193">
        <f>44/12*'Crops proc. &amp; prod. AMORTIZED'!DN83</f>
        <v>148.42654463387245</v>
      </c>
      <c r="M73" s="193"/>
      <c r="N73" s="220">
        <f t="shared" ref="N73" si="299">(R73+V73)/2</f>
        <v>6.3084003441971497</v>
      </c>
      <c r="O73" s="220">
        <f t="shared" ref="O73" si="300">(S73+W73)/2</f>
        <v>6.3084003441971497</v>
      </c>
      <c r="P73" s="305">
        <f t="shared" ref="P73" si="301">(T73+X73)/2</f>
        <v>170.49730659992298</v>
      </c>
      <c r="Q73" s="221"/>
      <c r="R73" s="189">
        <f>44/12*'Crops proc. &amp; prod. AMORTIZED'!CJ83</f>
        <v>7.1250185369410186</v>
      </c>
      <c r="S73" s="189">
        <f>44/12*'Crops proc. &amp; prod. AMORTIZED'!CK83</f>
        <v>7.1250185369410186</v>
      </c>
      <c r="T73" s="193">
        <f>44/12*'Crops proc. &amp; prod. AMORTIZED'!CL83</f>
        <v>192.56806856597348</v>
      </c>
      <c r="U73" s="193"/>
      <c r="V73" s="192">
        <f>44/12*'Crops proc. &amp; prod. AMORTIZED'!DZ83</f>
        <v>5.4917821514532807</v>
      </c>
      <c r="W73" s="192">
        <f>44/12*'Crops proc. &amp; prod. AMORTIZED'!EA83</f>
        <v>5.4917821514532807</v>
      </c>
      <c r="X73" s="193">
        <f>44/12*'Crops proc. &amp; prod. AMORTIZED'!EB83</f>
        <v>148.42654463387245</v>
      </c>
      <c r="Z73" s="220">
        <f t="shared" ref="Z73" si="302">(AD73+AH73)/2</f>
        <v>4.5263938712810399</v>
      </c>
      <c r="AA73" s="220">
        <f t="shared" ref="AA73" si="303">(AE73+AI73)/2</f>
        <v>4.5263938712810399</v>
      </c>
      <c r="AB73" s="305">
        <f t="shared" ref="AB73" si="304">(AF73+AJ73)/2</f>
        <v>122.33496949408217</v>
      </c>
      <c r="AC73" s="220"/>
      <c r="AD73" s="189">
        <f>44/12*'Crops proc. &amp; prod. AMORTIZED'!CX83</f>
        <v>3.6743550679189814</v>
      </c>
      <c r="AE73" s="189">
        <f>44/12*'Crops proc. &amp; prod. AMORTIZED'!CY83</f>
        <v>3.6743550679189814</v>
      </c>
      <c r="AF73" s="188">
        <f>44/12*'Crops proc. &amp; prod. AMORTIZED'!CZ83</f>
        <v>99.306893727540043</v>
      </c>
      <c r="AH73" s="189">
        <f>44/12*'Crops proc. &amp; prod. AMORTIZED'!EN83</f>
        <v>5.3784326746430988</v>
      </c>
      <c r="AI73" s="189">
        <f>44/12*'Crops proc. &amp; prod. AMORTIZED'!EO83</f>
        <v>5.3784326746430988</v>
      </c>
      <c r="AJ73" s="188">
        <f>44/12*'Crops proc. &amp; prod. AMORTIZED'!EP83</f>
        <v>145.36304526062429</v>
      </c>
      <c r="AL73" s="189">
        <f>'Crops proc. &amp; prod. AMORTIZED'!GY83</f>
        <v>2.285904077951519</v>
      </c>
      <c r="AM73" s="189">
        <f>'Crops proc. &amp; prod. AMORTIZED'!GZ83</f>
        <v>2.285904077951519</v>
      </c>
      <c r="AN73" s="225">
        <f>'Crops proc. &amp; prod. AMORTIZED'!HA83</f>
        <v>61.781191295987</v>
      </c>
      <c r="AP73" s="189">
        <f>'Crops proc. &amp; prod. AMORTIZED'!IV83</f>
        <v>1.7672289823371403</v>
      </c>
      <c r="AQ73" s="189">
        <f>'Crops proc. &amp; prod. AMORTIZED'!IW83</f>
        <v>1.7672289823371403</v>
      </c>
      <c r="AR73" s="225">
        <f>'Crops proc. &amp; prod. AMORTIZED'!IX83</f>
        <v>47.76294546857136</v>
      </c>
      <c r="AS73" s="189"/>
      <c r="AT73" s="189">
        <f t="shared" si="290"/>
        <v>10.361533404485808</v>
      </c>
      <c r="AU73" s="189">
        <f t="shared" si="291"/>
        <v>10.361533404485808</v>
      </c>
      <c r="AV73" s="188">
        <f t="shared" si="292"/>
        <v>280.04144336448132</v>
      </c>
      <c r="AW73" s="189"/>
      <c r="AX73" s="189">
        <f t="shared" si="293"/>
        <v>11.178151597229677</v>
      </c>
      <c r="AY73" s="189">
        <f t="shared" si="294"/>
        <v>11.178151597229677</v>
      </c>
      <c r="AZ73" s="188">
        <f t="shared" si="295"/>
        <v>302.11220533053176</v>
      </c>
      <c r="BA73" s="189"/>
      <c r="BB73" s="250"/>
      <c r="BC73" s="250"/>
      <c r="BD73" s="250"/>
      <c r="BE73" s="250"/>
      <c r="BF73" s="250"/>
      <c r="BG73" s="250"/>
      <c r="BH73" s="250"/>
      <c r="BI73" s="250"/>
      <c r="BJ73" s="193"/>
      <c r="BK73" s="193"/>
      <c r="BL73" s="250"/>
      <c r="BM73" s="250"/>
      <c r="BN73" s="250"/>
      <c r="BO73" s="250"/>
      <c r="BP73" s="250"/>
      <c r="BQ73" s="250"/>
      <c r="BR73" s="250"/>
      <c r="BS73" s="250"/>
      <c r="BT73" s="250"/>
      <c r="BU73" s="250"/>
      <c r="BV73" s="192"/>
      <c r="BW73" s="250"/>
      <c r="BX73" s="250"/>
      <c r="BY73" s="250"/>
      <c r="BZ73" s="250"/>
    </row>
    <row r="74" spans="1:78" x14ac:dyDescent="0.25">
      <c r="A74" s="246" t="s">
        <v>139</v>
      </c>
      <c r="B74" s="220">
        <f t="shared" ref="B74" si="305">(F74+J74)/2</f>
        <v>6.308400344197147</v>
      </c>
      <c r="C74" s="220">
        <f t="shared" ref="C74" si="306">(G74+K74)/2</f>
        <v>6.308400344197147</v>
      </c>
      <c r="D74" s="306">
        <f t="shared" ref="D74" si="307">(H74+L74)/2</f>
        <v>170.49730659992287</v>
      </c>
      <c r="E74" s="221"/>
      <c r="F74" s="189">
        <f>44/12*'Crops proc. &amp; prod. AMORTIZED'!BV84</f>
        <v>7.1250185369410142</v>
      </c>
      <c r="G74" s="189">
        <f>44/12*'Crops proc. &amp; prod. AMORTIZED'!BW84</f>
        <v>7.1250185369410142</v>
      </c>
      <c r="H74" s="188">
        <f>44/12*'Crops proc. &amp; prod. AMORTIZED'!BX84</f>
        <v>192.56806856597333</v>
      </c>
      <c r="J74" s="192">
        <f>44/12*'Crops proc. &amp; prod. AMORTIZED'!DL84</f>
        <v>5.4917821514532799</v>
      </c>
      <c r="K74" s="192">
        <f>44/12*'Crops proc. &amp; prod. AMORTIZED'!DM84</f>
        <v>5.4917821514532799</v>
      </c>
      <c r="L74" s="193">
        <f>44/12*'Crops proc. &amp; prod. AMORTIZED'!DN84</f>
        <v>148.42654463387242</v>
      </c>
      <c r="M74" s="193"/>
      <c r="N74" s="220">
        <f t="shared" ref="N74" si="308">(R74+V74)/2</f>
        <v>6.3084003441971479</v>
      </c>
      <c r="O74" s="220">
        <f t="shared" ref="O74" si="309">(S74+W74)/2</f>
        <v>6.3084003441971479</v>
      </c>
      <c r="P74" s="305">
        <f t="shared" ref="P74" si="310">(T74+X74)/2</f>
        <v>170.49730659992292</v>
      </c>
      <c r="Q74" s="221"/>
      <c r="R74" s="189">
        <f>44/12*'Crops proc. &amp; prod. AMORTIZED'!CJ84</f>
        <v>7.1250185369410168</v>
      </c>
      <c r="S74" s="189">
        <f>44/12*'Crops proc. &amp; prod. AMORTIZED'!CK84</f>
        <v>7.1250185369410168</v>
      </c>
      <c r="T74" s="193">
        <f>44/12*'Crops proc. &amp; prod. AMORTIZED'!CL84</f>
        <v>192.56806856597342</v>
      </c>
      <c r="U74" s="193"/>
      <c r="V74" s="192">
        <f>44/12*'Crops proc. &amp; prod. AMORTIZED'!DZ84</f>
        <v>5.4917821514532799</v>
      </c>
      <c r="W74" s="192">
        <f>44/12*'Crops proc. &amp; prod. AMORTIZED'!EA84</f>
        <v>5.4917821514532799</v>
      </c>
      <c r="X74" s="193">
        <f>44/12*'Crops proc. &amp; prod. AMORTIZED'!EB84</f>
        <v>148.42654463387242</v>
      </c>
      <c r="Z74" s="220">
        <f t="shared" ref="Z74" si="311">(AD74+AH74)/2</f>
        <v>4.5263938712810399</v>
      </c>
      <c r="AA74" s="220">
        <f t="shared" ref="AA74" si="312">(AE74+AI74)/2</f>
        <v>4.5263938712810399</v>
      </c>
      <c r="AB74" s="305">
        <f t="shared" ref="AB74" si="313">(AF74+AJ74)/2</f>
        <v>122.33496949408215</v>
      </c>
      <c r="AC74" s="220"/>
      <c r="AD74" s="189">
        <f>44/12*'Crops proc. &amp; prod. AMORTIZED'!CX84</f>
        <v>3.6743550679189805</v>
      </c>
      <c r="AE74" s="189">
        <f>44/12*'Crops proc. &amp; prod. AMORTIZED'!CY84</f>
        <v>3.6743550679189805</v>
      </c>
      <c r="AF74" s="188">
        <f>44/12*'Crops proc. &amp; prod. AMORTIZED'!CZ84</f>
        <v>99.306893727540015</v>
      </c>
      <c r="AH74" s="189">
        <f>44/12*'Crops proc. &amp; prod. AMORTIZED'!EN84</f>
        <v>5.3784326746430988</v>
      </c>
      <c r="AI74" s="189">
        <f>44/12*'Crops proc. &amp; prod. AMORTIZED'!EO84</f>
        <v>5.3784326746430988</v>
      </c>
      <c r="AJ74" s="188">
        <f>44/12*'Crops proc. &amp; prod. AMORTIZED'!EP84</f>
        <v>145.36304526062426</v>
      </c>
      <c r="AL74" s="189">
        <f>'Crops proc. &amp; prod. AMORTIZED'!GY84</f>
        <v>2.2859040779515185</v>
      </c>
      <c r="AM74" s="189">
        <f>'Crops proc. &amp; prod. AMORTIZED'!GZ84</f>
        <v>2.2859040779515185</v>
      </c>
      <c r="AN74" s="225">
        <f>'Crops proc. &amp; prod. AMORTIZED'!HA84</f>
        <v>61.781191295986986</v>
      </c>
      <c r="AP74" s="189">
        <f>'Crops proc. &amp; prod. AMORTIZED'!IV84</f>
        <v>1.7672289823371399</v>
      </c>
      <c r="AQ74" s="189">
        <f>'Crops proc. &amp; prod. AMORTIZED'!IW84</f>
        <v>1.7672289823371399</v>
      </c>
      <c r="AR74" s="225">
        <f>'Crops proc. &amp; prod. AMORTIZED'!IX84</f>
        <v>47.762945468571345</v>
      </c>
      <c r="AS74" s="189"/>
      <c r="AT74" s="189">
        <f t="shared" si="290"/>
        <v>10.361533404485805</v>
      </c>
      <c r="AU74" s="189">
        <f t="shared" si="291"/>
        <v>10.361533404485805</v>
      </c>
      <c r="AV74" s="188">
        <f t="shared" si="292"/>
        <v>280.04144336448121</v>
      </c>
      <c r="AW74" s="189"/>
      <c r="AX74" s="189">
        <f t="shared" si="293"/>
        <v>11.178151597229672</v>
      </c>
      <c r="AY74" s="189">
        <f t="shared" si="294"/>
        <v>11.178151597229672</v>
      </c>
      <c r="AZ74" s="188">
        <f t="shared" si="295"/>
        <v>302.11220533053165</v>
      </c>
      <c r="BA74" s="189"/>
      <c r="BB74" s="250"/>
      <c r="BC74" s="250"/>
      <c r="BD74" s="250"/>
      <c r="BE74" s="250"/>
      <c r="BF74" s="250"/>
      <c r="BG74" s="250"/>
      <c r="BH74" s="250"/>
      <c r="BI74" s="250"/>
      <c r="BJ74" s="193"/>
      <c r="BK74" s="193"/>
      <c r="BL74" s="250"/>
      <c r="BM74" s="250"/>
      <c r="BN74" s="250"/>
      <c r="BO74" s="250"/>
      <c r="BP74" s="250"/>
      <c r="BQ74" s="250"/>
      <c r="BR74" s="250"/>
      <c r="BS74" s="250"/>
      <c r="BT74" s="250"/>
      <c r="BU74" s="250"/>
      <c r="BV74" s="192"/>
      <c r="BW74" s="250"/>
      <c r="BX74" s="250"/>
      <c r="BY74" s="250"/>
      <c r="BZ74" s="250"/>
    </row>
    <row r="75" spans="1:78" x14ac:dyDescent="0.25">
      <c r="A75" s="246" t="s">
        <v>141</v>
      </c>
      <c r="B75" s="220">
        <f t="shared" ref="B75" si="314">(F75+J75)/2</f>
        <v>8.3594907966460053</v>
      </c>
      <c r="C75" s="220">
        <f t="shared" ref="C75" si="315">(G75+K75)/2</f>
        <v>8.3594907966460053</v>
      </c>
      <c r="D75" s="306">
        <f t="shared" ref="D75" si="316">(H75+L75)/2</f>
        <v>225.93218369313527</v>
      </c>
      <c r="E75" s="221"/>
      <c r="F75" s="189">
        <f>44/12*'Crops proc. &amp; prod. AMORTIZED'!BV89</f>
        <v>9.0174006215055211</v>
      </c>
      <c r="G75" s="189">
        <f>44/12*'Crops proc. &amp; prod. AMORTIZED'!BW89</f>
        <v>9.0174006215055211</v>
      </c>
      <c r="H75" s="188">
        <f>44/12*'Crops proc. &amp; prod. AMORTIZED'!BX89</f>
        <v>243.71353031096001</v>
      </c>
      <c r="J75" s="192">
        <f>44/12*'Crops proc. &amp; prod. AMORTIZED'!DL89</f>
        <v>7.7015809717864903</v>
      </c>
      <c r="K75" s="192">
        <f>44/12*'Crops proc. &amp; prod. AMORTIZED'!DM89</f>
        <v>7.7015809717864903</v>
      </c>
      <c r="L75" s="193">
        <f>44/12*'Crops proc. &amp; prod. AMORTIZED'!DN89</f>
        <v>208.15083707531053</v>
      </c>
      <c r="M75" s="193"/>
      <c r="N75" s="220">
        <f t="shared" ref="N75" si="317">(R75+V75)/2</f>
        <v>8.6308425309455714</v>
      </c>
      <c r="O75" s="220">
        <f t="shared" ref="O75" si="318">(S75+W75)/2</f>
        <v>8.6308425309455714</v>
      </c>
      <c r="P75" s="305">
        <f t="shared" ref="P75" si="319">(T75+X75)/2</f>
        <v>233.26601434988029</v>
      </c>
      <c r="Q75" s="221"/>
      <c r="R75" s="189">
        <f>44/12*'Crops proc. &amp; prod. AMORTIZED'!CJ89</f>
        <v>9.3118815168138074</v>
      </c>
      <c r="S75" s="189">
        <f>44/12*'Crops proc. &amp; prod. AMORTIZED'!CK89</f>
        <v>9.3118815168138074</v>
      </c>
      <c r="T75" s="193">
        <f>44/12*'Crops proc. &amp; prod. AMORTIZED'!CL89</f>
        <v>251.67247342740021</v>
      </c>
      <c r="U75" s="193"/>
      <c r="V75" s="192">
        <f>44/12*'Crops proc. &amp; prod. AMORTIZED'!DZ89</f>
        <v>7.9498035450773337</v>
      </c>
      <c r="W75" s="192">
        <f>44/12*'Crops proc. &amp; prod. AMORTIZED'!EA89</f>
        <v>7.9498035450773337</v>
      </c>
      <c r="X75" s="193">
        <f>44/12*'Crops proc. &amp; prod. AMORTIZED'!EB89</f>
        <v>214.85955527236038</v>
      </c>
      <c r="Z75" s="220">
        <f t="shared" ref="Z75" si="320">(AD75+AH75)/2</f>
        <v>6.6565860611839716</v>
      </c>
      <c r="AA75" s="220">
        <f t="shared" ref="AA75" si="321">(AE75+AI75)/2</f>
        <v>6.6565860611839716</v>
      </c>
      <c r="AB75" s="305">
        <f t="shared" ref="AB75" si="322">(AF75+AJ75)/2</f>
        <v>179.90773138335058</v>
      </c>
      <c r="AC75" s="220"/>
      <c r="AD75" s="189">
        <f>44/12*'Crops proc. &amp; prod. AMORTIZED'!CX89</f>
        <v>7.1523690216278846</v>
      </c>
      <c r="AE75" s="189">
        <f>44/12*'Crops proc. &amp; prod. AMORTIZED'!CY89</f>
        <v>7.1523690216278846</v>
      </c>
      <c r="AF75" s="188">
        <f>44/12*'Crops proc. &amp; prod. AMORTIZED'!CZ89</f>
        <v>193.30727085480768</v>
      </c>
      <c r="AH75" s="189">
        <f>44/12*'Crops proc. &amp; prod. AMORTIZED'!EN89</f>
        <v>6.1608031007400585</v>
      </c>
      <c r="AI75" s="189">
        <f>44/12*'Crops proc. &amp; prod. AMORTIZED'!EO89</f>
        <v>6.1608031007400585</v>
      </c>
      <c r="AJ75" s="188">
        <f>44/12*'Crops proc. &amp; prod. AMORTIZED'!EP89</f>
        <v>166.50819191189348</v>
      </c>
      <c r="AL75" s="189">
        <f>'Crops proc. &amp; prod. AMORTIZED'!GY89</f>
        <v>0.93353643997954849</v>
      </c>
      <c r="AM75" s="189">
        <f>'Crops proc. &amp; prod. AMORTIZED'!GZ89</f>
        <v>0.93353643997954849</v>
      </c>
      <c r="AN75" s="225">
        <f>'Crops proc. &amp; prod. AMORTIZED'!HA89</f>
        <v>25.230714594041853</v>
      </c>
      <c r="AP75" s="189">
        <f>'Crops proc. &amp; prod. AMORTIZED'!IV89</f>
        <v>1.6846170466832489</v>
      </c>
      <c r="AQ75" s="189">
        <f>'Crops proc. &amp; prod. AMORTIZED'!IW89</f>
        <v>1.6846170466832489</v>
      </c>
      <c r="AR75" s="225">
        <f>'Crops proc. &amp; prod. AMORTIZED'!IX89</f>
        <v>45.530190450898615</v>
      </c>
      <c r="AS75" s="189"/>
      <c r="AT75" s="189">
        <f t="shared" si="290"/>
        <v>10.977644283308802</v>
      </c>
      <c r="AU75" s="189">
        <f t="shared" si="291"/>
        <v>10.977644283308802</v>
      </c>
      <c r="AV75" s="188">
        <f t="shared" si="292"/>
        <v>296.69308873807574</v>
      </c>
      <c r="AW75" s="189"/>
      <c r="AX75" s="189">
        <f t="shared" si="293"/>
        <v>11.635554108168318</v>
      </c>
      <c r="AY75" s="189">
        <f t="shared" si="294"/>
        <v>11.635554108168318</v>
      </c>
      <c r="AZ75" s="188">
        <f t="shared" si="295"/>
        <v>314.47443535590048</v>
      </c>
      <c r="BA75" s="189"/>
      <c r="BB75" s="250"/>
      <c r="BC75" s="250"/>
      <c r="BD75" s="250"/>
      <c r="BE75" s="250"/>
      <c r="BF75" s="250"/>
      <c r="BG75" s="250"/>
      <c r="BH75" s="250"/>
      <c r="BI75" s="250"/>
      <c r="BJ75" s="193"/>
      <c r="BK75" s="193"/>
      <c r="BL75" s="250"/>
      <c r="BM75" s="250"/>
      <c r="BN75" s="250"/>
      <c r="BO75" s="250"/>
      <c r="BP75" s="250"/>
      <c r="BQ75" s="250"/>
      <c r="BR75" s="250"/>
      <c r="BS75" s="250"/>
      <c r="BT75" s="250"/>
      <c r="BU75" s="250"/>
      <c r="BV75" s="192"/>
      <c r="BW75" s="250"/>
      <c r="BX75" s="250"/>
      <c r="BY75" s="250"/>
      <c r="BZ75" s="250"/>
    </row>
    <row r="76" spans="1:78" x14ac:dyDescent="0.25">
      <c r="A76" s="191" t="s">
        <v>144</v>
      </c>
      <c r="B76" s="220">
        <f t="shared" ref="B76" si="323">(F76+J76)/2</f>
        <v>9.4495558487573614</v>
      </c>
      <c r="C76" s="220">
        <f t="shared" ref="C76" si="324">(G76+K76)/2</f>
        <v>9.4495558487573614</v>
      </c>
      <c r="D76" s="306">
        <f t="shared" ref="D76" si="325">(H76+L76)/2</f>
        <v>255.39340131776657</v>
      </c>
      <c r="E76" s="221"/>
      <c r="F76" s="189">
        <f>44/12*'Crops proc. &amp; prod. AMORTIZED'!BV93</f>
        <v>7.8853792948580503</v>
      </c>
      <c r="G76" s="189">
        <f>44/12*'Crops proc. &amp; prod. AMORTIZED'!BW93</f>
        <v>7.8853792948580503</v>
      </c>
      <c r="H76" s="188">
        <f>44/12*'Crops proc. &amp; prod. AMORTIZED'!BX93</f>
        <v>213.11835932048788</v>
      </c>
      <c r="J76" s="192">
        <f>44/12*'Crops proc. &amp; prod. AMORTIZED'!DL93</f>
        <v>11.013732402656673</v>
      </c>
      <c r="K76" s="192">
        <f>44/12*'Crops proc. &amp; prod. AMORTIZED'!DM93</f>
        <v>11.013732402656673</v>
      </c>
      <c r="L76" s="193">
        <f>44/12*'Crops proc. &amp; prod. AMORTIZED'!DN93</f>
        <v>297.66844331504524</v>
      </c>
      <c r="M76" s="193"/>
      <c r="N76" s="220">
        <f t="shared" ref="N76" si="326">(R76+V76)/2</f>
        <v>9.6932066751020844</v>
      </c>
      <c r="O76" s="220">
        <f t="shared" ref="O76" si="327">(S76+W76)/2</f>
        <v>9.6932066751020844</v>
      </c>
      <c r="P76" s="305">
        <f t="shared" ref="P76" si="328">(T76+X76)/2</f>
        <v>261.97855878654281</v>
      </c>
      <c r="Q76" s="221"/>
      <c r="R76" s="189">
        <f>44/12*'Crops proc. &amp; prod. AMORTIZED'!CJ93</f>
        <v>8.1228952158871639</v>
      </c>
      <c r="S76" s="189">
        <f>44/12*'Crops proc. &amp; prod. AMORTIZED'!CK93</f>
        <v>8.1228952158871639</v>
      </c>
      <c r="T76" s="193">
        <f>44/12*'Crops proc. &amp; prod. AMORTIZED'!CL93</f>
        <v>219.53770853749089</v>
      </c>
      <c r="U76" s="193"/>
      <c r="V76" s="192">
        <f>44/12*'Crops proc. &amp; prod. AMORTIZED'!DZ93</f>
        <v>11.263518134317005</v>
      </c>
      <c r="W76" s="192">
        <f>44/12*'Crops proc. &amp; prod. AMORTIZED'!EA93</f>
        <v>11.263518134317005</v>
      </c>
      <c r="X76" s="193">
        <f>44/12*'Crops proc. &amp; prod. AMORTIZED'!EB93</f>
        <v>304.41940903559475</v>
      </c>
      <c r="Z76" s="220">
        <f t="shared" ref="Z76" si="329">(AD76+AH76)/2</f>
        <v>4.6772036097962646</v>
      </c>
      <c r="AA76" s="220">
        <f t="shared" ref="AA76" si="330">(AE76+AI76)/2</f>
        <v>4.6772036097962646</v>
      </c>
      <c r="AB76" s="305">
        <f t="shared" ref="AB76" si="331">(AF76+AJ76)/2</f>
        <v>126.41090837287202</v>
      </c>
      <c r="AC76" s="220"/>
      <c r="AD76" s="189">
        <f>44/12*'Crops proc. &amp; prod. AMORTIZED'!CX93</f>
        <v>3.2303615206894021</v>
      </c>
      <c r="AE76" s="189">
        <f>44/12*'Crops proc. &amp; prod. AMORTIZED'!CY93</f>
        <v>3.2303615206894021</v>
      </c>
      <c r="AF76" s="188">
        <f>44/12*'Crops proc. &amp; prod. AMORTIZED'!CZ93</f>
        <v>87.307068126740603</v>
      </c>
      <c r="AH76" s="189">
        <f>44/12*'Crops proc. &amp; prod. AMORTIZED'!EN93</f>
        <v>6.1240456989031271</v>
      </c>
      <c r="AI76" s="189">
        <f>44/12*'Crops proc. &amp; prod. AMORTIZED'!EO93</f>
        <v>6.1240456989031271</v>
      </c>
      <c r="AJ76" s="188">
        <f>44/12*'Crops proc. &amp; prod. AMORTIZED'!EP93</f>
        <v>165.51474861900343</v>
      </c>
      <c r="AL76" s="194">
        <f>'Crops proc. &amp; prod. AMORTIZED'!GY93</f>
        <v>0.23144478624270906</v>
      </c>
      <c r="AM76" s="194">
        <f>'Crops proc. &amp; prod. AMORTIZED'!GZ93</f>
        <v>0.23144478624270906</v>
      </c>
      <c r="AN76" s="226">
        <f>'Crops proc. &amp; prod. AMORTIZED'!HA93</f>
        <v>6.2552644930461909</v>
      </c>
      <c r="AP76" s="189">
        <f>'Crops proc. &amp; prod. AMORTIZED'!IV93</f>
        <v>1.2820637933405039</v>
      </c>
      <c r="AQ76" s="189">
        <f>'Crops proc. &amp; prod. AMORTIZED'!IW93</f>
        <v>1.2820637933405039</v>
      </c>
      <c r="AR76" s="225">
        <f>'Crops proc. &amp; prod. AMORTIZED'!IX93</f>
        <v>34.650372792986595</v>
      </c>
      <c r="AS76" s="189"/>
      <c r="AT76" s="189">
        <f t="shared" si="290"/>
        <v>10.963064428340575</v>
      </c>
      <c r="AU76" s="189">
        <f t="shared" si="291"/>
        <v>10.963064428340575</v>
      </c>
      <c r="AV76" s="188">
        <f t="shared" si="292"/>
        <v>296.29903860379937</v>
      </c>
      <c r="AW76" s="189"/>
      <c r="AX76" s="189">
        <f t="shared" si="293"/>
        <v>9.3988878744412627</v>
      </c>
      <c r="AY76" s="189">
        <f t="shared" si="294"/>
        <v>9.3988878744412627</v>
      </c>
      <c r="AZ76" s="188">
        <f t="shared" si="295"/>
        <v>254.02399660652065</v>
      </c>
      <c r="BA76" s="189"/>
      <c r="BB76" s="250"/>
      <c r="BC76" s="250"/>
      <c r="BD76" s="250"/>
      <c r="BE76" s="250"/>
      <c r="BF76" s="250"/>
      <c r="BG76" s="250"/>
      <c r="BH76" s="250"/>
      <c r="BI76" s="250"/>
      <c r="BJ76" s="193"/>
      <c r="BK76" s="193"/>
      <c r="BL76" s="250"/>
      <c r="BM76" s="250"/>
      <c r="BN76" s="250"/>
      <c r="BO76" s="250"/>
      <c r="BP76" s="250"/>
      <c r="BQ76" s="250"/>
      <c r="BR76" s="250"/>
      <c r="BS76" s="250"/>
      <c r="BT76" s="250"/>
      <c r="BU76" s="250"/>
      <c r="BV76" s="192"/>
      <c r="BW76" s="250"/>
      <c r="BX76" s="250"/>
      <c r="BY76" s="250"/>
      <c r="BZ76" s="250"/>
    </row>
    <row r="77" spans="1:78" x14ac:dyDescent="0.25">
      <c r="A77" s="191" t="s">
        <v>146</v>
      </c>
      <c r="B77" s="220">
        <f t="shared" ref="B77" si="332">(F77+J77)/2</f>
        <v>13.65282136928667</v>
      </c>
      <c r="C77" s="220">
        <f t="shared" ref="C77" si="333">(G77+K77)/2</f>
        <v>13.65282136928667</v>
      </c>
      <c r="D77" s="306">
        <f t="shared" ref="D77" si="334">(H77+L77)/2</f>
        <v>368.99517214288295</v>
      </c>
      <c r="E77" s="221"/>
      <c r="F77" s="189">
        <f>44/12*'Crops proc. &amp; prod. AMORTIZED'!BV97</f>
        <v>12.514043136576529</v>
      </c>
      <c r="G77" s="189">
        <f>44/12*'Crops proc. &amp; prod. AMORTIZED'!BW97</f>
        <v>12.514043136576529</v>
      </c>
      <c r="H77" s="188">
        <f>44/12*'Crops proc. &amp; prod. AMORTIZED'!BX97</f>
        <v>338.2173820696359</v>
      </c>
      <c r="J77" s="192">
        <f>44/12*'Crops proc. &amp; prod. AMORTIZED'!DL97</f>
        <v>14.791599601996809</v>
      </c>
      <c r="K77" s="192">
        <f>44/12*'Crops proc. &amp; prod. AMORTIZED'!DM97</f>
        <v>14.791599601996809</v>
      </c>
      <c r="L77" s="193">
        <f>44/12*'Crops proc. &amp; prod. AMORTIZED'!DN97</f>
        <v>399.77296221613</v>
      </c>
      <c r="M77" s="193"/>
      <c r="N77" s="220">
        <f t="shared" ref="N77" si="335">(R77+V77)/2</f>
        <v>16.035828891422636</v>
      </c>
      <c r="O77" s="220">
        <f t="shared" ref="O77" si="336">(S77+W77)/2</f>
        <v>16.035828891422636</v>
      </c>
      <c r="P77" s="305">
        <f t="shared" ref="P77" si="337">(T77+X77)/2</f>
        <v>433.4007808492604</v>
      </c>
      <c r="Q77" s="221"/>
      <c r="R77" s="189">
        <f>44/12*'Crops proc. &amp; prod. AMORTIZED'!CJ97</f>
        <v>14.62507966642996</v>
      </c>
      <c r="S77" s="189">
        <f>44/12*'Crops proc. &amp; prod. AMORTIZED'!CK97</f>
        <v>14.62507966642996</v>
      </c>
      <c r="T77" s="193">
        <f>44/12*'Crops proc. &amp; prod. AMORTIZED'!CL97</f>
        <v>395.27242341702595</v>
      </c>
      <c r="U77" s="193"/>
      <c r="V77" s="192">
        <f>44/12*'Crops proc. &amp; prod. AMORTIZED'!DZ97</f>
        <v>17.44657811641531</v>
      </c>
      <c r="W77" s="192">
        <f>44/12*'Crops proc. &amp; prod. AMORTIZED'!EA97</f>
        <v>17.44657811641531</v>
      </c>
      <c r="X77" s="193">
        <f>44/12*'Crops proc. &amp; prod. AMORTIZED'!EB97</f>
        <v>471.52913828149485</v>
      </c>
      <c r="Z77" s="220">
        <f t="shared" ref="Z77" si="338">(AD77+AH77)/2</f>
        <v>6.8807447449811914</v>
      </c>
      <c r="AA77" s="220">
        <f t="shared" ref="AA77" si="339">(AE77+AI77)/2</f>
        <v>6.8807447449811914</v>
      </c>
      <c r="AB77" s="305">
        <f t="shared" ref="AB77" si="340">(AF77+AJ77)/2</f>
        <v>185.96607418868084</v>
      </c>
      <c r="AC77" s="220"/>
      <c r="AD77" s="189">
        <f>44/12*'Crops proc. &amp; prod. AMORTIZED'!CX97</f>
        <v>6.5149920809897131</v>
      </c>
      <c r="AE77" s="189">
        <f>44/12*'Crops proc. &amp; prod. AMORTIZED'!CY97</f>
        <v>6.5149920809897131</v>
      </c>
      <c r="AF77" s="188">
        <f>44/12*'Crops proc. &amp; prod. AMORTIZED'!CZ97</f>
        <v>176.08086705377602</v>
      </c>
      <c r="AH77" s="189">
        <f>44/12*'Crops proc. &amp; prod. AMORTIZED'!EN97</f>
        <v>7.2464974089726688</v>
      </c>
      <c r="AI77" s="189">
        <f>44/12*'Crops proc. &amp; prod. AMORTIZED'!EO97</f>
        <v>7.2464974089726688</v>
      </c>
      <c r="AJ77" s="188">
        <f>44/12*'Crops proc. &amp; prod. AMORTIZED'!EP97</f>
        <v>195.85128132358565</v>
      </c>
      <c r="AL77" s="194">
        <f>'Crops proc. &amp; prod. AMORTIZED'!GY97</f>
        <v>0.81837010053263615</v>
      </c>
      <c r="AM77" s="194">
        <f>'Crops proc. &amp; prod. AMORTIZED'!GZ97</f>
        <v>0.81837010053263615</v>
      </c>
      <c r="AN77" s="225">
        <f>'Crops proc. &amp; prod. AMORTIZED'!HA97</f>
        <v>22.118110825206383</v>
      </c>
      <c r="AP77" s="189">
        <f>'Crops proc. &amp; prod. AMORTIZED'!IV97</f>
        <v>0.78823647904458527</v>
      </c>
      <c r="AQ77" s="189">
        <f>'Crops proc. &amp; prod. AMORTIZED'!IW97</f>
        <v>0.78823647904458527</v>
      </c>
      <c r="AR77" s="225">
        <f>'Crops proc. &amp; prod. AMORTIZED'!IX97</f>
        <v>21.30368862282663</v>
      </c>
      <c r="AS77" s="195"/>
      <c r="AT77" s="189">
        <f t="shared" si="290"/>
        <v>15.259427948863891</v>
      </c>
      <c r="AU77" s="189">
        <f t="shared" si="291"/>
        <v>15.259427948863891</v>
      </c>
      <c r="AV77" s="188">
        <f t="shared" si="292"/>
        <v>412.41697159091598</v>
      </c>
      <c r="AW77" s="189"/>
      <c r="AX77" s="189">
        <f t="shared" si="293"/>
        <v>14.12064971615375</v>
      </c>
      <c r="AY77" s="189">
        <f t="shared" si="294"/>
        <v>14.12064971615375</v>
      </c>
      <c r="AZ77" s="188">
        <f t="shared" si="295"/>
        <v>381.63918151766893</v>
      </c>
      <c r="BA77" s="189"/>
      <c r="BB77" s="250"/>
      <c r="BC77" s="250"/>
      <c r="BD77" s="250"/>
      <c r="BE77" s="250"/>
      <c r="BF77" s="250"/>
      <c r="BG77" s="250"/>
      <c r="BH77" s="250"/>
      <c r="BI77" s="250"/>
      <c r="BJ77" s="193"/>
      <c r="BK77" s="193"/>
      <c r="BL77" s="250"/>
      <c r="BM77" s="250"/>
      <c r="BN77" s="250"/>
      <c r="BO77" s="250"/>
      <c r="BP77" s="250"/>
      <c r="BQ77" s="250"/>
      <c r="BR77" s="250"/>
      <c r="BS77" s="250"/>
      <c r="BT77" s="250"/>
      <c r="BU77" s="250"/>
      <c r="BV77" s="290"/>
      <c r="BW77" s="250"/>
      <c r="BX77" s="250"/>
      <c r="BY77" s="250"/>
      <c r="BZ77" s="250"/>
    </row>
    <row r="78" spans="1:78" x14ac:dyDescent="0.25">
      <c r="A78" s="204" t="s">
        <v>166</v>
      </c>
      <c r="B78" s="220">
        <f t="shared" ref="B78" si="341">(F78+J78)/2</f>
        <v>5.6800285843098823</v>
      </c>
      <c r="C78" s="220">
        <f t="shared" ref="C78" si="342">(G78+K78)/2</f>
        <v>5.6800285843098823</v>
      </c>
      <c r="D78" s="306">
        <f t="shared" ref="D78" si="343">(H78+L78)/2</f>
        <v>153.51428606242922</v>
      </c>
      <c r="E78" s="221"/>
      <c r="F78" s="189">
        <f>44/12*'Crops proc. &amp; prod. AMORTIZED'!BV46</f>
        <v>5.8645391935220692</v>
      </c>
      <c r="G78" s="189">
        <f>44/12*'Crops proc. &amp; prod. AMORTIZED'!BW46</f>
        <v>5.8645391935220692</v>
      </c>
      <c r="H78" s="188">
        <f>44/12*'Crops proc. &amp; prod. AMORTIZED'!BX46</f>
        <v>158.50105928438026</v>
      </c>
      <c r="J78" s="192">
        <f>44/12*'Crops proc. &amp; prod. AMORTIZED'!DL46</f>
        <v>5.4955179750976946</v>
      </c>
      <c r="K78" s="192">
        <f>44/12*'Crops proc. &amp; prod. AMORTIZED'!DM46</f>
        <v>5.4955179750976946</v>
      </c>
      <c r="L78" s="193">
        <f>44/12*'Crops proc. &amp; prod. AMORTIZED'!DN46</f>
        <v>148.52751284047821</v>
      </c>
      <c r="M78" s="193"/>
      <c r="N78" s="220">
        <f t="shared" ref="N78" si="344">(R78+V78)/2</f>
        <v>6.6953132530344126</v>
      </c>
      <c r="O78" s="220">
        <f t="shared" ref="O78" si="345">(S78+W78)/2</f>
        <v>6.6953132530344126</v>
      </c>
      <c r="P78" s="305">
        <f t="shared" ref="P78" si="346">(T78+X78)/2</f>
        <v>180.95441224417331</v>
      </c>
      <c r="Q78" s="221"/>
      <c r="R78" s="189">
        <f>44/12*'Crops proc. &amp; prod. AMORTIZED'!CJ46</f>
        <v>6.9989744797122464</v>
      </c>
      <c r="S78" s="189">
        <f>44/12*'Crops proc. &amp; prod. AMORTIZED'!CK46</f>
        <v>6.9989744797122464</v>
      </c>
      <c r="T78" s="193">
        <f>44/12*'Crops proc. &amp; prod. AMORTIZED'!CL46</f>
        <v>189.1614724246553</v>
      </c>
      <c r="U78" s="193"/>
      <c r="V78" s="192">
        <f>44/12*'Crops proc. &amp; prod. AMORTIZED'!DZ46</f>
        <v>6.3916520263565788</v>
      </c>
      <c r="W78" s="192">
        <f>44/12*'Crops proc. &amp; prod. AMORTIZED'!EA46</f>
        <v>6.3916520263565788</v>
      </c>
      <c r="X78" s="193">
        <f>44/12*'Crops proc. &amp; prod. AMORTIZED'!EB46</f>
        <v>172.74735206369132</v>
      </c>
      <c r="Z78" s="220">
        <f t="shared" ref="Z78" si="347">(AD78+AH78)/2</f>
        <v>2.5676710542452961</v>
      </c>
      <c r="AA78" s="220">
        <f t="shared" ref="AA78" si="348">(AE78+AI78)/2</f>
        <v>2.5676710542452961</v>
      </c>
      <c r="AB78" s="305">
        <f t="shared" ref="AB78" si="349">(AF78+AJ78)/2</f>
        <v>69.396514979602586</v>
      </c>
      <c r="AC78" s="220"/>
      <c r="AD78" s="189">
        <f>44/12*'Crops proc. &amp; prod. AMORTIZED'!CX46</f>
        <v>2.3862294843229548</v>
      </c>
      <c r="AE78" s="189">
        <f>44/12*'Crops proc. &amp; prod. AMORTIZED'!CY46</f>
        <v>2.3862294843229548</v>
      </c>
      <c r="AF78" s="188">
        <f>44/12*'Crops proc. &amp; prod. AMORTIZED'!CZ46</f>
        <v>64.492688765485269</v>
      </c>
      <c r="AH78" s="189">
        <f>44/12*'Crops proc. &amp; prod. AMORTIZED'!EN46</f>
        <v>2.7491126241676369</v>
      </c>
      <c r="AI78" s="189">
        <f>44/12*'Crops proc. &amp; prod. AMORTIZED'!EO46</f>
        <v>2.7491126241676369</v>
      </c>
      <c r="AJ78" s="188">
        <f>44/12*'Crops proc. &amp; prod. AMORTIZED'!EP46</f>
        <v>74.300341193719916</v>
      </c>
      <c r="AL78" s="194">
        <f>'Crops proc. &amp; prod. AMORTIZED'!GY46</f>
        <v>0.26152297606307312</v>
      </c>
      <c r="AM78" s="194">
        <f>'Crops proc. &amp; prod. AMORTIZED'!GZ46</f>
        <v>0.26152297606307312</v>
      </c>
      <c r="AN78" s="226">
        <f>'Crops proc. &amp; prod. AMORTIZED'!HA46</f>
        <v>7.0681885422452204</v>
      </c>
      <c r="AP78" s="189">
        <f>'Crops proc. &amp; prod. AMORTIZED'!IV46</f>
        <v>1.0879727730114244</v>
      </c>
      <c r="AQ78" s="189">
        <f>'Crops proc. &amp; prod. AMORTIZED'!IW46</f>
        <v>1.0879727730114244</v>
      </c>
      <c r="AR78" s="225">
        <f>'Crops proc. &amp; prod. AMORTIZED'!IX46</f>
        <v>29.404669540849305</v>
      </c>
      <c r="AS78" s="195"/>
      <c r="AT78" s="189">
        <f t="shared" si="290"/>
        <v>7.02952433338438</v>
      </c>
      <c r="AU78" s="189">
        <f t="shared" si="291"/>
        <v>7.02952433338438</v>
      </c>
      <c r="AV78" s="188">
        <f t="shared" si="292"/>
        <v>189.98714414552376</v>
      </c>
      <c r="AW78" s="189"/>
      <c r="AX78" s="189">
        <f t="shared" si="293"/>
        <v>7.2140349425965669</v>
      </c>
      <c r="AY78" s="189">
        <f t="shared" si="294"/>
        <v>7.2140349425965669</v>
      </c>
      <c r="AZ78" s="188">
        <f t="shared" si="295"/>
        <v>194.9739173674748</v>
      </c>
      <c r="BA78" s="189"/>
      <c r="BB78" s="250"/>
      <c r="BC78" s="250"/>
      <c r="BD78" s="250"/>
      <c r="BE78" s="250"/>
      <c r="BF78" s="250"/>
      <c r="BG78" s="250"/>
      <c r="BH78" s="250"/>
      <c r="BI78" s="250"/>
      <c r="BJ78" s="193"/>
      <c r="BK78" s="193"/>
      <c r="BL78" s="250"/>
      <c r="BM78" s="250"/>
      <c r="BN78" s="250"/>
      <c r="BO78" s="250"/>
      <c r="BP78" s="250"/>
      <c r="BQ78" s="250"/>
      <c r="BR78" s="250"/>
      <c r="BS78" s="250"/>
      <c r="BT78" s="250"/>
      <c r="BU78" s="250"/>
      <c r="BV78" s="290"/>
      <c r="BW78" s="250"/>
      <c r="BX78" s="250"/>
      <c r="BY78" s="250"/>
      <c r="BZ78" s="250"/>
    </row>
    <row r="79" spans="1:78" x14ac:dyDescent="0.25">
      <c r="A79" s="191"/>
      <c r="AS79" s="224"/>
      <c r="AT79" s="224"/>
      <c r="AU79" s="224"/>
      <c r="AV79" s="224"/>
      <c r="AW79" s="224"/>
      <c r="AX79" s="224"/>
      <c r="AY79" s="224"/>
      <c r="AZ79" s="224"/>
      <c r="BA79" s="224"/>
      <c r="BB79" s="250"/>
      <c r="BC79" s="250"/>
      <c r="BD79" s="250"/>
      <c r="BE79" s="250"/>
      <c r="BF79" s="250"/>
      <c r="BG79" s="250"/>
      <c r="BH79" s="250"/>
      <c r="BI79" s="250"/>
      <c r="BJ79" s="250"/>
      <c r="BK79" s="250"/>
      <c r="BL79" s="250"/>
      <c r="BM79" s="250"/>
      <c r="BN79" s="250"/>
      <c r="BO79" s="250"/>
      <c r="BP79" s="250"/>
      <c r="BQ79" s="250"/>
      <c r="BR79" s="250"/>
      <c r="BS79" s="250"/>
      <c r="BT79" s="250"/>
      <c r="BU79" s="250"/>
      <c r="BV79" s="291"/>
      <c r="BW79" s="250"/>
      <c r="BX79" s="250"/>
      <c r="BY79" s="250"/>
      <c r="BZ79" s="250"/>
    </row>
    <row r="80" spans="1:78" ht="13.8" x14ac:dyDescent="0.3">
      <c r="A80" s="190" t="s">
        <v>447</v>
      </c>
      <c r="AS80" s="224"/>
      <c r="AT80" s="224"/>
      <c r="AU80" s="224"/>
      <c r="AV80" s="224"/>
      <c r="AW80" s="224"/>
      <c r="AX80" s="224"/>
      <c r="AY80" s="224"/>
      <c r="AZ80" s="224"/>
      <c r="BA80" s="224"/>
      <c r="BB80" s="250"/>
      <c r="BC80" s="250"/>
      <c r="BD80" s="250"/>
      <c r="BE80" s="250"/>
      <c r="BF80" s="250"/>
      <c r="BG80" s="250"/>
      <c r="BH80" s="250"/>
      <c r="BI80" s="250"/>
      <c r="BJ80" s="250"/>
      <c r="BK80" s="250"/>
      <c r="BL80" s="250"/>
      <c r="BM80" s="250"/>
      <c r="BN80" s="250"/>
      <c r="BO80" s="250"/>
      <c r="BP80" s="250"/>
      <c r="BQ80" s="250"/>
      <c r="BR80" s="250"/>
      <c r="BS80" s="250"/>
      <c r="BT80" s="250"/>
      <c r="BU80" s="250"/>
      <c r="BV80" s="291"/>
      <c r="BW80" s="250"/>
      <c r="BX80" s="250"/>
      <c r="BY80" s="250"/>
      <c r="BZ80" s="250"/>
    </row>
    <row r="81" spans="1:78" x14ac:dyDescent="0.25">
      <c r="A81" s="197"/>
      <c r="AP81" s="228"/>
      <c r="AQ81" s="224"/>
      <c r="AR81" s="224"/>
      <c r="AS81" s="224"/>
      <c r="AT81" s="224"/>
      <c r="AU81" s="224"/>
      <c r="AV81" s="224"/>
      <c r="AW81" s="224"/>
      <c r="AX81" s="224"/>
      <c r="AY81" s="224"/>
      <c r="AZ81" s="224"/>
      <c r="BA81" s="224"/>
      <c r="BB81" s="250"/>
      <c r="BC81" s="250"/>
      <c r="BD81" s="250"/>
      <c r="BE81" s="250"/>
      <c r="BF81" s="250"/>
      <c r="BG81" s="250"/>
      <c r="BH81" s="250"/>
      <c r="BI81" s="250"/>
      <c r="BJ81" s="250"/>
      <c r="BK81" s="250"/>
      <c r="BL81" s="250"/>
      <c r="BM81" s="250"/>
      <c r="BN81" s="250"/>
      <c r="BO81" s="250"/>
      <c r="BP81" s="250"/>
      <c r="BQ81" s="250"/>
      <c r="BR81" s="250"/>
      <c r="BS81" s="250"/>
      <c r="BT81" s="250"/>
      <c r="BU81" s="250"/>
      <c r="BV81" s="291"/>
      <c r="BW81" s="250"/>
      <c r="BX81" s="250"/>
      <c r="BY81" s="250"/>
      <c r="BZ81" s="250"/>
    </row>
    <row r="82" spans="1:78" ht="13.8" x14ac:dyDescent="0.3">
      <c r="A82" s="190" t="s">
        <v>206</v>
      </c>
      <c r="AP82" s="228"/>
      <c r="AQ82" s="224"/>
      <c r="AR82" s="291"/>
      <c r="AS82" s="224"/>
      <c r="AT82" s="224"/>
      <c r="AU82" s="224"/>
      <c r="AV82" s="224"/>
      <c r="AW82" s="224"/>
      <c r="AX82" s="224"/>
      <c r="AY82" s="224"/>
      <c r="AZ82" s="224"/>
      <c r="BA82" s="224"/>
      <c r="BB82" s="250"/>
      <c r="BC82" s="250"/>
      <c r="BD82" s="250"/>
      <c r="BE82" s="250"/>
      <c r="BF82" s="250"/>
      <c r="BG82" s="250"/>
      <c r="BH82" s="250"/>
      <c r="BI82" s="250"/>
      <c r="BJ82" s="250"/>
      <c r="BK82" s="250"/>
      <c r="BL82" s="250"/>
      <c r="BM82" s="250"/>
      <c r="BN82" s="250"/>
      <c r="BO82" s="250"/>
      <c r="BP82" s="250"/>
      <c r="BQ82" s="250"/>
      <c r="BR82" s="250"/>
      <c r="BS82" s="250"/>
      <c r="BT82" s="250"/>
      <c r="BU82" s="250"/>
      <c r="BV82" s="291"/>
      <c r="BW82" s="250"/>
      <c r="BX82" s="250"/>
      <c r="BY82" s="250"/>
      <c r="BZ82" s="250"/>
    </row>
    <row r="83" spans="1:78" x14ac:dyDescent="0.25">
      <c r="A83" s="204" t="s">
        <v>165</v>
      </c>
      <c r="B83" s="220">
        <f t="shared" ref="B83" si="350">(F83+J83)/2</f>
        <v>2.6665783048477665</v>
      </c>
      <c r="C83" s="220">
        <f t="shared" ref="C83" si="351">(G83+K83)/2</f>
        <v>2.9628647831641848</v>
      </c>
      <c r="E83" s="221">
        <f t="shared" ref="E83" si="352">(I83+M83)/2</f>
        <v>18.992722969001186</v>
      </c>
      <c r="F83" s="189">
        <f>44/12*'Crops proc. &amp; prod. AMORTIZED'!BV45</f>
        <v>2.7531996977221902</v>
      </c>
      <c r="G83" s="189">
        <f>44/12*'Crops proc. &amp; prod. AMORTIZED'!BW45</f>
        <v>3.0591107752468778</v>
      </c>
      <c r="I83" s="188">
        <f>44/12*'Crops proc. &amp; prod. AMORTIZED'!BY45</f>
        <v>19.609684456710756</v>
      </c>
      <c r="J83" s="192">
        <f>44/12*'Crops proc. &amp; prod. AMORTIZED'!DL45</f>
        <v>2.5799569119733428</v>
      </c>
      <c r="K83" s="192">
        <f>44/12*'Crops proc. &amp; prod. AMORTIZED'!DM45</f>
        <v>2.8666187910814918</v>
      </c>
      <c r="L83" s="193"/>
      <c r="M83" s="193">
        <f>44/12*'Crops proc. &amp; prod. AMORTIZED'!DO45</f>
        <v>18.375761481291615</v>
      </c>
      <c r="N83" s="220">
        <f t="shared" ref="N83" si="353">(R83+V83)/2</f>
        <v>3.1432195806230228</v>
      </c>
      <c r="O83" s="220">
        <f t="shared" ref="O83" si="354">(S83+W83)/2</f>
        <v>3.492466200692248</v>
      </c>
      <c r="Q83" s="221">
        <f t="shared" ref="Q83" si="355">(U83+Y83)/2</f>
        <v>22.387603850591333</v>
      </c>
      <c r="R83" s="189">
        <f>44/12*'Crops proc. &amp; prod. AMORTIZED'!CJ45</f>
        <v>3.285778095437426</v>
      </c>
      <c r="S83" s="189">
        <f>44/12*'Crops proc. &amp; prod. AMORTIZED'!CK45</f>
        <v>3.6508645504860291</v>
      </c>
      <c r="T83" s="193"/>
      <c r="U83" s="193">
        <f>44/12*'Crops proc. &amp; prod. AMORTIZED'!CM45</f>
        <v>23.402977887730955</v>
      </c>
      <c r="V83" s="192">
        <f>44/12*'Crops proc. &amp; prod. AMORTIZED'!DZ45</f>
        <v>3.0006610658086199</v>
      </c>
      <c r="W83" s="192">
        <f>44/12*'Crops proc. &amp; prod. AMORTIZED'!EA45</f>
        <v>3.3340678508984669</v>
      </c>
      <c r="X83" s="193"/>
      <c r="Y83" s="188">
        <f>44/12*'Crops proc. &amp; prod. AMORTIZED'!EC45</f>
        <v>21.37222981345171</v>
      </c>
      <c r="Z83" s="220">
        <f t="shared" ref="Z83" si="356">(AD83+AH83)/2</f>
        <v>1.2054333575273706</v>
      </c>
      <c r="AA83" s="220">
        <f t="shared" ref="AA83" si="357">(AE83+AI83)/2</f>
        <v>1.3393703972526341</v>
      </c>
      <c r="AC83" s="220">
        <f t="shared" ref="AC83" si="358">(AG83+AK83)/2</f>
        <v>8.585707674696371</v>
      </c>
      <c r="AD83" s="189">
        <f>44/12*'Crops proc. &amp; prod. AMORTIZED'!CX45</f>
        <v>1.120252773174516</v>
      </c>
      <c r="AE83" s="189">
        <f>44/12*'Crops proc. &amp; prod. AMORTIZED'!CY45</f>
        <v>1.2447253035272399</v>
      </c>
      <c r="AG83" s="188">
        <f>44/12*'Crops proc. &amp; prod. AMORTIZED'!DA45</f>
        <v>7.9790083559438445</v>
      </c>
      <c r="AH83" s="189">
        <f>44/12*'Crops proc. &amp; prod. AMORTIZED'!EN45</f>
        <v>1.2906139418802254</v>
      </c>
      <c r="AI83" s="189">
        <f>44/12*'Crops proc. &amp; prod. AMORTIZED'!EO45</f>
        <v>1.4340154909780281</v>
      </c>
      <c r="AK83" s="188">
        <f>44/12*'Crops proc. &amp; prod. AMORTIZED'!EQ45</f>
        <v>9.1924069934488966</v>
      </c>
      <c r="AL83" s="194">
        <f>'Crops proc. &amp; prod. AMORTIZED'!GY45</f>
        <v>0.12277605364793115</v>
      </c>
      <c r="AM83" s="194">
        <f>'Crops proc. &amp; prod. AMORTIZED'!GZ45</f>
        <v>0.13641783738659016</v>
      </c>
      <c r="AN83" s="193"/>
      <c r="AO83" s="226">
        <f>'Crops proc. &amp; prod. AMORTIZED'!HB45</f>
        <v>0.87447331658070615</v>
      </c>
      <c r="AP83" s="194">
        <f>'Crops proc. &amp; prod. AMORTIZED'!IV45</f>
        <v>0.51076584381833989</v>
      </c>
      <c r="AQ83" s="194">
        <f>'Crops proc. &amp; prod. AMORTIZED'!IW45</f>
        <v>0.56751760424259989</v>
      </c>
      <c r="AR83" s="193"/>
      <c r="AS83" s="226">
        <f>'Crops proc. &amp; prod. AMORTIZED'!IY45</f>
        <v>3.6379333605294866</v>
      </c>
      <c r="AT83" s="189">
        <f t="shared" ref="AT83:AT85" si="359">B83+AL83+AP83</f>
        <v>3.3001202023140372</v>
      </c>
      <c r="AU83" s="189">
        <f t="shared" ref="AU83:AU85" si="360">C83+AM83+AQ83</f>
        <v>3.6668002247933749</v>
      </c>
      <c r="AV83" s="188"/>
      <c r="AW83" s="189">
        <f t="shared" ref="AW83:AW85" si="361">E83+AO83+AS83</f>
        <v>23.505129646111378</v>
      </c>
      <c r="AX83" s="189">
        <f t="shared" ref="AX83:AX85" si="362">F83+AL83+AP83</f>
        <v>3.386741595188461</v>
      </c>
      <c r="AY83" s="189">
        <f t="shared" ref="AY83:AY85" si="363">G83+AM83+AQ83</f>
        <v>3.7630462168760679</v>
      </c>
      <c r="AZ83" s="188"/>
      <c r="BA83" s="189">
        <f t="shared" ref="BA83:BA85" si="364">I83+AO83+AS83</f>
        <v>24.122091133820948</v>
      </c>
      <c r="BB83" s="250"/>
      <c r="BC83" s="250"/>
      <c r="BD83" s="250"/>
      <c r="BE83" s="250"/>
      <c r="BF83" s="250"/>
      <c r="BG83" s="250"/>
      <c r="BH83" s="250"/>
      <c r="BI83" s="250"/>
      <c r="BJ83" s="193"/>
      <c r="BK83" s="193"/>
      <c r="BL83" s="250"/>
      <c r="BM83" s="250"/>
      <c r="BN83" s="250"/>
      <c r="BO83" s="250"/>
      <c r="BP83" s="250"/>
      <c r="BQ83" s="250"/>
      <c r="BR83" s="250"/>
      <c r="BS83" s="250"/>
      <c r="BT83" s="250"/>
      <c r="BU83" s="250"/>
      <c r="BV83" s="290"/>
      <c r="BW83" s="250"/>
      <c r="BX83" s="250"/>
      <c r="BY83" s="250"/>
      <c r="BZ83" s="250"/>
    </row>
    <row r="84" spans="1:78" x14ac:dyDescent="0.25">
      <c r="A84" s="204" t="s">
        <v>167</v>
      </c>
      <c r="B84" s="220">
        <f t="shared" ref="B84" si="365">(F84+J84)/2</f>
        <v>3.2399170723051665</v>
      </c>
      <c r="C84" s="220">
        <f t="shared" ref="C84" si="366">(G84+K84)/2</f>
        <v>3.5216489916360505</v>
      </c>
      <c r="E84" s="221">
        <f t="shared" ref="E84" si="367">(I84+M84)/2</f>
        <v>24.287234425076214</v>
      </c>
      <c r="F84" s="189">
        <f>44/12*'Crops proc. &amp; prod. AMORTIZED'!BV50</f>
        <v>3.3609616222037042</v>
      </c>
      <c r="G84" s="189">
        <f>44/12*'Crops proc. &amp; prod. AMORTIZED'!BW50</f>
        <v>3.6532191545692436</v>
      </c>
      <c r="I84" s="188">
        <f>44/12*'Crops proc. &amp; prod. AMORTIZED'!BY50</f>
        <v>25.194614859098234</v>
      </c>
      <c r="J84" s="192">
        <f>44/12*'Crops proc. &amp; prod. AMORTIZED'!DL50</f>
        <v>3.1188725224066292</v>
      </c>
      <c r="K84" s="192">
        <f>44/12*'Crops proc. &amp; prod. AMORTIZED'!DM50</f>
        <v>3.3900788287028578</v>
      </c>
      <c r="L84" s="193"/>
      <c r="M84" s="193">
        <f>44/12*'Crops proc. &amp; prod. AMORTIZED'!DO50</f>
        <v>23.379853991054194</v>
      </c>
      <c r="N84" s="220">
        <f t="shared" ref="N84" si="368">(R84+V84)/2</f>
        <v>6.366055785089463</v>
      </c>
      <c r="O84" s="220">
        <f t="shared" ref="O84" si="369">(S84+W84)/2</f>
        <v>6.9196258533581121</v>
      </c>
      <c r="Q84" s="221">
        <f t="shared" ref="Q84" si="370">(U84+Y84)/2</f>
        <v>47.721557609366293</v>
      </c>
      <c r="R84" s="189">
        <f>44/12*'Crops proc. &amp; prod. AMORTIZED'!CJ50</f>
        <v>6.4469441691816023</v>
      </c>
      <c r="S84" s="189">
        <f>44/12*'Crops proc. &amp; prod. AMORTIZED'!CK50</f>
        <v>7.0075480099800025</v>
      </c>
      <c r="T84" s="193"/>
      <c r="U84" s="193">
        <f>44/12*'Crops proc. &amp; prod. AMORTIZED'!CM50</f>
        <v>48.327917310206914</v>
      </c>
      <c r="V84" s="192">
        <f>44/12*'Crops proc. &amp; prod. AMORTIZED'!DZ50</f>
        <v>6.2851674009973246</v>
      </c>
      <c r="W84" s="192">
        <f>44/12*'Crops proc. &amp; prod. AMORTIZED'!EA50</f>
        <v>6.8317036967362217</v>
      </c>
      <c r="X84" s="193"/>
      <c r="Y84" s="188">
        <f>44/12*'Crops proc. &amp; prod. AMORTIZED'!EC50</f>
        <v>47.115197908525673</v>
      </c>
      <c r="Z84" s="220">
        <f t="shared" ref="Z84" si="371">(AD84+AH84)/2</f>
        <v>2.3294474024600369</v>
      </c>
      <c r="AA84" s="220">
        <f t="shared" ref="AA84" si="372">(AE84+AI84)/2</f>
        <v>2.5320080461522139</v>
      </c>
      <c r="AC84" s="220">
        <f t="shared" ref="AC84" si="373">(AG84+AK84)/2</f>
        <v>17.462124456222167</v>
      </c>
      <c r="AD84" s="189">
        <f>44/12*'Crops proc. &amp; prod. AMORTIZED'!CX50</f>
        <v>2.4622409317993101</v>
      </c>
      <c r="AE84" s="189">
        <f>44/12*'Crops proc. &amp; prod. AMORTIZED'!CY50</f>
        <v>2.6763488389122938</v>
      </c>
      <c r="AG84" s="188">
        <f>44/12*'Crops proc. &amp; prod. AMORTIZED'!DA50</f>
        <v>18.45757819939513</v>
      </c>
      <c r="AH84" s="189">
        <f>44/12*'Crops proc. &amp; prod. AMORTIZED'!EN50</f>
        <v>2.1966538731207637</v>
      </c>
      <c r="AI84" s="189">
        <f>44/12*'Crops proc. &amp; prod. AMORTIZED'!EO50</f>
        <v>2.3876672533921344</v>
      </c>
      <c r="AK84" s="188">
        <f>44/12*'Crops proc. &amp; prod. AMORTIZED'!EQ50</f>
        <v>16.466670713049204</v>
      </c>
      <c r="AL84" s="194">
        <f>'Crops proc. &amp; prod. AMORTIZED'!GY50</f>
        <v>0.34375162381410485</v>
      </c>
      <c r="AM84" s="194">
        <f>'Crops proc. &amp; prod. AMORTIZED'!GZ50</f>
        <v>0.37364306936315744</v>
      </c>
      <c r="AN84" s="193"/>
      <c r="AO84" s="226">
        <f>'Crops proc. &amp; prod. AMORTIZED'!HB50</f>
        <v>2.576848754228672</v>
      </c>
      <c r="AP84" s="194">
        <f>'Crops proc. &amp; prod. AMORTIZED'!IV50</f>
        <v>3.06749345192397</v>
      </c>
      <c r="AQ84" s="194">
        <f>'Crops proc. &amp; prod. AMORTIZED'!IW50</f>
        <v>3.3342320129608369</v>
      </c>
      <c r="AR84" s="193"/>
      <c r="AS84" s="226">
        <f>'Crops proc. &amp; prod. AMORTIZED'!IY50</f>
        <v>22.994703537660946</v>
      </c>
      <c r="AT84" s="189">
        <f t="shared" si="359"/>
        <v>6.651162148043241</v>
      </c>
      <c r="AU84" s="189">
        <f t="shared" si="360"/>
        <v>7.2295240739600448</v>
      </c>
      <c r="AV84" s="188"/>
      <c r="AW84" s="189">
        <f t="shared" si="361"/>
        <v>49.858786716965831</v>
      </c>
      <c r="AX84" s="189">
        <f t="shared" si="362"/>
        <v>6.7722066979417797</v>
      </c>
      <c r="AY84" s="189">
        <f t="shared" si="363"/>
        <v>7.3610942368932379</v>
      </c>
      <c r="AZ84" s="188"/>
      <c r="BA84" s="189">
        <f t="shared" si="364"/>
        <v>50.766167150987854</v>
      </c>
      <c r="BB84" s="250"/>
      <c r="BC84" s="250"/>
      <c r="BD84" s="250"/>
      <c r="BE84" s="250"/>
      <c r="BF84" s="250"/>
      <c r="BG84" s="250"/>
      <c r="BH84" s="250"/>
      <c r="BI84" s="250"/>
      <c r="BJ84" s="193"/>
      <c r="BK84" s="193"/>
      <c r="BL84" s="250"/>
      <c r="BM84" s="250"/>
      <c r="BN84" s="250"/>
      <c r="BO84" s="250"/>
      <c r="BP84" s="250"/>
      <c r="BQ84" s="250"/>
      <c r="BR84" s="250"/>
      <c r="BS84" s="250"/>
      <c r="BT84" s="250"/>
      <c r="BU84" s="250"/>
      <c r="BV84" s="290"/>
      <c r="BW84" s="250"/>
      <c r="BX84" s="250"/>
      <c r="BY84" s="250"/>
      <c r="BZ84" s="250"/>
    </row>
    <row r="85" spans="1:78" x14ac:dyDescent="0.25">
      <c r="A85" s="204" t="s">
        <v>160</v>
      </c>
      <c r="B85" s="220">
        <f t="shared" ref="B85" si="374">(F85+J85)/2</f>
        <v>2.3159457986099135</v>
      </c>
      <c r="C85" s="220">
        <f t="shared" ref="C85" si="375">(G85+K85)/2</f>
        <v>2.602186290572936</v>
      </c>
      <c r="E85" s="221">
        <f t="shared" ref="E85" si="376">(I85+M85)/2</f>
        <v>13.01093145286468</v>
      </c>
      <c r="F85" s="189">
        <f>44/12*'Crops proc. &amp; prod. AMORTIZED'!BV55</f>
        <v>2.027720011847383</v>
      </c>
      <c r="G85" s="189">
        <f>44/12*'Crops proc. &amp; prod. AMORTIZED'!BW55</f>
        <v>2.2783370919633517</v>
      </c>
      <c r="I85" s="188">
        <f>44/12*'Crops proc. &amp; prod. AMORTIZED'!BY55</f>
        <v>11.391685459816758</v>
      </c>
      <c r="J85" s="192">
        <f>44/12*'Crops proc. &amp; prod. AMORTIZED'!DL55</f>
        <v>2.6041715853724434</v>
      </c>
      <c r="K85" s="192">
        <f>44/12*'Crops proc. &amp; prod. AMORTIZED'!DM55</f>
        <v>2.9260354891825209</v>
      </c>
      <c r="L85" s="193"/>
      <c r="M85" s="193">
        <f>44/12*'Crops proc. &amp; prod. AMORTIZED'!DO55</f>
        <v>14.630177445912603</v>
      </c>
      <c r="N85" s="220">
        <f t="shared" ref="N85" si="377">(R85+V85)/2</f>
        <v>3.0339557132323622</v>
      </c>
      <c r="O85" s="220">
        <f t="shared" ref="O85" si="378">(S85+W85)/2</f>
        <v>3.4089390036318674</v>
      </c>
      <c r="Q85" s="221">
        <f t="shared" ref="Q85" si="379">(U85+Y85)/2</f>
        <v>17.044695018159338</v>
      </c>
      <c r="R85" s="189">
        <f>44/12*'Crops proc. &amp; prod. AMORTIZED'!CJ55</f>
        <v>2.7277256888669026</v>
      </c>
      <c r="S85" s="189">
        <f>44/12*'Crops proc. &amp; prod. AMORTIZED'!CK55</f>
        <v>3.0648603245695529</v>
      </c>
      <c r="T85" s="193"/>
      <c r="U85" s="193">
        <f>44/12*'Crops proc. &amp; prod. AMORTIZED'!CM55</f>
        <v>15.324301622847765</v>
      </c>
      <c r="V85" s="192">
        <f>44/12*'Crops proc. &amp; prod. AMORTIZED'!DZ55</f>
        <v>3.3401857375978219</v>
      </c>
      <c r="W85" s="192">
        <f>44/12*'Crops proc. &amp; prod. AMORTIZED'!EA55</f>
        <v>3.7530176826941819</v>
      </c>
      <c r="X85" s="193"/>
      <c r="Y85" s="188">
        <f>44/12*'Crops proc. &amp; prod. AMORTIZED'!EC55</f>
        <v>18.76508841347091</v>
      </c>
      <c r="Z85" s="220">
        <f t="shared" ref="Z85" si="380">(AD85+AH85)/2</f>
        <v>0.9578744846236158</v>
      </c>
      <c r="AA85" s="220">
        <f t="shared" ref="AA85" si="381">(AE85+AI85)/2</f>
        <v>1.0762634658692312</v>
      </c>
      <c r="AC85" s="220">
        <f t="shared" ref="AC85" si="382">(AG85+AK85)/2</f>
        <v>5.3813173293461558</v>
      </c>
      <c r="AD85" s="189">
        <f>44/12*'Crops proc. &amp; prod. AMORTIZED'!CX55</f>
        <v>0.70236409609835837</v>
      </c>
      <c r="AE85" s="189">
        <f>44/12*'Crops proc. &amp; prod. AMORTIZED'!CY55</f>
        <v>0.78917314168354868</v>
      </c>
      <c r="AG85" s="188">
        <f>44/12*'Crops proc. &amp; prod. AMORTIZED'!DA55</f>
        <v>3.9458657084177435</v>
      </c>
      <c r="AH85" s="189">
        <f>44/12*'Crops proc. &amp; prod. AMORTIZED'!EN55</f>
        <v>1.2133848731488732</v>
      </c>
      <c r="AI85" s="189">
        <f>44/12*'Crops proc. &amp; prod. AMORTIZED'!EO55</f>
        <v>1.3633537900549138</v>
      </c>
      <c r="AK85" s="188">
        <f>44/12*'Crops proc. &amp; prod. AMORTIZED'!EQ55</f>
        <v>6.8167689502745681</v>
      </c>
      <c r="AL85" s="194">
        <f>'Crops proc. &amp; prod. AMORTIZED'!GY55</f>
        <v>0.11428921773447455</v>
      </c>
      <c r="AM85" s="194">
        <f>'Crops proc. &amp; prod. AMORTIZED'!GZ55</f>
        <v>0.12841485138705006</v>
      </c>
      <c r="AN85" s="193"/>
      <c r="AO85" s="226">
        <f>'Crops proc. &amp; prod. AMORTIZED'!HB55</f>
        <v>0.64207425693525022</v>
      </c>
      <c r="AP85" s="194">
        <f>'Crops proc. &amp; prod. AMORTIZED'!IV55</f>
        <v>0.7024359137211944</v>
      </c>
      <c r="AQ85" s="194">
        <f>'Crops proc. &amp; prod. AMORTIZED'!IW55</f>
        <v>0.78925383564179141</v>
      </c>
      <c r="AR85" s="193"/>
      <c r="AS85" s="226">
        <f>'Crops proc. &amp; prod. AMORTIZED'!IY55</f>
        <v>3.946269178208957</v>
      </c>
      <c r="AT85" s="189">
        <f t="shared" si="359"/>
        <v>3.1326709300655828</v>
      </c>
      <c r="AU85" s="189">
        <f t="shared" si="360"/>
        <v>3.5198549776017773</v>
      </c>
      <c r="AV85" s="188"/>
      <c r="AW85" s="189">
        <f t="shared" si="361"/>
        <v>17.599274888008889</v>
      </c>
      <c r="AX85" s="189">
        <f t="shared" si="362"/>
        <v>2.8444451433030524</v>
      </c>
      <c r="AY85" s="189">
        <f t="shared" si="363"/>
        <v>3.196005778992193</v>
      </c>
      <c r="AZ85" s="188"/>
      <c r="BA85" s="189">
        <f t="shared" si="364"/>
        <v>15.980028894960967</v>
      </c>
      <c r="BB85" s="250"/>
      <c r="BC85" s="250"/>
      <c r="BD85" s="250"/>
      <c r="BE85" s="250"/>
      <c r="BF85" s="250"/>
      <c r="BG85" s="250"/>
      <c r="BH85" s="250"/>
      <c r="BI85" s="250"/>
      <c r="BJ85" s="193"/>
      <c r="BK85" s="193"/>
      <c r="BL85" s="250"/>
      <c r="BM85" s="250"/>
      <c r="BN85" s="250"/>
      <c r="BO85" s="250"/>
      <c r="BP85" s="250"/>
      <c r="BQ85" s="250"/>
      <c r="BR85" s="250"/>
      <c r="BS85" s="250"/>
      <c r="BT85" s="250"/>
      <c r="BU85" s="250"/>
      <c r="BV85" s="290"/>
      <c r="BW85" s="250"/>
      <c r="BX85" s="250"/>
      <c r="BY85" s="250"/>
      <c r="BZ85" s="250"/>
    </row>
    <row r="86" spans="1:78" x14ac:dyDescent="0.25">
      <c r="A86" s="197"/>
      <c r="AN86" s="193"/>
      <c r="BB86" s="250"/>
      <c r="BC86" s="250"/>
      <c r="BD86" s="250"/>
      <c r="BE86" s="250"/>
      <c r="BF86" s="250"/>
      <c r="BG86" s="250"/>
      <c r="BH86" s="250"/>
      <c r="BI86" s="250"/>
      <c r="BJ86" s="250"/>
      <c r="BK86" s="250"/>
      <c r="BL86" s="250"/>
      <c r="BM86" s="250"/>
      <c r="BN86" s="250"/>
      <c r="BO86" s="250"/>
      <c r="BP86" s="250"/>
      <c r="BQ86" s="250"/>
      <c r="BR86" s="250"/>
      <c r="BS86" s="250"/>
      <c r="BT86" s="250"/>
      <c r="BU86" s="250"/>
      <c r="BV86" s="250"/>
      <c r="BW86" s="250"/>
      <c r="BX86" s="250"/>
      <c r="BY86" s="250"/>
      <c r="BZ86" s="250"/>
    </row>
    <row r="87" spans="1:78" ht="13.8" x14ac:dyDescent="0.3">
      <c r="A87" s="190" t="s">
        <v>372</v>
      </c>
      <c r="BB87" s="250"/>
      <c r="BC87" s="250"/>
      <c r="BD87" s="250"/>
      <c r="BE87" s="250"/>
      <c r="BF87" s="250"/>
      <c r="BG87" s="250"/>
      <c r="BH87" s="250"/>
      <c r="BI87" s="250"/>
      <c r="BJ87" s="250"/>
      <c r="BK87" s="250"/>
      <c r="BL87" s="250"/>
      <c r="BM87" s="250"/>
      <c r="BN87" s="250"/>
      <c r="BO87" s="250"/>
      <c r="BP87" s="250"/>
      <c r="BQ87" s="250"/>
      <c r="BR87" s="250"/>
      <c r="BS87" s="250"/>
      <c r="BT87" s="250"/>
      <c r="BU87" s="250"/>
      <c r="BV87" s="250"/>
      <c r="BW87" s="250"/>
      <c r="BX87" s="250"/>
      <c r="BY87" s="250"/>
      <c r="BZ87" s="250"/>
    </row>
    <row r="88" spans="1:78" x14ac:dyDescent="0.25">
      <c r="A88" s="191" t="s">
        <v>90</v>
      </c>
      <c r="B88" s="220">
        <f t="shared" ref="B88" si="383">(F88+J88)/2</f>
        <v>4.9036490544619067</v>
      </c>
      <c r="C88" s="220">
        <f t="shared" ref="C88" si="384">(G88+K88)/2</f>
        <v>5.3300533200672895</v>
      </c>
      <c r="E88" s="308">
        <f t="shared" ref="E88" si="385">(I88+M88)/2</f>
        <v>10.660106640134579</v>
      </c>
      <c r="F88" s="189">
        <f>44/12*'Crops proc. &amp; prod. AMORTIZED'!BV80</f>
        <v>5.3236613967357478</v>
      </c>
      <c r="G88" s="189">
        <f>44/12*'Crops proc. &amp; prod. AMORTIZED'!BW80</f>
        <v>5.7865884747127687</v>
      </c>
      <c r="I88" s="188">
        <f>44/12*'Crops proc. &amp; prod. AMORTIZED'!BY80</f>
        <v>11.573176949425537</v>
      </c>
      <c r="J88" s="192">
        <f>44/12*'Crops proc. &amp; prod. AMORTIZED'!DL80</f>
        <v>4.4836367121880647</v>
      </c>
      <c r="K88" s="192">
        <f>44/12*'Crops proc. &amp; prod. AMORTIZED'!DM80</f>
        <v>4.8735181654218094</v>
      </c>
      <c r="L88" s="193"/>
      <c r="M88" s="193">
        <f>44/12*'Crops proc. &amp; prod. AMORTIZED'!DO80</f>
        <v>9.7470363308436188</v>
      </c>
      <c r="N88" s="220">
        <f t="shared" ref="N88" si="386">(R88+V88)/2</f>
        <v>4.9642798124156045</v>
      </c>
      <c r="O88" s="220">
        <f t="shared" ref="O88" si="387">(S88+W88)/2</f>
        <v>5.3959563178430487</v>
      </c>
      <c r="Q88" s="307">
        <f t="shared" ref="Q88" si="388">(U88+Y88)/2</f>
        <v>10.791912635686097</v>
      </c>
      <c r="R88" s="189">
        <f>44/12*'Crops proc. &amp; prod. AMORTIZED'!CJ80</f>
        <v>5.3972864899030206</v>
      </c>
      <c r="S88" s="189">
        <f>44/12*'Crops proc. &amp; prod. AMORTIZED'!CK80</f>
        <v>5.8666157498945877</v>
      </c>
      <c r="T88" s="193"/>
      <c r="U88" s="193">
        <f>44/12*'Crops proc. &amp; prod. AMORTIZED'!CM80</f>
        <v>11.733231499789175</v>
      </c>
      <c r="V88" s="192">
        <f>44/12*'Crops proc. &amp; prod. AMORTIZED'!DZ80</f>
        <v>4.5312731349281892</v>
      </c>
      <c r="W88" s="192">
        <f>44/12*'Crops proc. &amp; prod. AMORTIZED'!EA80</f>
        <v>4.9252968857915098</v>
      </c>
      <c r="X88" s="193"/>
      <c r="Y88" s="188">
        <f>44/12*'Crops proc. &amp; prod. AMORTIZED'!EC80</f>
        <v>9.8505937715830196</v>
      </c>
      <c r="Z88" s="220">
        <f t="shared" ref="Z88" si="389">(AD88+AH88)/2</f>
        <v>3.821931905530735</v>
      </c>
      <c r="AA88" s="220">
        <f t="shared" ref="AA88" si="390">(AE88+AI88)/2</f>
        <v>4.1542738103594941</v>
      </c>
      <c r="AC88" s="307">
        <f t="shared" ref="AC88" si="391">(AG88+AK88)/2</f>
        <v>8.3085476207189881</v>
      </c>
      <c r="AD88" s="189">
        <f>44/12*'Crops proc. &amp; prod. AMORTIZED'!CX80</f>
        <v>4.0101377568138092</v>
      </c>
      <c r="AE88" s="189">
        <f>44/12*'Crops proc. &amp; prod. AMORTIZED'!CY80</f>
        <v>4.3588453878410967</v>
      </c>
      <c r="AG88" s="188">
        <f>44/12*'Crops proc. &amp; prod. AMORTIZED'!DA80</f>
        <v>8.7176907756821933</v>
      </c>
      <c r="AH88" s="189">
        <f>44/12*'Crops proc. &amp; prod. AMORTIZED'!EN80</f>
        <v>3.6337260542476604</v>
      </c>
      <c r="AI88" s="189">
        <f>44/12*'Crops proc. &amp; prod. AMORTIZED'!EO80</f>
        <v>3.9497022328778915</v>
      </c>
      <c r="AK88" s="188">
        <f>44/12*'Crops proc. &amp; prod. AMORTIZED'!EQ80</f>
        <v>7.8994044657557829</v>
      </c>
      <c r="AL88" s="194">
        <f>'Crops proc. &amp; prod. AMORTIZED'!GY80</f>
        <v>0.13941738980071039</v>
      </c>
      <c r="AM88" s="194">
        <f>'Crops proc. &amp; prod. AMORTIZED'!GZ80</f>
        <v>0.15154064108772869</v>
      </c>
      <c r="AO88" s="415">
        <f>'Crops proc. &amp; prod. AMORTIZED'!HB80</f>
        <v>0.30308128217545738</v>
      </c>
      <c r="AP88" s="194">
        <f>'Crops proc. &amp; prod. AMORTIZED'!IV80</f>
        <v>0.3445226055462185</v>
      </c>
      <c r="AQ88" s="194">
        <f>'Crops proc. &amp; prod. AMORTIZED'!IW80</f>
        <v>0.37448109298502008</v>
      </c>
      <c r="AR88" s="188"/>
      <c r="AS88" s="226">
        <f>'Crops proc. &amp; prod. AMORTIZED'!IY80</f>
        <v>0.74896218597004016</v>
      </c>
      <c r="AT88" s="189">
        <f t="shared" ref="AT88:AT92" si="392">B88+AL88+AP88</f>
        <v>5.3875890498088364</v>
      </c>
      <c r="AU88" s="189">
        <f t="shared" ref="AU88:AU92" si="393">C88+AM88+AQ88</f>
        <v>5.8560750541400379</v>
      </c>
      <c r="AV88" s="188"/>
      <c r="AW88" s="189">
        <f t="shared" ref="AW88:AW92" si="394">E88+AO88+AS88</f>
        <v>11.712150108280076</v>
      </c>
      <c r="AX88" s="189">
        <f t="shared" ref="AX88:AX92" si="395">F88+AL88+AP88</f>
        <v>5.8076013920826774</v>
      </c>
      <c r="AY88" s="189">
        <f t="shared" ref="AY88:AY92" si="396">G88+AM88+AQ88</f>
        <v>6.3126102087855172</v>
      </c>
      <c r="AZ88" s="188"/>
      <c r="BA88" s="189">
        <f t="shared" ref="BA88:BA92" si="397">I88+AO88+AS88</f>
        <v>12.625220417571034</v>
      </c>
      <c r="BB88" s="250"/>
      <c r="BC88" s="250"/>
      <c r="BD88" s="250"/>
      <c r="BE88" s="250"/>
      <c r="BF88" s="250"/>
      <c r="BG88" s="250"/>
      <c r="BH88" s="250"/>
      <c r="BI88" s="250"/>
      <c r="BJ88" s="193"/>
      <c r="BK88" s="193"/>
      <c r="BL88" s="250"/>
      <c r="BM88" s="250"/>
      <c r="BN88" s="250"/>
      <c r="BO88" s="250"/>
      <c r="BP88" s="250"/>
      <c r="BQ88" s="250"/>
      <c r="BR88" s="250"/>
      <c r="BS88" s="250"/>
      <c r="BT88" s="250"/>
      <c r="BU88" s="250"/>
      <c r="BV88" s="192"/>
      <c r="BW88" s="250"/>
      <c r="BX88" s="250"/>
      <c r="BY88" s="250"/>
      <c r="BZ88" s="250"/>
    </row>
    <row r="89" spans="1:78" x14ac:dyDescent="0.25">
      <c r="A89" s="191" t="s">
        <v>142</v>
      </c>
      <c r="B89" s="220">
        <f t="shared" ref="B89" si="398">(F89+J89)/2</f>
        <v>2.9535513061890013</v>
      </c>
      <c r="C89" s="220">
        <f t="shared" ref="C89" si="399">(G89+K89)/2</f>
        <v>3.2103818545532619</v>
      </c>
      <c r="E89" s="308">
        <f t="shared" ref="E89" si="400">(I89+M89)/2</f>
        <v>17.835454747518121</v>
      </c>
      <c r="F89" s="189">
        <f>44/12*'Crops proc. &amp; prod. AMORTIZED'!BV85</f>
        <v>3.3358865414685734</v>
      </c>
      <c r="G89" s="189">
        <f>44/12*'Crops proc. &amp; prod. AMORTIZED'!BW85</f>
        <v>3.6259636320310578</v>
      </c>
      <c r="I89" s="188">
        <f>44/12*'Crops proc. &amp; prod. AMORTIZED'!BY85</f>
        <v>20.144242400172544</v>
      </c>
      <c r="J89" s="192">
        <f>44/12*'Crops proc. &amp; prod. AMORTIZED'!DL85</f>
        <v>2.5712160709094287</v>
      </c>
      <c r="K89" s="192">
        <f>44/12*'Crops proc. &amp; prod. AMORTIZED'!DM85</f>
        <v>2.7948000770754655</v>
      </c>
      <c r="L89" s="193"/>
      <c r="M89" s="193">
        <f>44/12*'Crops proc. &amp; prod. AMORTIZED'!DO85</f>
        <v>15.526667094863697</v>
      </c>
      <c r="N89" s="220">
        <f t="shared" ref="N89" si="401">(R89+V89)/2</f>
        <v>2.9535513061890017</v>
      </c>
      <c r="O89" s="220">
        <f t="shared" ref="O89" si="402">(S89+W89)/2</f>
        <v>3.2103818545532623</v>
      </c>
      <c r="Q89" s="307">
        <f t="shared" ref="Q89" si="403">(U89+Y89)/2</f>
        <v>17.835454747518128</v>
      </c>
      <c r="R89" s="189">
        <f>44/12*'Crops proc. &amp; prod. AMORTIZED'!CJ85</f>
        <v>3.3358865414685748</v>
      </c>
      <c r="S89" s="189">
        <f>44/12*'Crops proc. &amp; prod. AMORTIZED'!CK85</f>
        <v>3.6259636320310591</v>
      </c>
      <c r="T89" s="193"/>
      <c r="U89" s="193">
        <f>44/12*'Crops proc. &amp; prod. AMORTIZED'!CM85</f>
        <v>20.144242400172555</v>
      </c>
      <c r="V89" s="192">
        <f>44/12*'Crops proc. &amp; prod. AMORTIZED'!DZ85</f>
        <v>2.5712160709094287</v>
      </c>
      <c r="W89" s="192">
        <f>44/12*'Crops proc. &amp; prod. AMORTIZED'!EA85</f>
        <v>2.7948000770754655</v>
      </c>
      <c r="X89" s="193"/>
      <c r="Y89" s="188">
        <f>44/12*'Crops proc. &amp; prod. AMORTIZED'!EC85</f>
        <v>15.526667094863697</v>
      </c>
      <c r="Z89" s="220">
        <f t="shared" ref="Z89" si="404">(AD89+AH89)/2</f>
        <v>2.1192276649254782</v>
      </c>
      <c r="AA89" s="220">
        <f t="shared" ref="AA89" si="405">(AE89+AI89)/2</f>
        <v>2.303508331440737</v>
      </c>
      <c r="AC89" s="305">
        <f t="shared" ref="AC89" si="406">(AG89+AK89)/2</f>
        <v>12.797268508004098</v>
      </c>
      <c r="AD89" s="189">
        <f>44/12*'Crops proc. &amp; prod. AMORTIZED'!CX85</f>
        <v>1.7203087340892973</v>
      </c>
      <c r="AE89" s="189">
        <f>44/12*'Crops proc. &amp; prod. AMORTIZED'!CY85</f>
        <v>1.8699007979231492</v>
      </c>
      <c r="AG89" s="188">
        <f>44/12*'Crops proc. &amp; prod. AMORTIZED'!DA85</f>
        <v>10.388337766239719</v>
      </c>
      <c r="AH89" s="189">
        <f>44/12*'Crops proc. &amp; prod. AMORTIZED'!EN85</f>
        <v>2.5181465957616593</v>
      </c>
      <c r="AI89" s="189">
        <f>44/12*'Crops proc. &amp; prod. AMORTIZED'!EO85</f>
        <v>2.7371158649583252</v>
      </c>
      <c r="AK89" s="188">
        <f>44/12*'Crops proc. &amp; prod. AMORTIZED'!EQ85</f>
        <v>15.206199249768476</v>
      </c>
      <c r="AL89" s="194">
        <f>'Crops proc. &amp; prod. AMORTIZED'!GY85</f>
        <v>1.0702451662673798</v>
      </c>
      <c r="AM89" s="194">
        <f>'Crops proc. &amp; prod. AMORTIZED'!GZ85</f>
        <v>1.1633099633341084</v>
      </c>
      <c r="AO89" s="226">
        <f>'Crops proc. &amp; prod. AMORTIZED'!HB85</f>
        <v>6.4628331296339354</v>
      </c>
      <c r="AP89" s="194">
        <f>'Crops proc. &amp; prod. AMORTIZED'!IV85</f>
        <v>0.82740491793901882</v>
      </c>
      <c r="AQ89" s="194">
        <f>'Crops proc. &amp; prod. AMORTIZED'!IW85</f>
        <v>0.89935317167284656</v>
      </c>
      <c r="AR89" s="188"/>
      <c r="AS89" s="226">
        <f>'Crops proc. &amp; prod. AMORTIZED'!IY85</f>
        <v>4.9964065092935925</v>
      </c>
      <c r="AT89" s="189">
        <f t="shared" si="392"/>
        <v>4.8512013903953992</v>
      </c>
      <c r="AU89" s="189">
        <f t="shared" si="393"/>
        <v>5.2730449895602165</v>
      </c>
      <c r="AV89" s="188"/>
      <c r="AW89" s="189">
        <f t="shared" si="394"/>
        <v>29.294694386445649</v>
      </c>
      <c r="AX89" s="189">
        <f t="shared" si="395"/>
        <v>5.2335366256749722</v>
      </c>
      <c r="AY89" s="189">
        <f t="shared" si="396"/>
        <v>5.6886267670380128</v>
      </c>
      <c r="AZ89" s="188"/>
      <c r="BA89" s="189">
        <f t="shared" si="397"/>
        <v>31.603482039100072</v>
      </c>
      <c r="BB89" s="250"/>
      <c r="BC89" s="250"/>
      <c r="BD89" s="250"/>
      <c r="BE89" s="250"/>
      <c r="BF89" s="250"/>
      <c r="BG89" s="250"/>
      <c r="BH89" s="250"/>
      <c r="BI89" s="250"/>
      <c r="BJ89" s="193"/>
      <c r="BK89" s="193"/>
      <c r="BL89" s="250"/>
      <c r="BM89" s="250"/>
      <c r="BN89" s="250"/>
      <c r="BO89" s="250"/>
      <c r="BP89" s="250"/>
      <c r="BQ89" s="250"/>
      <c r="BR89" s="250"/>
      <c r="BS89" s="250"/>
      <c r="BT89" s="250"/>
      <c r="BU89" s="250"/>
      <c r="BV89" s="192"/>
      <c r="BW89" s="250"/>
      <c r="BX89" s="250"/>
      <c r="BY89" s="250"/>
      <c r="BZ89" s="250"/>
    </row>
    <row r="90" spans="1:78" x14ac:dyDescent="0.25">
      <c r="A90" s="191" t="s">
        <v>91</v>
      </c>
      <c r="B90" s="220">
        <f t="shared" ref="B90" si="407">(F90+J90)/2</f>
        <v>3.7181653721468759</v>
      </c>
      <c r="C90" s="220">
        <f t="shared" ref="C90" si="408">(G90+K90)/2</f>
        <v>4.0414841001596473</v>
      </c>
      <c r="E90" s="308">
        <f t="shared" ref="E90" si="409">(I90+M90)/2</f>
        <v>9.8401352003887066</v>
      </c>
      <c r="F90" s="189">
        <f>44/12*'Crops proc. &amp; prod. AMORTIZED'!BV90</f>
        <v>4.010792948191261</v>
      </c>
      <c r="G90" s="189">
        <f>44/12*'Crops proc. &amp; prod. AMORTIZED'!BW90</f>
        <v>4.3595575523818058</v>
      </c>
      <c r="I90" s="188">
        <f>44/12*'Crops proc. &amp; prod. AMORTIZED'!BY90</f>
        <v>10.614574910147004</v>
      </c>
      <c r="J90" s="192">
        <f>44/12*'Crops proc. &amp; prod. AMORTIZED'!DL90</f>
        <v>3.4255377961024904</v>
      </c>
      <c r="K90" s="192">
        <f>44/12*'Crops proc. &amp; prod. AMORTIZED'!DM90</f>
        <v>3.7234106479374893</v>
      </c>
      <c r="L90" s="193"/>
      <c r="M90" s="193">
        <f>44/12*'Crops proc. &amp; prod. AMORTIZED'!DO90</f>
        <v>9.065695490630409</v>
      </c>
      <c r="N90" s="220">
        <f t="shared" ref="N90" si="410">(R90+V90)/2</f>
        <v>3.8388582046037811</v>
      </c>
      <c r="O90" s="220">
        <f t="shared" ref="O90" si="411">(S90+W90)/2</f>
        <v>4.1726719615258494</v>
      </c>
      <c r="Q90" s="307">
        <f t="shared" ref="Q90" si="412">(U90+Y90)/2</f>
        <v>10.159549123715111</v>
      </c>
      <c r="R90" s="189">
        <f>44/12*'Crops proc. &amp; prod. AMORTIZED'!CJ90</f>
        <v>4.1417732548067532</v>
      </c>
      <c r="S90" s="189">
        <f>44/12*'Crops proc. &amp; prod. AMORTIZED'!CK90</f>
        <v>4.5019274508769058</v>
      </c>
      <c r="T90" s="193"/>
      <c r="U90" s="193">
        <f>44/12*'Crops proc. &amp; prod. AMORTIZED'!CM90</f>
        <v>10.96121466300464</v>
      </c>
      <c r="V90" s="192">
        <f>44/12*'Crops proc. &amp; prod. AMORTIZED'!DZ90</f>
        <v>3.5359431544008095</v>
      </c>
      <c r="W90" s="192">
        <f>44/12*'Crops proc. &amp; prod. AMORTIZED'!EA90</f>
        <v>3.843416472174793</v>
      </c>
      <c r="X90" s="193"/>
      <c r="Y90" s="188">
        <f>44/12*'Crops proc. &amp; prod. AMORTIZED'!EC90</f>
        <v>9.3578835844255828</v>
      </c>
      <c r="Z90" s="220">
        <f t="shared" ref="Z90" si="413">(AD90+AH90)/2</f>
        <v>2.9607410775953142</v>
      </c>
      <c r="AA90" s="220">
        <f t="shared" ref="AA90" si="414">(AE90+AI90)/2</f>
        <v>3.2181968234731673</v>
      </c>
      <c r="AC90" s="307">
        <f t="shared" ref="AC90" si="415">(AG90+AK90)/2</f>
        <v>7.8356096571520606</v>
      </c>
      <c r="AD90" s="189">
        <f>44/12*'Crops proc. &amp; prod. AMORTIZED'!CX90</f>
        <v>3.1812572645815638</v>
      </c>
      <c r="AE90" s="189">
        <f>44/12*'Crops proc. &amp; prod. AMORTIZED'!CY90</f>
        <v>3.4578883310669166</v>
      </c>
      <c r="AG90" s="188">
        <f>44/12*'Crops proc. &amp; prod. AMORTIZED'!DA90</f>
        <v>8.4192063712933631</v>
      </c>
      <c r="AH90" s="189">
        <f>44/12*'Crops proc. &amp; prod. AMORTIZED'!EN90</f>
        <v>2.7402248906090647</v>
      </c>
      <c r="AI90" s="189">
        <f>44/12*'Crops proc. &amp; prod. AMORTIZED'!EO90</f>
        <v>2.9785053158794179</v>
      </c>
      <c r="AK90" s="188">
        <f>44/12*'Crops proc. &amp; prod. AMORTIZED'!EQ90</f>
        <v>7.2520129430107572</v>
      </c>
      <c r="AL90" s="194">
        <f>'Crops proc. &amp; prod. AMORTIZED'!GY90</f>
        <v>0.41522180587385521</v>
      </c>
      <c r="AM90" s="194">
        <f>'Crops proc. &amp; prod. AMORTIZED'!GZ90</f>
        <v>0.45132804986288605</v>
      </c>
      <c r="AO90" s="226">
        <f>'Crops proc. &amp; prod. AMORTIZED'!HB90</f>
        <v>1.098885686622679</v>
      </c>
      <c r="AP90" s="194">
        <f>'Crops proc. &amp; prod. AMORTIZED'!IV90</f>
        <v>0.74929022839753667</v>
      </c>
      <c r="AQ90" s="194">
        <f>'Crops proc. &amp; prod. AMORTIZED'!IW90</f>
        <v>0.81444590043210507</v>
      </c>
      <c r="AR90" s="188"/>
      <c r="AS90" s="226">
        <f>'Crops proc. &amp; prod. AMORTIZED'!IY90</f>
        <v>1.9829987140955603</v>
      </c>
      <c r="AT90" s="189">
        <f t="shared" si="392"/>
        <v>4.8826774064182681</v>
      </c>
      <c r="AU90" s="189">
        <f t="shared" si="393"/>
        <v>5.3072580504546387</v>
      </c>
      <c r="AV90" s="188"/>
      <c r="AW90" s="189">
        <f t="shared" si="394"/>
        <v>12.922019601106946</v>
      </c>
      <c r="AX90" s="189">
        <f t="shared" si="395"/>
        <v>5.1753049824626531</v>
      </c>
      <c r="AY90" s="189">
        <f t="shared" si="396"/>
        <v>5.6253315026767972</v>
      </c>
      <c r="AZ90" s="188"/>
      <c r="BA90" s="189">
        <f t="shared" si="397"/>
        <v>13.696459310865244</v>
      </c>
      <c r="BB90" s="250"/>
      <c r="BC90" s="250"/>
      <c r="BD90" s="250"/>
      <c r="BE90" s="250"/>
      <c r="BF90" s="250"/>
      <c r="BG90" s="250"/>
      <c r="BH90" s="250"/>
      <c r="BI90" s="250"/>
      <c r="BJ90" s="193"/>
      <c r="BK90" s="193"/>
      <c r="BL90" s="250"/>
      <c r="BM90" s="250"/>
      <c r="BN90" s="250"/>
      <c r="BO90" s="250"/>
      <c r="BP90" s="250"/>
      <c r="BQ90" s="250"/>
      <c r="BR90" s="250"/>
      <c r="BS90" s="250"/>
      <c r="BT90" s="250"/>
      <c r="BU90" s="250"/>
      <c r="BV90" s="192"/>
      <c r="BW90" s="250"/>
      <c r="BX90" s="250"/>
      <c r="BY90" s="250"/>
      <c r="BZ90" s="250"/>
    </row>
    <row r="91" spans="1:78" x14ac:dyDescent="0.25">
      <c r="A91" s="191" t="s">
        <v>92</v>
      </c>
      <c r="B91" s="220">
        <f t="shared" ref="B91" si="416">(F91+J91)/2</f>
        <v>4.2030085556305021</v>
      </c>
      <c r="C91" s="220">
        <f t="shared" ref="C91" si="417">(G91+K91)/2</f>
        <v>4.5684875604679362</v>
      </c>
      <c r="E91" s="308">
        <f t="shared" ref="E91" si="418">(I91+M91)/2</f>
        <v>11.628877426645658</v>
      </c>
      <c r="F91" s="189">
        <f>44/12*'Crops proc. &amp; prod. AMORTIZED'!BV94</f>
        <v>3.5072882970513675</v>
      </c>
      <c r="G91" s="189">
        <f>44/12*'Crops proc. &amp; prod. AMORTIZED'!BW94</f>
        <v>3.8122698880993124</v>
      </c>
      <c r="I91" s="188">
        <f>44/12*'Crops proc. &amp; prod. AMORTIZED'!BY94</f>
        <v>9.7039597151618864</v>
      </c>
      <c r="J91" s="192">
        <f>44/12*'Crops proc. &amp; prod. AMORTIZED'!DL94</f>
        <v>4.8987288142096359</v>
      </c>
      <c r="K91" s="192">
        <f>44/12*'Crops proc. &amp; prod. AMORTIZED'!DM94</f>
        <v>5.3247052328365605</v>
      </c>
      <c r="L91" s="193"/>
      <c r="M91" s="193">
        <f>44/12*'Crops proc. &amp; prod. AMORTIZED'!DO94</f>
        <v>13.553795138129429</v>
      </c>
      <c r="N91" s="220">
        <f t="shared" ref="N91" si="419">(R91+V91)/2</f>
        <v>4.3113804753380274</v>
      </c>
      <c r="O91" s="220">
        <f t="shared" ref="O91" si="420">(S91+W91)/2</f>
        <v>4.6862831253674209</v>
      </c>
      <c r="Q91" s="307">
        <f t="shared" ref="Q91" si="421">(U91+Y91)/2</f>
        <v>11.928720682753434</v>
      </c>
      <c r="R91" s="189">
        <f>44/12*'Crops proc. &amp; prod. AMORTIZED'!CJ94</f>
        <v>3.6129315107813649</v>
      </c>
      <c r="S91" s="189">
        <f>44/12*'Crops proc. &amp; prod. AMORTIZED'!CK94</f>
        <v>3.9270994682406135</v>
      </c>
      <c r="T91" s="193"/>
      <c r="U91" s="193">
        <f>44/12*'Crops proc. &amp; prod. AMORTIZED'!CM94</f>
        <v>9.9962531918851987</v>
      </c>
      <c r="V91" s="192">
        <f>44/12*'Crops proc. &amp; prod. AMORTIZED'!DZ94</f>
        <v>5.0098294398946894</v>
      </c>
      <c r="W91" s="192">
        <f>44/12*'Crops proc. &amp; prod. AMORTIZED'!EA94</f>
        <v>5.4454667824942273</v>
      </c>
      <c r="X91" s="193"/>
      <c r="Y91" s="188">
        <f>44/12*'Crops proc. &amp; prod. AMORTIZED'!EC94</f>
        <v>13.86118817362167</v>
      </c>
      <c r="Z91" s="220">
        <f t="shared" ref="Z91" si="422">(AD91+AH91)/2</f>
        <v>2.0803439974360995</v>
      </c>
      <c r="AA91" s="220">
        <f t="shared" ref="AA91" si="423">(AE91+AI91)/2</f>
        <v>2.2612434754740214</v>
      </c>
      <c r="AC91" s="307">
        <f t="shared" ref="AC91" si="424">(AG91+AK91)/2</f>
        <v>5.7558924830247822</v>
      </c>
      <c r="AD91" s="189">
        <f>44/12*'Crops proc. &amp; prod. AMORTIZED'!CX94</f>
        <v>1.4368121980063806</v>
      </c>
      <c r="AE91" s="189">
        <f>44/12*'Crops proc. &amp; prod. AMORTIZED'!CY94</f>
        <v>1.5617523891373704</v>
      </c>
      <c r="AG91" s="188">
        <f>44/12*'Crops proc. &amp; prod. AMORTIZED'!DA94</f>
        <v>3.9753697178042158</v>
      </c>
      <c r="AH91" s="189">
        <f>44/12*'Crops proc. &amp; prod. AMORTIZED'!EN94</f>
        <v>2.7238757968658187</v>
      </c>
      <c r="AI91" s="189">
        <f>44/12*'Crops proc. &amp; prod. AMORTIZED'!EO94</f>
        <v>2.9607345618106726</v>
      </c>
      <c r="AK91" s="188">
        <f>44/12*'Crops proc. &amp; prod. AMORTIZED'!EQ94</f>
        <v>7.5364152482453495</v>
      </c>
      <c r="AL91" s="194">
        <f>'Crops proc. &amp; prod. AMORTIZED'!GY94</f>
        <v>0.10294287184535764</v>
      </c>
      <c r="AM91" s="194">
        <f>'Crops proc. &amp; prod. AMORTIZED'!GZ94</f>
        <v>0.11189442591886699</v>
      </c>
      <c r="AO91" s="415">
        <f>'Crops proc. &amp; prod. AMORTIZED'!HB94</f>
        <v>0.28482217506620688</v>
      </c>
      <c r="AP91" s="194">
        <f>'Crops proc. &amp; prod. AMORTIZED'!IV94</f>
        <v>0.57024109688529301</v>
      </c>
      <c r="AQ91" s="194">
        <f>'Crops proc. &amp; prod. AMORTIZED'!IW94</f>
        <v>0.61982727922314451</v>
      </c>
      <c r="AR91" s="188"/>
      <c r="AS91" s="226">
        <f>'Crops proc. &amp; prod. AMORTIZED'!IY94</f>
        <v>1.577742165295277</v>
      </c>
      <c r="AT91" s="189">
        <f t="shared" si="392"/>
        <v>4.8761925243611524</v>
      </c>
      <c r="AU91" s="189">
        <f t="shared" si="393"/>
        <v>5.3002092656099471</v>
      </c>
      <c r="AV91" s="188"/>
      <c r="AW91" s="189">
        <f t="shared" si="394"/>
        <v>13.491441767007142</v>
      </c>
      <c r="AX91" s="189">
        <f t="shared" si="395"/>
        <v>4.1804722657820186</v>
      </c>
      <c r="AY91" s="189">
        <f t="shared" si="396"/>
        <v>4.5439915932413237</v>
      </c>
      <c r="AZ91" s="188"/>
      <c r="BA91" s="189">
        <f t="shared" si="397"/>
        <v>11.56652405552337</v>
      </c>
      <c r="BB91" s="250"/>
      <c r="BC91" s="250"/>
      <c r="BD91" s="250"/>
      <c r="BE91" s="250"/>
      <c r="BF91" s="250"/>
      <c r="BG91" s="250"/>
      <c r="BH91" s="250"/>
      <c r="BI91" s="250"/>
      <c r="BJ91" s="193"/>
      <c r="BK91" s="193"/>
      <c r="BL91" s="250"/>
      <c r="BM91" s="250"/>
      <c r="BN91" s="250"/>
      <c r="BO91" s="250"/>
      <c r="BP91" s="250"/>
      <c r="BQ91" s="250"/>
      <c r="BR91" s="250"/>
      <c r="BS91" s="250"/>
      <c r="BT91" s="250"/>
      <c r="BU91" s="250"/>
      <c r="BV91" s="192"/>
      <c r="BW91" s="250"/>
      <c r="BX91" s="250"/>
      <c r="BY91" s="250"/>
      <c r="BZ91" s="250"/>
    </row>
    <row r="92" spans="1:78" x14ac:dyDescent="0.25">
      <c r="A92" s="191" t="s">
        <v>147</v>
      </c>
      <c r="B92" s="220">
        <f t="shared" ref="B92" si="425">(F92+J92)/2</f>
        <v>6.7117686731455084</v>
      </c>
      <c r="C92" s="220">
        <f t="shared" ref="C92" si="426">(G92+K92)/2</f>
        <v>7.2954007316798997</v>
      </c>
      <c r="E92" s="308">
        <f t="shared" ref="E92" si="427">(I92+M92)/2</f>
        <v>15.358738382483999</v>
      </c>
      <c r="F92" s="189">
        <f>44/12*'Crops proc. &amp; prod. AMORTIZED'!BV98</f>
        <v>6.1519418167597593</v>
      </c>
      <c r="G92" s="189">
        <f>44/12*'Crops proc. &amp; prod. AMORTIZED'!BW98</f>
        <v>6.6868932790866946</v>
      </c>
      <c r="I92" s="188">
        <f>44/12*'Crops proc. &amp; prod. AMORTIZED'!BY98</f>
        <v>14.077670061235148</v>
      </c>
      <c r="J92" s="192">
        <f>44/12*'Crops proc. &amp; prod. AMORTIZED'!DL98</f>
        <v>7.2715955295312567</v>
      </c>
      <c r="K92" s="192">
        <f>44/12*'Crops proc. &amp; prod. AMORTIZED'!DM98</f>
        <v>7.9039081842731047</v>
      </c>
      <c r="L92" s="193"/>
      <c r="M92" s="193">
        <f>44/12*'Crops proc. &amp; prod. AMORTIZED'!DO98</f>
        <v>16.639806703732852</v>
      </c>
      <c r="N92" s="220">
        <f t="shared" ref="N92" si="428">(R92+V92)/2</f>
        <v>7.8832624473863948</v>
      </c>
      <c r="O92" s="220">
        <f t="shared" ref="O92" si="429">(S92+W92)/2</f>
        <v>8.5687635297678195</v>
      </c>
      <c r="Q92" s="307">
        <f t="shared" ref="Q92" si="430">(U92+Y92)/2</f>
        <v>18.039502167932255</v>
      </c>
      <c r="R92" s="189">
        <f>44/12*'Crops proc. &amp; prod. AMORTIZED'!CJ98</f>
        <v>7.1897338207487733</v>
      </c>
      <c r="S92" s="189">
        <f>44/12*'Crops proc. &amp; prod. AMORTIZED'!CK98</f>
        <v>7.8149280660312748</v>
      </c>
      <c r="T92" s="193"/>
      <c r="U92" s="193">
        <f>44/12*'Crops proc. &amp; prod. AMORTIZED'!CM98</f>
        <v>16.452480139013215</v>
      </c>
      <c r="V92" s="192">
        <f>44/12*'Crops proc. &amp; prod. AMORTIZED'!DZ98</f>
        <v>8.5767910740240154</v>
      </c>
      <c r="W92" s="192">
        <f>44/12*'Crops proc. &amp; prod. AMORTIZED'!EA98</f>
        <v>9.3225989935043643</v>
      </c>
      <c r="X92" s="193"/>
      <c r="Y92" s="188">
        <f>44/12*'Crops proc. &amp; prod. AMORTIZED'!EC98</f>
        <v>19.626524196851296</v>
      </c>
      <c r="Z92" s="220">
        <f t="shared" ref="Z92" si="431">(AD92+AH92)/2</f>
        <v>3.3825951265403722</v>
      </c>
      <c r="AA92" s="220">
        <f t="shared" ref="AA92" si="432">(AE92+AI92)/2</f>
        <v>3.6767338331960566</v>
      </c>
      <c r="AC92" s="307">
        <f t="shared" ref="AC92" si="433">(AG92+AK92)/2</f>
        <v>7.7404922804127514</v>
      </c>
      <c r="AD92" s="189">
        <f>44/12*'Crops proc. &amp; prod. AMORTIZED'!CX98</f>
        <v>3.2027900001201339</v>
      </c>
      <c r="AE92" s="189">
        <f>44/12*'Crops proc. &amp; prod. AMORTIZED'!CY98</f>
        <v>3.48129347839145</v>
      </c>
      <c r="AG92" s="188">
        <f>44/12*'Crops proc. &amp; prod. AMORTIZED'!DA98</f>
        <v>7.3290389018767375</v>
      </c>
      <c r="AH92" s="189">
        <f>44/12*'Crops proc. &amp; prod. AMORTIZED'!EN98</f>
        <v>3.56240025296061</v>
      </c>
      <c r="AI92" s="189">
        <f>44/12*'Crops proc. &amp; prod. AMORTIZED'!EO98</f>
        <v>3.8721741880006633</v>
      </c>
      <c r="AK92" s="188">
        <f>44/12*'Crops proc. &amp; prod. AMORTIZED'!EQ98</f>
        <v>8.1519456589487653</v>
      </c>
      <c r="AL92" s="194">
        <f>'Crops proc. &amp; prod. AMORTIZED'!GY98</f>
        <v>0.40231324026184562</v>
      </c>
      <c r="AM92" s="194">
        <f>'Crops proc. &amp; prod. AMORTIZED'!GZ98</f>
        <v>0.43729700028461477</v>
      </c>
      <c r="AO92" s="415">
        <f>'Crops proc. &amp; prod. AMORTIZED'!HB98</f>
        <v>0.92062526375708376</v>
      </c>
      <c r="AP92" s="194">
        <f>'Crops proc. &amp; prod. AMORTIZED'!IV98</f>
        <v>0.3874994599272617</v>
      </c>
      <c r="AQ92" s="194">
        <f>'Crops proc. &amp; prod. AMORTIZED'!IW98</f>
        <v>0.42119506513832794</v>
      </c>
      <c r="AR92" s="188"/>
      <c r="AS92" s="226">
        <f>'Crops proc. &amp; prod. AMORTIZED'!IY98</f>
        <v>0.88672645292279573</v>
      </c>
      <c r="AT92" s="189">
        <f t="shared" si="392"/>
        <v>7.5015813733346155</v>
      </c>
      <c r="AU92" s="189">
        <f t="shared" si="393"/>
        <v>8.1538927971028432</v>
      </c>
      <c r="AV92" s="188"/>
      <c r="AW92" s="189">
        <f t="shared" si="394"/>
        <v>17.166090099163881</v>
      </c>
      <c r="AX92" s="189">
        <f t="shared" si="395"/>
        <v>6.9417545169488664</v>
      </c>
      <c r="AY92" s="189">
        <f t="shared" si="396"/>
        <v>7.5453853445096373</v>
      </c>
      <c r="AZ92" s="188"/>
      <c r="BA92" s="189">
        <f t="shared" si="397"/>
        <v>15.885021777915027</v>
      </c>
      <c r="BB92" s="250"/>
      <c r="BC92" s="250"/>
      <c r="BD92" s="250"/>
      <c r="BE92" s="250"/>
      <c r="BF92" s="250"/>
      <c r="BG92" s="250"/>
      <c r="BH92" s="250"/>
      <c r="BI92" s="250"/>
      <c r="BJ92" s="193"/>
      <c r="BK92" s="193"/>
      <c r="BL92" s="250"/>
      <c r="BM92" s="250"/>
      <c r="BN92" s="250"/>
      <c r="BO92" s="250"/>
      <c r="BP92" s="250"/>
      <c r="BQ92" s="250"/>
      <c r="BR92" s="250"/>
      <c r="BS92" s="250"/>
      <c r="BT92" s="250"/>
      <c r="BU92" s="250"/>
      <c r="BV92" s="290"/>
      <c r="BW92" s="250"/>
      <c r="BX92" s="250"/>
      <c r="BY92" s="250"/>
      <c r="BZ92" s="250"/>
    </row>
    <row r="93" spans="1:78" x14ac:dyDescent="0.25">
      <c r="A93" s="191"/>
      <c r="BB93" s="250"/>
      <c r="BC93" s="250"/>
      <c r="BD93" s="250"/>
      <c r="BE93" s="250"/>
      <c r="BF93" s="250"/>
      <c r="BG93" s="250"/>
      <c r="BH93" s="250"/>
      <c r="BI93" s="250"/>
      <c r="BJ93" s="193"/>
      <c r="BK93" s="193"/>
      <c r="BL93" s="250"/>
      <c r="BM93" s="250"/>
      <c r="BN93" s="250"/>
      <c r="BO93" s="250"/>
      <c r="BP93" s="250"/>
      <c r="BQ93" s="250"/>
      <c r="BR93" s="250"/>
      <c r="BS93" s="250"/>
      <c r="BT93" s="250"/>
      <c r="BU93" s="250"/>
      <c r="BV93" s="292"/>
      <c r="BW93" s="250"/>
      <c r="BX93" s="250"/>
      <c r="BY93" s="250"/>
      <c r="BZ93" s="250"/>
    </row>
    <row r="94" spans="1:78" ht="13.8" x14ac:dyDescent="0.3">
      <c r="A94" s="190" t="s">
        <v>448</v>
      </c>
      <c r="BB94" s="250"/>
      <c r="BC94" s="250"/>
      <c r="BD94" s="250"/>
      <c r="BE94" s="250"/>
      <c r="BF94" s="250"/>
      <c r="BG94" s="250"/>
      <c r="BH94" s="250"/>
      <c r="BI94" s="250"/>
      <c r="BJ94" s="193"/>
      <c r="BK94" s="193"/>
      <c r="BL94" s="250"/>
      <c r="BM94" s="250"/>
      <c r="BN94" s="250"/>
      <c r="BO94" s="250"/>
      <c r="BP94" s="250"/>
      <c r="BQ94" s="250"/>
      <c r="BR94" s="250"/>
      <c r="BS94" s="250"/>
      <c r="BT94" s="250"/>
      <c r="BU94" s="250"/>
      <c r="BV94" s="292"/>
      <c r="BW94" s="250"/>
      <c r="BX94" s="250"/>
      <c r="BY94" s="250"/>
      <c r="BZ94" s="250"/>
    </row>
    <row r="95" spans="1:78" x14ac:dyDescent="0.25">
      <c r="A95" s="191" t="s">
        <v>176</v>
      </c>
      <c r="B95" s="220">
        <f t="shared" ref="B95" si="434">(F95+J95)/2</f>
        <v>1.1586328148634379</v>
      </c>
      <c r="C95" s="220">
        <f t="shared" ref="C95" si="435">(G95+K95)/2</f>
        <v>1.6551897355191971</v>
      </c>
      <c r="E95" s="221">
        <f t="shared" ref="E95" si="436">(I95+M95)/2</f>
        <v>20.689871693989964</v>
      </c>
      <c r="F95" s="189">
        <f>44/12*'Crops proc. &amp; prod. AMORTIZED'!BV64</f>
        <v>1.1423946901915905</v>
      </c>
      <c r="G95" s="189">
        <f>44/12*'Crops proc. &amp; prod. AMORTIZED'!BW64</f>
        <v>1.6319924145594149</v>
      </c>
      <c r="I95" s="188">
        <f>44/12*'Crops proc. &amp; prod. AMORTIZED'!BY64</f>
        <v>20.399905181992686</v>
      </c>
      <c r="J95" s="192">
        <f>44/12*'Crops proc. &amp; prod. AMORTIZED'!DL64</f>
        <v>1.1748709395352854</v>
      </c>
      <c r="K95" s="192">
        <f>44/12*'Crops proc. &amp; prod. AMORTIZED'!DM64</f>
        <v>1.6783870564789793</v>
      </c>
      <c r="L95" s="193"/>
      <c r="M95" s="193">
        <f>44/12*'Crops proc. &amp; prod. AMORTIZED'!DO64</f>
        <v>20.979838205987239</v>
      </c>
      <c r="N95" s="220">
        <f t="shared" ref="N95" si="437">(R95+V95)/2</f>
        <v>1.5659659275049367</v>
      </c>
      <c r="O95" s="220">
        <f t="shared" ref="O95" si="438">(S95+W95)/2</f>
        <v>2.2370941821499093</v>
      </c>
      <c r="Q95" s="221">
        <f t="shared" ref="Q95" si="439">(U95+Y95)/2</f>
        <v>27.963677276873874</v>
      </c>
      <c r="R95" s="189">
        <f>44/12*'Crops proc. &amp; prod. AMORTIZED'!CJ64</f>
        <v>1.6146573133793645</v>
      </c>
      <c r="S95" s="189">
        <f>44/12*'Crops proc. &amp; prod. AMORTIZED'!CK64</f>
        <v>2.3066533048276634</v>
      </c>
      <c r="T95" s="193"/>
      <c r="U95" s="193">
        <f>44/12*'Crops proc. &amp; prod. AMORTIZED'!CM64</f>
        <v>28.833166310345796</v>
      </c>
      <c r="V95" s="192">
        <f>44/12*'Crops proc. &amp; prod. AMORTIZED'!DZ64</f>
        <v>1.5172745416305089</v>
      </c>
      <c r="W95" s="192">
        <f>44/12*'Crops proc. &amp; prod. AMORTIZED'!EA64</f>
        <v>2.1675350594721556</v>
      </c>
      <c r="X95" s="193"/>
      <c r="Y95" s="188">
        <f>44/12*'Crops proc. &amp; prod. AMORTIZED'!EC64</f>
        <v>27.094188243401948</v>
      </c>
      <c r="Z95" s="220">
        <f t="shared" ref="Z95" si="440">(AD95+AH95)/2</f>
        <v>0.70269557033208874</v>
      </c>
      <c r="AA95" s="220">
        <f t="shared" ref="AA95" si="441">(AE95+AI95)/2</f>
        <v>1.0038508147601268</v>
      </c>
      <c r="AC95" s="220">
        <f t="shared" ref="AC95" si="442">(AG95+AK95)/2</f>
        <v>12.548135184501586</v>
      </c>
      <c r="AD95" s="189">
        <f>44/12*'Crops proc. &amp; prod. AMORTIZED'!CX64</f>
        <v>0.6142768952646015</v>
      </c>
      <c r="AE95" s="189">
        <f>44/12*'Crops proc. &amp; prod. AMORTIZED'!CY64</f>
        <v>0.8775384218065736</v>
      </c>
      <c r="AG95" s="188">
        <f>44/12*'Crops proc. &amp; prod. AMORTIZED'!DA64</f>
        <v>10.96923027258217</v>
      </c>
      <c r="AH95" s="189">
        <f>44/12*'Crops proc. &amp; prod. AMORTIZED'!EN64</f>
        <v>0.79111424539957598</v>
      </c>
      <c r="AI95" s="189">
        <f>44/12*'Crops proc. &amp; prod. AMORTIZED'!EO64</f>
        <v>1.1301632077136801</v>
      </c>
      <c r="AK95" s="188">
        <f>44/12*'Crops proc. &amp; prod. AMORTIZED'!EQ64</f>
        <v>14.127040096421</v>
      </c>
      <c r="AL95" s="194">
        <f>'Crops proc. &amp; prod. AMORTIZED'!GY64</f>
        <v>0.10504078743815781</v>
      </c>
      <c r="AM95" s="194">
        <f>'Crops proc. &amp; prod. AMORTIZED'!GZ64</f>
        <v>0.15005826776879688</v>
      </c>
      <c r="AO95" s="226">
        <f>'Crops proc. &amp; prod. AMORTIZED'!HB64</f>
        <v>1.8757283471099611</v>
      </c>
      <c r="AP95" s="194">
        <f>'Crops proc. &amp; prod. AMORTIZED'!IV64</f>
        <v>0.17298732630544447</v>
      </c>
      <c r="AQ95" s="194">
        <f>'Crops proc. &amp; prod. AMORTIZED'!IW64</f>
        <v>0.24712475186492069</v>
      </c>
      <c r="AR95" s="188"/>
      <c r="AS95" s="226">
        <f>'Crops proc. &amp; prod. AMORTIZED'!IY64</f>
        <v>3.0890593983115084</v>
      </c>
      <c r="AT95" s="189">
        <f t="shared" ref="AT95:AT97" si="443">B95+AL95+AP95</f>
        <v>1.4366609286070402</v>
      </c>
      <c r="AU95" s="189">
        <f t="shared" ref="AU95:AU97" si="444">C95+AM95+AQ95</f>
        <v>2.052372755152915</v>
      </c>
      <c r="AV95" s="188"/>
      <c r="AW95" s="189">
        <f t="shared" ref="AW95:AW97" si="445">E95+AO95+AS95</f>
        <v>25.654659439411436</v>
      </c>
      <c r="AX95" s="189">
        <f t="shared" ref="AX95:AX97" si="446">F95+AL95+AP95</f>
        <v>1.4204228039351927</v>
      </c>
      <c r="AY95" s="189">
        <f t="shared" ref="AY95:AY97" si="447">G95+AM95+AQ95</f>
        <v>2.0291754341931325</v>
      </c>
      <c r="AZ95" s="188"/>
      <c r="BA95" s="189">
        <f t="shared" ref="BA95:BA97" si="448">I95+AO95+AS95</f>
        <v>25.364692927414158</v>
      </c>
      <c r="BB95" s="250"/>
      <c r="BC95" s="250"/>
      <c r="BD95" s="250"/>
      <c r="BE95" s="250"/>
      <c r="BF95" s="250"/>
      <c r="BG95" s="250"/>
      <c r="BH95" s="250"/>
      <c r="BI95" s="250"/>
      <c r="BJ95" s="193"/>
      <c r="BK95" s="193"/>
      <c r="BL95" s="250"/>
      <c r="BM95" s="250"/>
      <c r="BN95" s="250"/>
      <c r="BO95" s="250"/>
      <c r="BP95" s="250"/>
      <c r="BQ95" s="250"/>
      <c r="BR95" s="250"/>
      <c r="BS95" s="250"/>
      <c r="BT95" s="250"/>
      <c r="BU95" s="250"/>
      <c r="BV95" s="290"/>
      <c r="BW95" s="250"/>
      <c r="BX95" s="250"/>
      <c r="BY95" s="250"/>
      <c r="BZ95" s="250"/>
    </row>
    <row r="96" spans="1:78" x14ac:dyDescent="0.25">
      <c r="A96" s="191" t="s">
        <v>179</v>
      </c>
      <c r="B96" s="220">
        <f t="shared" ref="B96" si="449">(F96+J96)/2</f>
        <v>0.61316153324053457</v>
      </c>
      <c r="C96" s="220">
        <f t="shared" ref="C96" si="450">(G96+K96)/2</f>
        <v>0.87594504748647806</v>
      </c>
      <c r="E96" s="221">
        <f t="shared" ref="E96" si="451">(I96+M96)/2</f>
        <v>10.949313093580976</v>
      </c>
      <c r="F96" s="189">
        <f>44/12*'Crops proc. &amp; prod. AMORTIZED'!BV69</f>
        <v>0.59746802231671148</v>
      </c>
      <c r="G96" s="189">
        <f>44/12*'Crops proc. &amp; prod. AMORTIZED'!BW69</f>
        <v>0.85352574616673071</v>
      </c>
      <c r="I96" s="188">
        <f>44/12*'Crops proc. &amp; prod. AMORTIZED'!BY69</f>
        <v>10.669071827084133</v>
      </c>
      <c r="J96" s="192">
        <f>44/12*'Crops proc. &amp; prod. AMORTIZED'!DL69</f>
        <v>0.62885504416435767</v>
      </c>
      <c r="K96" s="192">
        <f>44/12*'Crops proc. &amp; prod. AMORTIZED'!DM69</f>
        <v>0.8983643488062254</v>
      </c>
      <c r="L96" s="193"/>
      <c r="M96" s="193">
        <f>44/12*'Crops proc. &amp; prod. AMORTIZED'!DO69</f>
        <v>11.229554360077817</v>
      </c>
      <c r="N96" s="220">
        <f t="shared" ref="N96" si="452">(R96+V96)/2</f>
        <v>0.71420199183808797</v>
      </c>
      <c r="O96" s="220">
        <f t="shared" ref="O96" si="453">(S96+W96)/2</f>
        <v>1.020288559768697</v>
      </c>
      <c r="Q96" s="221">
        <f t="shared" ref="Q96" si="454">(U96+Y96)/2</f>
        <v>12.753606997108715</v>
      </c>
      <c r="R96" s="189">
        <f>44/12*'Crops proc. &amp; prod. AMORTIZED'!CJ69</f>
        <v>0.70988498807354439</v>
      </c>
      <c r="S96" s="189">
        <f>44/12*'Crops proc. &amp; prod. AMORTIZED'!CK69</f>
        <v>1.014121411533635</v>
      </c>
      <c r="T96" s="193"/>
      <c r="U96" s="193">
        <f>44/12*'Crops proc. &amp; prod. AMORTIZED'!CM69</f>
        <v>12.676517644170438</v>
      </c>
      <c r="V96" s="192">
        <f>44/12*'Crops proc. &amp; prod. AMORTIZED'!DZ69</f>
        <v>0.71851899560263144</v>
      </c>
      <c r="W96" s="192">
        <f>44/12*'Crops proc. &amp; prod. AMORTIZED'!EA69</f>
        <v>1.0264557080037593</v>
      </c>
      <c r="X96" s="193"/>
      <c r="Y96" s="188">
        <f>44/12*'Crops proc. &amp; prod. AMORTIZED'!EC69</f>
        <v>12.83069635004699</v>
      </c>
      <c r="Z96" s="220">
        <f t="shared" ref="Z96" si="455">(AD96+AH96)/2</f>
        <v>0.36204300277580848</v>
      </c>
      <c r="AA96" s="220">
        <f t="shared" ref="AA96" si="456">(AE96+AI96)/2</f>
        <v>0.51720428967972643</v>
      </c>
      <c r="AC96" s="220">
        <f t="shared" ref="AC96" si="457">(AG96+AK96)/2</f>
        <v>6.4650536209965797</v>
      </c>
      <c r="AD96" s="189">
        <f>44/12*'Crops proc. &amp; prod. AMORTIZED'!CX69</f>
        <v>0.31786760079705334</v>
      </c>
      <c r="AE96" s="189">
        <f>44/12*'Crops proc. &amp; prod. AMORTIZED'!CY69</f>
        <v>0.45409657256721908</v>
      </c>
      <c r="AG96" s="188">
        <f>44/12*'Crops proc. &amp; prod. AMORTIZED'!DA69</f>
        <v>5.6762071570902384</v>
      </c>
      <c r="AH96" s="189">
        <f>44/12*'Crops proc. &amp; prod. AMORTIZED'!EN69</f>
        <v>0.40621840475456356</v>
      </c>
      <c r="AI96" s="189">
        <f>44/12*'Crops proc. &amp; prod. AMORTIZED'!EO69</f>
        <v>0.58031200679223371</v>
      </c>
      <c r="AK96" s="188">
        <f>44/12*'Crops proc. &amp; prod. AMORTIZED'!EQ69</f>
        <v>7.2539000849029209</v>
      </c>
      <c r="AL96" s="194">
        <f>'Crops proc. &amp; prod. AMORTIZED'!GY69</f>
        <v>3.7978504428892342E-2</v>
      </c>
      <c r="AM96" s="194">
        <f>'Crops proc. &amp; prod. AMORTIZED'!GZ69</f>
        <v>5.4255006326989062E-2</v>
      </c>
      <c r="AO96" s="226">
        <f>'Crops proc. &amp; prod. AMORTIZED'!HB69</f>
        <v>0.67818757908736327</v>
      </c>
      <c r="AP96" s="194">
        <f>'Crops proc. &amp; prod. AMORTIZED'!IV69</f>
        <v>0.18135713801330278</v>
      </c>
      <c r="AQ96" s="194">
        <f>'Crops proc. &amp; prod. AMORTIZED'!IW69</f>
        <v>0.25908162573328969</v>
      </c>
      <c r="AR96" s="188"/>
      <c r="AS96" s="226">
        <f>'Crops proc. &amp; prod. AMORTIZED'!IY69</f>
        <v>3.2385203216661211</v>
      </c>
      <c r="AT96" s="189">
        <f t="shared" si="443"/>
        <v>0.83249717568272974</v>
      </c>
      <c r="AU96" s="189">
        <f t="shared" si="444"/>
        <v>1.1892816795467569</v>
      </c>
      <c r="AV96" s="188"/>
      <c r="AW96" s="189">
        <f t="shared" si="445"/>
        <v>14.866020994334461</v>
      </c>
      <c r="AX96" s="189">
        <f t="shared" si="446"/>
        <v>0.81680366475890664</v>
      </c>
      <c r="AY96" s="189">
        <f t="shared" si="447"/>
        <v>1.1668623782270096</v>
      </c>
      <c r="AZ96" s="188"/>
      <c r="BA96" s="189">
        <f t="shared" si="448"/>
        <v>14.585779727837616</v>
      </c>
      <c r="BB96" s="250"/>
      <c r="BC96" s="250"/>
      <c r="BD96" s="250"/>
      <c r="BE96" s="250"/>
      <c r="BF96" s="250"/>
      <c r="BG96" s="250"/>
      <c r="BH96" s="250"/>
      <c r="BI96" s="250"/>
      <c r="BJ96" s="193"/>
      <c r="BK96" s="193"/>
      <c r="BL96" s="250"/>
      <c r="BM96" s="250"/>
      <c r="BN96" s="250"/>
      <c r="BO96" s="250"/>
      <c r="BP96" s="250"/>
      <c r="BQ96" s="250"/>
      <c r="BR96" s="250"/>
      <c r="BS96" s="250"/>
      <c r="BT96" s="250"/>
      <c r="BU96" s="250"/>
      <c r="BV96" s="290"/>
      <c r="BW96" s="250"/>
      <c r="BX96" s="250"/>
      <c r="BY96" s="250"/>
      <c r="BZ96" s="250"/>
    </row>
    <row r="97" spans="1:78" x14ac:dyDescent="0.25">
      <c r="A97" s="191" t="s">
        <v>180</v>
      </c>
      <c r="B97" s="220">
        <f t="shared" ref="B97" si="458">(F97+J97)/2</f>
        <v>0.862258406119502</v>
      </c>
      <c r="C97" s="220">
        <f t="shared" ref="C97" si="459">(G97+K97)/2</f>
        <v>0.95806489568833553</v>
      </c>
      <c r="E97" s="221">
        <f t="shared" ref="E97" si="460">(I97+M97)/2</f>
        <v>9.5806489568833548</v>
      </c>
      <c r="F97" s="189">
        <f>44/12*'Crops proc. &amp; prod. AMORTIZED'!BV70</f>
        <v>0.84018940638287587</v>
      </c>
      <c r="G97" s="189">
        <f>44/12*'Crops proc. &amp; prod. AMORTIZED'!BW70</f>
        <v>0.933543784869862</v>
      </c>
      <c r="I97" s="188">
        <f>44/12*'Crops proc. &amp; prod. AMORTIZED'!BY70</f>
        <v>9.3354378486986196</v>
      </c>
      <c r="J97" s="192">
        <f>44/12*'Crops proc. &amp; prod. AMORTIZED'!DL70</f>
        <v>0.88432740585612823</v>
      </c>
      <c r="K97" s="192">
        <f>44/12*'Crops proc. &amp; prod. AMORTIZED'!DM70</f>
        <v>0.98258600650680905</v>
      </c>
      <c r="L97" s="193"/>
      <c r="M97" s="193">
        <f>44/12*'Crops proc. &amp; prod. AMORTIZED'!DO70</f>
        <v>9.8258600650680901</v>
      </c>
      <c r="N97" s="220">
        <f t="shared" ref="N97" si="461">(R97+V97)/2</f>
        <v>1.0043465510223113</v>
      </c>
      <c r="O97" s="220">
        <f t="shared" ref="O97" si="462">(S97+W97)/2</f>
        <v>1.1159406122470126</v>
      </c>
      <c r="Q97" s="221">
        <f t="shared" ref="Q97" si="463">(U97+Y97)/2</f>
        <v>11.159406122470125</v>
      </c>
      <c r="R97" s="189">
        <f>44/12*'Crops proc. &amp; prod. AMORTIZED'!CJ70</f>
        <v>0.99827576447842215</v>
      </c>
      <c r="S97" s="189">
        <f>44/12*'Crops proc. &amp; prod. AMORTIZED'!CK70</f>
        <v>1.1091952938649134</v>
      </c>
      <c r="T97" s="193"/>
      <c r="U97" s="193">
        <f>44/12*'Crops proc. &amp; prod. AMORTIZED'!CM70</f>
        <v>11.091952938649134</v>
      </c>
      <c r="V97" s="192">
        <f>44/12*'Crops proc. &amp; prod. AMORTIZED'!DZ70</f>
        <v>1.0104173375662007</v>
      </c>
      <c r="W97" s="192">
        <f>44/12*'Crops proc. &amp; prod. AMORTIZED'!EA70</f>
        <v>1.1226859306291117</v>
      </c>
      <c r="X97" s="193"/>
      <c r="Y97" s="188">
        <f>44/12*'Crops proc. &amp; prod. AMORTIZED'!EC70</f>
        <v>11.226859306291116</v>
      </c>
      <c r="Z97" s="220">
        <f t="shared" ref="Z97" si="464">(AD97+AH97)/2</f>
        <v>0.50912297265348083</v>
      </c>
      <c r="AA97" s="220">
        <f t="shared" ref="AA97" si="465">(AE97+AI97)/2</f>
        <v>0.56569219183720088</v>
      </c>
      <c r="AC97" s="220">
        <f t="shared" ref="AC97" si="466">(AG97+AK97)/2</f>
        <v>5.6569219183720083</v>
      </c>
      <c r="AD97" s="189">
        <f>44/12*'Crops proc. &amp; prod. AMORTIZED'!CX70</f>
        <v>0.44700131362085638</v>
      </c>
      <c r="AE97" s="189">
        <f>44/12*'Crops proc. &amp; prod. AMORTIZED'!CY70</f>
        <v>0.49666812624539597</v>
      </c>
      <c r="AG97" s="188">
        <f>44/12*'Crops proc. &amp; prod. AMORTIZED'!DA70</f>
        <v>4.9666812624539594</v>
      </c>
      <c r="AH97" s="189">
        <f>44/12*'Crops proc. &amp; prod. AMORTIZED'!EN70</f>
        <v>0.57124463168610529</v>
      </c>
      <c r="AI97" s="189">
        <f>44/12*'Crops proc. &amp; prod. AMORTIZED'!EO70</f>
        <v>0.63471625742900584</v>
      </c>
      <c r="AK97" s="188">
        <f>44/12*'Crops proc. &amp; prod. AMORTIZED'!EQ70</f>
        <v>6.3471625742900581</v>
      </c>
      <c r="AL97" s="194">
        <f>'Crops proc. &amp; prod. AMORTIZED'!GY70</f>
        <v>5.3407271853129872E-2</v>
      </c>
      <c r="AM97" s="194">
        <f>'Crops proc. &amp; prod. AMORTIZED'!GZ70</f>
        <v>5.9341413170144297E-2</v>
      </c>
      <c r="AO97" s="415">
        <f>'Crops proc. &amp; prod. AMORTIZED'!HB70</f>
        <v>0.59341413170144297</v>
      </c>
      <c r="AP97" s="194">
        <f>'Crops proc. &amp; prod. AMORTIZED'!IV70</f>
        <v>0.25503347533120713</v>
      </c>
      <c r="AQ97" s="194">
        <f>'Crops proc. &amp; prod. AMORTIZED'!IW70</f>
        <v>0.28337052814578567</v>
      </c>
      <c r="AR97" s="188"/>
      <c r="AS97" s="226">
        <f>'Crops proc. &amp; prod. AMORTIZED'!IY70</f>
        <v>2.8337052814578567</v>
      </c>
      <c r="AT97" s="189">
        <f t="shared" si="443"/>
        <v>1.1706991533038389</v>
      </c>
      <c r="AU97" s="189">
        <f t="shared" si="444"/>
        <v>1.3007768370042656</v>
      </c>
      <c r="AV97" s="188"/>
      <c r="AW97" s="189">
        <f t="shared" si="445"/>
        <v>13.007768370042655</v>
      </c>
      <c r="AX97" s="189">
        <f t="shared" si="446"/>
        <v>1.148630153567213</v>
      </c>
      <c r="AY97" s="189">
        <f t="shared" si="447"/>
        <v>1.2762557261857919</v>
      </c>
      <c r="AZ97" s="188"/>
      <c r="BA97" s="189">
        <f t="shared" si="448"/>
        <v>12.762557261857919</v>
      </c>
      <c r="BB97" s="250"/>
      <c r="BC97" s="250"/>
      <c r="BD97" s="250"/>
      <c r="BE97" s="250"/>
      <c r="BF97" s="250"/>
      <c r="BG97" s="250"/>
      <c r="BH97" s="250"/>
      <c r="BI97" s="250"/>
      <c r="BJ97" s="193"/>
      <c r="BK97" s="193"/>
      <c r="BL97" s="250"/>
      <c r="BM97" s="250"/>
      <c r="BN97" s="250"/>
      <c r="BO97" s="250"/>
      <c r="BP97" s="250"/>
      <c r="BQ97" s="250"/>
      <c r="BR97" s="250"/>
      <c r="BS97" s="250"/>
      <c r="BT97" s="250"/>
      <c r="BU97" s="250"/>
      <c r="BV97" s="290"/>
      <c r="BW97" s="250"/>
      <c r="BX97" s="250"/>
      <c r="BY97" s="250"/>
      <c r="BZ97" s="250"/>
    </row>
    <row r="98" spans="1:78" x14ac:dyDescent="0.25">
      <c r="A98" s="227"/>
      <c r="AQ98" s="189"/>
      <c r="AR98" s="188"/>
      <c r="AS98" s="189"/>
      <c r="AT98" s="189"/>
      <c r="AU98" s="189"/>
      <c r="AV98" s="189"/>
      <c r="AW98" s="189"/>
      <c r="AX98" s="189"/>
      <c r="AY98" s="189"/>
      <c r="AZ98" s="189"/>
      <c r="BA98" s="189"/>
      <c r="BB98" s="250"/>
      <c r="BC98" s="250"/>
      <c r="BD98" s="250"/>
      <c r="BE98" s="250"/>
      <c r="BF98" s="250"/>
      <c r="BG98" s="250"/>
      <c r="BH98" s="250"/>
      <c r="BI98" s="250"/>
      <c r="BJ98" s="193"/>
      <c r="BK98" s="193"/>
      <c r="BL98" s="250"/>
      <c r="BM98" s="250"/>
      <c r="BN98" s="250"/>
      <c r="BO98" s="250"/>
      <c r="BP98" s="250"/>
      <c r="BQ98" s="250"/>
      <c r="BR98" s="250"/>
      <c r="BS98" s="250"/>
      <c r="BT98" s="250"/>
      <c r="BU98" s="250"/>
      <c r="BV98" s="192"/>
      <c r="BW98" s="250"/>
      <c r="BX98" s="250"/>
      <c r="BY98" s="250"/>
      <c r="BZ98" s="250"/>
    </row>
    <row r="99" spans="1:78" x14ac:dyDescent="0.25">
      <c r="A99" s="214"/>
      <c r="BB99" s="250"/>
      <c r="BC99" s="250"/>
      <c r="BD99" s="250"/>
      <c r="BE99" s="250"/>
      <c r="BF99" s="250"/>
      <c r="BG99" s="250"/>
      <c r="BH99" s="250"/>
      <c r="BI99" s="250"/>
      <c r="BJ99" s="250"/>
      <c r="BK99" s="250"/>
      <c r="BL99" s="250"/>
      <c r="BM99" s="250"/>
      <c r="BN99" s="250"/>
      <c r="BO99" s="250"/>
      <c r="BP99" s="250"/>
      <c r="BQ99" s="250"/>
      <c r="BR99" s="250"/>
      <c r="BS99" s="250"/>
      <c r="BT99" s="250"/>
      <c r="BU99" s="250"/>
      <c r="BV99" s="250"/>
      <c r="BW99" s="250"/>
      <c r="BX99" s="250"/>
      <c r="BY99" s="250"/>
      <c r="BZ99" s="250"/>
    </row>
    <row r="100" spans="1:78" ht="14.4" x14ac:dyDescent="0.3">
      <c r="A100" s="198" t="s">
        <v>112</v>
      </c>
      <c r="B100" s="200"/>
      <c r="C100" s="200"/>
      <c r="D100" s="200"/>
      <c r="E100" s="200"/>
      <c r="F100" s="200"/>
      <c r="G100" s="200"/>
      <c r="H100" s="200"/>
      <c r="I100" s="200"/>
      <c r="J100" s="200"/>
      <c r="K100" s="200"/>
      <c r="L100" s="200"/>
      <c r="M100" s="200"/>
      <c r="N100" s="200"/>
      <c r="O100" s="200"/>
      <c r="P100" s="200"/>
      <c r="Q100" s="200"/>
      <c r="R100" s="201"/>
      <c r="S100" s="201"/>
      <c r="T100" s="200"/>
      <c r="U100" s="200"/>
      <c r="V100" s="201"/>
      <c r="W100" s="201"/>
      <c r="X100" s="200"/>
      <c r="Y100" s="200"/>
      <c r="Z100" s="200"/>
      <c r="AA100" s="200"/>
      <c r="AB100" s="200"/>
      <c r="AC100" s="200"/>
      <c r="AD100" s="200"/>
      <c r="AE100" s="200"/>
      <c r="AF100" s="200"/>
      <c r="AG100" s="200"/>
      <c r="AH100" s="200"/>
      <c r="AI100" s="200"/>
      <c r="AJ100" s="200"/>
      <c r="AK100" s="200"/>
      <c r="AL100" s="200"/>
      <c r="AM100" s="200"/>
      <c r="AN100" s="200"/>
      <c r="AO100" s="200"/>
      <c r="AP100" s="201"/>
      <c r="AQ100" s="199"/>
      <c r="AR100" s="199"/>
      <c r="AS100" s="199"/>
      <c r="AT100" s="199"/>
      <c r="AU100" s="199"/>
      <c r="AV100" s="199"/>
      <c r="AW100" s="199"/>
      <c r="AX100" s="199"/>
      <c r="AY100" s="199"/>
      <c r="AZ100" s="199"/>
      <c r="BA100" s="199"/>
      <c r="BB100" s="250"/>
      <c r="BC100" s="250"/>
      <c r="BD100" s="250"/>
      <c r="BE100" s="250"/>
      <c r="BF100" s="250"/>
      <c r="BG100" s="250"/>
      <c r="BH100" s="250"/>
      <c r="BI100" s="250"/>
      <c r="BJ100" s="250"/>
      <c r="BK100" s="250"/>
      <c r="BL100" s="250"/>
      <c r="BM100" s="250"/>
      <c r="BN100" s="250"/>
      <c r="BO100" s="250"/>
      <c r="BP100" s="250"/>
      <c r="BQ100" s="250"/>
      <c r="BR100" s="250"/>
      <c r="BS100" s="250"/>
      <c r="BT100" s="250"/>
      <c r="BU100" s="250"/>
      <c r="BV100" s="250"/>
      <c r="BW100" s="250"/>
      <c r="BX100" s="250"/>
      <c r="BY100" s="250"/>
      <c r="BZ100" s="250"/>
    </row>
    <row r="101" spans="1:78" x14ac:dyDescent="0.25">
      <c r="A101" s="202"/>
      <c r="BB101" s="250"/>
      <c r="BC101" s="250"/>
      <c r="BD101" s="250"/>
      <c r="BE101" s="250"/>
      <c r="BF101" s="250"/>
      <c r="BG101" s="250"/>
      <c r="BH101" s="250"/>
      <c r="BI101" s="250"/>
      <c r="BJ101" s="250"/>
      <c r="BK101" s="250"/>
      <c r="BL101" s="250"/>
      <c r="BM101" s="250"/>
      <c r="BN101" s="250"/>
      <c r="BO101" s="250"/>
      <c r="BP101" s="250"/>
      <c r="BQ101" s="250"/>
      <c r="BR101" s="250"/>
      <c r="BS101" s="250"/>
      <c r="BT101" s="250"/>
      <c r="BU101" s="250"/>
      <c r="BV101" s="250"/>
      <c r="BW101" s="250"/>
      <c r="BX101" s="250"/>
      <c r="BY101" s="250"/>
      <c r="BZ101" s="250"/>
    </row>
    <row r="102" spans="1:78" ht="13.8" x14ac:dyDescent="0.3">
      <c r="A102" s="203" t="s">
        <v>450</v>
      </c>
      <c r="BB102" s="250"/>
      <c r="BC102" s="250"/>
      <c r="BD102" s="250"/>
      <c r="BE102" s="250"/>
      <c r="BF102" s="250"/>
      <c r="BG102" s="250"/>
      <c r="BH102" s="250"/>
      <c r="BI102" s="250"/>
      <c r="BJ102" s="250"/>
      <c r="BK102" s="250"/>
      <c r="BL102" s="250"/>
      <c r="BM102" s="250"/>
      <c r="BN102" s="250"/>
      <c r="BO102" s="250"/>
      <c r="BP102" s="250"/>
      <c r="BQ102" s="250"/>
      <c r="BR102" s="250"/>
      <c r="BS102" s="250"/>
      <c r="BT102" s="250"/>
      <c r="BU102" s="250"/>
      <c r="BV102" s="250"/>
      <c r="BW102" s="250"/>
      <c r="BX102" s="250"/>
      <c r="BY102" s="250"/>
      <c r="BZ102" s="250"/>
    </row>
    <row r="103" spans="1:78" s="438" customFormat="1" ht="10.199999999999999" x14ac:dyDescent="0.2">
      <c r="A103" s="49" t="s">
        <v>812</v>
      </c>
      <c r="B103" s="321">
        <f t="shared" ref="B103" si="467">(F103+J103)/2</f>
        <v>152.67410281975214</v>
      </c>
      <c r="C103" s="319"/>
      <c r="D103" s="320">
        <f t="shared" ref="D103" si="468">(H103+L103)/2</f>
        <v>10388.895395760926</v>
      </c>
      <c r="E103" s="440">
        <f t="shared" ref="E103" si="469">(I103+M103)/2</f>
        <v>1017.827352131681</v>
      </c>
      <c r="F103" s="325">
        <f>44/12*'Livestock prod. AMORTIZED'!DR67</f>
        <v>157.27430084006184</v>
      </c>
      <c r="G103" s="323"/>
      <c r="H103" s="325">
        <f>44/12*'Livestock prod. AMORTIZED'!DT67</f>
        <v>20425.233875332706</v>
      </c>
      <c r="I103" s="328">
        <f>44/12*'Livestock prod. AMORTIZED'!DU67</f>
        <v>1048.4953389337459</v>
      </c>
      <c r="J103" s="328">
        <f>44/12*'Livestock prod. AMORTIZED'!DV67</f>
        <v>148.0739047994424</v>
      </c>
      <c r="K103" s="322"/>
      <c r="L103" s="328">
        <f>44/12*'Livestock prod. AMORTIZED'!DW67</f>
        <v>352.55691618914858</v>
      </c>
      <c r="M103" s="328">
        <f>44/12*'Livestock prod. AMORTIZED'!DY67</f>
        <v>987.15936532961598</v>
      </c>
      <c r="N103" s="325"/>
      <c r="O103" s="325"/>
      <c r="P103" s="325"/>
      <c r="Q103" s="325"/>
      <c r="R103" s="323"/>
      <c r="S103" s="323"/>
      <c r="T103" s="325"/>
      <c r="U103" s="325"/>
      <c r="V103" s="323"/>
      <c r="W103" s="323"/>
      <c r="X103" s="325"/>
      <c r="Y103" s="325"/>
      <c r="Z103" s="328"/>
      <c r="AA103" s="328"/>
      <c r="AB103" s="328"/>
      <c r="AC103" s="328"/>
      <c r="AD103" s="328"/>
      <c r="AE103" s="328"/>
      <c r="AF103" s="328"/>
      <c r="AG103" s="328"/>
      <c r="AH103" s="328"/>
      <c r="AI103" s="328"/>
      <c r="AJ103" s="328"/>
      <c r="AK103" s="328"/>
      <c r="AL103" s="323">
        <f>'Livestock prod. AMORTIZED'!EF67</f>
        <v>9.0524661890257594</v>
      </c>
      <c r="AM103" s="328"/>
      <c r="AN103" s="325">
        <f>'Livestock prod. AMORTIZED'!EH67</f>
        <v>1175.644959613735</v>
      </c>
      <c r="AO103" s="441">
        <f>'Livestock prod. AMORTIZED'!EI67</f>
        <v>60.349774593505067</v>
      </c>
      <c r="AP103" s="323">
        <f>'Livestock prod. AMORTIZED'!EO67</f>
        <v>44.235238316625946</v>
      </c>
      <c r="AR103" s="325">
        <f>'Livestock prod. AMORTIZED'!EQ67</f>
        <v>5744.8361450163566</v>
      </c>
      <c r="AS103" s="441">
        <f>'Livestock prod. AMORTIZED'!ER67</f>
        <v>294.90158877750633</v>
      </c>
      <c r="AT103" s="325">
        <f t="shared" ref="AT103:AT106" si="470">B103+AL103+AP103</f>
        <v>205.96180732540384</v>
      </c>
      <c r="AU103" s="323"/>
      <c r="AV103" s="325">
        <f t="shared" ref="AV103:AV106" si="471">D103+AN103+AR103</f>
        <v>17309.376500391019</v>
      </c>
      <c r="AW103" s="325">
        <f t="shared" ref="AW103:AW106" si="472">E103+AO103+AS103</f>
        <v>1373.0787155026924</v>
      </c>
      <c r="AX103" s="325">
        <f t="shared" ref="AX103:AX106" si="473">F103+AL103+AP103</f>
        <v>210.56200534571354</v>
      </c>
      <c r="AY103" s="323"/>
      <c r="AZ103" s="325">
        <f t="shared" ref="AZ103:AZ106" si="474">H103+AN103+AR103</f>
        <v>27345.714979962799</v>
      </c>
      <c r="BA103" s="325">
        <f t="shared" ref="BA103:BA106" si="475">I103+AO103+AS103</f>
        <v>1403.7467023047573</v>
      </c>
      <c r="BB103" s="439"/>
      <c r="BC103" s="439"/>
      <c r="BD103" s="439"/>
      <c r="BE103" s="439"/>
      <c r="BF103" s="439"/>
      <c r="BG103" s="439"/>
      <c r="BH103" s="439"/>
      <c r="BI103" s="439"/>
      <c r="BJ103" s="439"/>
      <c r="BK103" s="439"/>
      <c r="BL103" s="439"/>
      <c r="BM103" s="439"/>
      <c r="BN103" s="439"/>
      <c r="BO103" s="439"/>
      <c r="BP103" s="439"/>
      <c r="BQ103" s="439"/>
      <c r="BR103" s="439"/>
      <c r="BS103" s="439"/>
      <c r="BT103" s="439"/>
      <c r="BU103" s="439"/>
      <c r="BV103" s="439"/>
      <c r="BW103" s="439"/>
      <c r="BX103" s="439"/>
      <c r="BY103" s="439"/>
      <c r="BZ103" s="439"/>
    </row>
    <row r="104" spans="1:78" s="438" customFormat="1" ht="10.199999999999999" x14ac:dyDescent="0.2">
      <c r="A104" s="49" t="s">
        <v>811</v>
      </c>
      <c r="B104" s="321">
        <f t="shared" ref="B104" si="476">(F104+J104)/2</f>
        <v>196.21143390368326</v>
      </c>
      <c r="C104" s="319"/>
      <c r="D104" s="320">
        <f t="shared" ref="D104" si="477">(H104+L104)/2</f>
        <v>12214.668741326919</v>
      </c>
      <c r="E104" s="440">
        <f t="shared" ref="E104" si="478">(I104+M104)/2</f>
        <v>1353.1823027840228</v>
      </c>
      <c r="F104" s="325">
        <f>44/12*'Livestock prod. AMORTIZED'!DR68</f>
        <v>203.73760087343965</v>
      </c>
      <c r="G104" s="323"/>
      <c r="H104" s="325">
        <f>44/12*'Livestock prod. AMORTIZED'!DT68</f>
        <v>23969.129514522308</v>
      </c>
      <c r="I104" s="328">
        <f>44/12*'Livestock prod. AMORTIZED'!DU68</f>
        <v>1405.0869025754459</v>
      </c>
      <c r="J104" s="328">
        <f>44/12*'Livestock prod. AMORTIZED'!DV68</f>
        <v>188.6852669339269</v>
      </c>
      <c r="K104" s="322"/>
      <c r="L104" s="328">
        <f>44/12*'Livestock prod. AMORTIZED'!DW68</f>
        <v>460.20796813152907</v>
      </c>
      <c r="M104" s="328">
        <f>44/12*'Livestock prod. AMORTIZED'!DY68</f>
        <v>1301.2777029925994</v>
      </c>
      <c r="N104" s="325"/>
      <c r="O104" s="325"/>
      <c r="P104" s="325"/>
      <c r="Q104" s="325"/>
      <c r="R104" s="323"/>
      <c r="S104" s="323"/>
      <c r="T104" s="325"/>
      <c r="U104" s="325"/>
      <c r="V104" s="323"/>
      <c r="W104" s="323"/>
      <c r="X104" s="325"/>
      <c r="Y104" s="325"/>
      <c r="Z104" s="328"/>
      <c r="AA104" s="328"/>
      <c r="AB104" s="328"/>
      <c r="AC104" s="328"/>
      <c r="AD104" s="328"/>
      <c r="AE104" s="328"/>
      <c r="AF104" s="328"/>
      <c r="AG104" s="328"/>
      <c r="AH104" s="328"/>
      <c r="AI104" s="328"/>
      <c r="AJ104" s="328"/>
      <c r="AK104" s="328"/>
      <c r="AL104" s="323">
        <f>'Livestock prod. AMORTIZED'!EF68</f>
        <v>11.328139590691732</v>
      </c>
      <c r="AM104" s="328"/>
      <c r="AN104" s="325">
        <f>'Livestock prod. AMORTIZED'!EH68</f>
        <v>1332.7223047872624</v>
      </c>
      <c r="AO104" s="441">
        <f>'Livestock prod. AMORTIZED'!EI68</f>
        <v>78.12510062546022</v>
      </c>
      <c r="AP104" s="323">
        <f>'Livestock prod. AMORTIZED'!EO68</f>
        <v>42.052485678027843</v>
      </c>
      <c r="AR104" s="325">
        <f>'Livestock prod. AMORTIZED'!EQ68</f>
        <v>4947.3512562385686</v>
      </c>
      <c r="AS104" s="441">
        <f>'Livestock prod. AMORTIZED'!ER68</f>
        <v>290.01714260708849</v>
      </c>
      <c r="AT104" s="325">
        <f t="shared" si="470"/>
        <v>249.59205917240283</v>
      </c>
      <c r="AU104" s="323"/>
      <c r="AV104" s="325">
        <f t="shared" si="471"/>
        <v>18494.742302352752</v>
      </c>
      <c r="AW104" s="325">
        <f t="shared" si="472"/>
        <v>1721.3245460165715</v>
      </c>
      <c r="AX104" s="325">
        <f t="shared" si="473"/>
        <v>257.11822614215924</v>
      </c>
      <c r="AY104" s="323"/>
      <c r="AZ104" s="325">
        <f t="shared" si="474"/>
        <v>30249.203075548139</v>
      </c>
      <c r="BA104" s="325">
        <f t="shared" si="475"/>
        <v>1773.2291458079947</v>
      </c>
      <c r="BB104" s="439"/>
      <c r="BC104" s="439"/>
      <c r="BD104" s="439"/>
      <c r="BE104" s="439"/>
      <c r="BF104" s="439"/>
      <c r="BG104" s="439"/>
      <c r="BH104" s="439"/>
      <c r="BI104" s="439"/>
      <c r="BJ104" s="439"/>
      <c r="BK104" s="439"/>
      <c r="BL104" s="439"/>
      <c r="BM104" s="439"/>
      <c r="BN104" s="439"/>
      <c r="BO104" s="439"/>
      <c r="BP104" s="439"/>
      <c r="BQ104" s="439"/>
      <c r="BR104" s="439"/>
      <c r="BS104" s="439"/>
      <c r="BT104" s="439"/>
      <c r="BU104" s="439"/>
      <c r="BV104" s="439"/>
      <c r="BW104" s="439"/>
      <c r="BX104" s="439"/>
      <c r="BY104" s="439"/>
      <c r="BZ104" s="439"/>
    </row>
    <row r="105" spans="1:78" ht="12" customHeight="1" x14ac:dyDescent="0.25">
      <c r="A105" s="204" t="s">
        <v>805</v>
      </c>
      <c r="B105" s="221">
        <f t="shared" ref="B105" si="479">(F105+J105)/2</f>
        <v>161.90653853675036</v>
      </c>
      <c r="C105" s="220"/>
      <c r="D105" s="296">
        <f t="shared" ref="D105" si="480">(H105+L105)/2</f>
        <v>11021.067667398207</v>
      </c>
      <c r="E105" s="298">
        <f t="shared" ref="E105" si="481">(I105+M105)/2</f>
        <v>1079.3769235783359</v>
      </c>
      <c r="F105" s="188">
        <f>44/12*'Livestock prod. AMORTIZED'!DR75</f>
        <v>166.84672563489121</v>
      </c>
      <c r="H105" s="188">
        <f>44/12*'Livestock prod. AMORTIZED'!DT75</f>
        <v>21668.405926609248</v>
      </c>
      <c r="I105" s="193">
        <f>44/12*'Livestock prod. AMORTIZED'!DU75</f>
        <v>1112.3115042326083</v>
      </c>
      <c r="J105" s="193">
        <f>44/12*'Livestock prod. AMORTIZED'!DV75</f>
        <v>156.96635143860951</v>
      </c>
      <c r="K105" s="192"/>
      <c r="L105" s="193">
        <f>44/12*'Livestock prod. AMORTIZED'!DW75</f>
        <v>373.72940818716552</v>
      </c>
      <c r="M105" s="193">
        <f>44/12*'Livestock prod. AMORTIZED'!DY75</f>
        <v>1046.4423429240635</v>
      </c>
      <c r="Z105" s="193"/>
      <c r="AA105" s="193"/>
      <c r="AB105" s="193"/>
      <c r="AC105" s="193"/>
      <c r="AD105" s="193"/>
      <c r="AE105" s="193"/>
      <c r="AF105" s="193"/>
      <c r="AG105" s="193"/>
      <c r="AH105" s="193"/>
      <c r="AI105" s="193"/>
      <c r="AJ105" s="193"/>
      <c r="AK105" s="193"/>
      <c r="AL105" s="189">
        <f>'Livestock prod. AMORTIZED'!EF75</f>
        <v>9.5989473575696902</v>
      </c>
      <c r="AM105" s="193"/>
      <c r="AN105" s="188">
        <f>'Livestock prod. AMORTIZED'!EH75</f>
        <v>1246.6165399441156</v>
      </c>
      <c r="AO105" s="205">
        <f>'Livestock prod. AMORTIZED'!EI75</f>
        <v>63.992982383797937</v>
      </c>
      <c r="AP105" s="188">
        <f>'Livestock prod. AMORTIZED'!EO75</f>
        <v>46.16554836135932</v>
      </c>
      <c r="AR105" s="188">
        <f>'Livestock prod. AMORTIZED'!EQ75</f>
        <v>5995.5257612154955</v>
      </c>
      <c r="AS105" s="205">
        <f>'Livestock prod. AMORTIZED'!ER75</f>
        <v>307.77032240906215</v>
      </c>
      <c r="AT105" s="188">
        <f t="shared" si="470"/>
        <v>217.67103425567939</v>
      </c>
      <c r="AU105" s="189"/>
      <c r="AV105" s="188">
        <f t="shared" si="471"/>
        <v>18263.209968557818</v>
      </c>
      <c r="AW105" s="188">
        <f t="shared" si="472"/>
        <v>1451.1402283711959</v>
      </c>
      <c r="AX105" s="188">
        <f t="shared" si="473"/>
        <v>222.61122135382024</v>
      </c>
      <c r="AY105" s="189"/>
      <c r="AZ105" s="188">
        <f t="shared" si="474"/>
        <v>28910.548227768861</v>
      </c>
      <c r="BA105" s="188">
        <f t="shared" si="475"/>
        <v>1484.0748090254683</v>
      </c>
      <c r="BB105" s="250"/>
      <c r="BC105" s="250"/>
      <c r="BD105" s="250"/>
      <c r="BE105" s="250"/>
      <c r="BF105" s="250"/>
      <c r="BG105" s="250"/>
      <c r="BH105" s="250"/>
      <c r="BI105" s="250"/>
      <c r="BJ105" s="250"/>
      <c r="BK105" s="250"/>
      <c r="BL105" s="250"/>
      <c r="BM105" s="250"/>
      <c r="BN105" s="250"/>
      <c r="BO105" s="250"/>
      <c r="BP105" s="250"/>
      <c r="BQ105" s="250"/>
      <c r="BR105" s="250"/>
      <c r="BS105" s="250"/>
      <c r="BT105" s="250"/>
      <c r="BU105" s="250"/>
      <c r="BV105" s="250"/>
      <c r="BW105" s="250"/>
      <c r="BX105" s="250"/>
      <c r="BY105" s="250"/>
      <c r="BZ105" s="250"/>
    </row>
    <row r="106" spans="1:78" x14ac:dyDescent="0.25">
      <c r="A106" s="204" t="s">
        <v>498</v>
      </c>
      <c r="B106" s="221">
        <f t="shared" ref="B106" si="482">(F106+J106)/2</f>
        <v>199.83230071548638</v>
      </c>
      <c r="C106" s="220"/>
      <c r="D106" s="296">
        <f t="shared" ref="D106" si="483">(H106+L106)/2</f>
        <v>12445.972046539258</v>
      </c>
      <c r="E106" s="298">
        <f t="shared" ref="E106" si="484">(I106+M106)/2</f>
        <v>1378.1537980378371</v>
      </c>
      <c r="F106" s="188">
        <f>44/12*'Livestock prod. AMORTIZED'!DR77</f>
        <v>207.59969128820765</v>
      </c>
      <c r="G106" s="189"/>
      <c r="H106" s="188">
        <f>44/12*'Livestock prod. AMORTIZED'!DT77</f>
        <v>24423.49309273031</v>
      </c>
      <c r="I106" s="193">
        <f>44/12*'Livestock prod. AMORTIZED'!DU77</f>
        <v>1431.7220088841907</v>
      </c>
      <c r="J106" s="193">
        <f>44/12*'Livestock prod. AMORTIZED'!DV77</f>
        <v>192.06491014276509</v>
      </c>
      <c r="K106" s="192"/>
      <c r="L106" s="193">
        <f>44/12*'Livestock prod. AMORTIZED'!DW77</f>
        <v>468.45100034820751</v>
      </c>
      <c r="M106" s="193">
        <f>44/12*'Livestock prod. AMORTIZED'!DY77</f>
        <v>1324.5855871914835</v>
      </c>
      <c r="Z106" s="193"/>
      <c r="AA106" s="193"/>
      <c r="AB106" s="193"/>
      <c r="AC106" s="193"/>
      <c r="AD106" s="193"/>
      <c r="AE106" s="193"/>
      <c r="AF106" s="193"/>
      <c r="AG106" s="193"/>
      <c r="AH106" s="193"/>
      <c r="AI106" s="193"/>
      <c r="AJ106" s="193"/>
      <c r="AK106" s="193"/>
      <c r="AL106" s="189">
        <f>'Livestock prod. AMORTIZED'!EF77</f>
        <v>11.5058367330337</v>
      </c>
      <c r="AM106" s="193"/>
      <c r="AN106" s="188">
        <f>'Livestock prod. AMORTIZED'!EH77</f>
        <v>1353.6278509451411</v>
      </c>
      <c r="AO106" s="416">
        <f>'Livestock prod. AMORTIZED'!EI77</f>
        <v>79.350598158853117</v>
      </c>
      <c r="AP106" s="188">
        <f>'Livestock prod. AMORTIZED'!EO77</f>
        <v>42.290023769939303</v>
      </c>
      <c r="AR106" s="188">
        <f>'Livestock prod. AMORTIZED'!EQ77</f>
        <v>4975.2969141105059</v>
      </c>
      <c r="AS106" s="205">
        <f>'Livestock prod. AMORTIZED'!ER77</f>
        <v>291.65533634440897</v>
      </c>
      <c r="AT106" s="188">
        <f t="shared" si="470"/>
        <v>253.62816121845938</v>
      </c>
      <c r="AU106" s="189"/>
      <c r="AV106" s="188">
        <f t="shared" si="471"/>
        <v>18774.896811594903</v>
      </c>
      <c r="AW106" s="188">
        <f t="shared" si="472"/>
        <v>1749.1597325410989</v>
      </c>
      <c r="AX106" s="188">
        <f t="shared" si="473"/>
        <v>261.39555179118065</v>
      </c>
      <c r="AY106" s="189"/>
      <c r="AZ106" s="188">
        <f t="shared" si="474"/>
        <v>30752.417857785957</v>
      </c>
      <c r="BA106" s="188">
        <f t="shared" si="475"/>
        <v>1802.7279433874528</v>
      </c>
      <c r="BB106" s="250"/>
      <c r="BC106" s="250"/>
      <c r="BD106" s="250"/>
      <c r="BE106" s="250"/>
      <c r="BF106" s="250"/>
      <c r="BG106" s="250"/>
      <c r="BH106" s="250"/>
      <c r="BI106" s="250"/>
      <c r="BJ106" s="250"/>
      <c r="BK106" s="250"/>
      <c r="BL106" s="250"/>
      <c r="BM106" s="250"/>
      <c r="BN106" s="250"/>
      <c r="BO106" s="250"/>
      <c r="BP106" s="250"/>
      <c r="BQ106" s="250"/>
      <c r="BR106" s="250"/>
      <c r="BS106" s="250"/>
      <c r="BT106" s="250"/>
      <c r="BU106" s="250"/>
      <c r="BV106" s="250"/>
      <c r="BW106" s="250"/>
      <c r="BX106" s="250"/>
      <c r="BY106" s="250"/>
      <c r="BZ106" s="250"/>
    </row>
    <row r="107" spans="1:78" x14ac:dyDescent="0.25">
      <c r="A107" s="204"/>
      <c r="F107" s="189"/>
      <c r="G107" s="189"/>
      <c r="I107" s="250"/>
      <c r="J107" s="192"/>
      <c r="K107" s="192"/>
      <c r="L107" s="193"/>
      <c r="M107" s="250"/>
      <c r="Z107" s="250"/>
      <c r="AA107" s="250"/>
      <c r="AB107" s="250"/>
      <c r="AC107" s="250"/>
      <c r="AD107" s="250"/>
      <c r="AE107" s="250"/>
      <c r="AF107" s="250"/>
      <c r="AG107" s="250"/>
      <c r="AH107" s="250"/>
      <c r="AI107" s="250"/>
      <c r="AJ107" s="250"/>
      <c r="AK107" s="250"/>
      <c r="AL107" s="189"/>
      <c r="AM107" s="250"/>
      <c r="AN107" s="187"/>
      <c r="AO107" s="189"/>
      <c r="AV107" s="188"/>
      <c r="AW107" s="188"/>
      <c r="AZ107" s="188"/>
      <c r="BA107" s="188"/>
      <c r="BB107" s="250"/>
      <c r="BC107" s="250"/>
      <c r="BD107" s="250"/>
      <c r="BE107" s="250"/>
      <c r="BF107" s="250"/>
      <c r="BG107" s="250"/>
      <c r="BH107" s="250"/>
      <c r="BI107" s="250"/>
      <c r="BJ107" s="250"/>
      <c r="BK107" s="250"/>
      <c r="BL107" s="250"/>
      <c r="BM107" s="250"/>
      <c r="BN107" s="250"/>
      <c r="BO107" s="250"/>
      <c r="BP107" s="250"/>
      <c r="BQ107" s="250"/>
      <c r="BR107" s="250"/>
      <c r="BS107" s="250"/>
      <c r="BT107" s="250"/>
      <c r="BU107" s="250"/>
      <c r="BV107" s="250"/>
      <c r="BW107" s="250"/>
      <c r="BX107" s="250"/>
      <c r="BY107" s="250"/>
      <c r="BZ107" s="250"/>
    </row>
    <row r="108" spans="1:78" ht="13.8" x14ac:dyDescent="0.3">
      <c r="A108" s="203" t="s">
        <v>451</v>
      </c>
      <c r="F108" s="189"/>
      <c r="G108" s="189"/>
      <c r="I108" s="250"/>
      <c r="J108" s="192"/>
      <c r="K108" s="192"/>
      <c r="L108" s="193"/>
      <c r="M108" s="250"/>
      <c r="Z108" s="250"/>
      <c r="AA108" s="250"/>
      <c r="AB108" s="250"/>
      <c r="AC108" s="250"/>
      <c r="AD108" s="250"/>
      <c r="AE108" s="250"/>
      <c r="AF108" s="250"/>
      <c r="AG108" s="250"/>
      <c r="AH108" s="250"/>
      <c r="AI108" s="250"/>
      <c r="AJ108" s="250"/>
      <c r="AK108" s="250"/>
      <c r="AL108" s="189"/>
      <c r="AM108" s="250"/>
      <c r="AN108" s="187"/>
      <c r="AO108" s="189"/>
      <c r="AV108" s="188"/>
      <c r="AW108" s="188"/>
      <c r="AZ108" s="188"/>
      <c r="BA108" s="188"/>
      <c r="BB108" s="250"/>
      <c r="BC108" s="250"/>
      <c r="BD108" s="250"/>
      <c r="BE108" s="250"/>
      <c r="BF108" s="250"/>
      <c r="BG108" s="250"/>
      <c r="BH108" s="250"/>
      <c r="BI108" s="250"/>
      <c r="BJ108" s="250"/>
      <c r="BK108" s="250"/>
      <c r="BL108" s="250"/>
      <c r="BM108" s="250"/>
      <c r="BN108" s="250"/>
      <c r="BO108" s="250"/>
      <c r="BP108" s="250"/>
      <c r="BQ108" s="250"/>
      <c r="BR108" s="250"/>
      <c r="BS108" s="250"/>
      <c r="BT108" s="250"/>
      <c r="BU108" s="250"/>
      <c r="BV108" s="250"/>
      <c r="BW108" s="250"/>
      <c r="BX108" s="250"/>
      <c r="BY108" s="250"/>
      <c r="BZ108" s="250"/>
    </row>
    <row r="109" spans="1:78" x14ac:dyDescent="0.25">
      <c r="A109" s="49" t="s">
        <v>799</v>
      </c>
      <c r="B109" s="319">
        <f t="shared" ref="B109" si="485">(F109+J109)/2</f>
        <v>6.5854331432270907</v>
      </c>
      <c r="C109" s="319"/>
      <c r="D109" s="320">
        <f t="shared" ref="D109" si="486">(H109+L109)/2</f>
        <v>1276.4332249769766</v>
      </c>
      <c r="E109" s="440">
        <f t="shared" ref="E109" si="487">(I109+M109)/2</f>
        <v>205.79478572584657</v>
      </c>
      <c r="F109" s="325">
        <f>44/12*'Livestock prod. AMORTIZED'!DR70</f>
        <v>6.7552621841111824</v>
      </c>
      <c r="G109" s="323"/>
      <c r="H109" s="325">
        <f>44/12*'Livestock prod. AMORTIZED'!DT70</f>
        <v>2501.9489570782152</v>
      </c>
      <c r="I109" s="328">
        <f>44/12*'Livestock prod. AMORTIZED'!DU70</f>
        <v>211.10194325347445</v>
      </c>
      <c r="J109" s="328">
        <f>44/12*'Livestock prod. AMORTIZED'!DV70</f>
        <v>6.415604102342999</v>
      </c>
      <c r="K109" s="322"/>
      <c r="L109" s="328">
        <f>44/12*'Livestock prod. AMORTIZED'!DW70</f>
        <v>50.917492875738084</v>
      </c>
      <c r="M109" s="328">
        <f>44/12*'Livestock prod. AMORTIZED'!DY70</f>
        <v>200.48762819821872</v>
      </c>
      <c r="N109" s="325"/>
      <c r="O109" s="325"/>
      <c r="P109" s="325"/>
      <c r="Q109" s="325"/>
      <c r="R109" s="323"/>
      <c r="S109" s="323"/>
      <c r="T109" s="325"/>
      <c r="U109" s="325"/>
      <c r="V109" s="323"/>
      <c r="W109" s="323"/>
      <c r="X109" s="325"/>
      <c r="Y109" s="325"/>
      <c r="Z109" s="328"/>
      <c r="AA109" s="328"/>
      <c r="AB109" s="328"/>
      <c r="AC109" s="328"/>
      <c r="AD109" s="328"/>
      <c r="AE109" s="328"/>
      <c r="AF109" s="328"/>
      <c r="AG109" s="328"/>
      <c r="AH109" s="328"/>
      <c r="AI109" s="328"/>
      <c r="AJ109" s="328"/>
      <c r="AK109" s="328"/>
      <c r="AL109" s="324">
        <f>'Livestock prod. AMORTIZED'!EF70</f>
        <v>0.39090108716501415</v>
      </c>
      <c r="AM109" s="328"/>
      <c r="AN109" s="325">
        <f>'Livestock prod. AMORTIZED'!EH70</f>
        <v>144.7781804314867</v>
      </c>
      <c r="AO109" s="442">
        <f>'Livestock prod. AMORTIZED'!EI70</f>
        <v>12.215658973906692</v>
      </c>
      <c r="AP109" s="323">
        <f>'Livestock prod. AMORTIZED'!EO70</f>
        <v>2.2525578419267958</v>
      </c>
      <c r="AQ109" s="438"/>
      <c r="AR109" s="325">
        <f>'Livestock prod. AMORTIZED'!EQ70</f>
        <v>834.28068219510953</v>
      </c>
      <c r="AS109" s="441">
        <f>'Livestock prod. AMORTIZED'!ER70</f>
        <v>70.39243256021237</v>
      </c>
      <c r="AT109" s="323">
        <f t="shared" ref="AT109:AT112" si="488">B109+AL109+AP109</f>
        <v>9.2288920723189012</v>
      </c>
      <c r="AU109" s="323"/>
      <c r="AV109" s="325">
        <f t="shared" ref="AV109:AV112" si="489">D109+AN109+AR109</f>
        <v>2255.4920876035726</v>
      </c>
      <c r="AW109" s="325">
        <f t="shared" ref="AW109:AW112" si="490">E109+AO109+AS109</f>
        <v>288.40287725996563</v>
      </c>
      <c r="AX109" s="323">
        <f t="shared" ref="AX109:AX112" si="491">F109+AL109+AP109</f>
        <v>9.398721113202992</v>
      </c>
      <c r="AY109" s="323"/>
      <c r="AZ109" s="325">
        <f t="shared" ref="AZ109:AZ112" si="492">H109+AN109+AR109</f>
        <v>3481.0078197048115</v>
      </c>
      <c r="BA109" s="325">
        <f t="shared" ref="BA109:BA112" si="493">I109+AO109+AS109</f>
        <v>293.71003478759349</v>
      </c>
      <c r="BB109" s="250"/>
      <c r="BC109" s="250"/>
      <c r="BD109" s="250"/>
      <c r="BE109" s="250"/>
      <c r="BF109" s="250"/>
      <c r="BG109" s="250"/>
      <c r="BH109" s="250"/>
      <c r="BI109" s="250"/>
      <c r="BJ109" s="250"/>
      <c r="BK109" s="250"/>
      <c r="BL109" s="250"/>
      <c r="BM109" s="250"/>
      <c r="BN109" s="250"/>
      <c r="BO109" s="250"/>
      <c r="BP109" s="250"/>
      <c r="BQ109" s="250"/>
      <c r="BR109" s="250"/>
      <c r="BS109" s="250"/>
      <c r="BT109" s="250"/>
      <c r="BU109" s="250"/>
      <c r="BV109" s="250"/>
      <c r="BW109" s="250"/>
      <c r="BX109" s="250"/>
      <c r="BY109" s="250"/>
      <c r="BZ109" s="250"/>
    </row>
    <row r="110" spans="1:78" x14ac:dyDescent="0.25">
      <c r="A110" s="49" t="s">
        <v>801</v>
      </c>
      <c r="B110" s="319">
        <f t="shared" ref="B110" si="494">(F110+J110)/2</f>
        <v>21.011588055424177</v>
      </c>
      <c r="C110" s="319"/>
      <c r="D110" s="320">
        <f t="shared" ref="D110" si="495">(H110+L110)/2</f>
        <v>2789.2439295488844</v>
      </c>
      <c r="E110" s="440">
        <f t="shared" ref="E110" si="496">(I110+M110)/2</f>
        <v>420.23176110848351</v>
      </c>
      <c r="F110" s="325">
        <f>44/12*'Livestock prod. AMORTIZED'!DR72</f>
        <v>21.773972678186766</v>
      </c>
      <c r="G110" s="323"/>
      <c r="H110" s="325">
        <f>44/12*'Livestock prod. AMORTIZED'!DT72</f>
        <v>5443.4931695466912</v>
      </c>
      <c r="I110" s="328">
        <f>44/12*'Livestock prod. AMORTIZED'!DU72</f>
        <v>435.47945356373526</v>
      </c>
      <c r="J110" s="328">
        <f>44/12*'Livestock prod. AMORTIZED'!DV72</f>
        <v>20.249203432661588</v>
      </c>
      <c r="K110" s="322"/>
      <c r="L110" s="328">
        <f>44/12*'Livestock prod. AMORTIZED'!DW72</f>
        <v>134.99468955107724</v>
      </c>
      <c r="M110" s="328">
        <f>44/12*'Livestock prod. AMORTIZED'!DY72</f>
        <v>404.9840686532317</v>
      </c>
      <c r="N110" s="325"/>
      <c r="O110" s="325"/>
      <c r="P110" s="325"/>
      <c r="Q110" s="325"/>
      <c r="R110" s="323"/>
      <c r="S110" s="323"/>
      <c r="T110" s="325"/>
      <c r="U110" s="325"/>
      <c r="V110" s="323"/>
      <c r="W110" s="323"/>
      <c r="X110" s="325"/>
      <c r="Y110" s="325"/>
      <c r="Z110" s="328"/>
      <c r="AA110" s="328"/>
      <c r="AB110" s="328"/>
      <c r="AC110" s="328"/>
      <c r="AD110" s="328"/>
      <c r="AE110" s="328"/>
      <c r="AF110" s="328"/>
      <c r="AG110" s="328"/>
      <c r="AH110" s="328"/>
      <c r="AI110" s="328"/>
      <c r="AJ110" s="328"/>
      <c r="AK110" s="328"/>
      <c r="AL110" s="324">
        <f>'Livestock prod. AMORTIZED'!EF72</f>
        <v>1.2264370145358872</v>
      </c>
      <c r="AM110" s="328"/>
      <c r="AN110" s="325">
        <f>'Livestock prod. AMORTIZED'!EH72</f>
        <v>306.60925363397178</v>
      </c>
      <c r="AO110" s="442">
        <f>'Livestock prod. AMORTIZED'!EI72</f>
        <v>24.528740290717742</v>
      </c>
      <c r="AP110" s="323">
        <f>'Livestock prod. AMORTIZED'!EO72</f>
        <v>4.7324959732465084</v>
      </c>
      <c r="AQ110" s="438"/>
      <c r="AR110" s="325">
        <f>'Livestock prod. AMORTIZED'!EQ72</f>
        <v>1183.1239933116269</v>
      </c>
      <c r="AS110" s="441">
        <f>'Livestock prod. AMORTIZED'!ER72</f>
        <v>94.64991946493015</v>
      </c>
      <c r="AT110" s="323">
        <f t="shared" si="488"/>
        <v>26.970521043206571</v>
      </c>
      <c r="AU110" s="323"/>
      <c r="AV110" s="325">
        <f t="shared" si="489"/>
        <v>4278.9771764944826</v>
      </c>
      <c r="AW110" s="325">
        <f t="shared" si="490"/>
        <v>539.41042086413142</v>
      </c>
      <c r="AX110" s="323">
        <f t="shared" si="491"/>
        <v>27.73290566596916</v>
      </c>
      <c r="AY110" s="323"/>
      <c r="AZ110" s="325">
        <f t="shared" si="492"/>
        <v>6933.2264164922899</v>
      </c>
      <c r="BA110" s="325">
        <f t="shared" si="493"/>
        <v>554.65811331938312</v>
      </c>
      <c r="BB110" s="250"/>
      <c r="BC110" s="250"/>
      <c r="BD110" s="250"/>
      <c r="BE110" s="250"/>
      <c r="BF110" s="250"/>
      <c r="BG110" s="250"/>
      <c r="BH110" s="250"/>
      <c r="BI110" s="250"/>
      <c r="BJ110" s="250"/>
      <c r="BK110" s="250"/>
      <c r="BL110" s="250"/>
      <c r="BM110" s="250"/>
      <c r="BN110" s="250"/>
      <c r="BO110" s="250"/>
      <c r="BP110" s="250"/>
      <c r="BQ110" s="250"/>
      <c r="BR110" s="250"/>
      <c r="BS110" s="250"/>
      <c r="BT110" s="250"/>
      <c r="BU110" s="250"/>
      <c r="BV110" s="250"/>
      <c r="BW110" s="250"/>
      <c r="BX110" s="250"/>
      <c r="BY110" s="250"/>
      <c r="BZ110" s="250"/>
    </row>
    <row r="111" spans="1:78" x14ac:dyDescent="0.25">
      <c r="A111" s="4" t="s">
        <v>803</v>
      </c>
      <c r="B111" s="220">
        <f t="shared" ref="B111:B112" si="497">(F111+J111)/2</f>
        <v>7.7128363164423952</v>
      </c>
      <c r="C111" s="220"/>
      <c r="D111" s="296">
        <f t="shared" ref="D111:D112" si="498">(H111+L111)/2</f>
        <v>1460.2374344274419</v>
      </c>
      <c r="E111" s="298">
        <f t="shared" ref="E111:E112" si="499">(I111+M111)/2</f>
        <v>229.91476767253323</v>
      </c>
      <c r="F111" s="188">
        <f>44/12*'Livestock prod. AMORTIZED'!DR79</f>
        <v>7.9117394964806822</v>
      </c>
      <c r="G111" s="189"/>
      <c r="H111" s="188">
        <f>44/12*'Livestock prod. AMORTIZED'!DT79</f>
        <v>2860.8404788834227</v>
      </c>
      <c r="I111" s="193">
        <f>44/12*'Livestock prod. AMORTIZED'!DU79</f>
        <v>235.8439455458327</v>
      </c>
      <c r="J111" s="193">
        <f>44/12*'Livestock prod. AMORTIZED'!DV79</f>
        <v>7.5139331364041073</v>
      </c>
      <c r="K111" s="192"/>
      <c r="L111" s="193">
        <f>44/12*'Livestock prod. AMORTIZED'!DW79</f>
        <v>59.634389971461175</v>
      </c>
      <c r="M111" s="193">
        <f>44/12*'Livestock prod. AMORTIZED'!DY79</f>
        <v>223.98558979923374</v>
      </c>
      <c r="Z111" s="193"/>
      <c r="AA111" s="193"/>
      <c r="AB111" s="193"/>
      <c r="AC111" s="193"/>
      <c r="AD111" s="193"/>
      <c r="AE111" s="193"/>
      <c r="AF111" s="193"/>
      <c r="AG111" s="193"/>
      <c r="AH111" s="193"/>
      <c r="AI111" s="193"/>
      <c r="AJ111" s="193"/>
      <c r="AK111" s="193"/>
      <c r="AL111" s="194">
        <f>'Livestock prod. AMORTIZED'!EF79</f>
        <v>0.45782198917681249</v>
      </c>
      <c r="AM111" s="193"/>
      <c r="AN111" s="188">
        <f>'Livestock prod. AMORTIZED'!EH79</f>
        <v>165.54585490871662</v>
      </c>
      <c r="AO111" s="416">
        <f>'Livestock prod. AMORTIZED'!EI79</f>
        <v>13.64738365477408</v>
      </c>
      <c r="AP111" s="189">
        <f>'Livestock prod. AMORTIZED'!EO79</f>
        <v>2.6381878838096329</v>
      </c>
      <c r="AR111" s="188">
        <f>'Livestock prod. AMORTIZED'!EQ79</f>
        <v>953.95389247328751</v>
      </c>
      <c r="AS111" s="205">
        <f>'Livestock prod. AMORTIZED'!ER79</f>
        <v>78.64271060563145</v>
      </c>
      <c r="AT111" s="189">
        <f t="shared" si="488"/>
        <v>10.808846189428841</v>
      </c>
      <c r="AU111" s="189"/>
      <c r="AV111" s="188">
        <f t="shared" si="489"/>
        <v>2579.7371818094462</v>
      </c>
      <c r="AW111" s="188">
        <f t="shared" si="490"/>
        <v>322.20486193293874</v>
      </c>
      <c r="AX111" s="189">
        <f t="shared" si="491"/>
        <v>11.007749369467128</v>
      </c>
      <c r="AY111" s="189"/>
      <c r="AZ111" s="188">
        <f t="shared" si="492"/>
        <v>3980.3402262654267</v>
      </c>
      <c r="BA111" s="188">
        <f t="shared" si="493"/>
        <v>328.13403980623821</v>
      </c>
      <c r="BB111" s="250"/>
      <c r="BC111" s="250"/>
      <c r="BD111" s="250"/>
      <c r="BE111" s="250"/>
      <c r="BF111" s="250"/>
      <c r="BG111" s="250"/>
      <c r="BH111" s="250"/>
      <c r="BI111" s="250"/>
      <c r="BJ111" s="250"/>
      <c r="BK111" s="250"/>
      <c r="BL111" s="250"/>
      <c r="BM111" s="250"/>
      <c r="BN111" s="250"/>
      <c r="BO111" s="250"/>
      <c r="BP111" s="250"/>
      <c r="BQ111" s="250"/>
      <c r="BR111" s="250"/>
      <c r="BS111" s="250"/>
      <c r="BT111" s="250"/>
      <c r="BU111" s="250"/>
      <c r="BV111" s="250"/>
      <c r="BW111" s="250"/>
      <c r="BX111" s="250"/>
      <c r="BY111" s="250"/>
      <c r="BZ111" s="250"/>
    </row>
    <row r="112" spans="1:78" x14ac:dyDescent="0.25">
      <c r="A112" s="4" t="s">
        <v>804</v>
      </c>
      <c r="B112" s="220">
        <f t="shared" si="497"/>
        <v>37.372296507569068</v>
      </c>
      <c r="C112" s="220"/>
      <c r="D112" s="296">
        <f t="shared" si="498"/>
        <v>4466.611485410237</v>
      </c>
      <c r="E112" s="298">
        <f t="shared" si="499"/>
        <v>626.98103471699278</v>
      </c>
      <c r="F112" s="188">
        <f>44/12*'Livestock prod. AMORTIZED'!DR81</f>
        <v>38.728313201763655</v>
      </c>
      <c r="G112" s="189"/>
      <c r="H112" s="188">
        <f>44/12*'Livestock prod. AMORTIZED'!DT81</f>
        <v>8693.1144387313107</v>
      </c>
      <c r="I112" s="193">
        <f>44/12*'Livestock prod. AMORTIZED'!DU81</f>
        <v>649.73041940753342</v>
      </c>
      <c r="J112" s="193">
        <f>44/12*'Livestock prod. AMORTIZED'!DV81</f>
        <v>36.016279813374481</v>
      </c>
      <c r="K112" s="192"/>
      <c r="L112" s="193">
        <f>44/12*'Livestock prod. AMORTIZED'!DW81</f>
        <v>240.10853208916325</v>
      </c>
      <c r="M112" s="193">
        <f>44/12*'Livestock prod. AMORTIZED'!DY81</f>
        <v>604.23165002645214</v>
      </c>
      <c r="Z112" s="193"/>
      <c r="AA112" s="193"/>
      <c r="AB112" s="193"/>
      <c r="AC112" s="193"/>
      <c r="AD112" s="193"/>
      <c r="AE112" s="193"/>
      <c r="AF112" s="193"/>
      <c r="AG112" s="193"/>
      <c r="AH112" s="193"/>
      <c r="AI112" s="193"/>
      <c r="AJ112" s="193"/>
      <c r="AK112" s="193"/>
      <c r="AL112" s="194">
        <f>'Livestock prod. AMORTIZED'!EF81</f>
        <v>2.1814042629329315</v>
      </c>
      <c r="AM112" s="193"/>
      <c r="AN112" s="188">
        <f>'Livestock prod. AMORTIZED'!EH81</f>
        <v>489.64685851457989</v>
      </c>
      <c r="AO112" s="416">
        <f>'Livestock prod. AMORTIZED'!EI81</f>
        <v>36.59660309161751</v>
      </c>
      <c r="AP112" s="189">
        <f>'Livestock prod. AMORTIZED'!EO81</f>
        <v>8.4174619389317105</v>
      </c>
      <c r="AR112" s="188">
        <f>'Livestock prod. AMORTIZED'!EQ81</f>
        <v>1889.4176861662602</v>
      </c>
      <c r="AS112" s="205">
        <f>'Livestock prod. AMORTIZED'!ER81</f>
        <v>141.21660934305788</v>
      </c>
      <c r="AT112" s="189">
        <f t="shared" si="488"/>
        <v>47.971162709433706</v>
      </c>
      <c r="AU112" s="189"/>
      <c r="AV112" s="188">
        <f t="shared" si="489"/>
        <v>6845.6760300910773</v>
      </c>
      <c r="AW112" s="188">
        <f t="shared" si="490"/>
        <v>804.79424715166806</v>
      </c>
      <c r="AX112" s="189">
        <f t="shared" si="491"/>
        <v>49.327179403628293</v>
      </c>
      <c r="AY112" s="189"/>
      <c r="AZ112" s="188">
        <f t="shared" si="492"/>
        <v>11072.17898341215</v>
      </c>
      <c r="BA112" s="188">
        <f t="shared" si="493"/>
        <v>827.5436318422087</v>
      </c>
      <c r="BB112" s="250"/>
      <c r="BC112" s="250"/>
      <c r="BD112" s="250"/>
      <c r="BE112" s="250"/>
      <c r="BF112" s="250"/>
      <c r="BG112" s="250"/>
      <c r="BH112" s="250"/>
      <c r="BI112" s="250"/>
      <c r="BJ112" s="250"/>
      <c r="BK112" s="250"/>
      <c r="BL112" s="250"/>
      <c r="BM112" s="250"/>
      <c r="BN112" s="250"/>
      <c r="BO112" s="250"/>
      <c r="BP112" s="250"/>
      <c r="BQ112" s="250"/>
      <c r="BR112" s="250"/>
      <c r="BS112" s="250"/>
      <c r="BT112" s="250"/>
      <c r="BU112" s="250"/>
      <c r="BV112" s="250"/>
      <c r="BW112" s="250"/>
      <c r="BX112" s="250"/>
      <c r="BY112" s="250"/>
      <c r="BZ112" s="250"/>
    </row>
    <row r="113" spans="1:78" x14ac:dyDescent="0.25">
      <c r="A113" s="202"/>
      <c r="F113" s="189"/>
      <c r="G113" s="189"/>
      <c r="I113" s="250"/>
      <c r="J113" s="192"/>
      <c r="K113" s="192"/>
      <c r="L113" s="193"/>
      <c r="M113" s="250"/>
      <c r="Z113" s="250"/>
      <c r="AA113" s="250"/>
      <c r="AB113" s="250"/>
      <c r="AC113" s="250"/>
      <c r="AD113" s="250"/>
      <c r="AE113" s="250"/>
      <c r="AF113" s="250"/>
      <c r="AG113" s="250"/>
      <c r="AH113" s="250"/>
      <c r="AI113" s="250"/>
      <c r="AJ113" s="250"/>
      <c r="AK113" s="250"/>
      <c r="AL113" s="189"/>
      <c r="AM113" s="250"/>
      <c r="AN113" s="187"/>
      <c r="AO113" s="189"/>
      <c r="AV113" s="188"/>
      <c r="AW113" s="188"/>
      <c r="AZ113" s="188"/>
      <c r="BA113" s="188"/>
      <c r="BB113" s="250"/>
      <c r="BC113" s="250"/>
      <c r="BD113" s="250"/>
      <c r="BE113" s="250"/>
      <c r="BF113" s="250"/>
      <c r="BG113" s="250"/>
      <c r="BH113" s="250"/>
      <c r="BI113" s="250"/>
      <c r="BJ113" s="250"/>
      <c r="BK113" s="250"/>
      <c r="BL113" s="250"/>
      <c r="BM113" s="250"/>
      <c r="BN113" s="250"/>
      <c r="BO113" s="250"/>
      <c r="BP113" s="250"/>
      <c r="BQ113" s="250"/>
      <c r="BR113" s="250"/>
      <c r="BS113" s="250"/>
      <c r="BT113" s="250"/>
      <c r="BU113" s="250"/>
      <c r="BV113" s="250"/>
      <c r="BW113" s="250"/>
      <c r="BX113" s="250"/>
      <c r="BY113" s="250"/>
      <c r="BZ113" s="250"/>
    </row>
    <row r="114" spans="1:78" ht="13.8" x14ac:dyDescent="0.3">
      <c r="A114" s="206" t="s">
        <v>449</v>
      </c>
      <c r="F114" s="189"/>
      <c r="G114" s="189"/>
      <c r="I114" s="250"/>
      <c r="J114" s="192"/>
      <c r="K114" s="192"/>
      <c r="L114" s="193"/>
      <c r="M114" s="250"/>
      <c r="Z114" s="250"/>
      <c r="AA114" s="250"/>
      <c r="AB114" s="250"/>
      <c r="AC114" s="250"/>
      <c r="AD114" s="250"/>
      <c r="AE114" s="250"/>
      <c r="AF114" s="250"/>
      <c r="AG114" s="250"/>
      <c r="AH114" s="250"/>
      <c r="AI114" s="250"/>
      <c r="AJ114" s="250"/>
      <c r="AK114" s="250"/>
      <c r="AL114" s="189"/>
      <c r="AM114" s="250"/>
      <c r="AN114" s="187"/>
      <c r="AO114" s="189"/>
      <c r="AV114" s="188"/>
      <c r="AW114" s="188"/>
      <c r="AZ114" s="188"/>
      <c r="BA114" s="188"/>
      <c r="BB114" s="250"/>
      <c r="BC114" s="250"/>
      <c r="BD114" s="250"/>
      <c r="BE114" s="250"/>
      <c r="BF114" s="250"/>
      <c r="BG114" s="250"/>
      <c r="BH114" s="250"/>
      <c r="BI114" s="250"/>
      <c r="BJ114" s="250"/>
      <c r="BK114" s="250"/>
      <c r="BL114" s="250"/>
      <c r="BM114" s="250"/>
      <c r="BN114" s="250"/>
      <c r="BO114" s="250"/>
      <c r="BP114" s="250"/>
      <c r="BQ114" s="250"/>
      <c r="BR114" s="250"/>
      <c r="BS114" s="250"/>
      <c r="BT114" s="250"/>
      <c r="BU114" s="250"/>
      <c r="BV114" s="250"/>
      <c r="BW114" s="250"/>
      <c r="BX114" s="250"/>
      <c r="BY114" s="250"/>
      <c r="BZ114" s="250"/>
    </row>
    <row r="115" spans="1:78" x14ac:dyDescent="0.25">
      <c r="A115" s="204" t="s">
        <v>114</v>
      </c>
      <c r="B115" s="220">
        <f t="shared" ref="B115:B117" si="500">(F115+J115)/2</f>
        <v>15.372243414285261</v>
      </c>
      <c r="C115" s="220"/>
      <c r="D115" s="296">
        <f t="shared" ref="D115:D117" si="501">(H115+L115)/2</f>
        <v>902.54715777770355</v>
      </c>
      <c r="E115" s="298">
        <f t="shared" ref="E115:E117" si="502">(I115+M115)/2</f>
        <v>113.8684697354464</v>
      </c>
      <c r="F115" s="188">
        <f>44/12*'Livestock prod. AMORTIZED'!DR87</f>
        <v>15.558895330090946</v>
      </c>
      <c r="G115" s="189"/>
      <c r="H115" s="188">
        <f>44/12*'Livestock prod. AMORTIZED'!DT87</f>
        <v>1768.0562875103349</v>
      </c>
      <c r="I115" s="193">
        <f>44/12*'Livestock prod. AMORTIZED'!DU87</f>
        <v>115.2510765191922</v>
      </c>
      <c r="J115" s="193">
        <f>44/12*'Livestock prod. AMORTIZED'!DV87</f>
        <v>15.185591498479578</v>
      </c>
      <c r="K115" s="192"/>
      <c r="L115" s="193">
        <f>44/12*'Livestock prod. AMORTIZED'!DW87</f>
        <v>37.038028045072146</v>
      </c>
      <c r="M115" s="193">
        <f>44/12*'Livestock prod. AMORTIZED'!DY87</f>
        <v>112.4858629517006</v>
      </c>
      <c r="Z115" s="193"/>
      <c r="AA115" s="193"/>
      <c r="AB115" s="193"/>
      <c r="AC115" s="193"/>
      <c r="AD115" s="193"/>
      <c r="AE115" s="193"/>
      <c r="AF115" s="193"/>
      <c r="AG115" s="193"/>
      <c r="AH115" s="193"/>
      <c r="AI115" s="193"/>
      <c r="AJ115" s="193"/>
      <c r="AK115" s="193"/>
      <c r="AL115" s="189">
        <f>'Livestock prod. AMORTIZED'!EF87</f>
        <v>0.79776678533190482</v>
      </c>
      <c r="AM115" s="193"/>
      <c r="AN115" s="188">
        <f>'Livestock prod. AMORTIZED'!EH87</f>
        <v>90.655316514989181</v>
      </c>
      <c r="AO115" s="416">
        <f>'Livestock prod. AMORTIZED'!EI87</f>
        <v>5.9093835950511462</v>
      </c>
      <c r="AP115" s="189">
        <f>'Livestock prod. AMORTIZED'!EO87</f>
        <v>5.4581324033851963</v>
      </c>
      <c r="AR115" s="188">
        <f>'Livestock prod. AMORTIZED'!EQ87</f>
        <v>620.24231856649953</v>
      </c>
      <c r="AS115" s="205">
        <f>'Livestock prod. AMORTIZED'!ER87</f>
        <v>40.430610395445896</v>
      </c>
      <c r="AT115" s="189">
        <f t="shared" ref="AT115:AT117" si="503">B115+AL115+AP115</f>
        <v>21.628142603002363</v>
      </c>
      <c r="AU115" s="189"/>
      <c r="AV115" s="188">
        <f t="shared" ref="AV115:AV117" si="504">D115+AN115+AR115</f>
        <v>1613.4447928591921</v>
      </c>
      <c r="AW115" s="188">
        <f t="shared" ref="AW115:AW117" si="505">E115+AO115+AS115</f>
        <v>160.20846372594343</v>
      </c>
      <c r="AX115" s="189">
        <f t="shared" ref="AX115:AX117" si="506">F115+AL115+AP115</f>
        <v>21.814794518808046</v>
      </c>
      <c r="AY115" s="189"/>
      <c r="AZ115" s="188">
        <f t="shared" ref="AZ115:AZ117" si="507">H115+AN115+AR115</f>
        <v>2478.9539225918234</v>
      </c>
      <c r="BA115" s="188">
        <f t="shared" ref="BA115:BA117" si="508">I115+AO115+AS115</f>
        <v>161.59107050968925</v>
      </c>
      <c r="BB115" s="250"/>
      <c r="BC115" s="250"/>
      <c r="BD115" s="250"/>
      <c r="BE115" s="250"/>
      <c r="BF115" s="250"/>
      <c r="BG115" s="250"/>
      <c r="BH115" s="250"/>
      <c r="BI115" s="250"/>
      <c r="BJ115" s="250"/>
      <c r="BK115" s="250"/>
      <c r="BL115" s="250"/>
      <c r="BM115" s="250"/>
      <c r="BN115" s="250"/>
      <c r="BO115" s="250"/>
      <c r="BP115" s="250"/>
      <c r="BQ115" s="250"/>
      <c r="BR115" s="250"/>
      <c r="BS115" s="250"/>
      <c r="BT115" s="250"/>
      <c r="BU115" s="250"/>
      <c r="BV115" s="250"/>
      <c r="BW115" s="250"/>
      <c r="BX115" s="250"/>
      <c r="BY115" s="250"/>
      <c r="BZ115" s="250"/>
    </row>
    <row r="116" spans="1:78" x14ac:dyDescent="0.25">
      <c r="A116" s="204" t="s">
        <v>113</v>
      </c>
      <c r="B116" s="220">
        <f t="shared" si="500"/>
        <v>11.651805359104117</v>
      </c>
      <c r="C116" s="220"/>
      <c r="D116" s="296">
        <f t="shared" si="501"/>
        <v>831.16640787899314</v>
      </c>
      <c r="E116" s="298">
        <f t="shared" si="502"/>
        <v>86.309669326697161</v>
      </c>
      <c r="F116" s="188">
        <f>44/12*'Livestock prod. AMORTIZED'!DR89</f>
        <v>11.761029817240074</v>
      </c>
      <c r="G116" s="189"/>
      <c r="H116" s="188">
        <f>44/12*'Livestock prod. AMORTIZED'!DT89</f>
        <v>1633.4763635055658</v>
      </c>
      <c r="I116" s="193">
        <f>44/12*'Livestock prod. AMORTIZED'!DU89</f>
        <v>87.118739386963512</v>
      </c>
      <c r="J116" s="193">
        <f>44/12*'Livestock prod. AMORTIZED'!DV89</f>
        <v>11.542580900968161</v>
      </c>
      <c r="K116" s="192"/>
      <c r="L116" s="193">
        <f>44/12*'Livestock prod. AMORTIZED'!DW89</f>
        <v>28.8564522524204</v>
      </c>
      <c r="M116" s="193">
        <f>44/12*'Livestock prod. AMORTIZED'!DY89</f>
        <v>85.500599266430825</v>
      </c>
      <c r="Z116" s="193"/>
      <c r="AA116" s="193"/>
      <c r="AB116" s="193"/>
      <c r="AC116" s="193"/>
      <c r="AD116" s="193"/>
      <c r="AE116" s="193"/>
      <c r="AF116" s="193"/>
      <c r="AG116" s="193"/>
      <c r="AH116" s="193"/>
      <c r="AI116" s="193"/>
      <c r="AJ116" s="193"/>
      <c r="AK116" s="193"/>
      <c r="AL116" s="194">
        <f>'Livestock prod. AMORTIZED'!EF89</f>
        <v>0.52855620722913899</v>
      </c>
      <c r="AM116" s="193"/>
      <c r="AN116" s="188">
        <f>'Livestock prod. AMORTIZED'!EH89</f>
        <v>73.410584337380413</v>
      </c>
      <c r="AO116" s="416">
        <f>'Livestock prod. AMORTIZED'!EI89</f>
        <v>3.9152311646602889</v>
      </c>
      <c r="AP116" s="189">
        <f>'Livestock prod. AMORTIZED'!EO89</f>
        <v>3.7227070205998003</v>
      </c>
      <c r="AR116" s="188">
        <f>'Livestock prod. AMORTIZED'!EQ89</f>
        <v>517.04264174997229</v>
      </c>
      <c r="AS116" s="205">
        <f>'Livestock prod. AMORTIZED'!ER89</f>
        <v>27.57560755999852</v>
      </c>
      <c r="AT116" s="189">
        <f t="shared" si="503"/>
        <v>15.903068586933056</v>
      </c>
      <c r="AU116" s="189"/>
      <c r="AV116" s="188">
        <f t="shared" si="504"/>
        <v>1421.6196339663459</v>
      </c>
      <c r="AW116" s="188">
        <f t="shared" si="505"/>
        <v>117.80050805135596</v>
      </c>
      <c r="AX116" s="189">
        <f t="shared" si="506"/>
        <v>16.012293045069011</v>
      </c>
      <c r="AY116" s="189"/>
      <c r="AZ116" s="188">
        <f t="shared" si="507"/>
        <v>2223.9295895929185</v>
      </c>
      <c r="BA116" s="188">
        <f t="shared" si="508"/>
        <v>118.60957811162231</v>
      </c>
      <c r="BB116" s="250"/>
      <c r="BC116" s="250"/>
      <c r="BD116" s="250"/>
      <c r="BE116" s="250"/>
      <c r="BF116" s="250"/>
      <c r="BG116" s="250"/>
      <c r="BH116" s="250"/>
      <c r="BI116" s="250"/>
      <c r="BJ116" s="250"/>
      <c r="BK116" s="250"/>
      <c r="BL116" s="250"/>
      <c r="BM116" s="250"/>
      <c r="BN116" s="250"/>
      <c r="BO116" s="250"/>
      <c r="BP116" s="250"/>
      <c r="BQ116" s="250"/>
      <c r="BR116" s="250"/>
      <c r="BS116" s="250"/>
      <c r="BT116" s="250"/>
      <c r="BU116" s="250"/>
      <c r="BV116" s="250"/>
      <c r="BW116" s="250"/>
      <c r="BX116" s="250"/>
      <c r="BY116" s="250"/>
      <c r="BZ116" s="250"/>
    </row>
    <row r="117" spans="1:78" x14ac:dyDescent="0.25">
      <c r="A117" s="204" t="s">
        <v>115</v>
      </c>
      <c r="B117" s="220">
        <f t="shared" si="500"/>
        <v>11.625384031759211</v>
      </c>
      <c r="C117" s="220"/>
      <c r="D117" s="296">
        <f t="shared" si="501"/>
        <v>1065.7051734133236</v>
      </c>
      <c r="E117" s="298">
        <f t="shared" si="502"/>
        <v>105.68530937962919</v>
      </c>
      <c r="F117" s="188">
        <f>44/12*'Livestock prod. AMORTIZED'!DR91</f>
        <v>11.734360815386923</v>
      </c>
      <c r="G117" s="189"/>
      <c r="H117" s="188">
        <f>44/12*'Livestock prod. AMORTIZED'!DT91</f>
        <v>2095.4215741762364</v>
      </c>
      <c r="I117" s="193">
        <f>44/12*'Livestock prod. AMORTIZED'!DU91</f>
        <v>106.6760074126084</v>
      </c>
      <c r="J117" s="193">
        <f>44/12*'Livestock prod. AMORTIZED'!DV91</f>
        <v>11.516407248131499</v>
      </c>
      <c r="K117" s="192"/>
      <c r="L117" s="193">
        <f>44/12*'Livestock prod. AMORTIZED'!DW91</f>
        <v>35.988772650410937</v>
      </c>
      <c r="M117" s="193">
        <f>44/12*'Livestock prod. AMORTIZED'!DY91</f>
        <v>104.69461134664999</v>
      </c>
      <c r="R117" s="187"/>
      <c r="S117" s="187"/>
      <c r="T117" s="187"/>
      <c r="U117" s="187"/>
      <c r="V117" s="187"/>
      <c r="W117" s="187"/>
      <c r="X117" s="187"/>
      <c r="Y117" s="187"/>
      <c r="Z117" s="193"/>
      <c r="AA117" s="193"/>
      <c r="AB117" s="193"/>
      <c r="AC117" s="193"/>
      <c r="AD117" s="193"/>
      <c r="AE117" s="193"/>
      <c r="AF117" s="193"/>
      <c r="AG117" s="193"/>
      <c r="AH117" s="193"/>
      <c r="AI117" s="193"/>
      <c r="AJ117" s="193"/>
      <c r="AK117" s="193"/>
      <c r="AL117" s="194">
        <f>'Livestock prod. AMORTIZED'!EF91</f>
        <v>0.52735766707669196</v>
      </c>
      <c r="AM117" s="193"/>
      <c r="AN117" s="188">
        <f>'Livestock prod. AMORTIZED'!EH91</f>
        <v>94.171011977980712</v>
      </c>
      <c r="AO117" s="416">
        <f>'Livestock prod. AMORTIZED'!EI91</f>
        <v>4.7941606097881087</v>
      </c>
      <c r="AP117" s="189">
        <f>'Livestock prod. AMORTIZED'!EO91</f>
        <v>3.6213217439090992</v>
      </c>
      <c r="AR117" s="188">
        <f>'Livestock prod. AMORTIZED'!EQ91</f>
        <v>646.66459712662493</v>
      </c>
      <c r="AS117" s="205">
        <f>'Livestock prod. AMORTIZED'!ER91</f>
        <v>32.921106762809991</v>
      </c>
      <c r="AT117" s="189">
        <f t="shared" si="503"/>
        <v>15.774063442745003</v>
      </c>
      <c r="AU117" s="189"/>
      <c r="AV117" s="188">
        <f t="shared" si="504"/>
        <v>1806.5407825179291</v>
      </c>
      <c r="AW117" s="188">
        <f t="shared" si="505"/>
        <v>143.40057675222729</v>
      </c>
      <c r="AX117" s="189">
        <f t="shared" si="506"/>
        <v>15.883040226372714</v>
      </c>
      <c r="AY117" s="189"/>
      <c r="AZ117" s="188">
        <f t="shared" si="507"/>
        <v>2836.2571832808421</v>
      </c>
      <c r="BA117" s="188">
        <f t="shared" si="508"/>
        <v>144.39127478520649</v>
      </c>
      <c r="BB117" s="250"/>
      <c r="BC117" s="250"/>
      <c r="BD117" s="250"/>
      <c r="BE117" s="250"/>
      <c r="BF117" s="250"/>
      <c r="BG117" s="250"/>
      <c r="BH117" s="250"/>
      <c r="BI117" s="250"/>
      <c r="BJ117" s="250"/>
      <c r="BK117" s="250"/>
      <c r="BL117" s="250"/>
      <c r="BM117" s="250"/>
      <c r="BN117" s="250"/>
      <c r="BO117" s="250"/>
      <c r="BP117" s="250"/>
      <c r="BQ117" s="250"/>
      <c r="BR117" s="250"/>
      <c r="BS117" s="250"/>
      <c r="BT117" s="250"/>
      <c r="BU117" s="250"/>
      <c r="BV117" s="250"/>
      <c r="BW117" s="250"/>
      <c r="BX117" s="250"/>
      <c r="BY117" s="250"/>
      <c r="BZ117" s="250"/>
    </row>
    <row r="118" spans="1:78" x14ac:dyDescent="0.25">
      <c r="A118" s="214"/>
      <c r="BB118" s="250"/>
      <c r="BC118" s="250"/>
      <c r="BD118" s="250"/>
      <c r="BE118" s="250"/>
      <c r="BF118" s="250"/>
      <c r="BG118" s="250"/>
      <c r="BH118" s="250"/>
      <c r="BI118" s="250"/>
      <c r="BJ118" s="250"/>
      <c r="BK118" s="250"/>
      <c r="BL118" s="250"/>
      <c r="BM118" s="250"/>
      <c r="BN118" s="250"/>
      <c r="BO118" s="250"/>
      <c r="BP118" s="250"/>
      <c r="BQ118" s="250"/>
      <c r="BR118" s="250"/>
      <c r="BS118" s="250"/>
      <c r="BT118" s="250"/>
      <c r="BU118" s="250"/>
      <c r="BV118" s="250"/>
      <c r="BW118" s="250"/>
      <c r="BX118" s="250"/>
      <c r="BY118" s="250"/>
      <c r="BZ118" s="250"/>
    </row>
    <row r="119" spans="1:78" x14ac:dyDescent="0.25">
      <c r="A119" s="214"/>
    </row>
    <row r="120" spans="1:78" ht="14.4" x14ac:dyDescent="0.3">
      <c r="A120" s="182" t="s">
        <v>517</v>
      </c>
      <c r="B120" s="184"/>
      <c r="C120" s="184"/>
      <c r="D120" s="184"/>
      <c r="E120" s="184"/>
      <c r="F120" s="184"/>
      <c r="G120" s="184"/>
      <c r="H120" s="184"/>
      <c r="I120" s="184"/>
      <c r="J120" s="184"/>
      <c r="K120" s="184"/>
      <c r="L120" s="184"/>
      <c r="M120" s="184"/>
      <c r="N120" s="184"/>
      <c r="O120" s="184"/>
      <c r="P120" s="184"/>
      <c r="Q120" s="184"/>
      <c r="R120" s="185"/>
      <c r="S120" s="185"/>
      <c r="T120" s="184"/>
      <c r="U120" s="184"/>
      <c r="V120" s="185"/>
      <c r="W120" s="185"/>
      <c r="X120" s="184"/>
      <c r="Y120" s="184"/>
      <c r="Z120" s="184"/>
      <c r="AA120" s="184"/>
      <c r="AB120" s="184"/>
      <c r="AC120" s="184"/>
      <c r="AD120" s="184"/>
      <c r="AE120" s="184"/>
      <c r="AF120" s="184"/>
      <c r="AG120" s="184"/>
      <c r="AH120" s="184"/>
      <c r="AI120" s="184"/>
      <c r="AJ120" s="184"/>
      <c r="AK120" s="184"/>
      <c r="AL120" s="184"/>
      <c r="AM120" s="184"/>
      <c r="AN120" s="184"/>
      <c r="AO120" s="184"/>
      <c r="AP120" s="185"/>
      <c r="AQ120" s="183"/>
      <c r="AR120" s="183"/>
      <c r="AS120" s="183"/>
      <c r="AT120" s="183"/>
      <c r="AU120" s="183"/>
      <c r="AV120" s="183"/>
      <c r="AW120" s="183"/>
      <c r="AX120" s="183"/>
      <c r="AY120" s="183"/>
      <c r="AZ120" s="183"/>
      <c r="BA120" s="183"/>
      <c r="BB120" s="184"/>
      <c r="BC120" s="184"/>
      <c r="BD120" s="184"/>
      <c r="BE120" s="184"/>
      <c r="BF120" s="184"/>
      <c r="BG120" s="184"/>
      <c r="BH120" s="184"/>
      <c r="BI120" s="184"/>
      <c r="BJ120" s="184"/>
      <c r="BK120" s="184"/>
      <c r="BL120" s="184"/>
      <c r="BM120" s="184"/>
      <c r="BN120" s="184"/>
      <c r="BO120" s="184"/>
      <c r="BP120" s="184"/>
      <c r="BQ120" s="184"/>
      <c r="BR120" s="184"/>
      <c r="BS120" s="184"/>
      <c r="BT120" s="184"/>
      <c r="BU120" s="184"/>
      <c r="BV120" s="184"/>
      <c r="BW120" s="184"/>
      <c r="BX120" s="184"/>
      <c r="BY120" s="184"/>
      <c r="BZ120" s="184"/>
    </row>
    <row r="122" spans="1:78" ht="13.8" x14ac:dyDescent="0.3">
      <c r="A122" s="283" t="s">
        <v>455</v>
      </c>
      <c r="BJ122" s="188"/>
      <c r="BK122" s="188"/>
      <c r="BL122" s="188"/>
      <c r="BM122" s="188"/>
      <c r="BV122" s="188"/>
    </row>
    <row r="123" spans="1:78" x14ac:dyDescent="0.25">
      <c r="A123" s="219" t="s">
        <v>452</v>
      </c>
      <c r="B123" s="313">
        <f t="shared" ref="B123" si="509">(F123+J123)/2</f>
        <v>6.2382709216319467</v>
      </c>
      <c r="C123" s="314">
        <f t="shared" ref="C123:D123" si="510">(G123+K123)/2</f>
        <v>6.498198876699945</v>
      </c>
      <c r="D123" s="296">
        <f t="shared" si="510"/>
        <v>442.05434535373774</v>
      </c>
      <c r="E123" s="221"/>
      <c r="F123" s="189">
        <f>44/12*'Crops proc. &amp; prod. AMORTIZED'!BV126</f>
        <v>5.5306614686278648</v>
      </c>
      <c r="G123" s="189">
        <f>44/12*'Crops proc. &amp; prod. AMORTIZED'!BW126</f>
        <v>5.761105696487359</v>
      </c>
      <c r="H123" s="188">
        <f>44/12*'Crops proc. &amp; prod. AMORTIZED'!BX126</f>
        <v>391.91195214199723</v>
      </c>
      <c r="J123" s="192">
        <f>44/12*'Crops proc. &amp; prod. AMORTIZED'!DL126</f>
        <v>6.9458803746360287</v>
      </c>
      <c r="K123" s="192">
        <f>44/12*'Crops proc. &amp; prod. AMORTIZED'!DM126</f>
        <v>7.235292056912531</v>
      </c>
      <c r="L123" s="193">
        <f>44/12*'Crops proc. &amp; prod. AMORTIZED'!DN126</f>
        <v>492.19673856547826</v>
      </c>
      <c r="M123" s="193"/>
      <c r="N123" s="309">
        <f t="shared" ref="N123" si="511">(R123+V123)/2</f>
        <v>6.602256684840448</v>
      </c>
      <c r="O123" s="314">
        <f t="shared" ref="O123:P123" si="512">(S123+W123)/2</f>
        <v>6.877350713375467</v>
      </c>
      <c r="P123" s="296">
        <f t="shared" si="512"/>
        <v>467.84698730445353</v>
      </c>
      <c r="Q123" s="221"/>
      <c r="R123" s="189">
        <f>44/12*'Crops proc. &amp; prod. AMORTIZED'!CJ126</f>
        <v>5.8959451549638144</v>
      </c>
      <c r="S123" s="192">
        <f>44/12*'Crops proc. &amp; prod. AMORTIZED'!CK126</f>
        <v>6.1416095364206402</v>
      </c>
      <c r="T123" s="193">
        <f>44/12*'Crops proc. &amp; prod. AMORTIZED'!CL126</f>
        <v>417.79656710344489</v>
      </c>
      <c r="U123" s="193"/>
      <c r="V123" s="192">
        <f>44/12*'Crops proc. &amp; prod. AMORTIZED'!DZ126</f>
        <v>7.3085682147170807</v>
      </c>
      <c r="W123" s="192">
        <f>44/12*'Crops proc. &amp; prod. AMORTIZED'!EA126</f>
        <v>7.6130918903302929</v>
      </c>
      <c r="X123" s="193">
        <f>44/12*'Crops proc. &amp; prod. AMORTIZED'!EB126</f>
        <v>517.89740750546218</v>
      </c>
      <c r="Z123" s="309">
        <f t="shared" ref="Z123" si="513">(AD123+AH123)/2</f>
        <v>2.8955973986832237</v>
      </c>
      <c r="AA123" s="314">
        <f t="shared" ref="AA123" si="514">(AE123+AI123)/2</f>
        <v>3.0162472902950253</v>
      </c>
      <c r="AC123" s="220"/>
      <c r="AD123" s="189">
        <f>44/12*'Crops proc. &amp; prod. AMORTIZED'!CX126</f>
        <v>2.1696786608414653</v>
      </c>
      <c r="AE123" s="189">
        <f>44/12*'Crops proc. &amp; prod. AMORTIZED'!CY126</f>
        <v>2.2600819383765267</v>
      </c>
      <c r="AH123" s="189">
        <f>44/12*'Crops proc. &amp; prod. AMORTIZED'!EN126</f>
        <v>3.6215161365249826</v>
      </c>
      <c r="AI123" s="189">
        <f>44/12*'Crops proc. &amp; prod. AMORTIZED'!EO126</f>
        <v>3.7724126422135238</v>
      </c>
      <c r="AK123" s="188">
        <f>44/12*'Crops proc. &amp; prod. AMORTIZED'!EQ126</f>
        <v>0</v>
      </c>
      <c r="AL123" s="418">
        <f>'Crops proc. &amp; prod. AMORTIZED'!GY126</f>
        <v>0.44327005692724702</v>
      </c>
      <c r="AM123" s="417">
        <f>'Crops proc. &amp; prod. AMORTIZED'!GZ126</f>
        <v>0.46173964263254902</v>
      </c>
      <c r="AN123" s="192">
        <f>'Crops proc. &amp; prod. AMORTIZED'!HA126</f>
        <v>31.410860043030546</v>
      </c>
      <c r="AO123" s="417"/>
      <c r="AP123" s="310">
        <f>'Crops proc. &amp; prod. AMORTIZED'!IV126</f>
        <v>1.6596861899889288</v>
      </c>
      <c r="AQ123" s="192">
        <f>'Crops proc. &amp; prod. AMORTIZED'!IW126</f>
        <v>1.7288397812384675</v>
      </c>
      <c r="AR123" s="193">
        <f>'Crops proc. &amp; prod. AMORTIZED'!IX126</f>
        <v>117.60814838356923</v>
      </c>
      <c r="AS123" s="192"/>
      <c r="AT123" s="189">
        <f t="shared" ref="AT123:AT124" si="515">B123+AL123+AP123</f>
        <v>8.341227168548123</v>
      </c>
      <c r="AU123" s="189">
        <f t="shared" ref="AU123:AU124" si="516">C123+AM123+AQ123</f>
        <v>8.6887783005709611</v>
      </c>
      <c r="AV123" s="188">
        <f t="shared" ref="AV123" si="517">D123+AN123+AR123</f>
        <v>591.07335378033747</v>
      </c>
      <c r="AW123" s="189"/>
      <c r="AX123" s="189">
        <f t="shared" ref="AX123:AX124" si="518">F123+AL123+AP123</f>
        <v>7.633617715544041</v>
      </c>
      <c r="AY123" s="189">
        <f t="shared" ref="AY123:AY124" si="519">G123+AM123+AQ123</f>
        <v>7.9516851203583752</v>
      </c>
      <c r="AZ123" s="188">
        <f t="shared" ref="AZ123" si="520">H123+AN123+AR123</f>
        <v>540.93096056859702</v>
      </c>
      <c r="BA123" s="189"/>
      <c r="BJ123" s="188"/>
      <c r="BK123" s="188"/>
      <c r="BL123" s="188"/>
      <c r="BM123" s="188"/>
      <c r="BV123" s="196"/>
    </row>
    <row r="124" spans="1:78" x14ac:dyDescent="0.25">
      <c r="A124" s="219" t="s">
        <v>302</v>
      </c>
      <c r="B124" s="220">
        <f t="shared" ref="B124" si="521">(F124+J124)/2</f>
        <v>3.9042084497665321</v>
      </c>
      <c r="C124" s="220">
        <f t="shared" ref="C124" si="522">(G124+K124)/2</f>
        <v>4.3380093886294802</v>
      </c>
      <c r="E124" s="315">
        <f t="shared" ref="E124" si="523">(I124+M124)/2</f>
        <v>14.460031295431602</v>
      </c>
      <c r="F124" s="189">
        <f>44/12*'Crops proc. &amp; prod. AMORTIZED'!BV127</f>
        <v>3.4613525943125194</v>
      </c>
      <c r="G124" s="189">
        <f>44/12*'Crops proc. &amp; prod. AMORTIZED'!BW127</f>
        <v>3.84594732701391</v>
      </c>
      <c r="I124" s="188">
        <f>44/12*'Crops proc. &amp; prod. AMORTIZED'!BY127</f>
        <v>12.8198244233797</v>
      </c>
      <c r="J124" s="192">
        <f>44/12*'Crops proc. &amp; prod. AMORTIZED'!DL127</f>
        <v>4.3470643052205453</v>
      </c>
      <c r="K124" s="192">
        <f>44/12*'Crops proc. &amp; prod. AMORTIZED'!DM127</f>
        <v>4.8300714502450504</v>
      </c>
      <c r="L124" s="193"/>
      <c r="M124" s="193">
        <f>44/12*'Crops proc. &amp; prod. AMORTIZED'!DO127</f>
        <v>16.100238167483504</v>
      </c>
      <c r="N124" s="220">
        <f t="shared" ref="N124" si="524">(R124+V124)/2</f>
        <v>4.1320081574364247</v>
      </c>
      <c r="O124" s="220">
        <f t="shared" ref="O124" si="525">(S124+W124)/2</f>
        <v>4.5911201749293609</v>
      </c>
      <c r="Q124" s="312">
        <f t="shared" ref="Q124" si="526">(U124+Y124)/2</f>
        <v>15.303733916431202</v>
      </c>
      <c r="R124" s="189">
        <f>44/12*'Crops proc. &amp; prod. AMORTIZED'!CJ127</f>
        <v>3.6899646043823862</v>
      </c>
      <c r="S124" s="192">
        <f>44/12*'Crops proc. &amp; prod. AMORTIZED'!CK127</f>
        <v>4.0999606715359844</v>
      </c>
      <c r="T124" s="193"/>
      <c r="U124" s="193">
        <f>44/12*'Crops proc. &amp; prod. AMORTIZED'!CM127</f>
        <v>13.666535571786614</v>
      </c>
      <c r="V124" s="192">
        <f>44/12*'Crops proc. &amp; prod. AMORTIZED'!DZ127</f>
        <v>4.5740517104904637</v>
      </c>
      <c r="W124" s="192">
        <f>44/12*'Crops proc. &amp; prod. AMORTIZED'!EA127</f>
        <v>5.0822796783227373</v>
      </c>
      <c r="X124" s="193"/>
      <c r="Y124" s="188">
        <f>44/12*'Crops proc. &amp; prod. AMORTIZED'!EC127</f>
        <v>16.94093226107579</v>
      </c>
      <c r="Z124" s="220">
        <f t="shared" ref="Z124" si="527">(AD124+AH124)/2</f>
        <v>1.8122034090984318</v>
      </c>
      <c r="AA124" s="220">
        <f t="shared" ref="AA124" si="528">(AE124+AI124)/2</f>
        <v>2.0135593434427022</v>
      </c>
      <c r="AC124" s="309">
        <f t="shared" ref="AC124" si="529">(AG124+AK124)/2</f>
        <v>6.7118644781423402</v>
      </c>
      <c r="AD124" s="189">
        <f>44/12*'Crops proc. &amp; prod. AMORTIZED'!CX127</f>
        <v>1.3578887270768578</v>
      </c>
      <c r="AE124" s="189">
        <f>44/12*'Crops proc. &amp; prod. AMORTIZED'!CY127</f>
        <v>1.5087652523076196</v>
      </c>
      <c r="AG124" s="188">
        <f>44/12*'Crops proc. &amp; prod. AMORTIZED'!DA127</f>
        <v>5.0292175076920662</v>
      </c>
      <c r="AH124" s="189">
        <f>44/12*'Crops proc. &amp; prod. AMORTIZED'!EN127</f>
        <v>2.2665180911200058</v>
      </c>
      <c r="AI124" s="189">
        <f>44/12*'Crops proc. &amp; prod. AMORTIZED'!EO127</f>
        <v>2.5183534345777847</v>
      </c>
      <c r="AK124" s="188">
        <f>44/12*'Crops proc. &amp; prod. AMORTIZED'!EQ127</f>
        <v>8.3945114485926151</v>
      </c>
      <c r="AL124" s="417">
        <f>'Crops proc. &amp; prod. AMORTIZED'!GY127</f>
        <v>0.27741961250556191</v>
      </c>
      <c r="AM124" s="417">
        <f>'Crops proc. &amp; prod. AMORTIZED'!GZ127</f>
        <v>0.30824401389506878</v>
      </c>
      <c r="AN124" s="193"/>
      <c r="AO124" s="310">
        <f>'Crops proc. &amp; prod. AMORTIZED'!HB127</f>
        <v>1.027480046316896</v>
      </c>
      <c r="AP124" s="192">
        <f>'Crops proc. &amp; prod. AMORTIZED'!IV127</f>
        <v>1.0387110352078901</v>
      </c>
      <c r="AQ124" s="192">
        <f>'Crops proc. &amp; prod. AMORTIZED'!IW127</f>
        <v>1.1541233724532112</v>
      </c>
      <c r="AR124" s="193"/>
      <c r="AS124" s="310">
        <f>'Crops proc. &amp; prod. AMORTIZED'!IY127</f>
        <v>3.8470779081773707</v>
      </c>
      <c r="AT124" s="189">
        <f t="shared" si="515"/>
        <v>5.2203390974799841</v>
      </c>
      <c r="AU124" s="189">
        <f t="shared" si="516"/>
        <v>5.8003767749777602</v>
      </c>
      <c r="AV124" s="188"/>
      <c r="AW124" s="189">
        <f t="shared" ref="AW124" si="530">E124+AO124+AS124</f>
        <v>19.33458924992587</v>
      </c>
      <c r="AX124" s="189">
        <f t="shared" si="518"/>
        <v>4.777483242025971</v>
      </c>
      <c r="AY124" s="189">
        <f t="shared" si="519"/>
        <v>5.30831471336219</v>
      </c>
      <c r="AZ124" s="188"/>
      <c r="BA124" s="189">
        <f t="shared" ref="BA124" si="531">I124+AO124+AS124</f>
        <v>17.694382377873968</v>
      </c>
      <c r="BJ124" s="188"/>
      <c r="BK124" s="188"/>
      <c r="BL124" s="188"/>
      <c r="BM124" s="188"/>
      <c r="BV124" s="196"/>
    </row>
    <row r="125" spans="1:78" x14ac:dyDescent="0.25">
      <c r="A125" s="219"/>
      <c r="S125" s="192"/>
      <c r="T125" s="193"/>
      <c r="U125" s="193"/>
      <c r="V125" s="192"/>
      <c r="BV125" s="188"/>
    </row>
    <row r="126" spans="1:78" x14ac:dyDescent="0.25">
      <c r="A126" s="302" t="s">
        <v>218</v>
      </c>
    </row>
    <row r="127" spans="1:78" x14ac:dyDescent="0.25">
      <c r="A127" s="303" t="s">
        <v>348</v>
      </c>
      <c r="B127" s="220">
        <f t="shared" ref="B127" si="532">(F127+J127)/2</f>
        <v>3.5756419920848952</v>
      </c>
      <c r="C127" s="313">
        <f t="shared" ref="C127" si="533">(G127+K127)/2</f>
        <v>3.9729355467609944</v>
      </c>
      <c r="D127" s="296"/>
      <c r="E127" s="220"/>
      <c r="F127" s="189">
        <f>44/12*'Crops proc. &amp; prod. AMORTIZED'!BV153</f>
        <v>3.0340365056629111</v>
      </c>
      <c r="G127" s="189">
        <f>44/12*'Crops proc. &amp; prod. AMORTIZED'!BW153</f>
        <v>3.3711516729587898</v>
      </c>
      <c r="J127" s="192">
        <f>44/12*'Crops proc. &amp; prod. AMORTIZED'!DL153</f>
        <v>4.1172474785068793</v>
      </c>
      <c r="K127" s="192">
        <f>44/12*'Crops proc. &amp; prod. AMORTIZED'!DM153</f>
        <v>4.5747194205631985</v>
      </c>
      <c r="L127" s="193"/>
      <c r="M127" s="193"/>
      <c r="N127" s="220">
        <f t="shared" ref="N127" si="534">(R127+V127)/2</f>
        <v>6.8354387938499279</v>
      </c>
      <c r="O127" s="309">
        <f t="shared" ref="O127" si="535">(S127+W127)/2</f>
        <v>7.5949319931665862</v>
      </c>
      <c r="P127" s="296"/>
      <c r="Q127" s="220"/>
      <c r="R127" s="189">
        <f>44/12*'Crops proc. &amp; prod. AMORTIZED'!CJ153</f>
        <v>5.7353972903587138</v>
      </c>
      <c r="S127" s="189">
        <f>44/12*'Crops proc. &amp; prod. AMORTIZED'!CK153</f>
        <v>6.3726636559541259</v>
      </c>
      <c r="T127" s="193"/>
      <c r="U127" s="193"/>
      <c r="V127" s="192">
        <f>44/12*'Crops proc. &amp; prod. AMORTIZED'!DZ153</f>
        <v>7.9354802973411429</v>
      </c>
      <c r="W127" s="192">
        <f>44/12*'Crops proc. &amp; prod. AMORTIZED'!EA153</f>
        <v>8.8172003303790465</v>
      </c>
      <c r="X127" s="193"/>
      <c r="Z127" s="220">
        <f t="shared" ref="Z127" si="536">(AD127+AH127)/2</f>
        <v>1.6657245248243924</v>
      </c>
      <c r="AA127" s="309">
        <f t="shared" ref="AA127" si="537">(AE127+AI127)/2</f>
        <v>1.8508050275826582</v>
      </c>
      <c r="AB127" s="296"/>
      <c r="AC127" s="220"/>
      <c r="AD127" s="189">
        <f>44/12*'Crops proc. &amp; prod. AMORTIZED'!CX153</f>
        <v>1.4508448194490764</v>
      </c>
      <c r="AE127" s="189">
        <f>44/12*'Crops proc. &amp; prod. AMORTIZED'!CY153</f>
        <v>1.6120497993878626</v>
      </c>
      <c r="AH127" s="189">
        <f>44/12*'Crops proc. &amp; prod. AMORTIZED'!EN153</f>
        <v>1.8806042301997086</v>
      </c>
      <c r="AI127" s="189">
        <f>44/12*'Crops proc. &amp; prod. AMORTIZED'!EO153</f>
        <v>2.0895602557774535</v>
      </c>
      <c r="AL127" s="417">
        <f>'Crops proc. &amp; prod. AMORTIZED'!GY153</f>
        <v>8.7693404841323E-2</v>
      </c>
      <c r="AM127" s="418">
        <f>'Crops proc. &amp; prod. AMORTIZED'!GZ153</f>
        <v>9.7437116490358883E-2</v>
      </c>
      <c r="AN127" s="193"/>
      <c r="AO127" s="192"/>
      <c r="AP127" s="192">
        <f>'Crops proc. &amp; prod. AMORTIZED'!IV153</f>
        <v>1.1683537581694665</v>
      </c>
      <c r="AQ127" s="310">
        <f>'Crops proc. &amp; prod. AMORTIZED'!IW153</f>
        <v>1.2981708424105183</v>
      </c>
      <c r="AR127" s="193"/>
      <c r="AS127" s="192"/>
      <c r="AT127" s="189">
        <f t="shared" ref="AT127:AT129" si="538">B127+AL127+AP127</f>
        <v>4.8316891550956846</v>
      </c>
      <c r="AU127" s="189">
        <f t="shared" ref="AU127:AU129" si="539">C127+AM127+AQ127</f>
        <v>5.3685435056618713</v>
      </c>
      <c r="AV127" s="188"/>
      <c r="AW127" s="189"/>
      <c r="AX127" s="189">
        <f t="shared" ref="AX127:AX129" si="540">F127+AL127+AP127</f>
        <v>4.2900836686737005</v>
      </c>
      <c r="AY127" s="189">
        <f t="shared" ref="AY127:AY129" si="541">G127+AM127+AQ127</f>
        <v>4.7667596318596672</v>
      </c>
      <c r="AZ127" s="188"/>
      <c r="BA127" s="189"/>
      <c r="BJ127" s="188"/>
      <c r="BK127" s="188"/>
      <c r="BL127" s="188"/>
      <c r="BM127" s="188"/>
      <c r="BV127" s="195"/>
    </row>
    <row r="128" spans="1:78" x14ac:dyDescent="0.25">
      <c r="A128" s="303" t="s">
        <v>349</v>
      </c>
      <c r="B128" s="220">
        <f t="shared" ref="B128:B129" si="542">(F128+J128)/2</f>
        <v>8.922078113583261</v>
      </c>
      <c r="C128" s="220">
        <f t="shared" ref="C128:C129" si="543">(G128+K128)/2</f>
        <v>8.922078113583261</v>
      </c>
      <c r="D128" s="315">
        <f t="shared" ref="D128" si="544">(H128+L128)/2</f>
        <v>241.13724631306104</v>
      </c>
      <c r="E128" s="220"/>
      <c r="F128" s="189">
        <f>44/12*'Crops proc. &amp; prod. AMORTIZED'!BV154</f>
        <v>7.5706434712731667</v>
      </c>
      <c r="G128" s="189">
        <f>44/12*'Crops proc. &amp; prod. AMORTIZED'!BW154</f>
        <v>7.5706434712731667</v>
      </c>
      <c r="H128" s="188">
        <f>44/12*'Crops proc. &amp; prod. AMORTIZED'!BX154</f>
        <v>204.61198571008558</v>
      </c>
      <c r="J128" s="192">
        <f>44/12*'Crops proc. &amp; prod. AMORTIZED'!DL154</f>
        <v>10.273512755893353</v>
      </c>
      <c r="K128" s="192">
        <f>44/12*'Crops proc. &amp; prod. AMORTIZED'!DM154</f>
        <v>10.273512755893353</v>
      </c>
      <c r="L128" s="193">
        <f>44/12*'Crops proc. &amp; prod. AMORTIZED'!DN154</f>
        <v>277.66250691603653</v>
      </c>
      <c r="M128" s="193"/>
      <c r="N128" s="220">
        <f t="shared" ref="N128:N129" si="545">(R128+V128)/2</f>
        <v>17.056047276082676</v>
      </c>
      <c r="O128" s="220">
        <f t="shared" ref="O128:O129" si="546">(S128+W128)/2</f>
        <v>17.056047276082676</v>
      </c>
      <c r="P128" s="312">
        <f t="shared" ref="P128" si="547">(T128+X128)/2</f>
        <v>460.97425070493716</v>
      </c>
      <c r="Q128" s="220"/>
      <c r="R128" s="189">
        <f>44/12*'Crops proc. &amp; prod. AMORTIZED'!CJ154</f>
        <v>14.311181810228407</v>
      </c>
      <c r="S128" s="189">
        <f>44/12*'Crops proc. &amp; prod. AMORTIZED'!CK154</f>
        <v>14.311181810228407</v>
      </c>
      <c r="T128" s="193">
        <f>44/12*'Crops proc. &amp; prod. AMORTIZED'!CL154</f>
        <v>386.78869757374071</v>
      </c>
      <c r="U128" s="193"/>
      <c r="V128" s="192">
        <f>44/12*'Crops proc. &amp; prod. AMORTIZED'!DZ154</f>
        <v>19.800912741936944</v>
      </c>
      <c r="W128" s="192">
        <f>44/12*'Crops proc. &amp; prod. AMORTIZED'!EA154</f>
        <v>19.800912741936944</v>
      </c>
      <c r="X128" s="193">
        <f>44/12*'Crops proc. &amp; prod. AMORTIZED'!EB154</f>
        <v>535.15980383613362</v>
      </c>
      <c r="Z128" s="220">
        <f t="shared" ref="Z128:Z129" si="548">(AD128+AH128)/2</f>
        <v>4.156379290514197</v>
      </c>
      <c r="AA128" s="220">
        <f t="shared" ref="AA128:AA129" si="549">(AE128+AI128)/2</f>
        <v>4.156379290514197</v>
      </c>
      <c r="AB128" s="312">
        <f t="shared" ref="AB128" si="550">(AF128+AJ128)/2</f>
        <v>112.33457541930264</v>
      </c>
      <c r="AC128" s="220"/>
      <c r="AD128" s="189">
        <f>44/12*'Crops proc. &amp; prod. AMORTIZED'!CX154</f>
        <v>3.6202032637681709</v>
      </c>
      <c r="AE128" s="189">
        <f>44/12*'Crops proc. &amp; prod. AMORTIZED'!CY154</f>
        <v>3.6202032637681709</v>
      </c>
      <c r="AF128" s="188">
        <f>44/12*'Crops proc. &amp; prod. AMORTIZED'!CZ154</f>
        <v>97.843331453193812</v>
      </c>
      <c r="AH128" s="189">
        <f>44/12*'Crops proc. &amp; prod. AMORTIZED'!EN154</f>
        <v>4.692555317260223</v>
      </c>
      <c r="AI128" s="189">
        <f>44/12*'Crops proc. &amp; prod. AMORTIZED'!EO154</f>
        <v>4.692555317260223</v>
      </c>
      <c r="AJ128" s="188">
        <f>44/12*'Crops proc. &amp; prod. AMORTIZED'!EP154</f>
        <v>126.82581938541145</v>
      </c>
      <c r="AL128" s="417">
        <f>'Crops proc. &amp; prod. AMORTIZED'!GY154</f>
        <v>0.21881592446120593</v>
      </c>
      <c r="AM128" s="417">
        <f>'Crops proc. &amp; prod. AMORTIZED'!GZ154</f>
        <v>0.21881592446120593</v>
      </c>
      <c r="AN128" s="310">
        <f>'Crops proc. &amp; prod. AMORTIZED'!HA154</f>
        <v>5.9139439043569171</v>
      </c>
      <c r="AO128" s="192"/>
      <c r="AP128" s="192">
        <f>'Crops proc. &amp; prod. AMORTIZED'!IV154</f>
        <v>2.9153208060990492</v>
      </c>
      <c r="AQ128" s="192">
        <f>'Crops proc. &amp; prod. AMORTIZED'!IW154</f>
        <v>2.9153208060990492</v>
      </c>
      <c r="AR128" s="310">
        <f>'Crops proc. &amp; prod. AMORTIZED'!IX154</f>
        <v>78.792454218893226</v>
      </c>
      <c r="AS128" s="192"/>
      <c r="AT128" s="189">
        <f t="shared" si="538"/>
        <v>12.056214844143515</v>
      </c>
      <c r="AU128" s="189">
        <f t="shared" si="539"/>
        <v>12.056214844143515</v>
      </c>
      <c r="AV128" s="188">
        <f t="shared" ref="AV128" si="551">D128+AN128+AR128</f>
        <v>325.84364443631119</v>
      </c>
      <c r="AW128" s="189"/>
      <c r="AX128" s="189">
        <f t="shared" si="540"/>
        <v>10.704780201833422</v>
      </c>
      <c r="AY128" s="189">
        <f t="shared" si="541"/>
        <v>10.704780201833422</v>
      </c>
      <c r="AZ128" s="188">
        <f t="shared" ref="AZ128" si="552">H128+AN128+AR128</f>
        <v>289.3183838333357</v>
      </c>
      <c r="BA128" s="189"/>
      <c r="BJ128" s="193"/>
      <c r="BK128" s="193"/>
      <c r="BL128" s="188"/>
      <c r="BM128" s="188"/>
      <c r="BV128" s="195"/>
    </row>
    <row r="129" spans="1:80" x14ac:dyDescent="0.25">
      <c r="A129" s="303" t="s">
        <v>350</v>
      </c>
      <c r="B129" s="220">
        <f t="shared" si="542"/>
        <v>3.9842867911803106</v>
      </c>
      <c r="C129" s="220">
        <f t="shared" si="543"/>
        <v>4.4269853235336791</v>
      </c>
      <c r="D129" s="296"/>
      <c r="E129" s="313">
        <f t="shared" ref="E129" si="553">(I129+M129)/2</f>
        <v>9.4442353568718467</v>
      </c>
      <c r="F129" s="189">
        <f>44/12*'Crops proc. &amp; prod. AMORTIZED'!BV155</f>
        <v>3.3807835348815289</v>
      </c>
      <c r="G129" s="189">
        <f>44/12*'Crops proc. &amp; prod. AMORTIZED'!BW155</f>
        <v>3.7564261498683655</v>
      </c>
      <c r="I129" s="188">
        <f>44/12*'Crops proc. &amp; prod. AMORTIZED'!BY155</f>
        <v>8.013709119719179</v>
      </c>
      <c r="J129" s="192">
        <f>44/12*'Crops proc. &amp; prod. AMORTIZED'!DL155</f>
        <v>4.5877900474790927</v>
      </c>
      <c r="K129" s="192">
        <f>44/12*'Crops proc. &amp; prod. AMORTIZED'!DM155</f>
        <v>5.0975444971989923</v>
      </c>
      <c r="L129" s="193"/>
      <c r="M129" s="193">
        <f>44/12*'Crops proc. &amp; prod. AMORTIZED'!DO155</f>
        <v>10.874761594024516</v>
      </c>
      <c r="N129" s="220">
        <f t="shared" si="545"/>
        <v>7.6166317988613468</v>
      </c>
      <c r="O129" s="220">
        <f t="shared" si="546"/>
        <v>8.4629242209570528</v>
      </c>
      <c r="P129" s="296"/>
      <c r="Q129" s="309">
        <f t="shared" ref="Q129" si="554">(U129+Y129)/2</f>
        <v>18.05423833804171</v>
      </c>
      <c r="R129" s="189">
        <f>44/12*'Crops proc. &amp; prod. AMORTIZED'!CJ155</f>
        <v>6.3908712663997083</v>
      </c>
      <c r="S129" s="189">
        <f>44/12*'Crops proc. &amp; prod. AMORTIZED'!CK155</f>
        <v>7.1009680737774534</v>
      </c>
      <c r="T129" s="193"/>
      <c r="U129" s="193">
        <f>44/12*'Crops proc. &amp; prod. AMORTIZED'!CM155</f>
        <v>15.148731890725232</v>
      </c>
      <c r="V129" s="192">
        <f>44/12*'Crops proc. &amp; prod. AMORTIZED'!DZ155</f>
        <v>8.8423923313229853</v>
      </c>
      <c r="W129" s="192">
        <f>44/12*'Crops proc. &amp; prod. AMORTIZED'!EA155</f>
        <v>9.8248803681366503</v>
      </c>
      <c r="X129" s="193"/>
      <c r="Y129" s="188">
        <f>44/12*'Crops proc. &amp; prod. AMORTIZED'!EC155</f>
        <v>20.95974478535819</v>
      </c>
      <c r="Z129" s="220">
        <f t="shared" si="548"/>
        <v>1.8560930419471797</v>
      </c>
      <c r="AA129" s="220">
        <f t="shared" si="549"/>
        <v>2.0623256021635328</v>
      </c>
      <c r="AB129" s="296"/>
      <c r="AC129" s="309">
        <f t="shared" ref="AC129" si="555">(AG129+AK129)/2</f>
        <v>4.3996279512822039</v>
      </c>
      <c r="AD129" s="189">
        <f>44/12*'Crops proc. &amp; prod. AMORTIZED'!CX155</f>
        <v>1.6166556559575418</v>
      </c>
      <c r="AE129" s="189">
        <f>44/12*'Crops proc. &amp; prod. AMORTIZED'!CY155</f>
        <v>1.7962840621750464</v>
      </c>
      <c r="AG129" s="188">
        <f>44/12*'Crops proc. &amp; prod. AMORTIZED'!DA155</f>
        <v>3.8320726659734325</v>
      </c>
      <c r="AH129" s="189">
        <f>44/12*'Crops proc. &amp; prod. AMORTIZED'!EN155</f>
        <v>2.0955304279368177</v>
      </c>
      <c r="AI129" s="189">
        <f>44/12*'Crops proc. &amp; prod. AMORTIZED'!EO155</f>
        <v>2.3283671421520196</v>
      </c>
      <c r="AK129" s="188">
        <f>44/12*'Crops proc. &amp; prod. AMORTIZED'!EQ155</f>
        <v>4.9671832365909747</v>
      </c>
      <c r="AL129" s="417">
        <f>'Crops proc. &amp; prod. AMORTIZED'!GY155</f>
        <v>9.7715508251759911E-2</v>
      </c>
      <c r="AM129" s="417">
        <f>'Crops proc. &amp; prod. AMORTIZED'!GZ155</f>
        <v>0.10857278694639989</v>
      </c>
      <c r="AN129" s="193"/>
      <c r="AO129" s="310">
        <f>'Crops proc. &amp; prod. AMORTIZED'!HB155</f>
        <v>0.2316219454856531</v>
      </c>
      <c r="AP129" s="192">
        <f>'Crops proc. &amp; prod. AMORTIZED'!IV155</f>
        <v>1.3018799019602625</v>
      </c>
      <c r="AQ129" s="192">
        <f>'Crops proc. &amp; prod. AMORTIZED'!IW155</f>
        <v>1.4465332244002915</v>
      </c>
      <c r="AR129" s="193"/>
      <c r="AS129" s="310">
        <f>'Crops proc. &amp; prod. AMORTIZED'!IY155</f>
        <v>3.0859375453872886</v>
      </c>
      <c r="AT129" s="189">
        <f t="shared" si="538"/>
        <v>5.3838822013923329</v>
      </c>
      <c r="AU129" s="189">
        <f t="shared" si="539"/>
        <v>5.982091334880371</v>
      </c>
      <c r="AV129" s="188"/>
      <c r="AW129" s="189">
        <f t="shared" ref="AW129" si="556">E129+AO129+AS129</f>
        <v>12.761794847744788</v>
      </c>
      <c r="AX129" s="189">
        <f t="shared" si="540"/>
        <v>4.7803789450935508</v>
      </c>
      <c r="AY129" s="189">
        <f t="shared" si="541"/>
        <v>5.311532161215057</v>
      </c>
      <c r="AZ129" s="188"/>
      <c r="BA129" s="189">
        <f t="shared" ref="BA129" si="557">I129+AO129+AS129</f>
        <v>11.331268610592121</v>
      </c>
      <c r="BJ129" s="188"/>
      <c r="BK129" s="188"/>
      <c r="BL129" s="188"/>
      <c r="BM129" s="188"/>
      <c r="BV129" s="195"/>
    </row>
    <row r="130" spans="1:80" s="250" customFormat="1" x14ac:dyDescent="0.25">
      <c r="A130" s="304"/>
      <c r="B130" s="193"/>
      <c r="C130" s="193"/>
      <c r="D130" s="193"/>
      <c r="E130" s="193"/>
      <c r="F130" s="193"/>
      <c r="G130" s="193"/>
      <c r="H130" s="193"/>
      <c r="I130" s="193"/>
      <c r="J130" s="193"/>
      <c r="K130" s="193"/>
      <c r="L130" s="193"/>
      <c r="M130" s="193"/>
      <c r="N130" s="193"/>
      <c r="O130" s="193"/>
      <c r="P130" s="193"/>
      <c r="Q130" s="193"/>
      <c r="R130" s="192"/>
      <c r="S130" s="192"/>
      <c r="T130" s="193"/>
      <c r="U130" s="193"/>
      <c r="V130" s="192"/>
      <c r="W130" s="192"/>
      <c r="X130" s="193"/>
      <c r="Y130" s="193"/>
      <c r="Z130" s="193"/>
      <c r="AA130" s="193"/>
      <c r="AB130" s="193"/>
      <c r="AC130" s="193"/>
      <c r="AD130" s="193"/>
      <c r="AE130" s="193"/>
      <c r="AF130" s="193"/>
      <c r="AG130" s="193"/>
      <c r="AH130" s="193"/>
      <c r="AI130" s="193"/>
      <c r="AJ130" s="193"/>
      <c r="AK130" s="193"/>
      <c r="AL130" s="193"/>
      <c r="AM130" s="193"/>
      <c r="AN130" s="193"/>
      <c r="AO130" s="193"/>
      <c r="AP130" s="290"/>
      <c r="AQ130" s="290"/>
      <c r="AR130" s="290"/>
      <c r="AS130" s="290"/>
      <c r="AT130" s="290"/>
      <c r="AU130" s="290"/>
      <c r="AV130" s="290"/>
      <c r="AW130" s="290"/>
      <c r="AX130" s="290"/>
      <c r="AY130" s="290"/>
      <c r="AZ130" s="290"/>
      <c r="BA130" s="290"/>
      <c r="BJ130" s="193"/>
      <c r="BK130" s="193"/>
      <c r="BL130" s="193"/>
      <c r="BM130" s="193"/>
      <c r="BV130" s="290"/>
    </row>
    <row r="131" spans="1:80" ht="13.8" x14ac:dyDescent="0.3">
      <c r="A131" s="283" t="s">
        <v>453</v>
      </c>
    </row>
    <row r="132" spans="1:80" x14ac:dyDescent="0.25">
      <c r="A132" s="219" t="s">
        <v>476</v>
      </c>
      <c r="B132" s="193"/>
      <c r="C132" s="193"/>
      <c r="D132" s="193"/>
      <c r="E132" s="193"/>
      <c r="F132" s="193"/>
      <c r="G132" s="193"/>
      <c r="H132" s="193"/>
      <c r="I132" s="193"/>
      <c r="J132" s="193"/>
      <c r="K132" s="193"/>
      <c r="L132" s="193"/>
      <c r="M132" s="193"/>
      <c r="N132" s="193"/>
      <c r="O132" s="193"/>
      <c r="P132" s="193"/>
      <c r="Q132" s="193"/>
      <c r="R132" s="192"/>
      <c r="S132" s="192"/>
      <c r="T132" s="193"/>
      <c r="U132" s="193"/>
      <c r="V132" s="192"/>
      <c r="W132" s="192"/>
      <c r="X132" s="193"/>
      <c r="Y132" s="193"/>
      <c r="Z132" s="193"/>
      <c r="AA132" s="193"/>
      <c r="AB132" s="193"/>
      <c r="AC132" s="193"/>
      <c r="AD132" s="193"/>
      <c r="AE132" s="193"/>
      <c r="AF132" s="193"/>
      <c r="AG132" s="193"/>
      <c r="AH132" s="193"/>
      <c r="AI132" s="193"/>
      <c r="AJ132" s="193"/>
      <c r="AK132" s="193"/>
      <c r="AL132" s="193"/>
      <c r="AM132" s="193"/>
      <c r="AN132" s="193"/>
      <c r="AO132" s="193"/>
      <c r="AQ132" s="194"/>
      <c r="AR132" s="188"/>
      <c r="AS132" s="189"/>
      <c r="AT132" s="189"/>
      <c r="AU132" s="189"/>
      <c r="AV132" s="189"/>
      <c r="AW132" s="189"/>
      <c r="AX132" s="189"/>
      <c r="AY132" s="189"/>
      <c r="AZ132" s="189"/>
      <c r="BA132" s="189"/>
      <c r="BB132" s="317">
        <f t="shared" ref="BB132:BC134" si="558">(BD132+BF132)/2</f>
        <v>176.84107024481477</v>
      </c>
      <c r="BC132" s="189">
        <f t="shared" si="558"/>
        <v>3.7440791392232189</v>
      </c>
      <c r="BD132" s="193">
        <f>44/12*'Crops proc. &amp; prod. AMORTIZED'!CH107</f>
        <v>191.00358592944389</v>
      </c>
      <c r="BE132" s="192">
        <f>44/12*'Crops proc. &amp; prod. AMORTIZED'!CI107</f>
        <v>4.0439279212981862</v>
      </c>
      <c r="BF132" s="193">
        <f>44/12*'Crops proc. &amp; prod. AMORTIZED'!DX107</f>
        <v>162.67855456018569</v>
      </c>
      <c r="BG132" s="192">
        <f>44/12*'Crops proc. &amp; prod. AMORTIZED'!DY107</f>
        <v>3.444230357148252</v>
      </c>
      <c r="BH132" s="250"/>
      <c r="BI132" s="192"/>
      <c r="BJ132" s="193"/>
      <c r="BK132" s="192"/>
      <c r="BL132" s="193"/>
      <c r="BM132" s="192"/>
      <c r="BN132" s="193"/>
      <c r="BO132" s="192"/>
      <c r="BP132" s="193"/>
      <c r="BQ132" s="192"/>
      <c r="BR132" s="193"/>
      <c r="BS132" s="192"/>
      <c r="BT132" s="310">
        <f>'Crops proc. &amp; prod. AMORTIZED'!HK107</f>
        <v>8.1761294080006444</v>
      </c>
      <c r="BU132" s="192">
        <f>'Crops proc. &amp; prod. AMORTIZED'!HL107</f>
        <v>0.17310501182618965</v>
      </c>
      <c r="BV132" s="311">
        <f>'Crops proc. &amp; prod. AMORTIZED'!JI107</f>
        <v>71.927551567523409</v>
      </c>
      <c r="BW132" s="192">
        <f>'Crops proc. &amp; prod. AMORTIZED'!JJ107</f>
        <v>1.5228501217876058</v>
      </c>
      <c r="BX132" s="221">
        <f>'Crops proc. &amp; prod. AMORTIZED'!MR107</f>
        <v>86</v>
      </c>
      <c r="BY132" s="421">
        <f>BB132+BT132+BV132-BX132</f>
        <v>170.94475122033884</v>
      </c>
      <c r="BZ132" s="309">
        <f>BY132*'Crops proc. &amp; prod. AMORTIZED'!$NZ107/10^3</f>
        <v>3.6192422728370142</v>
      </c>
      <c r="CA132" s="421">
        <f>BD132+BT132+BV132-BX132</f>
        <v>185.1072669049679</v>
      </c>
      <c r="CB132" s="309">
        <f>CA132*'Crops proc. &amp; prod. AMORTIZED'!$NZ107/10^3</f>
        <v>3.9190910549119802</v>
      </c>
    </row>
    <row r="133" spans="1:80" x14ac:dyDescent="0.25">
      <c r="A133" s="219" t="s">
        <v>477</v>
      </c>
      <c r="B133" s="193"/>
      <c r="C133" s="193"/>
      <c r="D133" s="193"/>
      <c r="E133" s="193"/>
      <c r="F133" s="193"/>
      <c r="G133" s="193"/>
      <c r="H133" s="193"/>
      <c r="I133" s="193"/>
      <c r="J133" s="193"/>
      <c r="K133" s="193"/>
      <c r="L133" s="193"/>
      <c r="M133" s="193"/>
      <c r="N133" s="193"/>
      <c r="O133" s="193"/>
      <c r="P133" s="193"/>
      <c r="Q133" s="193"/>
      <c r="R133" s="192"/>
      <c r="S133" s="192"/>
      <c r="T133" s="193"/>
      <c r="U133" s="193"/>
      <c r="V133" s="192"/>
      <c r="W133" s="192"/>
      <c r="X133" s="193"/>
      <c r="Y133" s="193"/>
      <c r="Z133" s="193"/>
      <c r="AA133" s="193"/>
      <c r="AB133" s="193"/>
      <c r="AC133" s="193"/>
      <c r="AD133" s="193"/>
      <c r="AE133" s="193"/>
      <c r="AF133" s="193"/>
      <c r="AG133" s="193"/>
      <c r="AH133" s="193"/>
      <c r="AI133" s="193"/>
      <c r="AJ133" s="193"/>
      <c r="AK133" s="193"/>
      <c r="AL133" s="193"/>
      <c r="AM133" s="193"/>
      <c r="AN133" s="193"/>
      <c r="AO133" s="193"/>
      <c r="AQ133" s="194"/>
      <c r="BB133" s="317">
        <f t="shared" si="558"/>
        <v>157.18960450185557</v>
      </c>
      <c r="BC133" s="189">
        <f t="shared" si="558"/>
        <v>3.328018306513286</v>
      </c>
      <c r="BD133" s="193">
        <f>44/12*'Crops proc. &amp; prod. AMORTIZED'!CH112</f>
        <v>129.21291173965037</v>
      </c>
      <c r="BE133" s="192">
        <f>44/12*'Crops proc. &amp; prod. AMORTIZED'!CI112</f>
        <v>2.7356957673518782</v>
      </c>
      <c r="BF133" s="193">
        <f>44/12*'Crops proc. &amp; prod. AMORTIZED'!DX112</f>
        <v>185.16629726406074</v>
      </c>
      <c r="BG133" s="192">
        <f>44/12*'Crops proc. &amp; prod. AMORTIZED'!DY112</f>
        <v>3.9203408456746942</v>
      </c>
      <c r="BH133" s="250"/>
      <c r="BI133" s="192"/>
      <c r="BJ133" s="193"/>
      <c r="BK133" s="192"/>
      <c r="BL133" s="193"/>
      <c r="BM133" s="192"/>
      <c r="BN133" s="193"/>
      <c r="BO133" s="192"/>
      <c r="BP133" s="193"/>
      <c r="BQ133" s="192"/>
      <c r="BR133" s="193"/>
      <c r="BS133" s="192"/>
      <c r="BT133" s="310">
        <f>'Crops proc. &amp; prod. AMORTIZED'!HK112</f>
        <v>8.2204861512169423</v>
      </c>
      <c r="BU133" s="192">
        <f>'Crops proc. &amp; prod. AMORTIZED'!HL112</f>
        <v>0.17404413279356512</v>
      </c>
      <c r="BV133" s="311">
        <f>'Crops proc. &amp; prod. AMORTIZED'!JI112</f>
        <v>103.69542533216435</v>
      </c>
      <c r="BW133" s="192">
        <f>'Crops proc. &amp; prod. AMORTIZED'!JJ112</f>
        <v>2.1954395451325839</v>
      </c>
      <c r="BX133" s="221">
        <f>'Crops proc. &amp; prod. AMORTIZED'!MR112</f>
        <v>86</v>
      </c>
      <c r="BY133" s="421">
        <f>BB133+BT133+BV133-BX133</f>
        <v>183.10551598523682</v>
      </c>
      <c r="BZ133" s="309">
        <f>BY133*'Crops proc. &amp; prod. AMORTIZED'!$NZ112/10^3</f>
        <v>3.8767099844394344</v>
      </c>
      <c r="CA133" s="421">
        <f t="shared" ref="CA133:CA135" si="559">BD133+BT133+BV133-BX133</f>
        <v>155.12882322303165</v>
      </c>
      <c r="CB133" s="309">
        <f>CA133*'Crops proc. &amp; prod. AMORTIZED'!$NZ112/10^3</f>
        <v>3.2843874452780262</v>
      </c>
    </row>
    <row r="134" spans="1:80" x14ac:dyDescent="0.25">
      <c r="A134" s="219" t="s">
        <v>478</v>
      </c>
      <c r="AQ134" s="189"/>
      <c r="AR134" s="188"/>
      <c r="AS134" s="189"/>
      <c r="AT134" s="189"/>
      <c r="AU134" s="189"/>
      <c r="AV134" s="189"/>
      <c r="AW134" s="189"/>
      <c r="AX134" s="189"/>
      <c r="AY134" s="189"/>
      <c r="AZ134" s="189"/>
      <c r="BA134" s="189"/>
      <c r="BB134" s="317">
        <f t="shared" si="558"/>
        <v>99.132010188057279</v>
      </c>
      <c r="BC134" s="189">
        <f t="shared" si="558"/>
        <v>2.0988229197015489</v>
      </c>
      <c r="BD134" s="193">
        <f>44/12*'Crops proc. &amp; prod. AMORTIZED'!CA117</f>
        <v>97.742684838598507</v>
      </c>
      <c r="BE134" s="192">
        <f>44/12*'Crops proc. &amp; prod. AMORTIZED'!CB117</f>
        <v>2.0694081234028081</v>
      </c>
      <c r="BF134" s="193">
        <f>44/12*'Crops proc. &amp; prod. AMORTIZED'!DQ117</f>
        <v>100.52133553751604</v>
      </c>
      <c r="BG134" s="192">
        <f>44/12*'Crops proc. &amp; prod. AMORTIZED'!DR117</f>
        <v>2.1282377160002897</v>
      </c>
      <c r="BH134" s="316">
        <f t="shared" ref="BH134:BH135" si="560">(BJ134+BL134)/2</f>
        <v>133.98321563839616</v>
      </c>
      <c r="BI134" s="189">
        <f t="shared" ref="BI134:BI135" si="561">(BK134+BM134)/2</f>
        <v>2.8366926414961235</v>
      </c>
      <c r="BJ134" s="193">
        <f>44/12*'Crops proc. &amp; prod. AMORTIZED'!CO117</f>
        <v>138.14922483358998</v>
      </c>
      <c r="BK134" s="192">
        <f>44/12*'Crops proc. &amp; prod. AMORTIZED'!CP117</f>
        <v>2.9248953881767674</v>
      </c>
      <c r="BL134" s="193">
        <f>44/12*'Crops proc. &amp; prod. AMORTIZED'!EE117</f>
        <v>129.81720644320234</v>
      </c>
      <c r="BM134" s="192">
        <f>44/12*'Crops proc. &amp; prod. AMORTIZED'!EF117</f>
        <v>2.7484898948154797</v>
      </c>
      <c r="BN134" s="311">
        <f t="shared" ref="BN134:BN135" si="562">(BP134+BR134)/2</f>
        <v>60.122260947247355</v>
      </c>
      <c r="BO134" s="189">
        <f t="shared" ref="BO134:BO135" si="563">(BQ134+BS134)/2</f>
        <v>1.2729085087751209</v>
      </c>
      <c r="BP134" s="193">
        <f>44/12*'Crops proc. &amp; prod. AMORTIZED'!DC117</f>
        <v>52.557205922771992</v>
      </c>
      <c r="BQ134" s="192">
        <f>44/12*'Crops proc. &amp; prod. AMORTIZED'!DD117</f>
        <v>1.1127411637969287</v>
      </c>
      <c r="BR134" s="193">
        <f>44/12*'Crops proc. &amp; prod. AMORTIZED'!ES117</f>
        <v>67.687315971722711</v>
      </c>
      <c r="BS134" s="192">
        <f>44/12*'Crops proc. &amp; prod. AMORTIZED'!ET117</f>
        <v>1.4330758537533133</v>
      </c>
      <c r="BT134" s="310">
        <f>'Crops proc. &amp; prod. AMORTIZED'!HD117</f>
        <v>8.9872341581386461</v>
      </c>
      <c r="BU134" s="192">
        <f>'Crops proc. &amp; prod. AMORTIZED'!HE117</f>
        <v>0.19027772159611145</v>
      </c>
      <c r="BV134" s="311">
        <f>'Crops proc. &amp; prod. AMORTIZED'!IZ117</f>
        <v>19.092991062597342</v>
      </c>
      <c r="BW134" s="417">
        <f>'Crops proc. &amp; prod. AMORTIZED'!JA117</f>
        <v>0.40423680677731094</v>
      </c>
      <c r="BX134" s="221">
        <f>'Crops proc. &amp; prod. AMORTIZED'!MR117</f>
        <v>86</v>
      </c>
      <c r="BY134" s="421">
        <f>BB134+BT134+BV134-BX134</f>
        <v>41.212235408793276</v>
      </c>
      <c r="BZ134" s="309">
        <f>BY134*'Crops proc. &amp; prod. AMORTIZED'!$NZ117/10^3</f>
        <v>0.87254544807497136</v>
      </c>
      <c r="CA134" s="421">
        <f t="shared" si="559"/>
        <v>39.822910059334504</v>
      </c>
      <c r="CB134" s="309">
        <f>CA134*'Crops proc. &amp; prod. AMORTIZED'!$NZ117/10^3</f>
        <v>0.84313065177623014</v>
      </c>
    </row>
    <row r="135" spans="1:80" x14ac:dyDescent="0.25">
      <c r="A135" s="219" t="s">
        <v>480</v>
      </c>
      <c r="AQ135" s="189"/>
      <c r="AR135" s="188"/>
      <c r="AS135" s="189"/>
      <c r="AT135" s="189"/>
      <c r="AU135" s="189"/>
      <c r="AV135" s="189"/>
      <c r="AW135" s="189"/>
      <c r="AX135" s="189"/>
      <c r="AY135" s="189"/>
      <c r="AZ135" s="189"/>
      <c r="BA135" s="189"/>
      <c r="BB135" s="317">
        <f t="shared" ref="BB135:BC135" si="564">(BD135+BF135)/2</f>
        <v>260.91083339081041</v>
      </c>
      <c r="BC135" s="189">
        <f t="shared" si="564"/>
        <v>5.524004164550238</v>
      </c>
      <c r="BD135" s="192">
        <f>44/12*'Crops proc. &amp; prod. AMORTIZED'!CA122</f>
        <v>229.32253439489392</v>
      </c>
      <c r="BE135" s="192">
        <f>44/12*'Crops proc. &amp; prod. AMORTIZED'!CB122</f>
        <v>4.8552166982086939</v>
      </c>
      <c r="BF135" s="193">
        <f>44/12*'Crops proc. &amp; prod. AMORTIZED'!DQ122</f>
        <v>292.4991323867269</v>
      </c>
      <c r="BG135" s="192">
        <f>44/12*'Crops proc. &amp; prod. AMORTIZED'!DR122</f>
        <v>6.1927916308917821</v>
      </c>
      <c r="BH135" s="316">
        <f t="shared" si="560"/>
        <v>305.17565065583921</v>
      </c>
      <c r="BI135" s="189">
        <f t="shared" si="561"/>
        <v>6.4611788756854285</v>
      </c>
      <c r="BJ135" s="193">
        <f>44/12*'Crops proc. &amp; prod. AMORTIZED'!CO122</f>
        <v>272.82717782255804</v>
      </c>
      <c r="BK135" s="192">
        <f>44/12*'Crops proc. &amp; prod. AMORTIZED'!CP122</f>
        <v>5.7762970088591992</v>
      </c>
      <c r="BL135" s="193">
        <f>44/12*'Crops proc. &amp; prod. AMORTIZED'!EE122</f>
        <v>337.52412348912037</v>
      </c>
      <c r="BM135" s="192">
        <f>44/12*'Crops proc. &amp; prod. AMORTIZED'!EF122</f>
        <v>7.1460607425116587</v>
      </c>
      <c r="BN135" s="311">
        <f t="shared" si="562"/>
        <v>84.898076861172569</v>
      </c>
      <c r="BO135" s="189">
        <f t="shared" si="563"/>
        <v>1.7974620833047454</v>
      </c>
      <c r="BP135" s="193">
        <f>44/12*'Crops proc. &amp; prod. AMORTIZED'!DC122</f>
        <v>56.24249879384918</v>
      </c>
      <c r="BQ135" s="192">
        <f>44/12*'Crops proc. &amp; prod. AMORTIZED'!DD122</f>
        <v>1.1907661844633748</v>
      </c>
      <c r="BR135" s="193">
        <f>44/12*'Crops proc. &amp; prod. AMORTIZED'!ES122</f>
        <v>113.55365492849594</v>
      </c>
      <c r="BS135" s="192">
        <f>44/12*'Crops proc. &amp; prod. AMORTIZED'!ET122</f>
        <v>2.4041579821461161</v>
      </c>
      <c r="BT135" s="311">
        <f>'Crops proc. &amp; prod. AMORTIZED'!HD122</f>
        <v>26.388980500276475</v>
      </c>
      <c r="BU135" s="192">
        <f>'Crops proc. &amp; prod. AMORTIZED'!HE122</f>
        <v>0.55870749515185358</v>
      </c>
      <c r="BV135" s="311">
        <f>'Crops proc. &amp; prod. AMORTIZED'!IZ122</f>
        <v>11.38179104477612</v>
      </c>
      <c r="BW135" s="417">
        <f>'Crops proc. &amp; prod. AMORTIZED'!JA122</f>
        <v>0.24097528000000004</v>
      </c>
      <c r="BX135" s="221">
        <f>'Crops proc. &amp; prod. AMORTIZED'!MR122</f>
        <v>86</v>
      </c>
      <c r="BY135" s="421">
        <f>BB135+BT135+BV135-BX135</f>
        <v>212.68160493586299</v>
      </c>
      <c r="BZ135" s="309">
        <f>BY135*'Crops proc. &amp; prod. AMORTIZED'!$NZ122/10^3</f>
        <v>4.5028949397020916</v>
      </c>
      <c r="CA135" s="421">
        <f t="shared" si="559"/>
        <v>181.0933059399465</v>
      </c>
      <c r="CB135" s="309">
        <f>CA135*'Crops proc. &amp; prod. AMORTIZED'!$NZ122/10^3</f>
        <v>3.8341074733605476</v>
      </c>
    </row>
    <row r="136" spans="1:80" x14ac:dyDescent="0.25">
      <c r="A136" s="454" t="s">
        <v>300</v>
      </c>
      <c r="B136" s="220">
        <f t="shared" ref="B136" si="565">(F136+J136)/2</f>
        <v>3.2093804396162815</v>
      </c>
      <c r="C136" s="220">
        <f t="shared" ref="C136" si="566">(G136+K136)/2</f>
        <v>3.4509467092648185</v>
      </c>
      <c r="E136" s="313">
        <f t="shared" ref="E136" si="567">(I136+M136)/2</f>
        <v>11.503155697549396</v>
      </c>
      <c r="F136" s="189">
        <f>44/12*'Crops proc. &amp; prod. AMORTIZED'!CC108</f>
        <v>3.023848511521293</v>
      </c>
      <c r="G136" s="189">
        <f>44/12*'Crops proc. &amp; prod. AMORTIZED'!CD108</f>
        <v>3.2514500123884869</v>
      </c>
      <c r="I136" s="188">
        <f>44/12*'Crops proc. &amp; prod. AMORTIZED'!CF108</f>
        <v>10.838166707961625</v>
      </c>
      <c r="J136" s="192">
        <f>44/12*'Crops proc. &amp; prod. AMORTIZED'!DS108</f>
        <v>3.39491236771127</v>
      </c>
      <c r="K136" s="192">
        <f>44/12*'Crops proc. &amp; prod. AMORTIZED'!DT108</f>
        <v>3.6504434061411501</v>
      </c>
      <c r="L136" s="193"/>
      <c r="M136" s="193">
        <f>44/12*'Crops proc. &amp; prod. AMORTIZED'!DV108</f>
        <v>12.168144687137168</v>
      </c>
      <c r="N136" s="314"/>
      <c r="O136" s="314"/>
      <c r="P136" s="193"/>
      <c r="Q136" s="296"/>
      <c r="R136" s="192"/>
      <c r="S136" s="192"/>
      <c r="T136" s="193"/>
      <c r="U136" s="193"/>
      <c r="V136" s="192"/>
      <c r="W136" s="192"/>
      <c r="X136" s="193"/>
      <c r="Y136" s="193"/>
      <c r="Z136" s="314"/>
      <c r="AA136" s="314"/>
      <c r="AB136" s="193"/>
      <c r="AC136" s="314"/>
      <c r="AD136" s="192"/>
      <c r="AE136" s="192"/>
      <c r="AF136" s="193"/>
      <c r="AG136" s="193"/>
      <c r="AH136" s="192"/>
      <c r="AI136" s="192"/>
      <c r="AJ136" s="193"/>
      <c r="AK136" s="193"/>
      <c r="AL136" s="417">
        <f>'Crops proc. &amp; prod. AMORTIZED'!HF108</f>
        <v>0.14660049055907548</v>
      </c>
      <c r="AM136" s="417">
        <f>'Crops proc. &amp; prod. AMORTIZED'!HG108</f>
        <v>0.15763493608502738</v>
      </c>
      <c r="AN136" s="193"/>
      <c r="AO136" s="418">
        <f>'Crops proc. &amp; prod. AMORTIZED'!HI108</f>
        <v>0.52544978695009126</v>
      </c>
      <c r="AP136" s="417">
        <f>'Crops proc. &amp; prod. AMORTIZED'!JE108</f>
        <v>0.53367355446807863</v>
      </c>
      <c r="AQ136" s="192">
        <f>'Crops proc. &amp; prod. AMORTIZED'!JF108</f>
        <v>0.57384253168610599</v>
      </c>
      <c r="AR136" s="193"/>
      <c r="AS136" s="310">
        <f>'Crops proc. &amp; prod. AMORTIZED'!JH108</f>
        <v>1.9128084389536868</v>
      </c>
      <c r="AT136" s="189">
        <f t="shared" ref="AT136:AT137" si="568">B136+AL136+AP136</f>
        <v>3.8896544846434358</v>
      </c>
      <c r="AU136" s="189">
        <f t="shared" ref="AU136:AU137" si="569">C136+AM136+AQ136</f>
        <v>4.1824241770359523</v>
      </c>
      <c r="AV136" s="188"/>
      <c r="AW136" s="189">
        <f t="shared" ref="AW136:AW137" si="570">E136+AO136+AS136</f>
        <v>13.941413923453172</v>
      </c>
      <c r="AX136" s="189">
        <f t="shared" ref="AX136:AX137" si="571">F136+AL136+AP136</f>
        <v>3.7041225565484472</v>
      </c>
      <c r="AY136" s="189">
        <f t="shared" ref="AY136:AY137" si="572">G136+AM136+AQ136</f>
        <v>3.9829274801596206</v>
      </c>
      <c r="AZ136" s="188"/>
      <c r="BA136" s="189">
        <f t="shared" ref="BA136:BA137" si="573">I136+AO136+AS136</f>
        <v>13.276424933865403</v>
      </c>
      <c r="BI136" s="189"/>
      <c r="BJ136" s="193"/>
      <c r="BK136" s="192"/>
      <c r="BL136" s="193"/>
      <c r="BM136" s="192"/>
      <c r="BN136" s="188"/>
      <c r="BO136" s="189"/>
      <c r="BV136" s="300"/>
      <c r="BW136" s="419"/>
      <c r="BX136" s="219"/>
      <c r="BY136" s="420"/>
      <c r="BZ136" s="420"/>
    </row>
    <row r="137" spans="1:80" x14ac:dyDescent="0.25">
      <c r="A137" s="454" t="s">
        <v>301</v>
      </c>
      <c r="B137" s="220">
        <f t="shared" ref="B137" si="574">(F137+J137)/2</f>
        <v>3.1058520383383366</v>
      </c>
      <c r="C137" s="220">
        <f t="shared" ref="C137" si="575">(G137+K137)/2</f>
        <v>3.4509467092648185</v>
      </c>
      <c r="E137" s="313">
        <f t="shared" ref="E137" si="576">(I137+M137)/2</f>
        <v>11.503155697549396</v>
      </c>
      <c r="F137" s="189">
        <f>44/12*'Crops proc. &amp; prod. AMORTIZED'!CC113</f>
        <v>2.9263050111496383</v>
      </c>
      <c r="G137" s="189">
        <f>44/12*'Crops proc. &amp; prod. AMORTIZED'!CD113</f>
        <v>3.2514500123884869</v>
      </c>
      <c r="I137" s="188">
        <f>44/12*'Crops proc. &amp; prod. AMORTIZED'!CF113</f>
        <v>10.838166707961625</v>
      </c>
      <c r="J137" s="192">
        <f>44/12*'Crops proc. &amp; prod. AMORTIZED'!DS113</f>
        <v>3.2853990655270353</v>
      </c>
      <c r="K137" s="192">
        <f>44/12*'Crops proc. &amp; prod. AMORTIZED'!DT113</f>
        <v>3.6504434061411501</v>
      </c>
      <c r="L137" s="193"/>
      <c r="M137" s="193">
        <f>44/12*'Crops proc. &amp; prod. AMORTIZED'!DV113</f>
        <v>12.168144687137168</v>
      </c>
      <c r="N137" s="314"/>
      <c r="O137" s="314"/>
      <c r="P137" s="193"/>
      <c r="Q137" s="296"/>
      <c r="R137" s="192"/>
      <c r="S137" s="192"/>
      <c r="T137" s="193"/>
      <c r="U137" s="193"/>
      <c r="V137" s="192"/>
      <c r="W137" s="192"/>
      <c r="X137" s="193"/>
      <c r="Y137" s="193"/>
      <c r="Z137" s="314"/>
      <c r="AA137" s="314"/>
      <c r="AB137" s="193"/>
      <c r="AC137" s="314"/>
      <c r="AD137" s="192"/>
      <c r="AE137" s="192"/>
      <c r="AF137" s="193"/>
      <c r="AG137" s="193"/>
      <c r="AH137" s="192"/>
      <c r="AI137" s="192"/>
      <c r="AJ137" s="193"/>
      <c r="AK137" s="193"/>
      <c r="AL137" s="417">
        <f>'Crops proc. &amp; prod. AMORTIZED'!HF113</f>
        <v>0.14187144247652464</v>
      </c>
      <c r="AM137" s="417">
        <f>'Crops proc. &amp; prod. AMORTIZED'!HG113</f>
        <v>0.15763493608502738</v>
      </c>
      <c r="AN137" s="193"/>
      <c r="AO137" s="418">
        <f>'Crops proc. &amp; prod. AMORTIZED'!HI113</f>
        <v>0.52544978695009126</v>
      </c>
      <c r="AP137" s="417">
        <f>'Crops proc. &amp; prod. AMORTIZED'!JE113</f>
        <v>0.51645827851749537</v>
      </c>
      <c r="AQ137" s="192">
        <f>'Crops proc. &amp; prod. AMORTIZED'!JF113</f>
        <v>0.57384253168610599</v>
      </c>
      <c r="AR137" s="193"/>
      <c r="AS137" s="310">
        <f>'Crops proc. &amp; prod. AMORTIZED'!JH113</f>
        <v>1.9128084389536868</v>
      </c>
      <c r="AT137" s="189">
        <f t="shared" si="568"/>
        <v>3.7641817593323568</v>
      </c>
      <c r="AU137" s="189">
        <f t="shared" si="569"/>
        <v>4.1824241770359523</v>
      </c>
      <c r="AV137" s="188"/>
      <c r="AW137" s="189">
        <f t="shared" si="570"/>
        <v>13.941413923453172</v>
      </c>
      <c r="AX137" s="189">
        <f t="shared" si="571"/>
        <v>3.5846347321436585</v>
      </c>
      <c r="AY137" s="189">
        <f t="shared" si="572"/>
        <v>3.9829274801596206</v>
      </c>
      <c r="AZ137" s="188"/>
      <c r="BA137" s="189">
        <f t="shared" si="573"/>
        <v>13.276424933865403</v>
      </c>
      <c r="BI137" s="189"/>
      <c r="BJ137" s="193"/>
      <c r="BK137" s="192"/>
      <c r="BL137" s="193"/>
      <c r="BM137" s="192"/>
      <c r="BN137" s="188"/>
      <c r="BO137" s="189"/>
      <c r="BV137" s="300"/>
      <c r="BW137" s="419"/>
      <c r="BX137" s="219"/>
      <c r="BY137" s="420"/>
      <c r="BZ137" s="420"/>
    </row>
    <row r="138" spans="1:80" x14ac:dyDescent="0.25">
      <c r="A138" s="219"/>
      <c r="S138" s="192"/>
      <c r="T138" s="193"/>
      <c r="U138" s="193"/>
      <c r="V138" s="192"/>
      <c r="W138" s="192"/>
      <c r="X138" s="193"/>
      <c r="Y138" s="193"/>
      <c r="Z138" s="193"/>
      <c r="AA138" s="193"/>
      <c r="AB138" s="193"/>
      <c r="AC138" s="193"/>
      <c r="AD138" s="193"/>
      <c r="AE138" s="193"/>
      <c r="AF138" s="193"/>
      <c r="AG138" s="193"/>
      <c r="AH138" s="193"/>
      <c r="AI138" s="193"/>
      <c r="AJ138" s="193"/>
      <c r="AK138" s="193"/>
      <c r="AL138" s="193"/>
      <c r="AM138" s="193"/>
      <c r="AN138" s="193"/>
      <c r="AO138" s="193"/>
      <c r="AP138" s="192"/>
      <c r="AQ138" s="250"/>
      <c r="AR138" s="250"/>
      <c r="BI138" s="189"/>
      <c r="BJ138" s="193"/>
      <c r="BK138" s="192"/>
      <c r="BL138" s="193"/>
      <c r="BM138" s="192"/>
      <c r="BN138" s="188"/>
      <c r="BO138" s="189"/>
      <c r="BV138" s="300"/>
      <c r="BW138" s="419"/>
      <c r="BX138" s="219"/>
      <c r="BY138" s="420"/>
      <c r="BZ138" s="420"/>
    </row>
    <row r="139" spans="1:80" ht="13.8" x14ac:dyDescent="0.3">
      <c r="A139" s="283" t="s">
        <v>454</v>
      </c>
      <c r="BI139" s="189"/>
      <c r="BJ139" s="250"/>
      <c r="BK139" s="192"/>
      <c r="BL139" s="250"/>
      <c r="BM139" s="192"/>
      <c r="BN139" s="188"/>
      <c r="BO139" s="189"/>
      <c r="BV139" s="300"/>
      <c r="BW139" s="419"/>
      <c r="BX139" s="219"/>
      <c r="BY139" s="420"/>
      <c r="BZ139" s="420"/>
    </row>
    <row r="140" spans="1:80" x14ac:dyDescent="0.25">
      <c r="A140" s="219" t="s">
        <v>519</v>
      </c>
      <c r="AQ140" s="189"/>
      <c r="AR140" s="188"/>
      <c r="AS140" s="189"/>
      <c r="AT140" s="189"/>
      <c r="AU140" s="189"/>
      <c r="AV140" s="189"/>
      <c r="AW140" s="189"/>
      <c r="AX140" s="189"/>
      <c r="AY140" s="189"/>
      <c r="AZ140" s="189"/>
      <c r="BA140" s="189"/>
      <c r="BB140" s="317">
        <f t="shared" ref="BB140" si="577">(BD140+BF140)/2</f>
        <v>294.2039541646576</v>
      </c>
      <c r="BC140" s="189">
        <f t="shared" ref="BC140" si="578">(BE140+BG140)/2</f>
        <v>9.740504514483483</v>
      </c>
      <c r="BD140" s="193">
        <f>44/12*'Crops proc. &amp; prod. AMORTIZED'!CA134</f>
        <v>319.4034108391694</v>
      </c>
      <c r="BE140" s="192">
        <f>44/12*'Crops proc. &amp; prod. AMORTIZED'!CB134</f>
        <v>10.574808126063221</v>
      </c>
      <c r="BF140" s="193">
        <f>44/12*'Crops proc. &amp; prod. AMORTIZED'!DQ134</f>
        <v>269.00449749014575</v>
      </c>
      <c r="BG140" s="192">
        <f>44/12*'Crops proc. &amp; prod. AMORTIZED'!DR134</f>
        <v>8.9062009029037448</v>
      </c>
      <c r="BH140" s="316">
        <f t="shared" ref="BH140" si="579">(BJ140+BL140)/2</f>
        <v>297.84161431037035</v>
      </c>
      <c r="BI140" s="189">
        <f t="shared" ref="BI140" si="580">(BK140+BM140)/2</f>
        <v>9.8609401665877439</v>
      </c>
      <c r="BJ140" s="193">
        <f>44/12*'Crops proc. &amp; prod. AMORTIZED'!CO134</f>
        <v>323.82069137759686</v>
      </c>
      <c r="BK140" s="192">
        <f>44/12*'Crops proc. &amp; prod. AMORTIZED'!CP134</f>
        <v>10.72105545012948</v>
      </c>
      <c r="BL140" s="193">
        <f>44/12*'Crops proc. &amp; prod. AMORTIZED'!EE134</f>
        <v>271.86253724314383</v>
      </c>
      <c r="BM140" s="192">
        <f>44/12*'Crops proc. &amp; prod. AMORTIZED'!EF134</f>
        <v>9.0008248830460076</v>
      </c>
      <c r="BN140" s="311">
        <f t="shared" ref="BN140" si="581">(BP140+BR140)/2</f>
        <v>229.30423173984542</v>
      </c>
      <c r="BO140" s="189">
        <f t="shared" ref="BO140" si="582">(BQ140+BS140)/2</f>
        <v>7.5918045044428029</v>
      </c>
      <c r="BP140" s="193">
        <f>44/12*'Crops proc. &amp; prod. AMORTIZED'!DC134</f>
        <v>240.59600752343727</v>
      </c>
      <c r="BQ140" s="192">
        <f>44/12*'Crops proc. &amp; prod. AMORTIZED'!DD134</f>
        <v>7.9656526170859614</v>
      </c>
      <c r="BR140" s="193">
        <f>44/12*'Crops proc. &amp; prod. AMORTIZED'!ES134</f>
        <v>218.01245595625358</v>
      </c>
      <c r="BS140" s="192">
        <f>44/12*'Crops proc. &amp; prod. AMORTIZED'!ET134</f>
        <v>7.2179563917996443</v>
      </c>
      <c r="BT140" s="310">
        <f>'Crops proc. &amp; prod. AMORTIZED'!HD134</f>
        <v>8.3646172275241142</v>
      </c>
      <c r="BU140" s="192">
        <f>'Crops proc. &amp; prod. AMORTIZED'!HE134</f>
        <v>0.27693574716886843</v>
      </c>
      <c r="BV140" s="311">
        <f>'Crops proc. &amp; prod. AMORTIZED'!IZ134</f>
        <v>27.488264342860891</v>
      </c>
      <c r="BW140" s="192">
        <f>'Crops proc. &amp; prod. AMORTIZED'!JA134</f>
        <v>0.91008145586343836</v>
      </c>
      <c r="BX140" s="221">
        <f>'Crops proc. &amp; prod. AMORTIZED'!MR134</f>
        <v>88</v>
      </c>
      <c r="BY140" s="421">
        <f>BB140+BT140+BV140-BX140</f>
        <v>242.05683573504257</v>
      </c>
      <c r="BZ140" s="309">
        <f>BY140*'Crops proc. &amp; prod. AMORTIZED'!$NZ134/10^3</f>
        <v>8.0140177175157898</v>
      </c>
      <c r="CA140" s="421">
        <f t="shared" ref="CA140" si="583">BD140+BT140+BV140-BX140</f>
        <v>267.25629240955436</v>
      </c>
      <c r="CB140" s="309">
        <f>CA140*'Crops proc. &amp; prod. AMORTIZED'!$NZ134/10^3</f>
        <v>8.8483213290955263</v>
      </c>
    </row>
    <row r="141" spans="1:80" x14ac:dyDescent="0.25">
      <c r="A141" s="219" t="s">
        <v>520</v>
      </c>
      <c r="AQ141" s="189"/>
      <c r="AR141" s="188"/>
      <c r="AS141" s="189"/>
      <c r="AT141" s="189"/>
      <c r="AU141" s="189"/>
      <c r="AV141" s="189"/>
      <c r="AW141" s="189"/>
      <c r="AX141" s="189"/>
      <c r="AY141" s="189"/>
      <c r="AZ141" s="189"/>
      <c r="BA141" s="189"/>
      <c r="BB141" s="317">
        <f t="shared" ref="BB141:BB142" si="584">(BD141+BF141)/2</f>
        <v>172.77394892490642</v>
      </c>
      <c r="BC141" s="189">
        <f t="shared" ref="BC141:BC142" si="585">(BE141+BG141)/2</f>
        <v>5.7201999010058024</v>
      </c>
      <c r="BD141" s="193">
        <f>44/12*'Crops proc. &amp; prod. AMORTIZED'!CA139</f>
        <v>195.13942071270472</v>
      </c>
      <c r="BE141" s="192">
        <f>44/12*'Crops proc. &amp; prod. AMORTIZED'!CB139</f>
        <v>6.4606759409562287</v>
      </c>
      <c r="BF141" s="193">
        <f>44/12*'Crops proc. &amp; prod. AMORTIZED'!DQ139</f>
        <v>150.40847713710812</v>
      </c>
      <c r="BG141" s="192">
        <f>44/12*'Crops proc. &amp; prod. AMORTIZED'!DR139</f>
        <v>4.9797238610553762</v>
      </c>
      <c r="BH141" s="316">
        <f t="shared" ref="BH141" si="586">(BJ141+BL141)/2</f>
        <v>172.77394892490645</v>
      </c>
      <c r="BI141" s="189">
        <f t="shared" ref="BI141" si="587">(BK141+BM141)/2</f>
        <v>5.7201999010058042</v>
      </c>
      <c r="BJ141" s="193">
        <f>44/12*'Crops proc. &amp; prod. AMORTIZED'!CO139</f>
        <v>195.13942071270478</v>
      </c>
      <c r="BK141" s="192">
        <f>44/12*'Crops proc. &amp; prod. AMORTIZED'!CP139</f>
        <v>6.4606759409562313</v>
      </c>
      <c r="BL141" s="193">
        <f>44/12*'Crops proc. &amp; prod. AMORTIZED'!EE139</f>
        <v>150.40847713710812</v>
      </c>
      <c r="BM141" s="192">
        <f>44/12*'Crops proc. &amp; prod. AMORTIZED'!EF139</f>
        <v>4.9797238610553762</v>
      </c>
      <c r="BN141" s="311">
        <f t="shared" ref="BN141" si="588">(BP141+BR141)/2</f>
        <v>123.96850245087737</v>
      </c>
      <c r="BO141" s="189">
        <f t="shared" ref="BO141" si="589">(BQ141+BS141)/2</f>
        <v>4.1043491791436484</v>
      </c>
      <c r="BP141" s="193">
        <f>44/12*'Crops proc. &amp; prod. AMORTIZED'!DC139</f>
        <v>100.63293389750747</v>
      </c>
      <c r="BQ141" s="192">
        <f>44/12*'Crops proc. &amp; prod. AMORTIZED'!DD139</f>
        <v>3.3317551754786781</v>
      </c>
      <c r="BR141" s="193">
        <f>44/12*'Crops proc. &amp; prod. AMORTIZED'!ES139</f>
        <v>147.30407100424728</v>
      </c>
      <c r="BS141" s="192">
        <f>44/12*'Crops proc. &amp; prod. AMORTIZED'!ET139</f>
        <v>4.8769431828086187</v>
      </c>
      <c r="BT141" s="311">
        <f>'Crops proc. &amp; prod. AMORTIZED'!HD139</f>
        <v>62.606152568380544</v>
      </c>
      <c r="BU141" s="192">
        <f>'Crops proc. &amp; prod. AMORTIZED'!HE139</f>
        <v>2.0727644992339433</v>
      </c>
      <c r="BV141" s="311">
        <f>'Crops proc. &amp; prod. AMORTIZED'!IZ139</f>
        <v>54.506155439170442</v>
      </c>
      <c r="BW141" s="192">
        <f>'Crops proc. &amp; prod. AMORTIZED'!JA139</f>
        <v>1.8045897942800551</v>
      </c>
      <c r="BX141" s="221">
        <f>'Crops proc. &amp; prod. AMORTIZED'!MR139</f>
        <v>88</v>
      </c>
      <c r="BY141" s="421">
        <f>BB141+BT141+BV141-BX141</f>
        <v>201.8862569324574</v>
      </c>
      <c r="BZ141" s="309">
        <f>BY141*'Crops proc. &amp; prod. AMORTIZED'!$NZ139/10^3</f>
        <v>6.6840501945198003</v>
      </c>
      <c r="CA141" s="421">
        <f t="shared" ref="CA141:CA142" si="590">BD141+BT141+BV141-BX141</f>
        <v>224.25172872025576</v>
      </c>
      <c r="CB141" s="309">
        <f>CA141*'Crops proc. &amp; prod. AMORTIZED'!$NZ139/10^3</f>
        <v>7.4245262344702283</v>
      </c>
    </row>
    <row r="142" spans="1:80" x14ac:dyDescent="0.25">
      <c r="A142" s="219" t="s">
        <v>521</v>
      </c>
      <c r="AQ142" s="189"/>
      <c r="AR142" s="188"/>
      <c r="AS142" s="189"/>
      <c r="AT142" s="189"/>
      <c r="AU142" s="189"/>
      <c r="AV142" s="189"/>
      <c r="AW142" s="189"/>
      <c r="AX142" s="189"/>
      <c r="AY142" s="189"/>
      <c r="AZ142" s="189"/>
      <c r="BA142" s="189"/>
      <c r="BB142" s="317">
        <f t="shared" si="584"/>
        <v>228.94904526256005</v>
      </c>
      <c r="BC142" s="189">
        <f t="shared" si="585"/>
        <v>7.5800449905528389</v>
      </c>
      <c r="BD142" s="193">
        <f>44/12*'Crops proc. &amp; prod. AMORTIZED'!CA145</f>
        <v>246.96782534553819</v>
      </c>
      <c r="BE142" s="192">
        <f>44/12*'Crops proc. &amp; prod. AMORTIZED'!CB145</f>
        <v>8.1766107615400792</v>
      </c>
      <c r="BF142" s="193">
        <f>44/12*'Crops proc. &amp; prod. AMORTIZED'!DQ145</f>
        <v>210.93026517958188</v>
      </c>
      <c r="BG142" s="192">
        <f>44/12*'Crops proc. &amp; prod. AMORTIZED'!DR145</f>
        <v>6.9834792195655986</v>
      </c>
      <c r="BH142" s="316">
        <f t="shared" ref="BH142" si="591">(BJ142+BL142)/2</f>
        <v>236.38080420691483</v>
      </c>
      <c r="BI142" s="189">
        <f t="shared" ref="BI142" si="592">(BK142+BM142)/2</f>
        <v>7.8260956656825362</v>
      </c>
      <c r="BJ142" s="193">
        <f>44/12*'Crops proc. &amp; prod. AMORTIZED'!CO145</f>
        <v>255.03304384616112</v>
      </c>
      <c r="BK142" s="192">
        <f>44/12*'Crops proc. &amp; prod. AMORTIZED'!CP145</f>
        <v>8.4436340156587022</v>
      </c>
      <c r="BL142" s="193">
        <f>44/12*'Crops proc. &amp; prod. AMORTIZED'!EE145</f>
        <v>217.72856456766854</v>
      </c>
      <c r="BM142" s="192">
        <f>44/12*'Crops proc. &amp; prod. AMORTIZED'!EF145</f>
        <v>7.2085573157063703</v>
      </c>
      <c r="BN142" s="311">
        <f t="shared" ref="BN142" si="593">(BP142+BR142)/2</f>
        <v>182.31003065732213</v>
      </c>
      <c r="BO142" s="189">
        <f t="shared" ref="BO142" si="594">(BQ142+BS142)/2</f>
        <v>6.0359204950026211</v>
      </c>
      <c r="BP142" s="193">
        <f>44/12*'Crops proc. &amp; prod. AMORTIZED'!DC145</f>
        <v>195.88849353410663</v>
      </c>
      <c r="BQ142" s="192">
        <f>44/12*'Crops proc. &amp; prod. AMORTIZED'!DD145</f>
        <v>6.4854762439272022</v>
      </c>
      <c r="BR142" s="193">
        <f>44/12*'Crops proc. &amp; prod. AMORTIZED'!ES145</f>
        <v>168.73156778053763</v>
      </c>
      <c r="BS142" s="192">
        <f>44/12*'Crops proc. &amp; prod. AMORTIZED'!ET145</f>
        <v>5.5863647460780399</v>
      </c>
      <c r="BT142" s="311">
        <f>'Crops proc. &amp; prod. AMORTIZED'!HD145</f>
        <v>25.567619111068396</v>
      </c>
      <c r="BU142" s="192">
        <f>'Crops proc. &amp; prod. AMORTIZED'!HE145</f>
        <v>0.84649273352925258</v>
      </c>
      <c r="BV142" s="311">
        <f>'Crops proc. &amp; prod. AMORTIZED'!IZ145</f>
        <v>55.085404480732507</v>
      </c>
      <c r="BW142" s="192">
        <f>'Crops proc. &amp; prod. AMORTIZED'!JA145</f>
        <v>1.8237675715480921</v>
      </c>
      <c r="BX142" s="221">
        <f>'Crops proc. &amp; prod. AMORTIZED'!MR145</f>
        <v>88</v>
      </c>
      <c r="BY142" s="421">
        <f>BB142+BT142+BV142-BX142</f>
        <v>221.60206885436094</v>
      </c>
      <c r="BZ142" s="309">
        <f>BY142*'Crops proc. &amp; prod. AMORTIZED'!$NZ145/10^3</f>
        <v>7.3368012956301829</v>
      </c>
      <c r="CA142" s="421">
        <f t="shared" si="590"/>
        <v>239.62084893733908</v>
      </c>
      <c r="CB142" s="309">
        <f>CA142*'Crops proc. &amp; prod. AMORTIZED'!$NZ145/10^3</f>
        <v>7.9333670666174232</v>
      </c>
    </row>
    <row r="143" spans="1:80" x14ac:dyDescent="0.25">
      <c r="A143" s="219"/>
    </row>
  </sheetData>
  <mergeCells count="18">
    <mergeCell ref="F4:I4"/>
    <mergeCell ref="J4:M4"/>
    <mergeCell ref="R4:U4"/>
    <mergeCell ref="V4:Y4"/>
    <mergeCell ref="BL4:BM4"/>
    <mergeCell ref="BD4:BE4"/>
    <mergeCell ref="BF4:BG4"/>
    <mergeCell ref="BH4:BI4"/>
    <mergeCell ref="BJ4:BK4"/>
    <mergeCell ref="CA4:CB4"/>
    <mergeCell ref="BY4:BZ4"/>
    <mergeCell ref="BB4:BC4"/>
    <mergeCell ref="AD4:AG4"/>
    <mergeCell ref="AH4:AK4"/>
    <mergeCell ref="BP4:BQ4"/>
    <mergeCell ref="BR4:BS4"/>
    <mergeCell ref="BN4:BO4"/>
    <mergeCell ref="AX4:BA4"/>
  </mergeCells>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Q164"/>
  <sheetViews>
    <sheetView zoomScaleNormal="100" workbookViewId="0">
      <pane xSplit="1" ySplit="6" topLeftCell="JK7" activePane="bottomRight" state="frozen"/>
      <selection activeCell="Q6" sqref="Q6"/>
      <selection pane="topRight" activeCell="Q6" sqref="Q6"/>
      <selection pane="bottomLeft" activeCell="Q6" sqref="Q6"/>
      <selection pane="bottomRight" activeCell="JK24" sqref="JK24"/>
    </sheetView>
  </sheetViews>
  <sheetFormatPr defaultColWidth="9.109375" defaultRowHeight="12" x14ac:dyDescent="0.25"/>
  <cols>
    <col min="1" max="1" width="27.6640625" style="37" customWidth="1"/>
    <col min="2" max="5" width="5.6640625" style="37" customWidth="1"/>
    <col min="6" max="12" width="5.33203125" style="37" customWidth="1"/>
    <col min="13" max="17" width="5.33203125" style="26" customWidth="1"/>
    <col min="18" max="20" width="5.33203125" style="37" customWidth="1"/>
    <col min="21" max="21" width="5.33203125" style="74" customWidth="1"/>
    <col min="22" max="22" width="5.33203125" style="37" customWidth="1"/>
    <col min="23" max="23" width="6.109375" style="37" customWidth="1"/>
    <col min="24" max="55" width="5.33203125" style="37" customWidth="1"/>
    <col min="56" max="58" width="4.6640625" style="74" customWidth="1"/>
    <col min="59" max="62" width="4.6640625" style="37" customWidth="1"/>
    <col min="63" max="63" width="4.6640625" style="74" customWidth="1"/>
    <col min="64" max="72" width="5.33203125" style="133" customWidth="1"/>
    <col min="73" max="73" width="4.6640625" style="74" customWidth="1"/>
    <col min="74" max="82" width="5.33203125" style="133" customWidth="1"/>
    <col min="83" max="84" width="4.6640625" style="74" customWidth="1"/>
    <col min="85" max="93" width="5.33203125" style="133" customWidth="1"/>
    <col min="94" max="94" width="4.6640625" style="74" customWidth="1"/>
    <col min="95" max="103" width="5.33203125" style="133" customWidth="1"/>
    <col min="104" max="106" width="4.6640625" style="74" customWidth="1"/>
    <col min="107" max="109" width="4.6640625" style="37" customWidth="1"/>
    <col min="110" max="110" width="6.109375" style="37" customWidth="1"/>
    <col min="111" max="113" width="4.6640625" style="37" customWidth="1"/>
    <col min="114" max="115" width="6.109375" style="37" customWidth="1"/>
    <col min="116" max="117" width="6.109375" style="54" customWidth="1"/>
    <col min="118" max="120" width="4.6640625" style="37" customWidth="1"/>
    <col min="121" max="122" width="6.109375" style="37" customWidth="1"/>
    <col min="123" max="125" width="4.6640625" style="74" customWidth="1"/>
    <col min="126" max="138" width="4.6640625" style="37" customWidth="1"/>
    <col min="139" max="139" width="4.6640625" style="54" customWidth="1"/>
    <col min="140" max="140" width="4.88671875" style="37" customWidth="1"/>
    <col min="141" max="142" width="4.6640625" style="74" customWidth="1"/>
    <col min="143" max="151" width="4.6640625" style="115" customWidth="1"/>
    <col min="152" max="152" width="4.6640625" style="37" customWidth="1"/>
    <col min="153" max="159" width="4.6640625" style="74" customWidth="1"/>
    <col min="160" max="161" width="4.6640625" style="37" customWidth="1"/>
    <col min="162" max="162" width="4.88671875" style="37" customWidth="1"/>
    <col min="163" max="173" width="4.6640625" style="74" customWidth="1"/>
    <col min="174" max="174" width="4.6640625" style="37" customWidth="1"/>
    <col min="175" max="181" width="4.6640625" style="74" customWidth="1"/>
    <col min="182" max="182" width="6.6640625" style="37" customWidth="1"/>
    <col min="183" max="184" width="7.33203125" style="37" customWidth="1"/>
    <col min="185" max="197" width="4.6640625" style="37" customWidth="1"/>
    <col min="198" max="199" width="6.6640625" style="37" customWidth="1"/>
    <col min="200" max="200" width="6.6640625" style="115" customWidth="1"/>
    <col min="201" max="210" width="4.6640625" style="115" customWidth="1"/>
    <col min="211" max="212" width="6.6640625" style="37" customWidth="1"/>
    <col min="213" max="213" width="5.6640625" style="37" customWidth="1"/>
    <col min="214" max="214" width="4.6640625" style="37" customWidth="1"/>
    <col min="215" max="215" width="4.6640625" style="335" customWidth="1"/>
    <col min="216" max="218" width="4.6640625" style="37" customWidth="1"/>
    <col min="219" max="219" width="4.6640625" style="335" customWidth="1"/>
    <col min="220" max="222" width="4.6640625" style="37" customWidth="1"/>
    <col min="223" max="223" width="4.6640625" style="335" customWidth="1"/>
    <col min="224" max="231" width="4.6640625" style="37" customWidth="1"/>
    <col min="232" max="238" width="4.6640625" style="74" customWidth="1"/>
    <col min="239" max="246" width="4.6640625" style="37" customWidth="1"/>
    <col min="247" max="249" width="7.6640625" style="74" customWidth="1"/>
    <col min="250" max="250" width="5.6640625" style="115" customWidth="1"/>
    <col min="251" max="254" width="5.33203125" style="37" customWidth="1"/>
    <col min="255" max="255" width="7.6640625" style="74" customWidth="1"/>
    <col min="256" max="256" width="5.33203125" style="54" customWidth="1"/>
    <col min="257" max="257" width="5.33203125" style="74" customWidth="1"/>
    <col min="258" max="258" width="5.6640625" style="74" customWidth="1"/>
    <col min="259" max="262" width="6.6640625" style="74" customWidth="1"/>
    <col min="263" max="264" width="5.33203125" style="74" customWidth="1"/>
    <col min="265" max="265" width="5.6640625" style="74" customWidth="1"/>
    <col min="266" max="269" width="6.6640625" style="74" customWidth="1"/>
    <col min="270" max="278" width="6.6640625" style="115" customWidth="1"/>
    <col min="279" max="279" width="4.6640625" style="115" customWidth="1"/>
    <col min="280" max="284" width="6.6640625" style="115" customWidth="1"/>
    <col min="285" max="285" width="5.33203125" style="443" customWidth="1"/>
    <col min="286" max="286" width="5.33203125" style="37" customWidth="1"/>
    <col min="287" max="287" width="5.33203125" style="74" customWidth="1"/>
    <col min="288" max="288" width="5.33203125" style="115" customWidth="1"/>
    <col min="289" max="294" width="4.6640625" style="54" customWidth="1"/>
    <col min="295" max="302" width="7.33203125" style="37" customWidth="1"/>
    <col min="303" max="305" width="5.33203125" style="74" customWidth="1"/>
    <col min="306" max="320" width="5.33203125" style="37" customWidth="1"/>
    <col min="321" max="407" width="5.6640625" style="37" customWidth="1"/>
    <col min="408" max="16384" width="9.109375" style="37"/>
  </cols>
  <sheetData>
    <row r="1" spans="1:329" s="58" customFormat="1" ht="20.100000000000001" customHeight="1" x14ac:dyDescent="0.3">
      <c r="A1" s="17" t="s">
        <v>992</v>
      </c>
      <c r="M1" s="271"/>
      <c r="N1" s="271"/>
      <c r="O1" s="271"/>
      <c r="P1" s="271"/>
      <c r="Q1" s="271"/>
      <c r="AJ1" s="564"/>
      <c r="AL1" s="95"/>
      <c r="AM1" s="95"/>
      <c r="AN1" s="95"/>
      <c r="AO1" s="95"/>
      <c r="AP1" s="95"/>
      <c r="AQ1" s="95"/>
      <c r="AR1" s="95"/>
      <c r="AS1" s="95"/>
      <c r="AT1" s="95"/>
      <c r="AU1" s="95"/>
      <c r="AV1" s="95"/>
      <c r="AW1" s="95"/>
      <c r="AX1" s="95"/>
      <c r="AY1" s="95"/>
      <c r="AZ1" s="95"/>
      <c r="BA1" s="95"/>
      <c r="BB1" s="95"/>
      <c r="BC1" s="95"/>
      <c r="BD1" s="271"/>
      <c r="BE1" s="271"/>
      <c r="BF1" s="271"/>
      <c r="BG1" s="565"/>
      <c r="BH1" s="565"/>
      <c r="BI1" s="56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271"/>
      <c r="DA1" s="271"/>
      <c r="DB1" s="271"/>
      <c r="DF1" s="65"/>
      <c r="DG1" s="65"/>
      <c r="DH1" s="545"/>
      <c r="DI1" s="545"/>
      <c r="DJ1" s="65"/>
      <c r="DK1" s="65"/>
      <c r="DL1" s="95"/>
      <c r="DM1" s="566"/>
      <c r="DN1" s="65"/>
      <c r="DO1" s="545"/>
      <c r="DP1" s="65"/>
      <c r="DQ1" s="65"/>
      <c r="DR1" s="65"/>
      <c r="EI1" s="95"/>
      <c r="EN1" s="271"/>
      <c r="EO1" s="271"/>
      <c r="EP1" s="271"/>
      <c r="EQ1" s="271"/>
      <c r="ER1" s="271"/>
      <c r="ES1" s="271"/>
      <c r="ET1" s="271"/>
      <c r="EU1" s="271"/>
      <c r="GD1" s="513"/>
      <c r="GF1" s="513"/>
      <c r="GG1" s="513"/>
      <c r="GH1" s="513"/>
      <c r="GI1" s="513"/>
      <c r="GJ1" s="513"/>
      <c r="GK1" s="513"/>
      <c r="GL1" s="513"/>
      <c r="GM1" s="513"/>
      <c r="GN1" s="513"/>
      <c r="GO1" s="513"/>
      <c r="GR1" s="271"/>
      <c r="GS1" s="271"/>
      <c r="GT1" s="271"/>
      <c r="GU1" s="271"/>
      <c r="GV1" s="271"/>
      <c r="GW1" s="271"/>
      <c r="GX1" s="271"/>
      <c r="GY1" s="271"/>
      <c r="GZ1" s="271"/>
      <c r="HA1" s="271"/>
      <c r="HB1" s="271"/>
      <c r="HK1" s="514"/>
      <c r="HO1" s="514"/>
      <c r="HR1" s="513"/>
      <c r="IP1" s="271"/>
      <c r="JJ1" s="271"/>
      <c r="JK1" s="271"/>
      <c r="JL1" s="271"/>
      <c r="JM1" s="271"/>
      <c r="JN1" s="271"/>
      <c r="JO1" s="271"/>
      <c r="JP1" s="271"/>
      <c r="JQ1" s="271"/>
      <c r="JR1" s="271"/>
      <c r="JS1" s="271"/>
      <c r="KB1" s="271"/>
      <c r="KC1" s="95"/>
      <c r="KD1" s="95"/>
      <c r="KF1" s="95"/>
      <c r="KG1" s="95"/>
      <c r="KH1" s="95"/>
      <c r="KZ1" s="513"/>
      <c r="LA1" s="513"/>
      <c r="LB1" s="513"/>
    </row>
    <row r="2" spans="1:329" s="19" customFormat="1" ht="18" customHeight="1" x14ac:dyDescent="0.3">
      <c r="A2" s="19" t="s">
        <v>87</v>
      </c>
      <c r="B2" s="18" t="s">
        <v>38</v>
      </c>
      <c r="C2" s="18"/>
      <c r="D2" s="18"/>
      <c r="E2" s="18"/>
      <c r="F2" s="18" t="s">
        <v>64</v>
      </c>
      <c r="G2" s="18"/>
      <c r="H2" s="18"/>
      <c r="I2" s="18"/>
      <c r="J2" s="18"/>
      <c r="K2" s="18"/>
      <c r="L2" s="18"/>
      <c r="M2" s="498"/>
      <c r="N2" s="498"/>
      <c r="O2" s="498"/>
      <c r="P2" s="498"/>
      <c r="Q2" s="498"/>
      <c r="R2" s="18" t="s">
        <v>337</v>
      </c>
      <c r="S2" s="18"/>
      <c r="T2" s="18"/>
      <c r="U2" s="18" t="s">
        <v>483</v>
      </c>
      <c r="V2" s="18"/>
      <c r="W2" s="18"/>
      <c r="X2" s="18"/>
      <c r="Y2" s="18"/>
      <c r="Z2" s="18"/>
      <c r="AA2" s="18"/>
      <c r="AB2" s="18"/>
      <c r="AC2" s="18" t="s">
        <v>889</v>
      </c>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t="s">
        <v>871</v>
      </c>
      <c r="BE2" s="18"/>
      <c r="BF2" s="18"/>
      <c r="BG2" s="18"/>
      <c r="BH2" s="18"/>
      <c r="BI2" s="18"/>
      <c r="BJ2" s="18"/>
      <c r="BK2" s="18"/>
      <c r="BL2" s="92"/>
      <c r="BM2" s="92"/>
      <c r="BN2" s="92"/>
      <c r="BO2" s="92"/>
      <c r="BP2" s="92"/>
      <c r="BQ2" s="92"/>
      <c r="BR2" s="92"/>
      <c r="BS2" s="92"/>
      <c r="BT2" s="92"/>
      <c r="BU2" s="18"/>
      <c r="BV2" s="92"/>
      <c r="BW2" s="92"/>
      <c r="BX2" s="92"/>
      <c r="BY2" s="92"/>
      <c r="BZ2" s="92"/>
      <c r="CA2" s="92"/>
      <c r="CB2" s="92"/>
      <c r="CC2" s="92"/>
      <c r="CD2" s="92"/>
      <c r="CE2" s="18"/>
      <c r="CF2" s="18"/>
      <c r="CG2" s="92"/>
      <c r="CH2" s="92"/>
      <c r="CI2" s="92"/>
      <c r="CJ2" s="92"/>
      <c r="CK2" s="92"/>
      <c r="CL2" s="92"/>
      <c r="CM2" s="92"/>
      <c r="CN2" s="92"/>
      <c r="CO2" s="92"/>
      <c r="CP2" s="18"/>
      <c r="CQ2" s="92"/>
      <c r="CR2" s="92"/>
      <c r="CS2" s="92"/>
      <c r="CT2" s="92"/>
      <c r="CU2" s="92"/>
      <c r="CV2" s="92"/>
      <c r="CW2" s="92"/>
      <c r="CX2" s="92"/>
      <c r="CY2" s="92"/>
      <c r="CZ2" s="18"/>
      <c r="DA2" s="18"/>
      <c r="DB2" s="18"/>
      <c r="DC2" s="18"/>
      <c r="DD2" s="18"/>
      <c r="DE2" s="18"/>
      <c r="DF2" s="18"/>
      <c r="DG2" s="18"/>
      <c r="DH2" s="256"/>
      <c r="DI2" s="18"/>
      <c r="DJ2" s="18"/>
      <c r="DK2" s="567"/>
      <c r="DL2" s="92"/>
      <c r="DM2" s="92"/>
      <c r="DN2" s="18"/>
      <c r="DO2" s="18"/>
      <c r="DP2" s="18"/>
      <c r="DQ2" s="18"/>
      <c r="DR2" s="18"/>
      <c r="DS2" s="18" t="s">
        <v>904</v>
      </c>
      <c r="DT2" s="18"/>
      <c r="DU2" s="18"/>
      <c r="DV2" s="18"/>
      <c r="DW2" s="18"/>
      <c r="DX2" s="18"/>
      <c r="DY2" s="18"/>
      <c r="DZ2" s="18"/>
      <c r="EA2" s="18"/>
      <c r="EB2" s="18"/>
      <c r="EC2" s="18"/>
      <c r="ED2" s="18"/>
      <c r="EE2" s="18"/>
      <c r="EF2" s="18"/>
      <c r="EG2" s="18"/>
      <c r="EH2" s="18"/>
      <c r="EI2" s="92"/>
      <c r="EJ2" s="18"/>
      <c r="EK2" s="18"/>
      <c r="EL2" s="18"/>
      <c r="EM2" s="498"/>
      <c r="EN2" s="498"/>
      <c r="EO2" s="498"/>
      <c r="EP2" s="498"/>
      <c r="EQ2" s="498"/>
      <c r="ER2" s="498"/>
      <c r="ES2" s="498"/>
      <c r="ET2" s="498"/>
      <c r="EU2" s="498"/>
      <c r="EV2" s="18"/>
      <c r="EW2" s="18"/>
      <c r="EX2" s="18"/>
      <c r="EY2" s="18"/>
      <c r="EZ2" s="18"/>
      <c r="FA2" s="18"/>
      <c r="FB2" s="18"/>
      <c r="FC2" s="18"/>
      <c r="FD2" s="18"/>
      <c r="FE2" s="18"/>
      <c r="FF2" s="18"/>
      <c r="FG2" s="18"/>
      <c r="FH2" s="18"/>
      <c r="FI2" s="18"/>
      <c r="FJ2" s="18"/>
      <c r="FK2" s="18"/>
      <c r="FL2" s="18"/>
      <c r="FM2" s="18"/>
      <c r="FN2" s="18"/>
      <c r="FO2" s="18"/>
      <c r="FP2" s="18"/>
      <c r="FQ2" s="18"/>
      <c r="FR2" s="18"/>
      <c r="FS2" s="18"/>
      <c r="FT2" s="18"/>
      <c r="FU2" s="18"/>
      <c r="FV2" s="18"/>
      <c r="FW2" s="18"/>
      <c r="FX2" s="18"/>
      <c r="FY2" s="18"/>
      <c r="FZ2" s="18" t="s">
        <v>315</v>
      </c>
      <c r="GA2" s="18"/>
      <c r="GB2" s="18"/>
      <c r="GC2" s="18"/>
      <c r="GD2" s="18"/>
      <c r="GE2" s="18"/>
      <c r="GF2" s="18"/>
      <c r="GG2" s="18"/>
      <c r="GH2" s="18"/>
      <c r="GI2" s="18"/>
      <c r="GJ2" s="18"/>
      <c r="GK2" s="18"/>
      <c r="GL2" s="18"/>
      <c r="GM2" s="18"/>
      <c r="GN2" s="18"/>
      <c r="GO2" s="18"/>
      <c r="GP2" s="18" t="s">
        <v>390</v>
      </c>
      <c r="GQ2" s="18"/>
      <c r="GR2" s="498"/>
      <c r="GS2" s="498"/>
      <c r="GT2" s="498"/>
      <c r="GU2" s="498"/>
      <c r="GV2" s="498"/>
      <c r="GW2" s="498"/>
      <c r="GX2" s="498"/>
      <c r="GY2" s="498"/>
      <c r="GZ2" s="498"/>
      <c r="HA2" s="498"/>
      <c r="HB2" s="498"/>
      <c r="HC2" s="18"/>
      <c r="HD2" s="18"/>
      <c r="HE2" s="18"/>
      <c r="HF2" s="515" t="s">
        <v>359</v>
      </c>
      <c r="HG2" s="516"/>
      <c r="HH2" s="515"/>
      <c r="HI2" s="515"/>
      <c r="HJ2" s="515"/>
      <c r="HK2" s="516"/>
      <c r="HL2" s="515"/>
      <c r="HM2" s="515"/>
      <c r="HN2" s="515"/>
      <c r="HO2" s="516"/>
      <c r="HP2" s="515"/>
      <c r="HQ2" s="515"/>
      <c r="HR2" s="515"/>
      <c r="HS2" s="515"/>
      <c r="HT2" s="515"/>
      <c r="HU2" s="515"/>
      <c r="HV2" s="515"/>
      <c r="HW2" s="515"/>
      <c r="HX2" s="515"/>
      <c r="HY2" s="515"/>
      <c r="HZ2" s="515"/>
      <c r="IA2" s="515"/>
      <c r="IB2" s="515"/>
      <c r="IC2" s="515"/>
      <c r="ID2" s="517" t="s">
        <v>62</v>
      </c>
      <c r="IE2" s="517"/>
      <c r="IF2" s="517"/>
      <c r="IG2" s="517"/>
      <c r="IH2" s="517"/>
      <c r="II2" s="517"/>
      <c r="IJ2" s="517"/>
      <c r="IK2" s="517"/>
      <c r="IL2" s="517"/>
      <c r="IM2" s="165" t="s">
        <v>501</v>
      </c>
      <c r="IN2" s="165"/>
      <c r="IO2" s="165"/>
      <c r="IP2" s="568" t="s">
        <v>523</v>
      </c>
      <c r="IQ2" s="568"/>
      <c r="IR2" s="568"/>
      <c r="IS2" s="568"/>
      <c r="IT2" s="568"/>
      <c r="IU2" s="568"/>
      <c r="IV2" s="568"/>
      <c r="IW2" s="568"/>
      <c r="IX2" s="568"/>
      <c r="IY2" s="568"/>
      <c r="IZ2" s="568"/>
      <c r="JA2" s="568"/>
      <c r="JB2" s="568"/>
      <c r="JC2" s="568"/>
      <c r="JD2" s="568"/>
      <c r="JE2" s="568"/>
      <c r="JF2" s="568"/>
      <c r="JG2" s="568"/>
      <c r="JH2" s="568"/>
      <c r="JI2" s="568"/>
      <c r="JJ2" s="569"/>
      <c r="JK2" s="569"/>
      <c r="JL2" s="569"/>
      <c r="JM2" s="569"/>
      <c r="JN2" s="569"/>
      <c r="JO2" s="569"/>
      <c r="JP2" s="569"/>
      <c r="JQ2" s="569"/>
      <c r="JR2" s="569"/>
      <c r="JS2" s="570" t="s">
        <v>430</v>
      </c>
      <c r="JT2" s="478"/>
      <c r="JU2" s="478"/>
      <c r="JV2" s="478"/>
      <c r="JW2" s="478"/>
      <c r="JX2" s="478"/>
      <c r="JY2" s="478"/>
      <c r="JZ2" s="478"/>
      <c r="KA2" s="478"/>
      <c r="KB2" s="478"/>
      <c r="KC2" s="478"/>
      <c r="KD2" s="478"/>
      <c r="KE2" s="478"/>
      <c r="KF2" s="478"/>
      <c r="KG2" s="478"/>
      <c r="KH2" s="478"/>
      <c r="KI2" s="177"/>
      <c r="KJ2" s="177"/>
      <c r="KK2" s="177"/>
      <c r="KL2" s="177"/>
      <c r="KM2" s="177"/>
      <c r="KN2" s="177"/>
      <c r="KO2" s="177"/>
      <c r="KP2" s="177"/>
      <c r="KQ2" s="571" t="s">
        <v>502</v>
      </c>
      <c r="KR2" s="571"/>
      <c r="KS2" s="571"/>
      <c r="KT2" s="571"/>
      <c r="KU2" s="571"/>
      <c r="KV2" s="571"/>
      <c r="KW2" s="571"/>
      <c r="KX2" s="571"/>
      <c r="KY2" s="571"/>
      <c r="KZ2" s="571"/>
      <c r="LA2" s="571"/>
      <c r="LB2" s="571"/>
      <c r="LC2" s="571"/>
      <c r="LD2" s="571"/>
      <c r="LE2" s="571"/>
      <c r="LF2" s="571"/>
      <c r="LG2" s="571"/>
      <c r="LH2" s="571"/>
      <c r="LI2" s="19" t="s">
        <v>88</v>
      </c>
    </row>
    <row r="3" spans="1:329" s="20" customFormat="1" ht="15" customHeight="1" x14ac:dyDescent="0.3">
      <c r="A3" s="572"/>
      <c r="F3" s="20" t="s">
        <v>939</v>
      </c>
      <c r="L3" s="20" t="s">
        <v>940</v>
      </c>
      <c r="M3" s="499"/>
      <c r="N3" s="499"/>
      <c r="O3" s="499"/>
      <c r="P3" s="499"/>
      <c r="Q3" s="499"/>
      <c r="U3" s="65"/>
      <c r="BD3" s="20" t="s">
        <v>884</v>
      </c>
      <c r="BK3" s="65"/>
      <c r="BL3" s="95"/>
      <c r="BM3" s="95"/>
      <c r="BN3" s="95"/>
      <c r="BO3" s="95"/>
      <c r="BP3" s="95"/>
      <c r="BQ3" s="95"/>
      <c r="BR3" s="95"/>
      <c r="BS3" s="95"/>
      <c r="BT3" s="95"/>
      <c r="BU3" s="65"/>
      <c r="BV3" s="95"/>
      <c r="BW3" s="95"/>
      <c r="BX3" s="95"/>
      <c r="BY3" s="95"/>
      <c r="BZ3" s="95"/>
      <c r="CA3" s="95"/>
      <c r="CB3" s="95"/>
      <c r="CC3" s="95"/>
      <c r="CD3" s="95"/>
      <c r="CE3" s="65"/>
      <c r="CF3" s="65"/>
      <c r="CG3" s="95"/>
      <c r="CH3" s="95"/>
      <c r="CI3" s="95"/>
      <c r="CJ3" s="95"/>
      <c r="CK3" s="95"/>
      <c r="CL3" s="95"/>
      <c r="CM3" s="95"/>
      <c r="CN3" s="95"/>
      <c r="CO3" s="95"/>
      <c r="CP3" s="65"/>
      <c r="CQ3" s="95"/>
      <c r="CR3" s="95"/>
      <c r="CS3" s="95"/>
      <c r="CT3" s="95"/>
      <c r="CU3" s="95"/>
      <c r="CV3" s="95"/>
      <c r="CW3" s="95"/>
      <c r="CX3" s="95"/>
      <c r="CY3" s="95"/>
      <c r="CZ3" s="20" t="s">
        <v>47</v>
      </c>
      <c r="DL3" s="496"/>
      <c r="DM3" s="496"/>
      <c r="DS3" s="20" t="s">
        <v>925</v>
      </c>
      <c r="EE3" s="20" t="s">
        <v>922</v>
      </c>
      <c r="EI3" s="496"/>
      <c r="EK3" s="65"/>
      <c r="EL3" s="65"/>
      <c r="EM3" s="119"/>
      <c r="EN3" s="119"/>
      <c r="EO3" s="119"/>
      <c r="EP3" s="119"/>
      <c r="EQ3" s="119"/>
      <c r="ER3" s="119"/>
      <c r="ES3" s="119"/>
      <c r="ET3" s="119"/>
      <c r="EU3" s="119"/>
      <c r="EW3" s="65"/>
      <c r="EX3" s="65"/>
      <c r="EY3" s="65"/>
      <c r="EZ3" s="65"/>
      <c r="FA3" s="65"/>
      <c r="FB3" s="65"/>
      <c r="FC3" s="65"/>
      <c r="FG3" s="65"/>
      <c r="FH3" s="65"/>
      <c r="FI3" s="65"/>
      <c r="FJ3" s="65"/>
      <c r="FK3" s="65"/>
      <c r="FL3" s="65"/>
      <c r="FM3" s="65"/>
      <c r="FN3" s="65"/>
      <c r="FO3" s="65"/>
      <c r="FP3" s="65"/>
      <c r="FQ3" s="65"/>
      <c r="FS3" s="65"/>
      <c r="FT3" s="65"/>
      <c r="FU3" s="65"/>
      <c r="FV3" s="65"/>
      <c r="FW3" s="65"/>
      <c r="FX3" s="65"/>
      <c r="FY3" s="65"/>
      <c r="FZ3" s="20" t="s">
        <v>933</v>
      </c>
      <c r="GF3" s="20" t="s">
        <v>934</v>
      </c>
      <c r="GP3" s="20" t="s">
        <v>45</v>
      </c>
      <c r="GR3" s="119"/>
      <c r="GS3" s="119"/>
      <c r="GT3" s="119"/>
      <c r="GU3" s="119"/>
      <c r="GV3" s="119"/>
      <c r="GW3" s="119"/>
      <c r="GX3" s="119"/>
      <c r="GY3" s="119"/>
      <c r="GZ3" s="119"/>
      <c r="HA3" s="119"/>
      <c r="HB3" s="119"/>
      <c r="HC3" s="20" t="s">
        <v>398</v>
      </c>
      <c r="HF3" s="20" t="s">
        <v>513</v>
      </c>
      <c r="HG3" s="518"/>
      <c r="HK3" s="518"/>
      <c r="HO3" s="518"/>
      <c r="HR3" s="20" t="s">
        <v>499</v>
      </c>
      <c r="HX3" s="65"/>
      <c r="HY3" s="65"/>
      <c r="HZ3" s="65"/>
      <c r="IA3" s="65"/>
      <c r="IB3" s="65"/>
      <c r="IC3" s="65"/>
      <c r="IP3" s="65" t="s">
        <v>6</v>
      </c>
      <c r="IQ3" s="65" t="s">
        <v>363</v>
      </c>
      <c r="IR3" s="65"/>
      <c r="IS3" s="65"/>
      <c r="IT3" s="65"/>
      <c r="IV3" s="65"/>
      <c r="IW3" s="65"/>
      <c r="JC3" s="65"/>
      <c r="JD3" s="65"/>
      <c r="JE3" s="65"/>
      <c r="JF3" s="65"/>
      <c r="JG3" s="65"/>
      <c r="JH3" s="65"/>
      <c r="JI3" s="65"/>
      <c r="JJ3" s="119" t="s">
        <v>762</v>
      </c>
      <c r="JK3" s="119"/>
      <c r="JL3" s="119"/>
      <c r="JM3" s="119"/>
      <c r="JN3" s="119"/>
      <c r="JO3" s="119"/>
      <c r="JP3" s="119"/>
      <c r="JQ3" s="119"/>
      <c r="JR3" s="119"/>
      <c r="JS3" s="65" t="s">
        <v>848</v>
      </c>
      <c r="JT3" s="119"/>
      <c r="JU3" s="119"/>
      <c r="JW3" s="119"/>
      <c r="JX3" s="119"/>
      <c r="JY3" s="65" t="s">
        <v>363</v>
      </c>
      <c r="KQ3" s="20" t="s">
        <v>985</v>
      </c>
      <c r="KR3" s="65"/>
      <c r="KS3" s="65"/>
      <c r="KU3" s="25"/>
      <c r="KV3" s="25"/>
      <c r="KW3" s="25"/>
      <c r="KX3" s="25"/>
      <c r="KY3" s="25"/>
      <c r="KZ3" s="20" t="s">
        <v>499</v>
      </c>
      <c r="LA3" s="25"/>
      <c r="LB3" s="25"/>
      <c r="LD3" s="89"/>
      <c r="LE3" s="89"/>
      <c r="LF3" s="89"/>
      <c r="LG3" s="89"/>
      <c r="LH3" s="89"/>
    </row>
    <row r="4" spans="1:329" s="25" customFormat="1" ht="15" customHeight="1" x14ac:dyDescent="0.3">
      <c r="A4" s="572"/>
      <c r="B4" s="25" t="s">
        <v>6</v>
      </c>
      <c r="C4" s="25" t="s">
        <v>56</v>
      </c>
      <c r="D4" s="25" t="s">
        <v>57</v>
      </c>
      <c r="F4" s="25" t="s">
        <v>43</v>
      </c>
      <c r="H4" s="25" t="s">
        <v>39</v>
      </c>
      <c r="J4" s="25" t="s">
        <v>40</v>
      </c>
      <c r="L4" s="25" t="s">
        <v>43</v>
      </c>
      <c r="M4" s="500"/>
      <c r="N4" s="500" t="s">
        <v>39</v>
      </c>
      <c r="O4" s="500"/>
      <c r="P4" s="500" t="s">
        <v>40</v>
      </c>
      <c r="Q4" s="500"/>
      <c r="R4" s="25" t="s">
        <v>60</v>
      </c>
      <c r="S4" s="25" t="s">
        <v>56</v>
      </c>
      <c r="T4" s="25" t="s">
        <v>57</v>
      </c>
      <c r="U4" s="89" t="s">
        <v>6</v>
      </c>
      <c r="X4" s="25" t="s">
        <v>39</v>
      </c>
      <c r="Z4" s="25" t="s">
        <v>40</v>
      </c>
      <c r="AC4" s="25" t="s">
        <v>43</v>
      </c>
      <c r="AL4" s="25" t="s">
        <v>39</v>
      </c>
      <c r="AU4" s="25" t="s">
        <v>40</v>
      </c>
      <c r="BD4" s="89" t="s">
        <v>885</v>
      </c>
      <c r="BE4" s="89"/>
      <c r="BF4" s="89"/>
      <c r="BG4" s="25" t="s">
        <v>875</v>
      </c>
      <c r="BJ4" s="25" t="s">
        <v>965</v>
      </c>
      <c r="BK4" s="89"/>
      <c r="BL4" s="178"/>
      <c r="BM4" s="178"/>
      <c r="BN4" s="178"/>
      <c r="BO4" s="178"/>
      <c r="BP4" s="178"/>
      <c r="BQ4" s="178"/>
      <c r="BR4" s="178"/>
      <c r="BS4" s="178"/>
      <c r="BT4" s="178"/>
      <c r="BU4" s="89"/>
      <c r="BV4" s="178"/>
      <c r="BW4" s="178"/>
      <c r="BX4" s="178"/>
      <c r="BY4" s="178"/>
      <c r="BZ4" s="178"/>
      <c r="CA4" s="178"/>
      <c r="CB4" s="178"/>
      <c r="CC4" s="178"/>
      <c r="CD4" s="178"/>
      <c r="CE4" s="89" t="s">
        <v>966</v>
      </c>
      <c r="CF4" s="89"/>
      <c r="CG4" s="178"/>
      <c r="CH4" s="178"/>
      <c r="CI4" s="178"/>
      <c r="CJ4" s="178"/>
      <c r="CK4" s="178"/>
      <c r="CL4" s="178"/>
      <c r="CM4" s="178"/>
      <c r="CN4" s="178"/>
      <c r="CO4" s="178"/>
      <c r="CP4" s="89"/>
      <c r="CQ4" s="178"/>
      <c r="CR4" s="178"/>
      <c r="CS4" s="178"/>
      <c r="CT4" s="178"/>
      <c r="CU4" s="178"/>
      <c r="CV4" s="178"/>
      <c r="CW4" s="178"/>
      <c r="CX4" s="178"/>
      <c r="CY4" s="178"/>
      <c r="CZ4" s="89" t="s">
        <v>885</v>
      </c>
      <c r="DA4" s="89"/>
      <c r="DB4" s="89"/>
      <c r="DC4" s="25" t="s">
        <v>875</v>
      </c>
      <c r="DG4" s="25" t="s">
        <v>54</v>
      </c>
      <c r="DL4" s="93"/>
      <c r="DM4" s="93"/>
      <c r="DN4" s="25" t="s">
        <v>55</v>
      </c>
      <c r="DS4" s="89" t="s">
        <v>885</v>
      </c>
      <c r="DT4" s="89"/>
      <c r="DU4" s="89"/>
      <c r="DV4" s="25" t="s">
        <v>875</v>
      </c>
      <c r="DY4" s="25" t="s">
        <v>54</v>
      </c>
      <c r="EB4" s="25" t="s">
        <v>55</v>
      </c>
      <c r="EE4" s="25" t="s">
        <v>875</v>
      </c>
      <c r="EH4" s="25" t="s">
        <v>54</v>
      </c>
      <c r="EI4" s="93"/>
      <c r="EK4" s="89"/>
      <c r="EL4" s="89"/>
      <c r="EM4" s="180"/>
      <c r="EN4" s="180"/>
      <c r="EO4" s="180"/>
      <c r="EP4" s="180"/>
      <c r="EQ4" s="180"/>
      <c r="ER4" s="180"/>
      <c r="ES4" s="180"/>
      <c r="ET4" s="180"/>
      <c r="EU4" s="180"/>
      <c r="EW4" s="89"/>
      <c r="EX4" s="89"/>
      <c r="EY4" s="89"/>
      <c r="EZ4" s="89"/>
      <c r="FA4" s="89"/>
      <c r="FB4" s="89"/>
      <c r="FC4" s="89"/>
      <c r="FD4" s="25" t="s">
        <v>55</v>
      </c>
      <c r="FG4" s="89"/>
      <c r="FH4" s="89"/>
      <c r="FI4" s="89"/>
      <c r="FJ4" s="89"/>
      <c r="FK4" s="89"/>
      <c r="FL4" s="89"/>
      <c r="FM4" s="89"/>
      <c r="FN4" s="89"/>
      <c r="FO4" s="89"/>
      <c r="FP4" s="89"/>
      <c r="FQ4" s="89"/>
      <c r="FS4" s="89"/>
      <c r="FT4" s="89"/>
      <c r="FU4" s="89"/>
      <c r="FV4" s="89"/>
      <c r="FW4" s="89"/>
      <c r="FX4" s="89"/>
      <c r="FY4" s="89"/>
      <c r="FZ4" s="25" t="s">
        <v>927</v>
      </c>
      <c r="GC4" s="25" t="s">
        <v>43</v>
      </c>
      <c r="GF4" s="25" t="s">
        <v>935</v>
      </c>
      <c r="GK4" s="25" t="s">
        <v>936</v>
      </c>
      <c r="GP4" s="25" t="s">
        <v>938</v>
      </c>
      <c r="GS4" s="25" t="s">
        <v>937</v>
      </c>
      <c r="GT4" s="180"/>
      <c r="GU4" s="180"/>
      <c r="GV4" s="180"/>
      <c r="GW4" s="180"/>
      <c r="GX4" s="180"/>
      <c r="GY4" s="180"/>
      <c r="GZ4" s="180"/>
      <c r="HA4" s="180"/>
      <c r="HB4" s="180"/>
      <c r="HF4" s="25" t="s">
        <v>43</v>
      </c>
      <c r="HG4" s="519"/>
      <c r="HJ4" s="25" t="s">
        <v>54</v>
      </c>
      <c r="HK4" s="519"/>
      <c r="HN4" s="25" t="s">
        <v>55</v>
      </c>
      <c r="HO4" s="519"/>
      <c r="HR4" s="25" t="s">
        <v>43</v>
      </c>
      <c r="HV4" s="25" t="s">
        <v>54</v>
      </c>
      <c r="HZ4" s="25" t="s">
        <v>55</v>
      </c>
      <c r="IB4" s="89"/>
      <c r="IC4" s="89"/>
      <c r="ID4" s="25" t="s">
        <v>43</v>
      </c>
      <c r="IG4" s="25" t="s">
        <v>54</v>
      </c>
      <c r="IH4" s="89"/>
      <c r="IJ4" s="25" t="s">
        <v>55</v>
      </c>
      <c r="IM4" s="25" t="s">
        <v>500</v>
      </c>
      <c r="IP4" s="89" t="s">
        <v>46</v>
      </c>
      <c r="IQ4" s="89" t="s">
        <v>490</v>
      </c>
      <c r="IR4" s="89"/>
      <c r="IS4" s="89"/>
      <c r="IT4" s="89"/>
      <c r="IV4" s="89" t="s">
        <v>54</v>
      </c>
      <c r="IW4" s="89"/>
      <c r="JC4" s="25" t="s">
        <v>55</v>
      </c>
      <c r="JD4" s="89"/>
      <c r="JE4" s="89"/>
      <c r="JF4" s="89"/>
      <c r="JG4" s="89"/>
      <c r="JH4" s="89"/>
      <c r="JI4" s="89"/>
      <c r="JJ4" s="180"/>
      <c r="JK4" s="180"/>
      <c r="JL4" s="180"/>
      <c r="JM4" s="180"/>
      <c r="JN4" s="180"/>
      <c r="JO4" s="180"/>
      <c r="JP4" s="180"/>
      <c r="JQ4" s="180"/>
      <c r="JR4" s="180"/>
      <c r="JS4" s="89" t="s">
        <v>491</v>
      </c>
      <c r="JT4" s="180"/>
      <c r="JU4" s="180"/>
      <c r="JW4" s="180"/>
      <c r="JX4" s="180"/>
      <c r="JZ4" s="89"/>
      <c r="KA4" s="89"/>
      <c r="KB4" s="180"/>
      <c r="KC4" s="178"/>
      <c r="KD4" s="178"/>
      <c r="KE4" s="178"/>
      <c r="KF4" s="178"/>
      <c r="KG4" s="178"/>
      <c r="KH4" s="178"/>
      <c r="KI4" s="89"/>
      <c r="KJ4" s="89"/>
      <c r="KK4" s="89"/>
      <c r="KL4" s="89"/>
      <c r="KM4" s="89"/>
      <c r="KN4" s="89"/>
      <c r="KO4" s="89"/>
      <c r="KP4" s="89"/>
      <c r="KQ4" s="89" t="s">
        <v>43</v>
      </c>
      <c r="KR4" s="89"/>
      <c r="KS4" s="89"/>
      <c r="KT4" s="25" t="s">
        <v>54</v>
      </c>
      <c r="KW4" s="25" t="s">
        <v>58</v>
      </c>
      <c r="KZ4" s="89" t="s">
        <v>43</v>
      </c>
      <c r="LA4" s="89"/>
      <c r="LB4" s="89"/>
      <c r="LC4" s="25" t="s">
        <v>54</v>
      </c>
      <c r="LF4" s="25" t="s">
        <v>58</v>
      </c>
      <c r="LI4" s="94" t="s">
        <v>33</v>
      </c>
      <c r="LJ4" s="94" t="s">
        <v>127</v>
      </c>
      <c r="LK4" s="94"/>
      <c r="LL4" s="94" t="s">
        <v>130</v>
      </c>
      <c r="LM4" s="94"/>
      <c r="LN4" s="94" t="s">
        <v>16</v>
      </c>
      <c r="LP4" s="94" t="s">
        <v>387</v>
      </c>
    </row>
    <row r="5" spans="1:329" s="94" customFormat="1" ht="15" customHeight="1" x14ac:dyDescent="0.3">
      <c r="A5" s="573"/>
      <c r="M5" s="501"/>
      <c r="N5" s="501"/>
      <c r="O5" s="501"/>
      <c r="P5" s="501"/>
      <c r="Q5" s="501"/>
      <c r="U5" s="114"/>
      <c r="AC5" s="94" t="s">
        <v>899</v>
      </c>
      <c r="AL5" s="94" t="s">
        <v>899</v>
      </c>
      <c r="AU5" s="94" t="s">
        <v>899</v>
      </c>
      <c r="BD5" s="114"/>
      <c r="BE5" s="114"/>
      <c r="BF5" s="114"/>
      <c r="BJ5" s="94" t="s">
        <v>6</v>
      </c>
      <c r="BK5" s="114" t="s">
        <v>873</v>
      </c>
      <c r="BL5" s="95"/>
      <c r="BM5" s="95"/>
      <c r="BN5" s="95"/>
      <c r="BO5" s="95"/>
      <c r="BP5" s="95"/>
      <c r="BQ5" s="95"/>
      <c r="BR5" s="95"/>
      <c r="BS5" s="95"/>
      <c r="BT5" s="95"/>
      <c r="BU5" s="114" t="s">
        <v>874</v>
      </c>
      <c r="BV5" s="95"/>
      <c r="BW5" s="95"/>
      <c r="BX5" s="95"/>
      <c r="BY5" s="95"/>
      <c r="BZ5" s="95"/>
      <c r="CA5" s="95"/>
      <c r="CB5" s="95"/>
      <c r="CC5" s="95"/>
      <c r="CD5" s="95"/>
      <c r="CE5" s="114" t="s">
        <v>6</v>
      </c>
      <c r="CF5" s="114" t="s">
        <v>873</v>
      </c>
      <c r="CG5" s="95"/>
      <c r="CH5" s="95"/>
      <c r="CI5" s="95"/>
      <c r="CJ5" s="95"/>
      <c r="CK5" s="95"/>
      <c r="CL5" s="95"/>
      <c r="CM5" s="95"/>
      <c r="CN5" s="95"/>
      <c r="CO5" s="95"/>
      <c r="CP5" s="114" t="s">
        <v>874</v>
      </c>
      <c r="CQ5" s="95"/>
      <c r="CR5" s="95"/>
      <c r="CS5" s="95"/>
      <c r="CT5" s="95"/>
      <c r="CU5" s="95"/>
      <c r="CV5" s="95"/>
      <c r="CW5" s="95"/>
      <c r="CX5" s="95"/>
      <c r="CY5" s="95"/>
      <c r="CZ5" s="114"/>
      <c r="DA5" s="114"/>
      <c r="DB5" s="114"/>
      <c r="DC5" s="94" t="s">
        <v>6</v>
      </c>
      <c r="DD5" s="94" t="s">
        <v>51</v>
      </c>
      <c r="DE5" s="94" t="s">
        <v>44</v>
      </c>
      <c r="DG5" s="94" t="s">
        <v>6</v>
      </c>
      <c r="DH5" s="94" t="s">
        <v>51</v>
      </c>
      <c r="DI5" s="94" t="s">
        <v>44</v>
      </c>
      <c r="DL5" s="496"/>
      <c r="DM5" s="496"/>
      <c r="DN5" s="94" t="s">
        <v>6</v>
      </c>
      <c r="DO5" s="94" t="s">
        <v>51</v>
      </c>
      <c r="DP5" s="94" t="s">
        <v>44</v>
      </c>
      <c r="DS5" s="114"/>
      <c r="DT5" s="114"/>
      <c r="DU5" s="114"/>
      <c r="EE5" s="94" t="s">
        <v>6</v>
      </c>
      <c r="EF5" s="94" t="s">
        <v>51</v>
      </c>
      <c r="EG5" s="94" t="s">
        <v>44</v>
      </c>
      <c r="EH5" s="94" t="s">
        <v>6</v>
      </c>
      <c r="EI5" s="496"/>
      <c r="EJ5" s="94" t="s">
        <v>873</v>
      </c>
      <c r="EK5" s="114"/>
      <c r="EL5" s="114"/>
      <c r="EM5" s="120"/>
      <c r="EN5" s="120"/>
      <c r="EO5" s="120"/>
      <c r="EP5" s="120"/>
      <c r="EQ5" s="120"/>
      <c r="ER5" s="120"/>
      <c r="ES5" s="120"/>
      <c r="ET5" s="120"/>
      <c r="EU5" s="120"/>
      <c r="EV5" s="94" t="s">
        <v>874</v>
      </c>
      <c r="EW5" s="114"/>
      <c r="EX5" s="114"/>
      <c r="EY5" s="114"/>
      <c r="EZ5" s="114"/>
      <c r="FA5" s="114"/>
      <c r="FB5" s="114"/>
      <c r="FC5" s="114"/>
      <c r="FD5" s="94" t="s">
        <v>6</v>
      </c>
      <c r="FE5" s="496"/>
      <c r="FF5" s="94" t="s">
        <v>873</v>
      </c>
      <c r="FG5" s="114"/>
      <c r="FH5" s="114"/>
      <c r="FI5" s="114"/>
      <c r="FJ5" s="114"/>
      <c r="FK5" s="114"/>
      <c r="FL5" s="114"/>
      <c r="FM5" s="114"/>
      <c r="FN5" s="114"/>
      <c r="FO5" s="114"/>
      <c r="FP5" s="114"/>
      <c r="FQ5" s="114"/>
      <c r="FR5" s="94" t="s">
        <v>874</v>
      </c>
      <c r="FS5" s="114"/>
      <c r="FT5" s="114"/>
      <c r="FU5" s="114"/>
      <c r="FV5" s="114"/>
      <c r="FW5" s="114"/>
      <c r="FX5" s="114"/>
      <c r="FY5" s="114"/>
      <c r="GA5" s="94" t="s">
        <v>51</v>
      </c>
      <c r="GB5" s="94" t="s">
        <v>343</v>
      </c>
      <c r="GF5" s="94" t="s">
        <v>6</v>
      </c>
      <c r="GK5" s="94" t="s">
        <v>6</v>
      </c>
      <c r="GP5" s="94" t="s">
        <v>46</v>
      </c>
      <c r="GQ5" s="94" t="s">
        <v>56</v>
      </c>
      <c r="GR5" s="120" t="s">
        <v>58</v>
      </c>
      <c r="GS5" s="94" t="s">
        <v>935</v>
      </c>
      <c r="GX5" s="94" t="s">
        <v>936</v>
      </c>
      <c r="GY5" s="120"/>
      <c r="GZ5" s="120"/>
      <c r="HA5" s="120"/>
      <c r="HB5" s="120"/>
      <c r="HC5" s="114"/>
      <c r="HD5" s="509" t="s">
        <v>59</v>
      </c>
      <c r="HE5" s="114"/>
      <c r="HG5" s="497"/>
      <c r="HK5" s="497"/>
      <c r="HO5" s="497"/>
      <c r="IJ5" s="94" t="s">
        <v>754</v>
      </c>
      <c r="IM5" s="94" t="s">
        <v>6</v>
      </c>
      <c r="IN5" s="94" t="s">
        <v>51</v>
      </c>
      <c r="IO5" s="94" t="s">
        <v>44</v>
      </c>
      <c r="IP5" s="120" t="s">
        <v>2</v>
      </c>
      <c r="IQ5" s="168" t="s">
        <v>753</v>
      </c>
      <c r="IR5" s="114"/>
      <c r="IS5" s="114"/>
      <c r="IT5" s="114"/>
      <c r="IU5" s="114" t="s">
        <v>38</v>
      </c>
      <c r="IV5" s="168" t="s">
        <v>752</v>
      </c>
      <c r="IX5" s="114" t="s">
        <v>755</v>
      </c>
      <c r="IY5" s="114"/>
      <c r="IZ5" s="114"/>
      <c r="JA5" s="114"/>
      <c r="JB5" s="114" t="s">
        <v>761</v>
      </c>
      <c r="JC5" s="168" t="s">
        <v>752</v>
      </c>
      <c r="JE5" s="114" t="s">
        <v>755</v>
      </c>
      <c r="JI5" s="114" t="s">
        <v>761</v>
      </c>
      <c r="JJ5" s="94" t="s">
        <v>749</v>
      </c>
      <c r="JK5" s="120"/>
      <c r="JL5" s="120"/>
      <c r="JM5" s="94" t="s">
        <v>362</v>
      </c>
      <c r="JN5" s="120"/>
      <c r="JO5" s="120"/>
      <c r="JP5" s="120" t="s">
        <v>269</v>
      </c>
      <c r="JQ5" s="120"/>
      <c r="JR5" s="120"/>
      <c r="JS5" s="120" t="s">
        <v>2</v>
      </c>
      <c r="JT5" s="114" t="s">
        <v>414</v>
      </c>
      <c r="JU5" s="114" t="s">
        <v>415</v>
      </c>
      <c r="JV5" s="114" t="s">
        <v>849</v>
      </c>
      <c r="JW5" s="114" t="s">
        <v>850</v>
      </c>
      <c r="JX5" s="114" t="s">
        <v>853</v>
      </c>
      <c r="JY5" s="168" t="s">
        <v>273</v>
      </c>
      <c r="JZ5" s="65"/>
      <c r="KA5" s="65"/>
      <c r="KB5" s="119"/>
      <c r="KC5" s="95" t="s">
        <v>417</v>
      </c>
      <c r="KD5" s="95"/>
      <c r="KE5" s="95" t="s">
        <v>418</v>
      </c>
      <c r="KF5" s="95"/>
      <c r="KG5" s="95" t="s">
        <v>416</v>
      </c>
      <c r="KH5" s="95"/>
      <c r="KI5" s="114" t="s">
        <v>414</v>
      </c>
      <c r="KJ5" s="114"/>
      <c r="KK5" s="114" t="s">
        <v>415</v>
      </c>
      <c r="KL5" s="114"/>
      <c r="KM5" s="114" t="s">
        <v>531</v>
      </c>
      <c r="KN5" s="114"/>
      <c r="KO5" s="114" t="s">
        <v>532</v>
      </c>
      <c r="KP5" s="114"/>
    </row>
    <row r="6" spans="1:329" s="4" customFormat="1" ht="84" customHeight="1" x14ac:dyDescent="0.25">
      <c r="A6" s="49"/>
      <c r="B6" s="4" t="s">
        <v>53</v>
      </c>
      <c r="C6" s="4" t="s">
        <v>53</v>
      </c>
      <c r="D6" s="4" t="s">
        <v>53</v>
      </c>
      <c r="E6" s="4" t="s">
        <v>339</v>
      </c>
      <c r="F6" s="4" t="s">
        <v>49</v>
      </c>
      <c r="G6" s="4" t="s">
        <v>42</v>
      </c>
      <c r="H6" s="4" t="s">
        <v>49</v>
      </c>
      <c r="I6" s="4" t="s">
        <v>42</v>
      </c>
      <c r="J6" s="4" t="s">
        <v>49</v>
      </c>
      <c r="K6" s="4" t="s">
        <v>42</v>
      </c>
      <c r="L6" s="4" t="s">
        <v>49</v>
      </c>
      <c r="M6" s="32" t="s">
        <v>42</v>
      </c>
      <c r="N6" s="32" t="s">
        <v>49</v>
      </c>
      <c r="O6" s="32" t="s">
        <v>42</v>
      </c>
      <c r="P6" s="32" t="s">
        <v>49</v>
      </c>
      <c r="Q6" s="32" t="s">
        <v>42</v>
      </c>
      <c r="R6" s="4" t="s">
        <v>336</v>
      </c>
      <c r="S6" s="4" t="s">
        <v>336</v>
      </c>
      <c r="T6" s="4" t="s">
        <v>336</v>
      </c>
      <c r="U6" s="60" t="s">
        <v>48</v>
      </c>
      <c r="V6" s="4" t="s">
        <v>50</v>
      </c>
      <c r="W6" s="4" t="s">
        <v>338</v>
      </c>
      <c r="X6" s="4" t="s">
        <v>48</v>
      </c>
      <c r="Y6" s="4" t="s">
        <v>50</v>
      </c>
      <c r="Z6" s="4" t="s">
        <v>48</v>
      </c>
      <c r="AA6" s="4" t="s">
        <v>50</v>
      </c>
      <c r="AB6" s="4" t="s">
        <v>340</v>
      </c>
      <c r="AC6" s="4" t="s">
        <v>890</v>
      </c>
      <c r="AD6" s="4" t="s">
        <v>891</v>
      </c>
      <c r="AE6" s="4" t="s">
        <v>892</v>
      </c>
      <c r="AF6" s="4" t="s">
        <v>893</v>
      </c>
      <c r="AG6" s="4" t="s">
        <v>894</v>
      </c>
      <c r="AH6" s="4" t="s">
        <v>895</v>
      </c>
      <c r="AI6" s="4" t="s">
        <v>896</v>
      </c>
      <c r="AJ6" s="4" t="s">
        <v>897</v>
      </c>
      <c r="AK6" s="4" t="s">
        <v>898</v>
      </c>
      <c r="AL6" s="4" t="s">
        <v>890</v>
      </c>
      <c r="AM6" s="4" t="s">
        <v>891</v>
      </c>
      <c r="AN6" s="4" t="s">
        <v>892</v>
      </c>
      <c r="AO6" s="4" t="s">
        <v>893</v>
      </c>
      <c r="AP6" s="4" t="s">
        <v>894</v>
      </c>
      <c r="AQ6" s="4" t="s">
        <v>895</v>
      </c>
      <c r="AR6" s="4" t="s">
        <v>896</v>
      </c>
      <c r="AS6" s="4" t="s">
        <v>897</v>
      </c>
      <c r="AT6" s="4" t="s">
        <v>898</v>
      </c>
      <c r="AU6" s="4" t="s">
        <v>890</v>
      </c>
      <c r="AV6" s="4" t="s">
        <v>891</v>
      </c>
      <c r="AW6" s="4" t="s">
        <v>892</v>
      </c>
      <c r="AX6" s="4" t="s">
        <v>893</v>
      </c>
      <c r="AY6" s="4" t="s">
        <v>894</v>
      </c>
      <c r="AZ6" s="4" t="s">
        <v>895</v>
      </c>
      <c r="BA6" s="4" t="s">
        <v>896</v>
      </c>
      <c r="BB6" s="4" t="s">
        <v>897</v>
      </c>
      <c r="BC6" s="4" t="s">
        <v>898</v>
      </c>
      <c r="BD6" s="4" t="s">
        <v>886</v>
      </c>
      <c r="BE6" s="4" t="s">
        <v>887</v>
      </c>
      <c r="BF6" s="4" t="s">
        <v>888</v>
      </c>
      <c r="BG6" s="4" t="s">
        <v>872</v>
      </c>
      <c r="BH6" s="4" t="s">
        <v>873</v>
      </c>
      <c r="BI6" s="4" t="s">
        <v>874</v>
      </c>
      <c r="BJ6" s="4" t="s">
        <v>872</v>
      </c>
      <c r="BK6" s="60" t="s">
        <v>952</v>
      </c>
      <c r="BL6" s="123" t="s">
        <v>890</v>
      </c>
      <c r="BM6" s="123" t="s">
        <v>891</v>
      </c>
      <c r="BN6" s="123" t="s">
        <v>892</v>
      </c>
      <c r="BO6" s="123" t="s">
        <v>893</v>
      </c>
      <c r="BP6" s="123" t="s">
        <v>894</v>
      </c>
      <c r="BQ6" s="123" t="s">
        <v>895</v>
      </c>
      <c r="BR6" s="123" t="s">
        <v>896</v>
      </c>
      <c r="BS6" s="123" t="s">
        <v>897</v>
      </c>
      <c r="BT6" s="123" t="s">
        <v>898</v>
      </c>
      <c r="BU6" s="60" t="s">
        <v>952</v>
      </c>
      <c r="BV6" s="123" t="s">
        <v>890</v>
      </c>
      <c r="BW6" s="123" t="s">
        <v>891</v>
      </c>
      <c r="BX6" s="123" t="s">
        <v>892</v>
      </c>
      <c r="BY6" s="123" t="s">
        <v>893</v>
      </c>
      <c r="BZ6" s="123" t="s">
        <v>894</v>
      </c>
      <c r="CA6" s="123" t="s">
        <v>895</v>
      </c>
      <c r="CB6" s="123" t="s">
        <v>896</v>
      </c>
      <c r="CC6" s="123" t="s">
        <v>897</v>
      </c>
      <c r="CD6" s="123" t="s">
        <v>898</v>
      </c>
      <c r="CE6" s="60" t="s">
        <v>872</v>
      </c>
      <c r="CF6" s="60" t="s">
        <v>952</v>
      </c>
      <c r="CG6" s="123" t="s">
        <v>890</v>
      </c>
      <c r="CH6" s="123" t="s">
        <v>891</v>
      </c>
      <c r="CI6" s="123" t="s">
        <v>892</v>
      </c>
      <c r="CJ6" s="123" t="s">
        <v>893</v>
      </c>
      <c r="CK6" s="123" t="s">
        <v>894</v>
      </c>
      <c r="CL6" s="123" t="s">
        <v>895</v>
      </c>
      <c r="CM6" s="123" t="s">
        <v>896</v>
      </c>
      <c r="CN6" s="123" t="s">
        <v>897</v>
      </c>
      <c r="CO6" s="123" t="s">
        <v>898</v>
      </c>
      <c r="CP6" s="60" t="s">
        <v>952</v>
      </c>
      <c r="CQ6" s="123" t="s">
        <v>890</v>
      </c>
      <c r="CR6" s="123" t="s">
        <v>891</v>
      </c>
      <c r="CS6" s="123" t="s">
        <v>892</v>
      </c>
      <c r="CT6" s="123" t="s">
        <v>893</v>
      </c>
      <c r="CU6" s="123" t="s">
        <v>894</v>
      </c>
      <c r="CV6" s="123" t="s">
        <v>895</v>
      </c>
      <c r="CW6" s="123" t="s">
        <v>896</v>
      </c>
      <c r="CX6" s="123" t="s">
        <v>897</v>
      </c>
      <c r="CY6" s="123" t="s">
        <v>898</v>
      </c>
      <c r="CZ6" s="4" t="s">
        <v>886</v>
      </c>
      <c r="DA6" s="4" t="s">
        <v>887</v>
      </c>
      <c r="DB6" s="4" t="s">
        <v>888</v>
      </c>
      <c r="DC6" s="4" t="s">
        <v>41</v>
      </c>
      <c r="DD6" s="4" t="s">
        <v>41</v>
      </c>
      <c r="DE6" s="4" t="s">
        <v>41</v>
      </c>
      <c r="DF6" s="60" t="s">
        <v>950</v>
      </c>
      <c r="DG6" s="4" t="s">
        <v>41</v>
      </c>
      <c r="DH6" s="4" t="s">
        <v>41</v>
      </c>
      <c r="DI6" s="4" t="s">
        <v>41</v>
      </c>
      <c r="DJ6" s="4" t="s">
        <v>951</v>
      </c>
      <c r="DK6" s="60" t="s">
        <v>950</v>
      </c>
      <c r="DL6" s="123" t="s">
        <v>949</v>
      </c>
      <c r="DM6" s="123" t="s">
        <v>948</v>
      </c>
      <c r="DN6" s="4" t="s">
        <v>41</v>
      </c>
      <c r="DO6" s="4" t="s">
        <v>41</v>
      </c>
      <c r="DP6" s="4" t="s">
        <v>41</v>
      </c>
      <c r="DQ6" s="4" t="s">
        <v>951</v>
      </c>
      <c r="DR6" s="60" t="s">
        <v>950</v>
      </c>
      <c r="DS6" s="4" t="s">
        <v>886</v>
      </c>
      <c r="DT6" s="4" t="s">
        <v>887</v>
      </c>
      <c r="DU6" s="4" t="s">
        <v>888</v>
      </c>
      <c r="DV6" s="4" t="s">
        <v>872</v>
      </c>
      <c r="DW6" s="4" t="s">
        <v>873</v>
      </c>
      <c r="DX6" s="4" t="s">
        <v>874</v>
      </c>
      <c r="DY6" s="4" t="s">
        <v>872</v>
      </c>
      <c r="DZ6" s="4" t="s">
        <v>873</v>
      </c>
      <c r="EA6" s="4" t="s">
        <v>874</v>
      </c>
      <c r="EB6" s="4" t="s">
        <v>872</v>
      </c>
      <c r="EC6" s="4" t="s">
        <v>873</v>
      </c>
      <c r="ED6" s="4" t="s">
        <v>874</v>
      </c>
      <c r="EE6" s="4" t="s">
        <v>41</v>
      </c>
      <c r="EF6" s="4" t="s">
        <v>41</v>
      </c>
      <c r="EG6" s="4" t="s">
        <v>41</v>
      </c>
      <c r="EH6" s="4" t="s">
        <v>923</v>
      </c>
      <c r="EI6" s="49" t="s">
        <v>924</v>
      </c>
      <c r="EJ6" s="4" t="s">
        <v>961</v>
      </c>
      <c r="EK6" s="60" t="s">
        <v>967</v>
      </c>
      <c r="EL6" s="60" t="s">
        <v>963</v>
      </c>
      <c r="EM6" s="149" t="s">
        <v>890</v>
      </c>
      <c r="EN6" s="149" t="s">
        <v>891</v>
      </c>
      <c r="EO6" s="149" t="s">
        <v>892</v>
      </c>
      <c r="EP6" s="149" t="s">
        <v>893</v>
      </c>
      <c r="EQ6" s="149" t="s">
        <v>894</v>
      </c>
      <c r="ER6" s="149" t="s">
        <v>895</v>
      </c>
      <c r="ES6" s="149" t="s">
        <v>896</v>
      </c>
      <c r="ET6" s="149" t="s">
        <v>897</v>
      </c>
      <c r="EU6" s="149" t="s">
        <v>898</v>
      </c>
      <c r="EV6" s="4" t="s">
        <v>962</v>
      </c>
      <c r="EW6" s="123" t="s">
        <v>890</v>
      </c>
      <c r="EX6" s="123" t="s">
        <v>891</v>
      </c>
      <c r="EY6" s="123" t="s">
        <v>892</v>
      </c>
      <c r="EZ6" s="123" t="s">
        <v>893</v>
      </c>
      <c r="FA6" s="123" t="s">
        <v>894</v>
      </c>
      <c r="FB6" s="123" t="s">
        <v>895</v>
      </c>
      <c r="FC6" s="123" t="s">
        <v>896</v>
      </c>
      <c r="FD6" s="4" t="s">
        <v>923</v>
      </c>
      <c r="FE6" s="49" t="s">
        <v>924</v>
      </c>
      <c r="FF6" s="4" t="s">
        <v>961</v>
      </c>
      <c r="FG6" s="60" t="s">
        <v>967</v>
      </c>
      <c r="FH6" s="60" t="s">
        <v>963</v>
      </c>
      <c r="FI6" s="123" t="s">
        <v>890</v>
      </c>
      <c r="FJ6" s="123" t="s">
        <v>891</v>
      </c>
      <c r="FK6" s="123" t="s">
        <v>892</v>
      </c>
      <c r="FL6" s="123" t="s">
        <v>893</v>
      </c>
      <c r="FM6" s="123" t="s">
        <v>894</v>
      </c>
      <c r="FN6" s="123" t="s">
        <v>895</v>
      </c>
      <c r="FO6" s="123" t="s">
        <v>896</v>
      </c>
      <c r="FP6" s="123" t="s">
        <v>897</v>
      </c>
      <c r="FQ6" s="123" t="s">
        <v>898</v>
      </c>
      <c r="FR6" s="4" t="s">
        <v>962</v>
      </c>
      <c r="FS6" s="123" t="s">
        <v>890</v>
      </c>
      <c r="FT6" s="123" t="s">
        <v>891</v>
      </c>
      <c r="FU6" s="123" t="s">
        <v>892</v>
      </c>
      <c r="FV6" s="123" t="s">
        <v>893</v>
      </c>
      <c r="FW6" s="123" t="s">
        <v>894</v>
      </c>
      <c r="FX6" s="123" t="s">
        <v>895</v>
      </c>
      <c r="FY6" s="123" t="s">
        <v>896</v>
      </c>
      <c r="FZ6" s="4" t="s">
        <v>346</v>
      </c>
      <c r="GA6" s="4" t="s">
        <v>356</v>
      </c>
      <c r="GB6" s="4" t="s">
        <v>355</v>
      </c>
      <c r="GC6" s="4" t="s">
        <v>6</v>
      </c>
      <c r="GD6" s="4" t="s">
        <v>51</v>
      </c>
      <c r="GE6" s="4" t="s">
        <v>44</v>
      </c>
      <c r="GF6" s="4" t="s">
        <v>929</v>
      </c>
      <c r="GG6" s="4" t="s">
        <v>928</v>
      </c>
      <c r="GH6" s="4" t="s">
        <v>930</v>
      </c>
      <c r="GI6" s="4" t="s">
        <v>931</v>
      </c>
      <c r="GJ6" s="4" t="s">
        <v>932</v>
      </c>
      <c r="GK6" s="4" t="s">
        <v>929</v>
      </c>
      <c r="GL6" s="4" t="s">
        <v>928</v>
      </c>
      <c r="GM6" s="4" t="s">
        <v>930</v>
      </c>
      <c r="GN6" s="4" t="s">
        <v>931</v>
      </c>
      <c r="GO6" s="4" t="s">
        <v>932</v>
      </c>
      <c r="GP6" s="4" t="s">
        <v>316</v>
      </c>
      <c r="GQ6" s="4" t="s">
        <v>316</v>
      </c>
      <c r="GR6" s="97" t="s">
        <v>316</v>
      </c>
      <c r="GS6" s="4" t="s">
        <v>929</v>
      </c>
      <c r="GT6" s="4" t="s">
        <v>928</v>
      </c>
      <c r="GU6" s="4" t="s">
        <v>930</v>
      </c>
      <c r="GV6" s="4" t="s">
        <v>931</v>
      </c>
      <c r="GW6" s="4" t="s">
        <v>932</v>
      </c>
      <c r="GX6" s="4" t="s">
        <v>929</v>
      </c>
      <c r="GY6" s="4" t="s">
        <v>928</v>
      </c>
      <c r="GZ6" s="4" t="s">
        <v>930</v>
      </c>
      <c r="HA6" s="4" t="s">
        <v>931</v>
      </c>
      <c r="HB6" s="4" t="s">
        <v>932</v>
      </c>
      <c r="HC6" s="4" t="s">
        <v>810</v>
      </c>
      <c r="HD6" s="4" t="s">
        <v>316</v>
      </c>
      <c r="HF6" s="4" t="s">
        <v>423</v>
      </c>
      <c r="HG6" s="264" t="s">
        <v>154</v>
      </c>
      <c r="HH6" s="4" t="s">
        <v>85</v>
      </c>
      <c r="HI6" s="4" t="s">
        <v>155</v>
      </c>
      <c r="HJ6" s="4" t="s">
        <v>423</v>
      </c>
      <c r="HK6" s="264" t="s">
        <v>154</v>
      </c>
      <c r="HL6" s="4" t="s">
        <v>85</v>
      </c>
      <c r="HM6" s="4" t="s">
        <v>155</v>
      </c>
      <c r="HN6" s="4" t="s">
        <v>217</v>
      </c>
      <c r="HO6" s="264" t="s">
        <v>154</v>
      </c>
      <c r="HP6" s="4" t="s">
        <v>85</v>
      </c>
      <c r="HQ6" s="4" t="s">
        <v>155</v>
      </c>
      <c r="HR6" s="4" t="s">
        <v>423</v>
      </c>
      <c r="HS6" s="4" t="s">
        <v>154</v>
      </c>
      <c r="HT6" s="4" t="s">
        <v>85</v>
      </c>
      <c r="HU6" s="4" t="s">
        <v>155</v>
      </c>
      <c r="HV6" s="4" t="s">
        <v>423</v>
      </c>
      <c r="HW6" s="4" t="s">
        <v>154</v>
      </c>
      <c r="HX6" s="4" t="s">
        <v>85</v>
      </c>
      <c r="HY6" s="4" t="s">
        <v>155</v>
      </c>
      <c r="HZ6" s="4" t="s">
        <v>423</v>
      </c>
      <c r="IA6" s="4" t="s">
        <v>154</v>
      </c>
      <c r="IB6" s="4" t="s">
        <v>85</v>
      </c>
      <c r="IC6" s="4" t="s">
        <v>155</v>
      </c>
      <c r="ID6" s="4" t="s">
        <v>431</v>
      </c>
      <c r="IE6" s="4" t="s">
        <v>318</v>
      </c>
      <c r="IF6" s="4" t="s">
        <v>360</v>
      </c>
      <c r="IG6" s="4" t="s">
        <v>431</v>
      </c>
      <c r="IH6" s="4" t="s">
        <v>318</v>
      </c>
      <c r="II6" s="4" t="s">
        <v>360</v>
      </c>
      <c r="IJ6" s="4" t="s">
        <v>431</v>
      </c>
      <c r="IK6" s="4" t="s">
        <v>318</v>
      </c>
      <c r="IL6" s="4" t="s">
        <v>360</v>
      </c>
      <c r="IM6" s="4" t="s">
        <v>393</v>
      </c>
      <c r="IN6" s="4" t="s">
        <v>393</v>
      </c>
      <c r="IO6" s="4" t="s">
        <v>393</v>
      </c>
      <c r="IP6" s="60" t="s">
        <v>851</v>
      </c>
      <c r="IQ6" s="4" t="s">
        <v>413</v>
      </c>
      <c r="IR6" s="4" t="s">
        <v>286</v>
      </c>
      <c r="IS6" s="60" t="s">
        <v>281</v>
      </c>
      <c r="IT6" s="97" t="s">
        <v>282</v>
      </c>
      <c r="IU6" s="60" t="s">
        <v>760</v>
      </c>
      <c r="IV6" s="4" t="s">
        <v>413</v>
      </c>
      <c r="IW6" s="4" t="s">
        <v>286</v>
      </c>
      <c r="IX6" s="60" t="s">
        <v>756</v>
      </c>
      <c r="IY6" s="60" t="s">
        <v>759</v>
      </c>
      <c r="IZ6" s="60" t="s">
        <v>757</v>
      </c>
      <c r="JA6" s="60" t="s">
        <v>758</v>
      </c>
      <c r="JB6" s="60" t="s">
        <v>563</v>
      </c>
      <c r="JC6" s="4" t="s">
        <v>413</v>
      </c>
      <c r="JD6" s="4" t="s">
        <v>286</v>
      </c>
      <c r="JE6" s="60" t="s">
        <v>756</v>
      </c>
      <c r="JF6" s="60" t="s">
        <v>759</v>
      </c>
      <c r="JG6" s="60" t="s">
        <v>757</v>
      </c>
      <c r="JH6" s="60" t="s">
        <v>758</v>
      </c>
      <c r="JI6" s="60" t="s">
        <v>563</v>
      </c>
      <c r="JJ6" s="97" t="s">
        <v>765</v>
      </c>
      <c r="JK6" s="97" t="s">
        <v>763</v>
      </c>
      <c r="JL6" s="97" t="s">
        <v>764</v>
      </c>
      <c r="JM6" s="97" t="s">
        <v>766</v>
      </c>
      <c r="JN6" s="97" t="s">
        <v>879</v>
      </c>
      <c r="JO6" s="97" t="s">
        <v>880</v>
      </c>
      <c r="JP6" s="97" t="s">
        <v>881</v>
      </c>
      <c r="JQ6" s="97" t="s">
        <v>882</v>
      </c>
      <c r="JR6" s="97" t="s">
        <v>883</v>
      </c>
      <c r="JS6" s="60" t="s">
        <v>851</v>
      </c>
      <c r="JT6" s="60" t="s">
        <v>851</v>
      </c>
      <c r="JU6" s="60" t="s">
        <v>851</v>
      </c>
      <c r="JV6" s="60" t="s">
        <v>852</v>
      </c>
      <c r="JW6" s="60" t="s">
        <v>852</v>
      </c>
      <c r="JX6" s="60" t="s">
        <v>851</v>
      </c>
      <c r="JY6" s="169" t="s">
        <v>413</v>
      </c>
      <c r="JZ6" s="4" t="s">
        <v>286</v>
      </c>
      <c r="KA6" s="60" t="s">
        <v>281</v>
      </c>
      <c r="KB6" s="97" t="s">
        <v>282</v>
      </c>
      <c r="KC6" s="49" t="s">
        <v>413</v>
      </c>
      <c r="KD6" s="49" t="s">
        <v>286</v>
      </c>
      <c r="KE6" s="49" t="s">
        <v>419</v>
      </c>
      <c r="KF6" s="49" t="s">
        <v>287</v>
      </c>
      <c r="KG6" s="49" t="s">
        <v>413</v>
      </c>
      <c r="KH6" s="49" t="s">
        <v>286</v>
      </c>
      <c r="KI6" s="4" t="s">
        <v>413</v>
      </c>
      <c r="KJ6" s="4" t="s">
        <v>286</v>
      </c>
      <c r="KK6" s="4" t="s">
        <v>413</v>
      </c>
      <c r="KL6" s="4" t="s">
        <v>286</v>
      </c>
      <c r="KM6" s="4" t="s">
        <v>419</v>
      </c>
      <c r="KN6" s="4" t="s">
        <v>287</v>
      </c>
      <c r="KO6" s="4" t="s">
        <v>419</v>
      </c>
      <c r="KP6" s="4" t="s">
        <v>287</v>
      </c>
      <c r="KQ6" s="4" t="s">
        <v>286</v>
      </c>
      <c r="KR6" s="4" t="s">
        <v>281</v>
      </c>
      <c r="KS6" s="4" t="s">
        <v>282</v>
      </c>
      <c r="KT6" s="4" t="s">
        <v>286</v>
      </c>
      <c r="KU6" s="4" t="s">
        <v>281</v>
      </c>
      <c r="KV6" s="4" t="s">
        <v>282</v>
      </c>
      <c r="KW6" s="4" t="s">
        <v>286</v>
      </c>
      <c r="KX6" s="4" t="s">
        <v>281</v>
      </c>
      <c r="KY6" s="4" t="s">
        <v>282</v>
      </c>
      <c r="KZ6" s="4" t="s">
        <v>286</v>
      </c>
      <c r="LA6" s="4" t="s">
        <v>281</v>
      </c>
      <c r="LB6" s="4" t="s">
        <v>282</v>
      </c>
      <c r="LC6" s="4" t="s">
        <v>286</v>
      </c>
      <c r="LD6" s="4" t="s">
        <v>281</v>
      </c>
      <c r="LE6" s="4" t="s">
        <v>282</v>
      </c>
      <c r="LF6" s="4" t="s">
        <v>286</v>
      </c>
      <c r="LG6" s="4" t="s">
        <v>281</v>
      </c>
      <c r="LH6" s="4" t="s">
        <v>282</v>
      </c>
      <c r="LI6" s="4" t="s">
        <v>34</v>
      </c>
      <c r="LJ6" s="4" t="s">
        <v>128</v>
      </c>
      <c r="LK6" s="4" t="s">
        <v>129</v>
      </c>
      <c r="LL6" s="4" t="s">
        <v>131</v>
      </c>
      <c r="LM6" s="4" t="s">
        <v>132</v>
      </c>
      <c r="LN6" s="4" t="s">
        <v>34</v>
      </c>
      <c r="LO6" s="4" t="s">
        <v>18</v>
      </c>
      <c r="LP6" s="4" t="s">
        <v>34</v>
      </c>
      <c r="LQ6" s="4" t="s">
        <v>18</v>
      </c>
    </row>
    <row r="7" spans="1:329" s="49" customFormat="1" ht="10.199999999999999" x14ac:dyDescent="0.2">
      <c r="A7" s="50"/>
      <c r="M7" s="153"/>
      <c r="N7" s="153"/>
      <c r="O7" s="153"/>
      <c r="P7" s="153"/>
      <c r="Q7" s="153"/>
      <c r="U7" s="123"/>
      <c r="BD7" s="123"/>
      <c r="BE7" s="123"/>
      <c r="BF7" s="123"/>
      <c r="BK7" s="123"/>
      <c r="BL7" s="123"/>
      <c r="BM7" s="123"/>
      <c r="BN7" s="123"/>
      <c r="BO7" s="123"/>
      <c r="BP7" s="123"/>
      <c r="BQ7" s="123"/>
      <c r="BR7" s="123"/>
      <c r="BS7" s="123"/>
      <c r="BT7" s="123"/>
      <c r="BU7" s="123"/>
      <c r="BV7" s="123"/>
      <c r="BW7" s="123"/>
      <c r="BX7" s="123"/>
      <c r="BY7" s="123"/>
      <c r="BZ7" s="123"/>
      <c r="CA7" s="123"/>
      <c r="CB7" s="123"/>
      <c r="CC7" s="123"/>
      <c r="CD7" s="123"/>
      <c r="CE7" s="123"/>
      <c r="CF7" s="123"/>
      <c r="CG7" s="123"/>
      <c r="CH7" s="123"/>
      <c r="CI7" s="123"/>
      <c r="CJ7" s="123"/>
      <c r="CK7" s="123"/>
      <c r="CL7" s="123"/>
      <c r="CM7" s="123"/>
      <c r="CN7" s="123"/>
      <c r="CO7" s="123"/>
      <c r="CP7" s="123"/>
      <c r="CQ7" s="123"/>
      <c r="CR7" s="123"/>
      <c r="CS7" s="123"/>
      <c r="CT7" s="123"/>
      <c r="CU7" s="123"/>
      <c r="CV7" s="123"/>
      <c r="CW7" s="123"/>
      <c r="CX7" s="123"/>
      <c r="CY7" s="123"/>
      <c r="CZ7" s="123"/>
      <c r="DA7" s="123"/>
      <c r="DB7" s="123"/>
      <c r="DS7" s="123"/>
      <c r="DT7" s="123"/>
      <c r="DU7" s="123"/>
      <c r="EK7" s="123"/>
      <c r="EL7" s="123"/>
      <c r="EM7" s="149"/>
      <c r="EN7" s="149"/>
      <c r="EO7" s="149"/>
      <c r="EP7" s="149"/>
      <c r="EQ7" s="149"/>
      <c r="ER7" s="149"/>
      <c r="ES7" s="149"/>
      <c r="ET7" s="149"/>
      <c r="EU7" s="149"/>
      <c r="EW7" s="123"/>
      <c r="EX7" s="123"/>
      <c r="EY7" s="123"/>
      <c r="EZ7" s="123"/>
      <c r="FA7" s="123"/>
      <c r="FB7" s="123"/>
      <c r="FC7" s="123"/>
      <c r="FG7" s="123"/>
      <c r="FH7" s="123"/>
      <c r="FI7" s="123"/>
      <c r="FJ7" s="123"/>
      <c r="FK7" s="123"/>
      <c r="FL7" s="123"/>
      <c r="FM7" s="123"/>
      <c r="FN7" s="123"/>
      <c r="FO7" s="123"/>
      <c r="FP7" s="123"/>
      <c r="FQ7" s="123"/>
      <c r="FS7" s="123"/>
      <c r="FT7" s="123"/>
      <c r="FU7" s="123"/>
      <c r="FV7" s="123"/>
      <c r="FW7" s="123"/>
      <c r="FX7" s="123"/>
      <c r="FY7" s="123"/>
      <c r="GR7" s="149"/>
      <c r="HG7" s="267"/>
      <c r="HK7" s="267"/>
      <c r="HO7" s="267"/>
      <c r="HX7" s="123"/>
      <c r="HY7" s="123"/>
      <c r="HZ7" s="123"/>
      <c r="IA7" s="123"/>
      <c r="IB7" s="123"/>
      <c r="IC7" s="123"/>
      <c r="ID7" s="123"/>
      <c r="IM7" s="123"/>
      <c r="IN7" s="123"/>
      <c r="IO7" s="123"/>
      <c r="IP7" s="149"/>
      <c r="IQ7" s="123"/>
      <c r="IR7" s="123"/>
      <c r="IS7" s="123"/>
      <c r="IT7" s="123"/>
      <c r="IU7" s="123"/>
      <c r="IW7" s="123"/>
      <c r="IX7" s="123"/>
      <c r="IY7" s="123"/>
      <c r="IZ7" s="123"/>
      <c r="JA7" s="123"/>
      <c r="JB7" s="123"/>
      <c r="JC7" s="123"/>
      <c r="JD7" s="123"/>
      <c r="JE7" s="123"/>
      <c r="JF7" s="123"/>
      <c r="JG7" s="123"/>
      <c r="JH7" s="123"/>
      <c r="JI7" s="123"/>
      <c r="JJ7" s="149"/>
      <c r="JK7" s="149"/>
      <c r="JN7" s="149"/>
      <c r="JP7" s="574"/>
      <c r="JQ7" s="123"/>
      <c r="JR7" s="123"/>
      <c r="JS7" s="555"/>
      <c r="JT7" s="149"/>
      <c r="JU7" s="149"/>
      <c r="JV7" s="149"/>
      <c r="JW7" s="149"/>
      <c r="JX7" s="149"/>
      <c r="JY7" s="547"/>
      <c r="JZ7" s="123"/>
      <c r="KA7" s="123"/>
      <c r="KB7" s="149"/>
      <c r="KC7" s="123"/>
      <c r="KD7" s="123"/>
      <c r="KE7" s="123"/>
      <c r="KF7" s="123"/>
      <c r="KG7" s="123"/>
      <c r="KI7" s="123"/>
      <c r="KJ7" s="123"/>
      <c r="KK7" s="123"/>
      <c r="KL7" s="123"/>
      <c r="KM7" s="123"/>
      <c r="KN7" s="123"/>
      <c r="KO7" s="123"/>
      <c r="KP7" s="123"/>
      <c r="KQ7" s="123"/>
      <c r="KR7" s="123"/>
      <c r="KS7" s="123"/>
    </row>
    <row r="8" spans="1:329" s="4" customFormat="1" ht="14.4" x14ac:dyDescent="0.3">
      <c r="A8" s="13" t="s">
        <v>394</v>
      </c>
      <c r="M8" s="32"/>
      <c r="N8" s="32"/>
      <c r="O8" s="32"/>
      <c r="P8" s="32"/>
      <c r="Q8" s="32"/>
      <c r="U8" s="60"/>
      <c r="BD8" s="60"/>
      <c r="BE8" s="60"/>
      <c r="BF8" s="60"/>
      <c r="BK8" s="60"/>
      <c r="BL8" s="123"/>
      <c r="BM8" s="123"/>
      <c r="BN8" s="123"/>
      <c r="BO8" s="123"/>
      <c r="BP8" s="123"/>
      <c r="BQ8" s="123"/>
      <c r="BR8" s="123"/>
      <c r="BS8" s="123"/>
      <c r="BT8" s="123"/>
      <c r="BU8" s="60"/>
      <c r="BV8" s="123"/>
      <c r="BW8" s="123"/>
      <c r="BX8" s="123"/>
      <c r="BY8" s="123"/>
      <c r="BZ8" s="123"/>
      <c r="CA8" s="123"/>
      <c r="CB8" s="123"/>
      <c r="CC8" s="123"/>
      <c r="CD8" s="123"/>
      <c r="CE8" s="60"/>
      <c r="CF8" s="60"/>
      <c r="CG8" s="123"/>
      <c r="CH8" s="123"/>
      <c r="CI8" s="123"/>
      <c r="CJ8" s="123"/>
      <c r="CK8" s="123"/>
      <c r="CL8" s="123"/>
      <c r="CM8" s="123"/>
      <c r="CN8" s="123"/>
      <c r="CO8" s="123"/>
      <c r="CP8" s="60"/>
      <c r="CQ8" s="123"/>
      <c r="CR8" s="123"/>
      <c r="CS8" s="123"/>
      <c r="CT8" s="123"/>
      <c r="CU8" s="123"/>
      <c r="CV8" s="123"/>
      <c r="CW8" s="123"/>
      <c r="CX8" s="123"/>
      <c r="CY8" s="123"/>
      <c r="CZ8" s="60"/>
      <c r="DA8" s="60"/>
      <c r="DB8" s="60"/>
      <c r="DL8" s="49"/>
      <c r="DM8" s="49"/>
      <c r="DS8" s="60"/>
      <c r="DT8" s="60"/>
      <c r="DU8" s="60"/>
      <c r="EI8" s="49"/>
      <c r="EK8" s="60"/>
      <c r="EL8" s="60"/>
      <c r="EM8" s="97"/>
      <c r="EN8" s="97"/>
      <c r="EO8" s="97"/>
      <c r="EP8" s="97"/>
      <c r="EQ8" s="97"/>
      <c r="ER8" s="97"/>
      <c r="ES8" s="97"/>
      <c r="ET8" s="97"/>
      <c r="EU8" s="97"/>
      <c r="EW8" s="60"/>
      <c r="EX8" s="60"/>
      <c r="EY8" s="60"/>
      <c r="EZ8" s="60"/>
      <c r="FA8" s="60"/>
      <c r="FB8" s="60"/>
      <c r="FC8" s="60"/>
      <c r="FG8" s="60"/>
      <c r="FH8" s="60"/>
      <c r="FI8" s="60"/>
      <c r="FJ8" s="60"/>
      <c r="FK8" s="60"/>
      <c r="FL8" s="60"/>
      <c r="FM8" s="60"/>
      <c r="FN8" s="60"/>
      <c r="FO8" s="60"/>
      <c r="FP8" s="60"/>
      <c r="FQ8" s="60"/>
      <c r="FS8" s="60"/>
      <c r="FT8" s="60"/>
      <c r="FU8" s="60"/>
      <c r="FV8" s="60"/>
      <c r="FW8" s="60"/>
      <c r="FX8" s="60"/>
      <c r="FY8" s="60"/>
      <c r="GR8" s="97"/>
      <c r="HG8" s="264"/>
      <c r="HK8" s="264"/>
      <c r="HO8" s="264"/>
      <c r="HX8" s="60"/>
      <c r="HY8" s="60"/>
      <c r="HZ8" s="60"/>
      <c r="IA8" s="60"/>
      <c r="IB8" s="60"/>
      <c r="IC8" s="60"/>
      <c r="ID8" s="60"/>
      <c r="IM8" s="60"/>
      <c r="IN8" s="60"/>
      <c r="IO8" s="60"/>
      <c r="IP8" s="97"/>
      <c r="IQ8" s="60"/>
      <c r="IR8" s="60"/>
      <c r="IS8" s="60"/>
      <c r="IT8" s="60"/>
      <c r="IU8" s="60"/>
      <c r="IV8" s="49"/>
      <c r="IW8" s="60"/>
      <c r="IX8" s="60"/>
      <c r="IY8" s="60"/>
      <c r="IZ8" s="60"/>
      <c r="JA8" s="60"/>
      <c r="JB8" s="60"/>
      <c r="JC8" s="60"/>
      <c r="JD8" s="60"/>
      <c r="JE8" s="60"/>
      <c r="JF8" s="60"/>
      <c r="JG8" s="60"/>
      <c r="JH8" s="60"/>
      <c r="JI8" s="60"/>
      <c r="JJ8" s="97"/>
      <c r="JK8" s="97"/>
      <c r="JP8" s="575"/>
      <c r="JQ8" s="60"/>
      <c r="JR8" s="60"/>
      <c r="JS8" s="144"/>
      <c r="JT8" s="97"/>
      <c r="JU8" s="97"/>
      <c r="JV8" s="144"/>
      <c r="JW8" s="97"/>
      <c r="JX8" s="97"/>
      <c r="JY8" s="457"/>
      <c r="JZ8" s="60"/>
      <c r="KA8" s="60"/>
      <c r="KB8" s="97"/>
      <c r="KC8" s="123"/>
      <c r="KD8" s="123"/>
      <c r="KE8" s="123"/>
      <c r="KF8" s="123"/>
      <c r="KG8" s="123"/>
      <c r="KH8" s="49"/>
      <c r="KI8" s="60"/>
      <c r="KJ8" s="60"/>
      <c r="KK8" s="60"/>
      <c r="KL8" s="60"/>
      <c r="KM8" s="60"/>
      <c r="KN8" s="60"/>
      <c r="KO8" s="60"/>
      <c r="KP8" s="60"/>
      <c r="KQ8" s="60"/>
      <c r="KR8" s="60"/>
      <c r="KS8" s="60"/>
    </row>
    <row r="9" spans="1:329" s="4" customFormat="1" x14ac:dyDescent="0.25">
      <c r="A9" s="16"/>
      <c r="H9" s="33"/>
      <c r="J9" s="33"/>
      <c r="M9" s="32"/>
      <c r="N9" s="32"/>
      <c r="O9" s="32"/>
      <c r="P9" s="32"/>
      <c r="Q9" s="32"/>
      <c r="U9" s="60"/>
      <c r="AL9" s="433"/>
      <c r="AM9" s="433"/>
      <c r="AN9" s="433"/>
      <c r="AO9" s="433"/>
      <c r="AP9" s="433"/>
      <c r="AQ9" s="433"/>
      <c r="AR9" s="433"/>
      <c r="AS9" s="433"/>
      <c r="AT9" s="433"/>
      <c r="AU9" s="433"/>
      <c r="AV9" s="433"/>
      <c r="AW9" s="433"/>
      <c r="AX9" s="433"/>
      <c r="AY9" s="433"/>
      <c r="AZ9" s="433"/>
      <c r="BA9" s="433"/>
      <c r="BB9" s="433"/>
      <c r="BC9" s="433"/>
      <c r="BD9" s="60"/>
      <c r="BE9" s="60"/>
      <c r="BF9" s="60"/>
      <c r="BK9" s="106"/>
      <c r="BL9" s="145"/>
      <c r="BM9" s="145"/>
      <c r="BN9" s="145"/>
      <c r="BO9" s="145"/>
      <c r="BP9" s="145"/>
      <c r="BQ9" s="145"/>
      <c r="BR9" s="145"/>
      <c r="BS9" s="145"/>
      <c r="BT9" s="145"/>
      <c r="BU9" s="106"/>
      <c r="BV9" s="145"/>
      <c r="BW9" s="145"/>
      <c r="BX9" s="145"/>
      <c r="BY9" s="145"/>
      <c r="BZ9" s="145"/>
      <c r="CA9" s="145"/>
      <c r="CB9" s="145"/>
      <c r="CC9" s="145"/>
      <c r="CD9" s="145"/>
      <c r="CE9" s="60"/>
      <c r="CF9" s="106"/>
      <c r="CG9" s="145"/>
      <c r="CH9" s="145"/>
      <c r="CI9" s="145"/>
      <c r="CJ9" s="145"/>
      <c r="CK9" s="145"/>
      <c r="CL9" s="145"/>
      <c r="CM9" s="145"/>
      <c r="CN9" s="145"/>
      <c r="CO9" s="145"/>
      <c r="CP9" s="106"/>
      <c r="CQ9" s="145"/>
      <c r="CR9" s="145"/>
      <c r="CS9" s="145"/>
      <c r="CT9" s="145"/>
      <c r="CU9" s="145"/>
      <c r="CV9" s="145"/>
      <c r="CW9" s="145"/>
      <c r="CX9" s="145"/>
      <c r="CY9" s="145"/>
      <c r="CZ9" s="60"/>
      <c r="DA9" s="60"/>
      <c r="DB9" s="60"/>
      <c r="DL9" s="49"/>
      <c r="DM9" s="49"/>
      <c r="DS9" s="60"/>
      <c r="DT9" s="60"/>
      <c r="DU9" s="60"/>
      <c r="EI9" s="49"/>
      <c r="EJ9" s="294"/>
      <c r="EK9" s="60"/>
      <c r="EL9" s="60"/>
      <c r="EM9" s="97"/>
      <c r="EN9" s="97"/>
      <c r="EO9" s="97"/>
      <c r="EP9" s="97"/>
      <c r="EQ9" s="97"/>
      <c r="ER9" s="97"/>
      <c r="ES9" s="97"/>
      <c r="ET9" s="97"/>
      <c r="EU9" s="97"/>
      <c r="EW9" s="60"/>
      <c r="EX9" s="60"/>
      <c r="EY9" s="60"/>
      <c r="EZ9" s="60"/>
      <c r="FA9" s="60"/>
      <c r="FB9" s="60"/>
      <c r="FC9" s="60"/>
      <c r="FG9" s="60"/>
      <c r="FH9" s="60"/>
      <c r="FI9" s="60"/>
      <c r="FJ9" s="60"/>
      <c r="FK9" s="60"/>
      <c r="FL9" s="60"/>
      <c r="FM9" s="60"/>
      <c r="FN9" s="60"/>
      <c r="FO9" s="60"/>
      <c r="FP9" s="60"/>
      <c r="FQ9" s="60"/>
      <c r="FS9" s="60"/>
      <c r="FT9" s="60"/>
      <c r="FU9" s="60"/>
      <c r="FV9" s="60"/>
      <c r="FW9" s="60"/>
      <c r="FX9" s="60"/>
      <c r="FY9" s="60"/>
      <c r="GR9" s="97"/>
      <c r="HG9" s="264"/>
      <c r="HK9" s="264"/>
      <c r="HO9" s="264"/>
      <c r="HX9" s="60"/>
      <c r="HY9" s="60"/>
      <c r="HZ9" s="60"/>
      <c r="IA9" s="60"/>
      <c r="IB9" s="60"/>
      <c r="IC9" s="60"/>
      <c r="ID9" s="60"/>
      <c r="IM9" s="60"/>
      <c r="IN9" s="60"/>
      <c r="IO9" s="60"/>
      <c r="IP9" s="97"/>
      <c r="IQ9" s="60"/>
      <c r="IR9" s="60"/>
      <c r="IS9" s="60"/>
      <c r="IT9" s="60"/>
      <c r="IU9" s="60"/>
      <c r="IV9" s="49"/>
      <c r="IW9" s="60"/>
      <c r="IX9" s="60"/>
      <c r="IY9" s="60"/>
      <c r="IZ9" s="60"/>
      <c r="JA9" s="60"/>
      <c r="JB9" s="60"/>
      <c r="JC9" s="60"/>
      <c r="JD9" s="60"/>
      <c r="JE9" s="60"/>
      <c r="JF9" s="60"/>
      <c r="JG9" s="60"/>
      <c r="JH9" s="60"/>
      <c r="JI9" s="60"/>
      <c r="JJ9" s="97"/>
      <c r="JK9" s="97"/>
      <c r="JP9" s="575"/>
      <c r="JQ9" s="60"/>
      <c r="JR9" s="60"/>
      <c r="JS9" s="144"/>
      <c r="JT9" s="97"/>
      <c r="JU9" s="97"/>
      <c r="JV9" s="97"/>
      <c r="JW9" s="97"/>
      <c r="JX9" s="97"/>
      <c r="JY9" s="457"/>
      <c r="JZ9" s="60"/>
      <c r="KA9" s="60"/>
      <c r="KB9" s="97"/>
      <c r="KC9" s="123"/>
      <c r="KD9" s="123"/>
      <c r="KE9" s="123"/>
      <c r="KF9" s="123"/>
      <c r="KG9" s="123"/>
      <c r="KH9" s="49"/>
      <c r="KI9" s="60"/>
      <c r="KJ9" s="60"/>
      <c r="KK9" s="60"/>
      <c r="KL9" s="60"/>
      <c r="KM9" s="60"/>
      <c r="KN9" s="60"/>
      <c r="KO9" s="60"/>
      <c r="KP9" s="60"/>
      <c r="KQ9" s="60"/>
      <c r="KR9" s="60"/>
      <c r="KS9" s="60"/>
    </row>
    <row r="10" spans="1:329" s="4" customFormat="1" ht="13.8" x14ac:dyDescent="0.3">
      <c r="A10" s="15" t="s">
        <v>391</v>
      </c>
      <c r="H10" s="33"/>
      <c r="J10" s="33"/>
      <c r="M10" s="32"/>
      <c r="N10" s="32"/>
      <c r="O10" s="32"/>
      <c r="P10" s="32"/>
      <c r="Q10" s="32"/>
      <c r="U10" s="60"/>
      <c r="AL10" s="433"/>
      <c r="AM10" s="433"/>
      <c r="AN10" s="433"/>
      <c r="AO10" s="433"/>
      <c r="AP10" s="433"/>
      <c r="AQ10" s="433"/>
      <c r="AR10" s="433"/>
      <c r="AS10" s="433"/>
      <c r="AT10" s="433"/>
      <c r="AU10" s="433"/>
      <c r="AV10" s="433"/>
      <c r="AW10" s="433"/>
      <c r="AX10" s="433"/>
      <c r="AY10" s="433"/>
      <c r="AZ10" s="433"/>
      <c r="BA10" s="433"/>
      <c r="BB10" s="433"/>
      <c r="BC10" s="433"/>
      <c r="BD10" s="60"/>
      <c r="BE10" s="60"/>
      <c r="BF10" s="60"/>
      <c r="BK10" s="106"/>
      <c r="BL10" s="145"/>
      <c r="BM10" s="145"/>
      <c r="BN10" s="145"/>
      <c r="BO10" s="145"/>
      <c r="BP10" s="145"/>
      <c r="BQ10" s="145"/>
      <c r="BR10" s="145"/>
      <c r="BS10" s="145"/>
      <c r="BT10" s="145"/>
      <c r="BU10" s="106"/>
      <c r="BV10" s="145"/>
      <c r="BW10" s="145"/>
      <c r="BX10" s="145"/>
      <c r="BY10" s="145"/>
      <c r="BZ10" s="145"/>
      <c r="CA10" s="145"/>
      <c r="CB10" s="145"/>
      <c r="CC10" s="145"/>
      <c r="CD10" s="145"/>
      <c r="CE10" s="60"/>
      <c r="CF10" s="106"/>
      <c r="CG10" s="145"/>
      <c r="CH10" s="145"/>
      <c r="CI10" s="145"/>
      <c r="CJ10" s="145"/>
      <c r="CK10" s="145"/>
      <c r="CL10" s="145"/>
      <c r="CM10" s="145"/>
      <c r="CN10" s="145"/>
      <c r="CO10" s="145"/>
      <c r="CP10" s="106"/>
      <c r="CQ10" s="145"/>
      <c r="CR10" s="145"/>
      <c r="CS10" s="145"/>
      <c r="CT10" s="145"/>
      <c r="CU10" s="145"/>
      <c r="CV10" s="145"/>
      <c r="CW10" s="145"/>
      <c r="CX10" s="145"/>
      <c r="CY10" s="145"/>
      <c r="CZ10" s="60"/>
      <c r="DA10" s="60"/>
      <c r="DB10" s="60"/>
      <c r="DL10" s="49"/>
      <c r="DM10" s="49"/>
      <c r="DS10" s="60"/>
      <c r="DT10" s="60"/>
      <c r="DU10" s="60"/>
      <c r="EI10" s="49"/>
      <c r="EJ10" s="97"/>
      <c r="EK10" s="60"/>
      <c r="EL10" s="97"/>
      <c r="EM10" s="60"/>
      <c r="EN10" s="97"/>
      <c r="EO10" s="97"/>
      <c r="EP10" s="97"/>
      <c r="EQ10" s="97"/>
      <c r="ER10" s="97"/>
      <c r="ES10" s="97"/>
      <c r="ET10" s="97"/>
      <c r="EU10" s="97"/>
      <c r="EW10" s="60"/>
      <c r="EX10" s="60"/>
      <c r="EY10" s="60"/>
      <c r="EZ10" s="60"/>
      <c r="FA10" s="60"/>
      <c r="FB10" s="60"/>
      <c r="FC10" s="60"/>
      <c r="FG10" s="60"/>
      <c r="FH10" s="60"/>
      <c r="FI10" s="60"/>
      <c r="FJ10" s="60"/>
      <c r="FK10" s="60"/>
      <c r="FL10" s="60"/>
      <c r="FM10" s="60"/>
      <c r="FN10" s="60"/>
      <c r="FO10" s="60"/>
      <c r="FP10" s="60"/>
      <c r="FQ10" s="60"/>
      <c r="FS10" s="60"/>
      <c r="FT10" s="60"/>
      <c r="FU10" s="60"/>
      <c r="FV10" s="60"/>
      <c r="FW10" s="60"/>
      <c r="FX10" s="60"/>
      <c r="FY10" s="60"/>
      <c r="GK10" s="153">
        <f>(GF11/'Discounting metrics'!$D$4*(1-EXP(-'Discounting metrics'!$D$4*'Discounting metrics'!$E$4)))/'Discounting metrics'!$E$4</f>
        <v>0.68963326368066413</v>
      </c>
      <c r="GR10" s="97"/>
      <c r="GX10" s="153">
        <f>(GS11/'Discounting metrics'!$D$4*(1-EXP(-'Discounting metrics'!$D$4*'Discounting metrics'!$E$4)))/'Discounting metrics'!$E$4</f>
        <v>2.0713540019447705</v>
      </c>
      <c r="HG10" s="264"/>
      <c r="HK10" s="264"/>
      <c r="HO10" s="264"/>
      <c r="HX10" s="60"/>
      <c r="HY10" s="60"/>
      <c r="HZ10" s="60"/>
      <c r="IA10" s="60"/>
      <c r="IB10" s="60"/>
      <c r="IC10" s="60"/>
      <c r="ID10" s="60"/>
      <c r="IM10" s="60"/>
      <c r="IN10" s="60"/>
      <c r="IO10" s="60"/>
      <c r="IP10" s="97"/>
      <c r="IQ10" s="60"/>
      <c r="IR10" s="60"/>
      <c r="IS10" s="60"/>
      <c r="IT10" s="60"/>
      <c r="IU10" s="60"/>
      <c r="IV10" s="49"/>
      <c r="IW10" s="60"/>
      <c r="IX10" s="60"/>
      <c r="IY10" s="60"/>
      <c r="IZ10" s="60"/>
      <c r="JA10" s="60"/>
      <c r="JB10" s="60"/>
      <c r="JC10" s="60"/>
      <c r="JD10" s="60"/>
      <c r="JE10" s="60"/>
      <c r="JF10" s="60"/>
      <c r="JG10" s="60"/>
      <c r="JH10" s="60"/>
      <c r="JI10" s="60"/>
      <c r="JJ10" s="97"/>
      <c r="JK10" s="97"/>
      <c r="JN10" s="97"/>
      <c r="JO10" s="97"/>
      <c r="JP10" s="575"/>
      <c r="JQ10" s="60"/>
      <c r="JR10" s="97"/>
      <c r="JS10" s="555"/>
      <c r="JT10" s="97"/>
      <c r="JU10" s="97"/>
      <c r="JV10" s="97"/>
      <c r="JW10" s="97"/>
      <c r="JX10" s="97"/>
      <c r="JY10" s="457"/>
      <c r="JZ10" s="60"/>
      <c r="KA10" s="60"/>
      <c r="KB10" s="97"/>
      <c r="KC10" s="123"/>
      <c r="KD10" s="123"/>
      <c r="KE10" s="123"/>
      <c r="KF10" s="123"/>
      <c r="KG10" s="123"/>
      <c r="KH10" s="49"/>
      <c r="KI10" s="60"/>
      <c r="KJ10" s="60"/>
      <c r="KK10" s="60"/>
      <c r="KL10" s="60"/>
      <c r="KM10" s="60"/>
      <c r="KN10" s="60"/>
      <c r="KO10" s="60"/>
      <c r="KP10" s="60"/>
      <c r="KQ10" s="60"/>
      <c r="KR10" s="60"/>
      <c r="KS10" s="60"/>
    </row>
    <row r="11" spans="1:329" s="4" customFormat="1" x14ac:dyDescent="0.25">
      <c r="A11" s="14" t="s">
        <v>392</v>
      </c>
      <c r="B11" s="27">
        <v>234</v>
      </c>
      <c r="H11" s="33"/>
      <c r="J11" s="33"/>
      <c r="M11" s="32"/>
      <c r="N11" s="32"/>
      <c r="O11" s="32"/>
      <c r="P11" s="32"/>
      <c r="Q11" s="32"/>
      <c r="U11" s="60"/>
      <c r="AL11" s="433"/>
      <c r="AM11" s="433"/>
      <c r="AN11" s="433"/>
      <c r="AO11" s="433"/>
      <c r="AP11" s="433"/>
      <c r="AQ11" s="433"/>
      <c r="AR11" s="433"/>
      <c r="AS11" s="433"/>
      <c r="AT11" s="433"/>
      <c r="AU11" s="433"/>
      <c r="AV11" s="433"/>
      <c r="AW11" s="433"/>
      <c r="AX11" s="433"/>
      <c r="AY11" s="433"/>
      <c r="AZ11" s="433"/>
      <c r="BA11" s="433"/>
      <c r="BB11" s="433"/>
      <c r="BC11" s="433"/>
      <c r="BD11" s="60"/>
      <c r="BE11" s="60"/>
      <c r="BF11" s="60"/>
      <c r="BG11" s="4">
        <f>BH11+BI11</f>
        <v>268.60000000000002</v>
      </c>
      <c r="BH11" s="27">
        <v>137.6</v>
      </c>
      <c r="BI11" s="27">
        <v>131</v>
      </c>
      <c r="BK11" s="106"/>
      <c r="BL11" s="145"/>
      <c r="BM11" s="145"/>
      <c r="BN11" s="145"/>
      <c r="BO11" s="145"/>
      <c r="BP11" s="145"/>
      <c r="BQ11" s="145"/>
      <c r="BR11" s="145"/>
      <c r="BS11" s="145"/>
      <c r="BT11" s="145"/>
      <c r="BU11" s="106"/>
      <c r="BV11" s="145"/>
      <c r="BW11" s="145"/>
      <c r="BX11" s="145"/>
      <c r="BY11" s="145"/>
      <c r="BZ11" s="145"/>
      <c r="CA11" s="145"/>
      <c r="CB11" s="145"/>
      <c r="CC11" s="145"/>
      <c r="CD11" s="145"/>
      <c r="CE11" s="60"/>
      <c r="CF11" s="106"/>
      <c r="CG11" s="145"/>
      <c r="CH11" s="145"/>
      <c r="CI11" s="145"/>
      <c r="CJ11" s="145"/>
      <c r="CK11" s="145"/>
      <c r="CL11" s="145"/>
      <c r="CM11" s="145"/>
      <c r="CN11" s="145"/>
      <c r="CO11" s="145"/>
      <c r="CP11" s="106"/>
      <c r="CQ11" s="145"/>
      <c r="CR11" s="145"/>
      <c r="CS11" s="145"/>
      <c r="CT11" s="145"/>
      <c r="CU11" s="145"/>
      <c r="CV11" s="145"/>
      <c r="CW11" s="145"/>
      <c r="CX11" s="145"/>
      <c r="CY11" s="145"/>
      <c r="CZ11" s="60"/>
      <c r="DA11" s="60"/>
      <c r="DB11" s="60"/>
      <c r="DC11" s="67">
        <f>DD11+DE11</f>
        <v>101.25</v>
      </c>
      <c r="DD11" s="99">
        <v>3</v>
      </c>
      <c r="DE11" s="67">
        <f>(1-DF11)*BI11</f>
        <v>98.25</v>
      </c>
      <c r="DF11" s="257">
        <v>0.25</v>
      </c>
      <c r="DK11" s="258"/>
      <c r="DL11" s="546"/>
      <c r="DM11" s="546"/>
      <c r="DN11" s="27"/>
      <c r="DO11" s="27"/>
      <c r="DP11" s="27"/>
      <c r="DQ11" s="27"/>
      <c r="DR11" s="27"/>
      <c r="DS11" s="60"/>
      <c r="DT11" s="60"/>
      <c r="DU11" s="60"/>
      <c r="DV11" s="261">
        <f t="shared" ref="DV11:DX12" si="0">BG11-DC11</f>
        <v>167.35000000000002</v>
      </c>
      <c r="DW11" s="107">
        <f t="shared" si="0"/>
        <v>134.6</v>
      </c>
      <c r="DX11" s="107">
        <f t="shared" si="0"/>
        <v>32.75</v>
      </c>
      <c r="DY11" s="27"/>
      <c r="DZ11" s="27"/>
      <c r="EA11" s="27"/>
      <c r="EB11" s="27"/>
      <c r="EC11" s="27"/>
      <c r="ED11" s="27"/>
      <c r="EE11" s="27"/>
      <c r="EF11" s="27"/>
      <c r="EG11" s="27"/>
      <c r="EH11" s="27"/>
      <c r="EI11" s="137"/>
      <c r="EJ11" s="97"/>
      <c r="EK11" s="60"/>
      <c r="EL11" s="97"/>
      <c r="EM11" s="60"/>
      <c r="EN11" s="99"/>
      <c r="EO11" s="99"/>
      <c r="EP11" s="99"/>
      <c r="EQ11" s="99"/>
      <c r="ER11" s="99"/>
      <c r="ES11" s="99"/>
      <c r="ET11" s="99"/>
      <c r="EU11" s="99"/>
      <c r="EV11" s="27"/>
      <c r="EW11" s="98"/>
      <c r="EX11" s="98"/>
      <c r="EY11" s="98"/>
      <c r="EZ11" s="98"/>
      <c r="FA11" s="98"/>
      <c r="FB11" s="98"/>
      <c r="FC11" s="98"/>
      <c r="FD11" s="27"/>
      <c r="FE11" s="27"/>
      <c r="FF11" s="27"/>
      <c r="FG11" s="98"/>
      <c r="FH11" s="98"/>
      <c r="FI11" s="98"/>
      <c r="FJ11" s="98"/>
      <c r="FK11" s="98"/>
      <c r="FL11" s="98"/>
      <c r="FM11" s="98"/>
      <c r="FN11" s="98"/>
      <c r="FO11" s="98"/>
      <c r="FP11" s="98"/>
      <c r="FQ11" s="98"/>
      <c r="FR11" s="27"/>
      <c r="FS11" s="98"/>
      <c r="FT11" s="98"/>
      <c r="FU11" s="98"/>
      <c r="FV11" s="98"/>
      <c r="FW11" s="98"/>
      <c r="FX11" s="98"/>
      <c r="FY11" s="60"/>
      <c r="FZ11" s="259">
        <v>25</v>
      </c>
      <c r="GA11" s="294">
        <f>GD11*FZ11/DW11</f>
        <v>0.74294205052005946</v>
      </c>
      <c r="GB11" s="257">
        <v>0.5</v>
      </c>
      <c r="GC11" s="32">
        <f>GD11+GE11</f>
        <v>4.6550000000000002</v>
      </c>
      <c r="GD11" s="260">
        <v>4</v>
      </c>
      <c r="GE11" s="32">
        <f>(BI11-DE11)*GB11/$FZ11</f>
        <v>0.65500000000000003</v>
      </c>
      <c r="GF11" s="32">
        <f>(20*GG11+30*GH11+20*GI11+30*GJ11)/100</f>
        <v>2.81</v>
      </c>
      <c r="GG11" s="33">
        <v>5</v>
      </c>
      <c r="GH11" s="33">
        <v>4.5</v>
      </c>
      <c r="GI11" s="33">
        <v>2.2999999999999998</v>
      </c>
      <c r="GJ11" s="33">
        <v>0</v>
      </c>
      <c r="GK11" s="576">
        <f>(20*GL11+30*GM11+20*GN11+30*GO11)/100</f>
        <v>1.0844336876957101</v>
      </c>
      <c r="GL11" s="32">
        <f>GG11/'Discounting metrics'!$D$4*(1-EXP(-'Discounting metrics'!$D$4*20))/20</f>
        <v>3.4416939742673653</v>
      </c>
      <c r="GM11" s="32">
        <f>GH11/'Discounting metrics'!$D$4*((1-EXP(-'Discounting metrics'!$D$4*50))-(1-EXP(-'Discounting metrics'!$D$4*20)))/30</f>
        <v>1.177476303302283</v>
      </c>
      <c r="GN11" s="32">
        <f>GI11/'Discounting metrics'!$D$4*((1-EXP(-'Discounting metrics'!$D$4*70))-(1-EXP(-'Discounting metrics'!$D$4*50)))/20</f>
        <v>0.21426000925775993</v>
      </c>
      <c r="GO11" s="4">
        <f>GJ11/'Discounting metrics'!$D$4*((1-EXP(-'Discounting metrics'!$D$4*100))-(1-EXP(-'Discounting metrics'!$D$4*70)))/30</f>
        <v>0</v>
      </c>
      <c r="GP11" s="33">
        <v>9.27</v>
      </c>
      <c r="GR11" s="97"/>
      <c r="GS11" s="32">
        <f>(20*GT11+30*GU11+20*GV11+30*GW11)/100</f>
        <v>8.44</v>
      </c>
      <c r="GT11" s="33">
        <v>9.1999999999999993</v>
      </c>
      <c r="GU11" s="33">
        <v>8.6999999999999993</v>
      </c>
      <c r="GV11" s="33">
        <v>7.2</v>
      </c>
      <c r="GW11" s="33">
        <v>8.5</v>
      </c>
      <c r="GX11" s="576">
        <f>(20*GY11+30*GZ11+20*HA11+30*HB11)/100</f>
        <v>2.1739256859862532</v>
      </c>
      <c r="GY11" s="32">
        <f>GT11/'Discounting metrics'!$D$4*(1-EXP(-'Discounting metrics'!$D$4*20))/20</f>
        <v>6.3327169126519518</v>
      </c>
      <c r="GZ11" s="32">
        <f>GU11/'Discounting metrics'!$D$4*((1-EXP(-'Discounting metrics'!$D$4*50))-(1-EXP(-'Discounting metrics'!$D$4*20)))/30</f>
        <v>2.2764541863844139</v>
      </c>
      <c r="HA11" s="32">
        <f>GV11/'Discounting metrics'!$D$4*((1-EXP(-'Discounting metrics'!$D$4*70))-(1-EXP(-'Discounting metrics'!$D$4*50)))/20</f>
        <v>0.67072698550255294</v>
      </c>
      <c r="HB11" s="4">
        <f>GW11/'Discounting metrics'!$D$4*((1-EXP(-'Discounting metrics'!$D$4*100))-(1-EXP(-'Discounting metrics'!$D$4*70)))/30</f>
        <v>0.30100216813342634</v>
      </c>
      <c r="HG11" s="264"/>
      <c r="HK11" s="264"/>
      <c r="HO11" s="264"/>
      <c r="HX11" s="60"/>
      <c r="HY11" s="60"/>
      <c r="HZ11" s="60"/>
      <c r="IA11" s="60"/>
      <c r="IB11" s="60"/>
      <c r="IC11" s="60"/>
      <c r="ID11" s="60"/>
      <c r="IM11" s="526">
        <f>GK11/GX11</f>
        <v>0.49883659532903074</v>
      </c>
      <c r="IN11" s="522"/>
      <c r="IO11" s="522"/>
      <c r="IP11" s="97"/>
      <c r="IQ11" s="60"/>
      <c r="IR11" s="60"/>
      <c r="IS11" s="60"/>
      <c r="IT11" s="60"/>
      <c r="IU11" s="60"/>
      <c r="IV11" s="49"/>
      <c r="IW11" s="60"/>
      <c r="IX11" s="60"/>
      <c r="IY11" s="60"/>
      <c r="IZ11" s="60"/>
      <c r="JA11" s="60"/>
      <c r="JB11" s="60"/>
      <c r="JC11" s="60"/>
      <c r="JD11" s="60"/>
      <c r="JE11" s="60"/>
      <c r="JF11" s="60"/>
      <c r="JG11" s="60"/>
      <c r="JH11" s="60"/>
      <c r="JI11" s="60"/>
      <c r="JJ11" s="97"/>
      <c r="JK11" s="97"/>
      <c r="JN11" s="97"/>
      <c r="JO11" s="97"/>
      <c r="JP11" s="575"/>
      <c r="JQ11" s="60"/>
      <c r="JR11" s="97"/>
      <c r="JS11" s="144"/>
      <c r="JT11" s="97"/>
      <c r="JU11" s="97"/>
      <c r="JV11" s="97"/>
      <c r="JW11" s="97"/>
      <c r="JX11" s="97"/>
      <c r="JY11" s="457"/>
      <c r="JZ11" s="60"/>
      <c r="KA11" s="60"/>
      <c r="KB11" s="97"/>
      <c r="KC11" s="123"/>
      <c r="KD11" s="123"/>
      <c r="KE11" s="123"/>
      <c r="KF11" s="123"/>
      <c r="KG11" s="123"/>
      <c r="KH11" s="49"/>
      <c r="KI11" s="60"/>
      <c r="KJ11" s="60"/>
      <c r="KK11" s="60"/>
      <c r="KL11" s="60"/>
      <c r="KM11" s="60"/>
      <c r="KN11" s="60"/>
      <c r="KO11" s="60"/>
      <c r="KP11" s="60"/>
      <c r="KQ11" s="60"/>
      <c r="KR11" s="60"/>
      <c r="KS11" s="60"/>
    </row>
    <row r="12" spans="1:329" s="4" customFormat="1" x14ac:dyDescent="0.25">
      <c r="A12" s="14" t="s">
        <v>481</v>
      </c>
      <c r="B12" s="27">
        <v>417</v>
      </c>
      <c r="H12" s="33"/>
      <c r="J12" s="33"/>
      <c r="M12" s="32"/>
      <c r="N12" s="32"/>
      <c r="O12" s="32"/>
      <c r="P12" s="32"/>
      <c r="Q12" s="32"/>
      <c r="U12" s="60"/>
      <c r="AL12" s="433"/>
      <c r="AM12" s="433"/>
      <c r="AN12" s="433"/>
      <c r="AO12" s="433"/>
      <c r="AP12" s="433"/>
      <c r="AQ12" s="433"/>
      <c r="AR12" s="433"/>
      <c r="AS12" s="433"/>
      <c r="AT12" s="433"/>
      <c r="AU12" s="433"/>
      <c r="AV12" s="433"/>
      <c r="AW12" s="433"/>
      <c r="AX12" s="433"/>
      <c r="AY12" s="433"/>
      <c r="AZ12" s="433"/>
      <c r="BA12" s="433"/>
      <c r="BB12" s="433"/>
      <c r="BC12" s="433"/>
      <c r="BD12" s="60"/>
      <c r="BE12" s="60"/>
      <c r="BF12" s="60"/>
      <c r="BG12" s="4">
        <f>BH12+BI12</f>
        <v>254.29999999999998</v>
      </c>
      <c r="BH12" s="27">
        <v>126.1</v>
      </c>
      <c r="BI12" s="27">
        <v>128.19999999999999</v>
      </c>
      <c r="BK12" s="106"/>
      <c r="BL12" s="145"/>
      <c r="BM12" s="145"/>
      <c r="BN12" s="145"/>
      <c r="BO12" s="145"/>
      <c r="BP12" s="145"/>
      <c r="BQ12" s="145"/>
      <c r="BR12" s="145"/>
      <c r="BS12" s="145"/>
      <c r="BT12" s="145"/>
      <c r="BU12" s="106"/>
      <c r="BV12" s="145"/>
      <c r="BW12" s="145"/>
      <c r="BX12" s="145"/>
      <c r="BY12" s="145"/>
      <c r="BZ12" s="145"/>
      <c r="CA12" s="145"/>
      <c r="CB12" s="145"/>
      <c r="CC12" s="145"/>
      <c r="CD12" s="145"/>
      <c r="CE12" s="60"/>
      <c r="CF12" s="106"/>
      <c r="CG12" s="145"/>
      <c r="CH12" s="145"/>
      <c r="CI12" s="145"/>
      <c r="CJ12" s="145"/>
      <c r="CK12" s="145"/>
      <c r="CL12" s="145"/>
      <c r="CM12" s="145"/>
      <c r="CN12" s="145"/>
      <c r="CO12" s="145"/>
      <c r="CP12" s="106"/>
      <c r="CQ12" s="145"/>
      <c r="CR12" s="145"/>
      <c r="CS12" s="145"/>
      <c r="CT12" s="145"/>
      <c r="CU12" s="145"/>
      <c r="CV12" s="145"/>
      <c r="CW12" s="145"/>
      <c r="CX12" s="145"/>
      <c r="CY12" s="145"/>
      <c r="CZ12" s="60"/>
      <c r="DA12" s="60"/>
      <c r="DB12" s="60"/>
      <c r="DC12" s="67">
        <f>DD12+DE12</f>
        <v>117.88</v>
      </c>
      <c r="DD12" s="99">
        <v>2.5</v>
      </c>
      <c r="DE12" s="67">
        <f>(1-DF12)*BI12</f>
        <v>115.38</v>
      </c>
      <c r="DF12" s="257">
        <v>0.1</v>
      </c>
      <c r="DK12" s="258"/>
      <c r="DL12" s="546"/>
      <c r="DM12" s="546"/>
      <c r="DN12" s="27"/>
      <c r="DO12" s="27"/>
      <c r="DP12" s="27"/>
      <c r="DQ12" s="27"/>
      <c r="DR12" s="27"/>
      <c r="DS12" s="60"/>
      <c r="DT12" s="60"/>
      <c r="DU12" s="60"/>
      <c r="DV12" s="261">
        <f t="shared" si="0"/>
        <v>136.41999999999999</v>
      </c>
      <c r="DW12" s="107">
        <f t="shared" si="0"/>
        <v>123.6</v>
      </c>
      <c r="DX12" s="107">
        <f t="shared" si="0"/>
        <v>12.819999999999993</v>
      </c>
      <c r="DY12" s="27"/>
      <c r="DZ12" s="27"/>
      <c r="EA12" s="27"/>
      <c r="EB12" s="27"/>
      <c r="EC12" s="27"/>
      <c r="ED12" s="27"/>
      <c r="EE12" s="27"/>
      <c r="EF12" s="27"/>
      <c r="EG12" s="27"/>
      <c r="EH12" s="27"/>
      <c r="EI12" s="137"/>
      <c r="EJ12" s="97"/>
      <c r="EK12" s="144"/>
      <c r="EL12" s="98"/>
      <c r="EM12" s="99"/>
      <c r="EN12" s="99"/>
      <c r="EO12" s="99"/>
      <c r="EP12" s="99"/>
      <c r="EQ12" s="99"/>
      <c r="ER12" s="99"/>
      <c r="ES12" s="99"/>
      <c r="ET12" s="99"/>
      <c r="EU12" s="99"/>
      <c r="EV12" s="27"/>
      <c r="EW12" s="98"/>
      <c r="EX12" s="98"/>
      <c r="EY12" s="98"/>
      <c r="EZ12" s="98"/>
      <c r="FA12" s="98"/>
      <c r="FB12" s="98"/>
      <c r="FC12" s="98"/>
      <c r="FD12" s="27"/>
      <c r="FE12" s="27"/>
      <c r="FF12" s="27"/>
      <c r="FG12" s="98"/>
      <c r="FH12" s="98"/>
      <c r="FI12" s="98"/>
      <c r="FJ12" s="98"/>
      <c r="FK12" s="98"/>
      <c r="FL12" s="98"/>
      <c r="FM12" s="98"/>
      <c r="FN12" s="98"/>
      <c r="FO12" s="98"/>
      <c r="FP12" s="98"/>
      <c r="FQ12" s="98"/>
      <c r="FR12" s="27"/>
      <c r="FS12" s="98"/>
      <c r="FT12" s="98"/>
      <c r="FU12" s="98"/>
      <c r="FV12" s="98"/>
      <c r="FW12" s="98"/>
      <c r="FX12" s="98"/>
      <c r="FY12" s="60"/>
      <c r="FZ12" s="259">
        <v>25</v>
      </c>
      <c r="GA12" s="294">
        <f>GD12*FZ12/DW12</f>
        <v>0.80906148867313921</v>
      </c>
      <c r="GB12" s="257">
        <v>0.5</v>
      </c>
      <c r="GC12" s="32">
        <f>GD12+GE12</f>
        <v>4.2564000000000002</v>
      </c>
      <c r="GD12" s="260">
        <v>4</v>
      </c>
      <c r="GE12" s="32">
        <f>(BI12-DE12)*GB12/$FZ12</f>
        <v>0.25639999999999985</v>
      </c>
      <c r="GF12" s="32">
        <f>(20*GG12+30*GH12+20*GI12+30*GJ12)/100</f>
        <v>2.81</v>
      </c>
      <c r="GG12" s="33">
        <v>5</v>
      </c>
      <c r="GH12" s="33">
        <v>4.5</v>
      </c>
      <c r="GI12" s="33">
        <v>2.2999999999999998</v>
      </c>
      <c r="GJ12" s="33">
        <v>0</v>
      </c>
      <c r="GK12" s="576">
        <f>(20*GL12+30*GM12+20*GN12+30*GO12)/100</f>
        <v>1.0844336876957101</v>
      </c>
      <c r="GL12" s="32">
        <f>GG12/'Discounting metrics'!$D$4*(1-EXP(-'Discounting metrics'!$D$4*20))/20</f>
        <v>3.4416939742673653</v>
      </c>
      <c r="GM12" s="32">
        <f>GH12/'Discounting metrics'!$D$4*((1-EXP(-'Discounting metrics'!$D$4*50))-(1-EXP(-'Discounting metrics'!$D$4*20)))/30</f>
        <v>1.177476303302283</v>
      </c>
      <c r="GN12" s="32">
        <f>GI12/'Discounting metrics'!$D$4*((1-EXP(-'Discounting metrics'!$D$4*70))-(1-EXP(-'Discounting metrics'!$D$4*50)))/20</f>
        <v>0.21426000925775993</v>
      </c>
      <c r="GO12" s="4">
        <f>GJ12/'Discounting metrics'!$D$4*((1-EXP(-'Discounting metrics'!$D$4*100))-(1-EXP(-'Discounting metrics'!$D$4*70)))/30</f>
        <v>0</v>
      </c>
      <c r="GP12" s="33">
        <v>9.09</v>
      </c>
      <c r="GR12" s="97"/>
      <c r="GS12" s="32">
        <f>(20*GT12+30*GU12+20*GV12+30*GW12)/100</f>
        <v>8.44</v>
      </c>
      <c r="GT12" s="33">
        <v>9.1999999999999993</v>
      </c>
      <c r="GU12" s="33">
        <v>8.6999999999999993</v>
      </c>
      <c r="GV12" s="33">
        <v>7.2</v>
      </c>
      <c r="GW12" s="33">
        <v>8.5</v>
      </c>
      <c r="GX12" s="576">
        <f>(20*GY12+30*GZ12+20*HA12+30*HB12)/100</f>
        <v>2.1739256859862532</v>
      </c>
      <c r="GY12" s="32">
        <f>GT12/'Discounting metrics'!$D$4*(1-EXP(-'Discounting metrics'!$D$4*20))/20</f>
        <v>6.3327169126519518</v>
      </c>
      <c r="GZ12" s="32">
        <f>GU12/'Discounting metrics'!$D$4*((1-EXP(-'Discounting metrics'!$D$4*50))-(1-EXP(-'Discounting metrics'!$D$4*20)))/30</f>
        <v>2.2764541863844139</v>
      </c>
      <c r="HA12" s="32">
        <f>GV12/'Discounting metrics'!$D$4*((1-EXP(-'Discounting metrics'!$D$4*70))-(1-EXP(-'Discounting metrics'!$D$4*50)))/20</f>
        <v>0.67072698550255294</v>
      </c>
      <c r="HB12" s="4">
        <f>GW12/'Discounting metrics'!$D$4*((1-EXP(-'Discounting metrics'!$D$4*100))-(1-EXP(-'Discounting metrics'!$D$4*70)))/30</f>
        <v>0.30100216813342634</v>
      </c>
      <c r="HG12" s="264"/>
      <c r="HK12" s="264"/>
      <c r="HO12" s="264"/>
      <c r="HX12" s="60"/>
      <c r="HY12" s="60"/>
      <c r="HZ12" s="60"/>
      <c r="IA12" s="60"/>
      <c r="IB12" s="60"/>
      <c r="IC12" s="60"/>
      <c r="ID12" s="60"/>
      <c r="IM12" s="526">
        <f>GK12/GX12</f>
        <v>0.49883659532903074</v>
      </c>
      <c r="IN12" s="522"/>
      <c r="IO12" s="522"/>
      <c r="IP12" s="97"/>
      <c r="IQ12" s="60"/>
      <c r="IR12" s="60"/>
      <c r="IS12" s="60"/>
      <c r="IT12" s="60"/>
      <c r="IU12" s="60"/>
      <c r="IV12" s="49"/>
      <c r="IW12" s="60"/>
      <c r="IX12" s="60"/>
      <c r="IY12" s="60"/>
      <c r="IZ12" s="60"/>
      <c r="JA12" s="60"/>
      <c r="JB12" s="60"/>
      <c r="JC12" s="60"/>
      <c r="JD12" s="60"/>
      <c r="JE12" s="60"/>
      <c r="JF12" s="60"/>
      <c r="JG12" s="60"/>
      <c r="JH12" s="60"/>
      <c r="JI12" s="60"/>
      <c r="JJ12" s="97"/>
      <c r="JK12" s="97"/>
      <c r="JP12" s="574"/>
      <c r="JQ12" s="60"/>
      <c r="JR12" s="60"/>
      <c r="JS12" s="555"/>
      <c r="JT12" s="97"/>
      <c r="JU12" s="97"/>
      <c r="JV12" s="97"/>
      <c r="JW12" s="97"/>
      <c r="JX12" s="97"/>
      <c r="JY12" s="457"/>
      <c r="JZ12" s="60"/>
      <c r="KA12" s="60"/>
      <c r="KB12" s="97"/>
      <c r="KC12" s="123"/>
      <c r="KD12" s="123"/>
      <c r="KE12" s="123"/>
      <c r="KF12" s="123"/>
      <c r="KG12" s="123"/>
      <c r="KH12" s="49"/>
      <c r="KI12" s="60"/>
      <c r="KJ12" s="60"/>
      <c r="KK12" s="60"/>
      <c r="KL12" s="60"/>
      <c r="KM12" s="60"/>
      <c r="KN12" s="60"/>
      <c r="KO12" s="60"/>
      <c r="KP12" s="60"/>
      <c r="KQ12" s="60"/>
      <c r="KR12" s="60"/>
      <c r="KS12" s="60"/>
    </row>
    <row r="13" spans="1:329" s="4" customFormat="1" x14ac:dyDescent="0.25">
      <c r="A13" s="14"/>
      <c r="H13" s="33"/>
      <c r="J13" s="33"/>
      <c r="M13" s="32"/>
      <c r="N13" s="32"/>
      <c r="O13" s="32"/>
      <c r="P13" s="32"/>
      <c r="Q13" s="32"/>
      <c r="U13" s="60"/>
      <c r="AL13" s="433"/>
      <c r="AM13" s="433"/>
      <c r="AN13" s="433"/>
      <c r="AO13" s="433"/>
      <c r="AP13" s="433"/>
      <c r="AQ13" s="433"/>
      <c r="AR13" s="433"/>
      <c r="AS13" s="433"/>
      <c r="AT13" s="433"/>
      <c r="AU13" s="433"/>
      <c r="AV13" s="433"/>
      <c r="AW13" s="433"/>
      <c r="AX13" s="433"/>
      <c r="AY13" s="433"/>
      <c r="AZ13" s="433"/>
      <c r="BA13" s="433"/>
      <c r="BB13" s="433"/>
      <c r="BC13" s="433"/>
      <c r="BD13" s="60"/>
      <c r="BE13" s="60"/>
      <c r="BF13" s="60"/>
      <c r="BK13" s="106"/>
      <c r="BL13" s="145"/>
      <c r="BM13" s="145"/>
      <c r="BN13" s="145"/>
      <c r="BO13" s="145"/>
      <c r="BP13" s="145"/>
      <c r="BQ13" s="145"/>
      <c r="BR13" s="145"/>
      <c r="BS13" s="145"/>
      <c r="BT13" s="145"/>
      <c r="BU13" s="106"/>
      <c r="BV13" s="145"/>
      <c r="BW13" s="145"/>
      <c r="BX13" s="145"/>
      <c r="BY13" s="145"/>
      <c r="BZ13" s="145"/>
      <c r="CA13" s="145"/>
      <c r="CB13" s="145"/>
      <c r="CC13" s="145"/>
      <c r="CD13" s="145"/>
      <c r="CE13" s="60"/>
      <c r="CF13" s="106"/>
      <c r="CG13" s="145"/>
      <c r="CH13" s="145"/>
      <c r="CI13" s="145"/>
      <c r="CJ13" s="145"/>
      <c r="CK13" s="145"/>
      <c r="CL13" s="145"/>
      <c r="CM13" s="145"/>
      <c r="CN13" s="145"/>
      <c r="CO13" s="145"/>
      <c r="CP13" s="106"/>
      <c r="CQ13" s="145"/>
      <c r="CR13" s="145"/>
      <c r="CS13" s="145"/>
      <c r="CT13" s="145"/>
      <c r="CU13" s="145"/>
      <c r="CV13" s="145"/>
      <c r="CW13" s="145"/>
      <c r="CX13" s="145"/>
      <c r="CY13" s="145"/>
      <c r="CZ13" s="60"/>
      <c r="DA13" s="60"/>
      <c r="DB13" s="60"/>
      <c r="DL13" s="49"/>
      <c r="DM13" s="49"/>
      <c r="DS13" s="60"/>
      <c r="DT13" s="60"/>
      <c r="DU13" s="60"/>
      <c r="EI13" s="49"/>
      <c r="EJ13" s="294"/>
      <c r="EK13" s="60"/>
      <c r="EL13" s="60"/>
      <c r="EM13" s="97"/>
      <c r="EN13" s="97"/>
      <c r="EO13" s="97"/>
      <c r="EP13" s="97"/>
      <c r="EQ13" s="97"/>
      <c r="ER13" s="97"/>
      <c r="ES13" s="97"/>
      <c r="ET13" s="97"/>
      <c r="EU13" s="97"/>
      <c r="EW13" s="60"/>
      <c r="EX13" s="60"/>
      <c r="EY13" s="60"/>
      <c r="EZ13" s="60"/>
      <c r="FA13" s="60"/>
      <c r="FB13" s="60"/>
      <c r="FC13" s="60"/>
      <c r="FG13" s="60"/>
      <c r="FH13" s="60"/>
      <c r="FI13" s="60"/>
      <c r="FJ13" s="60"/>
      <c r="FK13" s="60"/>
      <c r="FL13" s="60"/>
      <c r="FM13" s="60"/>
      <c r="FN13" s="60"/>
      <c r="FO13" s="60"/>
      <c r="FP13" s="60"/>
      <c r="FQ13" s="60"/>
      <c r="FS13" s="60"/>
      <c r="FT13" s="60"/>
      <c r="FU13" s="60"/>
      <c r="FV13" s="60"/>
      <c r="FW13" s="60"/>
      <c r="FX13" s="60"/>
      <c r="FY13" s="60"/>
      <c r="GR13" s="97"/>
      <c r="GS13" s="97"/>
      <c r="GT13" s="97"/>
      <c r="GU13" s="97"/>
      <c r="GV13" s="97"/>
      <c r="GW13" s="97"/>
      <c r="GX13" s="97"/>
      <c r="GY13" s="97"/>
      <c r="GZ13" s="97"/>
      <c r="HA13" s="97"/>
      <c r="HB13" s="97"/>
      <c r="HG13" s="264"/>
      <c r="HK13" s="264"/>
      <c r="HO13" s="264"/>
      <c r="HX13" s="60"/>
      <c r="HY13" s="60"/>
      <c r="HZ13" s="60"/>
      <c r="IA13" s="60"/>
      <c r="IB13" s="60"/>
      <c r="IC13" s="60"/>
      <c r="ID13" s="60"/>
      <c r="IM13" s="60"/>
      <c r="IN13" s="60"/>
      <c r="IO13" s="60"/>
      <c r="IP13" s="97"/>
      <c r="IQ13" s="60"/>
      <c r="IR13" s="60"/>
      <c r="IS13" s="60"/>
      <c r="IT13" s="60"/>
      <c r="IU13" s="60"/>
      <c r="IV13" s="49"/>
      <c r="IW13" s="60"/>
      <c r="IX13" s="60"/>
      <c r="IY13" s="60"/>
      <c r="IZ13" s="60"/>
      <c r="JA13" s="60"/>
      <c r="JB13" s="60"/>
      <c r="JC13" s="60"/>
      <c r="JD13" s="60"/>
      <c r="JE13" s="60"/>
      <c r="JF13" s="60"/>
      <c r="JG13" s="60"/>
      <c r="JH13" s="60"/>
      <c r="JI13" s="60"/>
      <c r="JJ13" s="97"/>
      <c r="JK13" s="97"/>
      <c r="JP13" s="574"/>
      <c r="JQ13" s="60"/>
      <c r="JR13" s="60"/>
      <c r="JS13" s="555"/>
      <c r="JT13" s="97"/>
      <c r="JU13" s="97"/>
      <c r="JV13" s="97"/>
      <c r="JW13" s="97"/>
      <c r="JX13" s="97"/>
      <c r="JY13" s="457"/>
      <c r="JZ13" s="60"/>
      <c r="KA13" s="60"/>
      <c r="KB13" s="97"/>
      <c r="KC13" s="123"/>
      <c r="KD13" s="123"/>
      <c r="KE13" s="123"/>
      <c r="KF13" s="123"/>
      <c r="KG13" s="123"/>
      <c r="KH13" s="49"/>
      <c r="KI13" s="60"/>
      <c r="KJ13" s="60"/>
      <c r="KK13" s="60"/>
      <c r="KL13" s="60"/>
      <c r="KM13" s="60"/>
      <c r="KN13" s="60"/>
      <c r="KO13" s="60"/>
      <c r="KP13" s="60"/>
      <c r="KQ13" s="60"/>
      <c r="KR13" s="60"/>
      <c r="KS13" s="60"/>
    </row>
    <row r="14" spans="1:329" s="49" customFormat="1" x14ac:dyDescent="0.25">
      <c r="A14" s="158" t="s">
        <v>877</v>
      </c>
      <c r="H14" s="33"/>
      <c r="J14" s="33"/>
      <c r="M14" s="153"/>
      <c r="N14" s="153"/>
      <c r="O14" s="153"/>
      <c r="P14" s="153"/>
      <c r="Q14" s="153"/>
      <c r="U14" s="123"/>
      <c r="AL14" s="433"/>
      <c r="AM14" s="433"/>
      <c r="AN14" s="433"/>
      <c r="AO14" s="433"/>
      <c r="AP14" s="433"/>
      <c r="AQ14" s="433"/>
      <c r="AR14" s="433"/>
      <c r="AS14" s="433"/>
      <c r="AT14" s="433"/>
      <c r="AU14" s="433"/>
      <c r="AV14" s="433"/>
      <c r="AW14" s="433"/>
      <c r="AX14" s="433"/>
      <c r="AY14" s="433"/>
      <c r="AZ14" s="433"/>
      <c r="BA14" s="433"/>
      <c r="BB14" s="433"/>
      <c r="BC14" s="433"/>
      <c r="BD14" s="508">
        <f>BD17+BD73</f>
        <v>525.26127869659433</v>
      </c>
      <c r="BE14" s="577">
        <f t="shared" ref="BE14:BF14" si="1">BE17+BE73</f>
        <v>183.71611380390507</v>
      </c>
      <c r="BF14" s="577">
        <f t="shared" si="1"/>
        <v>341.54516489268923</v>
      </c>
      <c r="BK14" s="106"/>
      <c r="BL14" s="145"/>
      <c r="BM14" s="145"/>
      <c r="BN14" s="145"/>
      <c r="BO14" s="145"/>
      <c r="BP14" s="145"/>
      <c r="BQ14" s="145"/>
      <c r="BR14" s="145"/>
      <c r="BS14" s="145"/>
      <c r="BT14" s="145"/>
      <c r="BU14" s="106"/>
      <c r="BV14" s="145"/>
      <c r="BW14" s="145"/>
      <c r="BX14" s="145"/>
      <c r="BY14" s="145"/>
      <c r="BZ14" s="145"/>
      <c r="CA14" s="145"/>
      <c r="CB14" s="145"/>
      <c r="CC14" s="145"/>
      <c r="CD14" s="145"/>
      <c r="CE14" s="123"/>
      <c r="CF14" s="106"/>
      <c r="CG14" s="145"/>
      <c r="CH14" s="145"/>
      <c r="CI14" s="145"/>
      <c r="CJ14" s="145"/>
      <c r="CK14" s="145"/>
      <c r="CL14" s="145"/>
      <c r="CM14" s="145"/>
      <c r="CN14" s="145"/>
      <c r="CO14" s="145"/>
      <c r="CP14" s="106"/>
      <c r="CQ14" s="145"/>
      <c r="CR14" s="145"/>
      <c r="CS14" s="145"/>
      <c r="CT14" s="145"/>
      <c r="CU14" s="145"/>
      <c r="CV14" s="145"/>
      <c r="CW14" s="145"/>
      <c r="CX14" s="145"/>
      <c r="CY14" s="145"/>
      <c r="CZ14" s="508">
        <f>CZ17+CZ73</f>
        <v>310.17860723961098</v>
      </c>
      <c r="DA14" s="577">
        <f t="shared" ref="DA14:DB14" si="2">DA17+DA73</f>
        <v>9.3134399878802014</v>
      </c>
      <c r="DB14" s="577">
        <f t="shared" si="2"/>
        <v>300.86516725173078</v>
      </c>
      <c r="DS14" s="508">
        <f>DS17+DS73</f>
        <v>215.08267145698338</v>
      </c>
      <c r="DT14" s="577">
        <f t="shared" ref="DT14:DU14" si="3">DT17+DT73</f>
        <v>174.40267381602487</v>
      </c>
      <c r="DU14" s="578">
        <f t="shared" si="3"/>
        <v>40.679997640958462</v>
      </c>
      <c r="EK14" s="123"/>
      <c r="EL14" s="123"/>
      <c r="EM14" s="547"/>
      <c r="EN14" s="579"/>
      <c r="EO14" s="149"/>
      <c r="EP14" s="149"/>
      <c r="EQ14" s="149"/>
      <c r="ER14" s="149"/>
      <c r="ES14" s="149"/>
      <c r="ET14" s="149"/>
      <c r="EU14" s="149"/>
      <c r="EW14" s="123"/>
      <c r="EX14" s="123"/>
      <c r="EY14" s="123"/>
      <c r="EZ14" s="123"/>
      <c r="FA14" s="123"/>
      <c r="FB14" s="123"/>
      <c r="FC14" s="123"/>
      <c r="FG14" s="123"/>
      <c r="FH14" s="123"/>
      <c r="FI14" s="123"/>
      <c r="FJ14" s="123"/>
      <c r="FK14" s="123"/>
      <c r="FL14" s="123"/>
      <c r="FM14" s="123"/>
      <c r="FN14" s="123"/>
      <c r="FO14" s="123"/>
      <c r="FP14" s="123"/>
      <c r="FQ14" s="123"/>
      <c r="FS14" s="123"/>
      <c r="FT14" s="123"/>
      <c r="FU14" s="123"/>
      <c r="FV14" s="123"/>
      <c r="FW14" s="123"/>
      <c r="FX14" s="123"/>
      <c r="FY14" s="123"/>
      <c r="GR14" s="149"/>
      <c r="GS14" s="149"/>
      <c r="GT14" s="149"/>
      <c r="GU14" s="149"/>
      <c r="GV14" s="149"/>
      <c r="GW14" s="149"/>
      <c r="GX14" s="149"/>
      <c r="GY14" s="149"/>
      <c r="GZ14" s="149"/>
      <c r="HA14" s="149"/>
      <c r="HB14" s="149"/>
      <c r="HG14" s="267"/>
      <c r="HK14" s="267"/>
      <c r="HO14" s="267"/>
      <c r="HX14" s="123"/>
      <c r="HY14" s="123"/>
      <c r="HZ14" s="123"/>
      <c r="IA14" s="123"/>
      <c r="IB14" s="123"/>
      <c r="IC14" s="123"/>
      <c r="ID14" s="123"/>
      <c r="IM14" s="123"/>
      <c r="IN14" s="123"/>
      <c r="IO14" s="123"/>
      <c r="IP14" s="149"/>
      <c r="IQ14" s="123"/>
      <c r="IR14" s="123"/>
      <c r="IS14" s="123"/>
      <c r="IT14" s="123"/>
      <c r="IU14" s="123"/>
      <c r="IW14" s="123"/>
      <c r="IX14" s="123"/>
      <c r="IY14" s="123"/>
      <c r="IZ14" s="123"/>
      <c r="JA14" s="123"/>
      <c r="JB14" s="123"/>
      <c r="JC14" s="123"/>
      <c r="JD14" s="123"/>
      <c r="JE14" s="123"/>
      <c r="JF14" s="123"/>
      <c r="JG14" s="123"/>
      <c r="JH14" s="123"/>
      <c r="JI14" s="123"/>
      <c r="JJ14" s="149"/>
      <c r="JK14" s="149"/>
      <c r="JN14" s="149"/>
      <c r="JO14" s="123"/>
      <c r="JP14" s="574"/>
      <c r="JQ14" s="123"/>
      <c r="JR14" s="123"/>
      <c r="JS14" s="144"/>
      <c r="JT14" s="144"/>
      <c r="JU14" s="149"/>
      <c r="JV14" s="149"/>
      <c r="JW14" s="149"/>
      <c r="JX14" s="149"/>
      <c r="JY14" s="547"/>
      <c r="JZ14" s="123"/>
      <c r="KA14" s="123"/>
      <c r="KB14" s="149"/>
      <c r="KC14" s="123"/>
      <c r="KD14" s="123"/>
      <c r="KE14" s="123"/>
      <c r="KF14" s="123"/>
      <c r="KG14" s="123"/>
      <c r="KI14" s="123"/>
      <c r="KJ14" s="123"/>
      <c r="KK14" s="123"/>
      <c r="KL14" s="123"/>
      <c r="KM14" s="123"/>
      <c r="KN14" s="123"/>
      <c r="KO14" s="123"/>
      <c r="KP14" s="123"/>
      <c r="KQ14" s="123"/>
      <c r="KR14" s="123"/>
      <c r="KS14" s="123"/>
    </row>
    <row r="15" spans="1:329" s="4" customFormat="1" x14ac:dyDescent="0.25">
      <c r="A15" s="14"/>
      <c r="M15" s="32"/>
      <c r="N15" s="32"/>
      <c r="O15" s="32"/>
      <c r="P15" s="32"/>
      <c r="Q15" s="32"/>
      <c r="U15" s="60"/>
      <c r="BD15" s="60"/>
      <c r="BE15" s="60"/>
      <c r="BF15" s="60"/>
      <c r="BK15" s="60"/>
      <c r="BL15" s="123"/>
      <c r="BM15" s="123"/>
      <c r="BN15" s="123"/>
      <c r="BO15" s="123"/>
      <c r="BP15" s="123"/>
      <c r="BQ15" s="123"/>
      <c r="BR15" s="123"/>
      <c r="BS15" s="123"/>
      <c r="BT15" s="123"/>
      <c r="BU15" s="60"/>
      <c r="BV15" s="123"/>
      <c r="BW15" s="123"/>
      <c r="BX15" s="123"/>
      <c r="BY15" s="123"/>
      <c r="BZ15" s="123"/>
      <c r="CA15" s="123"/>
      <c r="CB15" s="123"/>
      <c r="CC15" s="123"/>
      <c r="CD15" s="123"/>
      <c r="CE15" s="60"/>
      <c r="CF15" s="60"/>
      <c r="CG15" s="123"/>
      <c r="CH15" s="123"/>
      <c r="CI15" s="123"/>
      <c r="CJ15" s="123"/>
      <c r="CK15" s="123"/>
      <c r="CL15" s="123"/>
      <c r="CM15" s="123"/>
      <c r="CN15" s="123"/>
      <c r="CO15" s="123"/>
      <c r="CP15" s="60"/>
      <c r="CQ15" s="123"/>
      <c r="CR15" s="123"/>
      <c r="CS15" s="123"/>
      <c r="CT15" s="123"/>
      <c r="CU15" s="123"/>
      <c r="CV15" s="123"/>
      <c r="CW15" s="123"/>
      <c r="CX15" s="123"/>
      <c r="CY15" s="123"/>
      <c r="CZ15" s="60"/>
      <c r="DA15" s="60"/>
      <c r="DB15" s="60"/>
      <c r="DL15" s="49"/>
      <c r="DM15" s="49"/>
      <c r="DS15" s="60"/>
      <c r="DT15" s="60"/>
      <c r="DU15" s="60"/>
      <c r="EI15" s="49"/>
      <c r="EK15" s="60"/>
      <c r="EL15" s="60"/>
      <c r="EM15" s="547"/>
      <c r="EN15" s="579"/>
      <c r="EO15" s="97"/>
      <c r="EP15" s="97"/>
      <c r="EQ15" s="97"/>
      <c r="ER15" s="97"/>
      <c r="ES15" s="97"/>
      <c r="ET15" s="97"/>
      <c r="EU15" s="97"/>
      <c r="EW15" s="60"/>
      <c r="EX15" s="60"/>
      <c r="EY15" s="60"/>
      <c r="EZ15" s="60"/>
      <c r="FA15" s="60"/>
      <c r="FB15" s="60"/>
      <c r="FC15" s="60"/>
      <c r="FG15" s="60"/>
      <c r="FH15" s="60"/>
      <c r="FI15" s="60"/>
      <c r="FJ15" s="60"/>
      <c r="FK15" s="60"/>
      <c r="FL15" s="60"/>
      <c r="FM15" s="60"/>
      <c r="FN15" s="60"/>
      <c r="FO15" s="60"/>
      <c r="FP15" s="60"/>
      <c r="FQ15" s="60"/>
      <c r="FS15" s="60"/>
      <c r="FT15" s="60"/>
      <c r="FU15" s="60"/>
      <c r="FV15" s="60"/>
      <c r="FW15" s="60"/>
      <c r="FX15" s="60"/>
      <c r="FY15" s="60"/>
      <c r="GR15" s="97"/>
      <c r="GS15" s="97"/>
      <c r="GT15" s="97"/>
      <c r="GU15" s="97"/>
      <c r="GV15" s="97"/>
      <c r="GW15" s="97"/>
      <c r="GX15" s="97"/>
      <c r="GY15" s="97"/>
      <c r="GZ15" s="97"/>
      <c r="HA15" s="97"/>
      <c r="HB15" s="97"/>
      <c r="HG15" s="264"/>
      <c r="HK15" s="264"/>
      <c r="HO15" s="264"/>
      <c r="HX15" s="60"/>
      <c r="HY15" s="60"/>
      <c r="HZ15" s="60"/>
      <c r="IA15" s="60"/>
      <c r="IB15" s="60"/>
      <c r="IC15" s="60"/>
      <c r="ID15" s="60"/>
      <c r="IM15" s="60"/>
      <c r="IN15" s="60"/>
      <c r="IO15" s="60"/>
      <c r="IP15" s="97"/>
      <c r="IQ15" s="60"/>
      <c r="IR15" s="60"/>
      <c r="IS15" s="60"/>
      <c r="IT15" s="60"/>
      <c r="IU15" s="60"/>
      <c r="IW15" s="60"/>
      <c r="IX15" s="60"/>
      <c r="IY15" s="60"/>
      <c r="IZ15" s="60"/>
      <c r="JA15" s="60"/>
      <c r="JB15" s="60"/>
      <c r="JC15" s="60"/>
      <c r="JD15" s="60"/>
      <c r="JE15" s="60"/>
      <c r="JF15" s="60"/>
      <c r="JG15" s="60"/>
      <c r="JH15" s="60"/>
      <c r="JI15" s="60"/>
      <c r="JJ15" s="97"/>
      <c r="JK15" s="97"/>
      <c r="JM15" s="580"/>
      <c r="JN15" s="97"/>
      <c r="JO15" s="60"/>
      <c r="JP15" s="575"/>
      <c r="JQ15" s="60"/>
      <c r="JR15" s="60"/>
      <c r="JS15" s="144"/>
      <c r="JT15" s="144"/>
      <c r="JU15" s="97"/>
      <c r="JV15" s="97"/>
      <c r="JW15" s="97"/>
      <c r="JX15" s="97"/>
      <c r="JY15" s="457"/>
      <c r="JZ15" s="60"/>
      <c r="KA15" s="60"/>
      <c r="KB15" s="97"/>
      <c r="KC15" s="60"/>
      <c r="KD15" s="60"/>
      <c r="KE15" s="60"/>
      <c r="KF15" s="60"/>
      <c r="KG15" s="60"/>
      <c r="KI15" s="60"/>
      <c r="KJ15" s="60"/>
      <c r="KK15" s="60"/>
      <c r="KL15" s="60"/>
      <c r="KM15" s="60"/>
      <c r="KN15" s="60"/>
      <c r="KO15" s="60"/>
      <c r="KP15" s="60"/>
      <c r="KQ15" s="60"/>
      <c r="KR15" s="60"/>
      <c r="KS15" s="60"/>
    </row>
    <row r="16" spans="1:329" s="4" customFormat="1" ht="15.6" x14ac:dyDescent="0.3">
      <c r="A16" s="13" t="s">
        <v>986</v>
      </c>
      <c r="M16" s="32"/>
      <c r="N16" s="32"/>
      <c r="O16" s="32"/>
      <c r="P16" s="32"/>
      <c r="Q16" s="32"/>
      <c r="U16" s="60"/>
      <c r="AC16" s="60"/>
      <c r="AD16" s="60"/>
      <c r="AE16" s="60"/>
      <c r="AF16" s="60"/>
      <c r="AG16" s="60"/>
      <c r="AH16" s="60"/>
      <c r="AI16" s="60"/>
      <c r="AJ16" s="60"/>
      <c r="AK16" s="60"/>
      <c r="AL16" s="60"/>
      <c r="AM16" s="60"/>
      <c r="AN16" s="60"/>
      <c r="AO16" s="60"/>
      <c r="AP16" s="60"/>
      <c r="AQ16" s="60"/>
      <c r="AR16" s="60"/>
      <c r="AS16" s="60"/>
      <c r="AT16" s="60"/>
      <c r="AU16" s="60"/>
      <c r="AV16" s="60"/>
      <c r="AW16" s="60"/>
      <c r="AX16" s="60"/>
      <c r="AY16" s="60"/>
      <c r="AZ16" s="60"/>
      <c r="BA16" s="60"/>
      <c r="BB16" s="60"/>
      <c r="BC16" s="60"/>
      <c r="BD16" s="60"/>
      <c r="BE16" s="60"/>
      <c r="BF16" s="60"/>
      <c r="BK16" s="60"/>
      <c r="BL16" s="123"/>
      <c r="BM16" s="123"/>
      <c r="BN16" s="123"/>
      <c r="BO16" s="123"/>
      <c r="BP16" s="123"/>
      <c r="BQ16" s="123"/>
      <c r="BR16" s="123"/>
      <c r="BS16" s="123"/>
      <c r="BT16" s="123"/>
      <c r="BU16" s="60"/>
      <c r="BV16" s="123"/>
      <c r="BW16" s="123"/>
      <c r="BX16" s="123"/>
      <c r="BY16" s="123"/>
      <c r="BZ16" s="123"/>
      <c r="CA16" s="123"/>
      <c r="CB16" s="123"/>
      <c r="CC16" s="123"/>
      <c r="CD16" s="123"/>
      <c r="CE16" s="60"/>
      <c r="CF16" s="60"/>
      <c r="CG16" s="123"/>
      <c r="CH16" s="123"/>
      <c r="CI16" s="123"/>
      <c r="CJ16" s="123"/>
      <c r="CK16" s="123"/>
      <c r="CL16" s="123"/>
      <c r="CM16" s="123"/>
      <c r="CN16" s="123"/>
      <c r="CO16" s="123"/>
      <c r="CP16" s="60"/>
      <c r="CQ16" s="123"/>
      <c r="CR16" s="123"/>
      <c r="CS16" s="123"/>
      <c r="CT16" s="123"/>
      <c r="CU16" s="123"/>
      <c r="CV16" s="123"/>
      <c r="CW16" s="123"/>
      <c r="CX16" s="123"/>
      <c r="CY16" s="123"/>
      <c r="CZ16" s="60"/>
      <c r="DA16" s="60"/>
      <c r="DB16" s="60"/>
      <c r="DC16" s="60"/>
      <c r="DD16" s="60"/>
      <c r="DE16" s="60"/>
      <c r="DF16" s="60"/>
      <c r="DG16" s="60"/>
      <c r="DH16" s="60"/>
      <c r="DI16" s="58"/>
      <c r="DJ16" s="17"/>
      <c r="DL16" s="49"/>
      <c r="DM16" s="49"/>
      <c r="DS16" s="60"/>
      <c r="DT16" s="60"/>
      <c r="DU16" s="60"/>
      <c r="DV16" s="60"/>
      <c r="DW16" s="60"/>
      <c r="DX16" s="60"/>
      <c r="EB16" s="60"/>
      <c r="EC16" s="60"/>
      <c r="ED16" s="60"/>
      <c r="EE16" s="60"/>
      <c r="EF16" s="60"/>
      <c r="EG16" s="60"/>
      <c r="EH16" s="60"/>
      <c r="EI16" s="123"/>
      <c r="EJ16" s="60"/>
      <c r="EK16" s="60"/>
      <c r="EL16" s="60"/>
      <c r="EM16" s="547"/>
      <c r="EN16" s="97"/>
      <c r="EO16" s="97"/>
      <c r="EP16" s="97"/>
      <c r="EQ16" s="97"/>
      <c r="ER16" s="97"/>
      <c r="ES16" s="97"/>
      <c r="ET16" s="97"/>
      <c r="EU16" s="97"/>
      <c r="EV16" s="60"/>
      <c r="EW16" s="60"/>
      <c r="EX16" s="60"/>
      <c r="EY16" s="60"/>
      <c r="EZ16" s="60"/>
      <c r="FA16" s="60"/>
      <c r="FB16" s="60"/>
      <c r="FC16" s="60"/>
      <c r="FD16" s="60"/>
      <c r="FE16" s="60"/>
      <c r="FF16" s="60"/>
      <c r="FG16" s="60"/>
      <c r="FH16" s="60"/>
      <c r="FI16" s="60"/>
      <c r="FJ16" s="60"/>
      <c r="FK16" s="60"/>
      <c r="FL16" s="60"/>
      <c r="FM16" s="60"/>
      <c r="FN16" s="60"/>
      <c r="FO16" s="60"/>
      <c r="FP16" s="60"/>
      <c r="FQ16" s="60"/>
      <c r="FR16" s="60"/>
      <c r="FS16" s="60"/>
      <c r="FT16" s="60"/>
      <c r="FU16" s="60"/>
      <c r="FV16" s="60"/>
      <c r="FW16" s="60"/>
      <c r="FX16" s="60"/>
      <c r="FY16" s="60"/>
      <c r="GR16" s="97"/>
      <c r="GS16" s="97"/>
      <c r="GT16" s="97"/>
      <c r="GU16" s="97"/>
      <c r="GV16" s="97"/>
      <c r="GW16" s="97"/>
      <c r="GX16" s="97"/>
      <c r="GY16" s="97"/>
      <c r="GZ16" s="97"/>
      <c r="HA16" s="97"/>
      <c r="HB16" s="97"/>
      <c r="HG16" s="520"/>
      <c r="HH16" s="60"/>
      <c r="HI16" s="60"/>
      <c r="HJ16" s="60"/>
      <c r="HK16" s="264"/>
      <c r="HO16" s="264"/>
      <c r="HV16" s="60"/>
      <c r="HX16" s="60"/>
      <c r="HY16" s="60"/>
      <c r="HZ16" s="60"/>
      <c r="IA16" s="60"/>
      <c r="IB16" s="60"/>
      <c r="IC16" s="60"/>
      <c r="ID16" s="60"/>
      <c r="IG16" s="60"/>
      <c r="IM16" s="60"/>
      <c r="IN16" s="60"/>
      <c r="IO16" s="60"/>
      <c r="IP16" s="97"/>
      <c r="IQ16" s="60"/>
      <c r="IR16" s="269">
        <f>IR17*$V17/10^3</f>
        <v>0.90029566908895908</v>
      </c>
      <c r="IS16" s="60"/>
      <c r="IT16" s="60"/>
      <c r="IU16" s="60"/>
      <c r="IV16" s="49"/>
      <c r="IW16" s="60"/>
      <c r="IX16" s="60"/>
      <c r="IY16" s="60"/>
      <c r="IZ16" s="60"/>
      <c r="JA16" s="60"/>
      <c r="JB16" s="60"/>
      <c r="JC16" s="60"/>
      <c r="JD16" s="60"/>
      <c r="JE16" s="60"/>
      <c r="JF16" s="60"/>
      <c r="JG16" s="60"/>
      <c r="JH16" s="60"/>
      <c r="JI16" s="60"/>
      <c r="JJ16" s="97"/>
      <c r="JK16" s="97"/>
      <c r="JL16" s="97"/>
      <c r="JM16" s="97"/>
      <c r="JN16" s="97"/>
      <c r="JP16" s="60"/>
      <c r="JQ16" s="60"/>
      <c r="JR16" s="60"/>
      <c r="JS16" s="60"/>
      <c r="JT16" s="60"/>
      <c r="JU16" s="60"/>
      <c r="JV16" s="60"/>
      <c r="JY16" s="97"/>
      <c r="JZ16" s="97"/>
      <c r="KA16" s="97"/>
      <c r="KB16" s="97"/>
      <c r="KC16" s="123"/>
      <c r="KD16" s="269"/>
      <c r="KE16" s="123"/>
      <c r="KF16" s="269"/>
      <c r="KG16" s="123"/>
      <c r="KH16" s="269"/>
      <c r="KI16" s="123"/>
      <c r="KJ16" s="144"/>
      <c r="KK16" s="123"/>
      <c r="KL16" s="144"/>
      <c r="KM16" s="123"/>
      <c r="KN16" s="144"/>
      <c r="KO16" s="123"/>
      <c r="KP16" s="144"/>
      <c r="KQ16" s="60"/>
      <c r="KR16" s="60"/>
      <c r="KS16" s="60"/>
    </row>
    <row r="17" spans="1:329" s="4" customFormat="1" x14ac:dyDescent="0.25">
      <c r="A17" s="16" t="s">
        <v>485</v>
      </c>
      <c r="B17" s="68">
        <f>B19+B27+B33+B37+B45+B52+B58+B61+B65</f>
        <v>1154.71</v>
      </c>
      <c r="C17" s="68">
        <f>C19+C27+C33+C37+C45+C52+C58+C61+C65</f>
        <v>943.15902578796567</v>
      </c>
      <c r="D17" s="68">
        <f>D19+D27+D33+D37+D45+D52+D58+D61+D65</f>
        <v>211.55097421203436</v>
      </c>
      <c r="E17" s="109">
        <f>D17/B17</f>
        <v>0.18320701666395403</v>
      </c>
      <c r="G17" s="32">
        <f>V17/B17</f>
        <v>3.2838326111253475</v>
      </c>
      <c r="I17" s="32">
        <f>Y17/C17</f>
        <v>2.7313626357498189</v>
      </c>
      <c r="K17" s="32">
        <f>AA17/D17</f>
        <v>5.7469129429135011</v>
      </c>
      <c r="L17" s="97">
        <f>($B19*L19+$B27*L27+$B33*L33+$B37*L37+$B45*L45+$B52*L52+$B58*L58+$B61*L61+$B65*L65)/$B17</f>
        <v>1.8575455926287747</v>
      </c>
      <c r="M17" s="97">
        <f>($B19*M19+$B27*M27+$B33*M33+$B37*M37+$B45*M45+$B52*M52+$B58*M58+$B61*M61+$B65*M65)/$B17</f>
        <v>0.80592177971223178</v>
      </c>
      <c r="N17" s="97"/>
      <c r="O17" s="97">
        <f>($C19*O19+$C27*O27+$C33*O33+$C37*O37+$C45*O45+$C52*O52+$C58*O58+$C61*O61+$C65*O65)/$C17</f>
        <v>0.67033399600981103</v>
      </c>
      <c r="P17" s="97"/>
      <c r="Q17" s="97">
        <f>($D19*Q19+$D27*Q27+$D33*Q33+$D37*Q37+$D45*Q45+$D52*Q52+$D58*Q58+$D61*Q61+$D65*Q65)/$D17</f>
        <v>1.4104136401815259</v>
      </c>
      <c r="R17" s="32">
        <f>10/G17</f>
        <v>3.0452222095976649</v>
      </c>
      <c r="S17" s="32">
        <f>10/I17</f>
        <v>3.6611762455536341</v>
      </c>
      <c r="T17" s="32">
        <f>10/K17</f>
        <v>1.7400646398047435</v>
      </c>
      <c r="U17" s="67"/>
      <c r="V17" s="68">
        <f>V19+V27+V33+V37+V45+V52+V58+V61+V65</f>
        <v>3791.8743543925502</v>
      </c>
      <c r="W17" s="67"/>
      <c r="Y17" s="68">
        <f>Y19+Y27+Y33+Y37+Y45+Y52+Y58+Y61+Y65</f>
        <v>2576.1093226074495</v>
      </c>
      <c r="AA17" s="68">
        <f>AA19+AA27+AA33+AA37+AA45+AA52+AA58+AA61+AA65</f>
        <v>1215.7650317851005</v>
      </c>
      <c r="AB17" s="109">
        <f>AA17/V17</f>
        <v>0.320623764966459</v>
      </c>
      <c r="AC17" s="581">
        <f t="shared" ref="AC17:AK17" si="4">($B19*AC19+$B27*AC27+$B33*AC33+$B37*AC37+$B45*AC45+$B52*AC52+$B58*AC58+$B61*AC61+$B65*AC65)/$B17</f>
        <v>0.19038768158868183</v>
      </c>
      <c r="AD17" s="581">
        <f t="shared" si="4"/>
        <v>0.25775662818851924</v>
      </c>
      <c r="AE17" s="581">
        <f t="shared" si="4"/>
        <v>0.14123805362430442</v>
      </c>
      <c r="AF17" s="582">
        <f t="shared" si="4"/>
        <v>0.12307090296964054</v>
      </c>
      <c r="AG17" s="582">
        <f t="shared" si="4"/>
        <v>9.9830426197439551E-2</v>
      </c>
      <c r="AH17" s="582">
        <f t="shared" si="4"/>
        <v>0.13331807390528194</v>
      </c>
      <c r="AI17" s="429">
        <f t="shared" si="4"/>
        <v>2.319639963831625E-2</v>
      </c>
      <c r="AJ17" s="551">
        <f t="shared" si="4"/>
        <v>2.5433223584428712E-2</v>
      </c>
      <c r="AK17" s="551">
        <f t="shared" si="4"/>
        <v>5.4882511497213035E-3</v>
      </c>
      <c r="AL17" s="294"/>
      <c r="AM17" s="294"/>
      <c r="AN17" s="294"/>
      <c r="AO17" s="294"/>
      <c r="AP17" s="294"/>
      <c r="AQ17" s="294"/>
      <c r="AR17" s="294"/>
      <c r="AS17" s="294"/>
      <c r="AT17" s="294"/>
      <c r="AU17" s="294"/>
      <c r="AV17" s="294"/>
      <c r="AW17" s="294"/>
      <c r="AX17" s="294"/>
      <c r="AY17" s="294"/>
      <c r="AZ17" s="294"/>
      <c r="BA17" s="294"/>
      <c r="BB17" s="294"/>
      <c r="BC17" s="294"/>
      <c r="BD17" s="471">
        <f>BD19+BD27+BD33+BD37+BD45+BD52+BD58+BD61+BD65</f>
        <v>188.41126753293568</v>
      </c>
      <c r="BE17" s="107">
        <f t="shared" ref="BE17:BF17" si="5">BE19+BE27+BE33+BE37+BE45+BE52+BE58+BE61+BE65</f>
        <v>74.564614387080042</v>
      </c>
      <c r="BF17" s="107">
        <f t="shared" si="5"/>
        <v>113.84665314585561</v>
      </c>
      <c r="BG17" s="261">
        <f t="shared" ref="BG17" si="6">BH17+BI17</f>
        <v>163.16760704673524</v>
      </c>
      <c r="BH17" s="68">
        <f>($B19*BH19+$B27*BH27+$B33*BH33+$B37*BH37+$B45*BH45+$B52*BH52+$B58*BH58+$B61*BH61+$B65*BH65)/$B17</f>
        <v>64.574321160360654</v>
      </c>
      <c r="BI17" s="583">
        <f>($B19*BI19+$B27*BI27+$B33*BI33+$B37*BI37+$B45*BI45+$B52*BI52+$B58*BI58+$B61*BI61+$B65*BI65)/$B17</f>
        <v>98.593285886374588</v>
      </c>
      <c r="BJ17" s="107">
        <f>BK17+BU17</f>
        <v>171.73835556766556</v>
      </c>
      <c r="BK17" s="68">
        <f>($C19*BK19+$C27*BK27+$C33*BK33+$C37*BK37+$C45*BK45+$C52*BK52+$C58*BK58+$C61*BK61+$C65*BK65)/$C17</f>
        <v>67.957904469568419</v>
      </c>
      <c r="BL17" s="144"/>
      <c r="BM17" s="144"/>
      <c r="BN17" s="144"/>
      <c r="BO17" s="144"/>
      <c r="BP17" s="144"/>
      <c r="BQ17" s="144"/>
      <c r="BR17" s="144"/>
      <c r="BS17" s="144"/>
      <c r="BT17" s="144"/>
      <c r="BU17" s="68">
        <f>($C19*BU19+$C27*BU27+$C33*BU33+$C37*BU37+$C45*BU45+$C52*BU52+$C58*BU58+$C61*BU61+$C65*BU65)/$C17</f>
        <v>103.78045109809713</v>
      </c>
      <c r="BV17" s="144"/>
      <c r="BW17" s="144"/>
      <c r="BX17" s="144"/>
      <c r="BY17" s="144"/>
      <c r="BZ17" s="144"/>
      <c r="CA17" s="144"/>
      <c r="CB17" s="144"/>
      <c r="CC17" s="144"/>
      <c r="CD17" s="144"/>
      <c r="CE17" s="68">
        <f t="shared" ref="CE17" si="7">CF17+CP17</f>
        <v>124.95658554053202</v>
      </c>
      <c r="CF17" s="68">
        <f>($D19*CF19+$D27*CF27+$D33*CF33+$D37*CF37+$D45*CF45+$D52*CF52+$D58*CF58+$D61*CF61+$D65*CF65)/$D17</f>
        <v>49.489270621258534</v>
      </c>
      <c r="CG17" s="144"/>
      <c r="CH17" s="144"/>
      <c r="CI17" s="144"/>
      <c r="CJ17" s="144"/>
      <c r="CK17" s="144"/>
      <c r="CL17" s="144"/>
      <c r="CM17" s="144"/>
      <c r="CN17" s="144"/>
      <c r="CO17" s="144"/>
      <c r="CP17" s="68">
        <f>($D19*CP19+$D27*CP27+$D33*CP33+$D37*CP37+$D45*CP45+$D52*CP52+$D58*CP58+$D61*CP61+$D65*CP65)/$D17</f>
        <v>75.467314919273477</v>
      </c>
      <c r="CQ17" s="144"/>
      <c r="CR17" s="144"/>
      <c r="CS17" s="144"/>
      <c r="CT17" s="144"/>
      <c r="CU17" s="144"/>
      <c r="CV17" s="144"/>
      <c r="CW17" s="144"/>
      <c r="CX17" s="144"/>
      <c r="CY17" s="144"/>
      <c r="CZ17" s="471">
        <f>CZ19+CZ27+CZ33+CZ37+CZ45+CZ52+CZ58+CZ61+CZ65</f>
        <v>89.511948673636198</v>
      </c>
      <c r="DA17" s="107">
        <f t="shared" ref="DA17:DB17" si="8">DA19+DA27+DA33+DA37+DA45+DA52+DA58+DA61+DA65</f>
        <v>2.470923868872672</v>
      </c>
      <c r="DB17" s="107">
        <f t="shared" si="8"/>
        <v>87.041024804763524</v>
      </c>
      <c r="DC17" s="584">
        <f t="shared" ref="DC17" si="9">DD17+DE17</f>
        <v>77.518986302739393</v>
      </c>
      <c r="DD17" s="97">
        <f>($B19*DD19+$B27*DD27+$B33*DD33+$B37*DD37+$B45*DD45+$B52*DD52+$B58*DD58+$B61*DD61+$B65*DD65)/$B17</f>
        <v>2.1398653071963274</v>
      </c>
      <c r="DE17" s="583">
        <f>($B19*DE19+$B27*DE27+$B33*DE33+$B37*DE37+$B45*DE45+$B52*DE52+$B58*DE58+$B61*DE61+$B65*DE65)/$B17</f>
        <v>75.379120995543062</v>
      </c>
      <c r="DF17" s="270">
        <f>1-DE17/BI17</f>
        <v>0.23545381089727613</v>
      </c>
      <c r="DG17" s="107">
        <f t="shared" ref="DG17" si="10">DH17+DI17</f>
        <v>81.608346406707966</v>
      </c>
      <c r="DH17" s="97">
        <f>($C19*DH19+$C27*DH27+$C33*DH33+$C37*DH37+$C45*DH45+$C52*DH52+$C58*DH58+$C61*DH61+$C65*DH65)/$C17</f>
        <v>2.1491244799586071</v>
      </c>
      <c r="DI17" s="68">
        <f>($C19*DI19+$C27*DI27+$C33*DI33+$C37*DI37+$C45*DI45+$C52*DI52+$C58*DI58+$C61*DI61+$C65*DI65)/$C17</f>
        <v>79.459221926749365</v>
      </c>
      <c r="DJ17" s="38">
        <f>(BK17-DH17)/BK17</f>
        <v>0.96837565112207102</v>
      </c>
      <c r="DK17" s="257">
        <v>0.25</v>
      </c>
      <c r="DL17" s="147"/>
      <c r="DM17" s="147"/>
      <c r="DN17" s="108">
        <f t="shared" ref="DN17" si="11">DO17+DP17</f>
        <v>59.287366684247544</v>
      </c>
      <c r="DO17" s="97">
        <f>($D19*DO19+$D27*DO27+$D33*DO33+$D37*DO37+$D45*DO45+$D52*DO52+$D58*DO58+$D61*DO61+$D65*DO65)/$D17</f>
        <v>2.0985850796076777</v>
      </c>
      <c r="DP17" s="97">
        <f>($D19*DP19+$D27*DP27+$D33*DP33+$D37*DP37+$D45*DP45+$D52*DP52+$D58*DP58+$D61*DP61+$D65*DP65)/$D17</f>
        <v>57.188781604639864</v>
      </c>
      <c r="DQ17" s="38">
        <f>(CF17-DO17)/CF17</f>
        <v>0.95759515035757636</v>
      </c>
      <c r="DR17" s="510">
        <f>DK17</f>
        <v>0.25</v>
      </c>
      <c r="DS17" s="585">
        <f t="shared" ref="DS17:DX17" si="12">BD17-CZ17</f>
        <v>98.899318859299484</v>
      </c>
      <c r="DT17" s="586">
        <f t="shared" si="12"/>
        <v>72.093690518207367</v>
      </c>
      <c r="DU17" s="587">
        <f t="shared" si="12"/>
        <v>26.805628341092088</v>
      </c>
      <c r="DV17" s="471">
        <f t="shared" si="12"/>
        <v>85.648620743995849</v>
      </c>
      <c r="DW17" s="107">
        <f t="shared" si="12"/>
        <v>62.434455853164323</v>
      </c>
      <c r="DX17" s="108">
        <f t="shared" si="12"/>
        <v>23.214164890831526</v>
      </c>
      <c r="DY17" s="471">
        <f>BJ17-DG17</f>
        <v>90.130009160957599</v>
      </c>
      <c r="DZ17" s="107">
        <f>BK17-DH17</f>
        <v>65.808779989609818</v>
      </c>
      <c r="EA17" s="107">
        <f>BU17-DI17</f>
        <v>24.321229171347767</v>
      </c>
      <c r="EB17" s="471">
        <f>CE17-DN17</f>
        <v>65.669218856284473</v>
      </c>
      <c r="EC17" s="107">
        <f>CF17-DO17</f>
        <v>47.390685541650853</v>
      </c>
      <c r="ED17" s="107">
        <f>CP17-DP17</f>
        <v>18.278533314633613</v>
      </c>
      <c r="EE17" s="471">
        <f>($B19*EE19+$B27*EE27+$B33*EE33+$B37*EE37+$B45*EE45+$B52*EE52+$B58*EE58+$B61*EE61+$B65*EE65)/$B17</f>
        <v>63.810919336178976</v>
      </c>
      <c r="EF17" s="68"/>
      <c r="EG17" s="68"/>
      <c r="EH17" s="471">
        <f>($C19*EH19+$C27*EH27+$C33*EH33+$C37*EH37+$C45*EH45+$C52*EH52+$C58*EH58+$C61*EH61+$C65*EH65)/$C17</f>
        <v>66.366063327565598</v>
      </c>
      <c r="EI17" s="144"/>
      <c r="EJ17" s="68"/>
      <c r="EK17" s="68"/>
      <c r="EL17" s="68"/>
      <c r="EM17" s="60"/>
      <c r="EN17" s="97"/>
      <c r="EO17" s="97"/>
      <c r="EP17" s="97"/>
      <c r="EQ17" s="97"/>
      <c r="ER17" s="97"/>
      <c r="ES17" s="97"/>
      <c r="ET17" s="97"/>
      <c r="EU17" s="97"/>
      <c r="EV17" s="68"/>
      <c r="EW17" s="68"/>
      <c r="EX17" s="68"/>
      <c r="EY17" s="68"/>
      <c r="EZ17" s="68"/>
      <c r="FA17" s="68"/>
      <c r="FB17" s="68"/>
      <c r="FC17" s="68"/>
      <c r="FD17" s="471">
        <f>($D19*FD19+$D27*FD27+$D33*FD33+$D37*FD37+$D45*FD45+$D52*FD52+$D58*FD58+$D61*FD61+$D65*FD65)/$D17</f>
        <v>52.419304966921693</v>
      </c>
      <c r="FE17" s="68"/>
      <c r="FF17" s="68"/>
      <c r="FG17" s="68"/>
      <c r="FH17" s="68"/>
      <c r="FI17" s="68"/>
      <c r="FJ17" s="68"/>
      <c r="FK17" s="68"/>
      <c r="FL17" s="68"/>
      <c r="FM17" s="68"/>
      <c r="FN17" s="68"/>
      <c r="FO17" s="68"/>
      <c r="FP17" s="68"/>
      <c r="FQ17" s="68"/>
      <c r="FR17" s="68"/>
      <c r="FS17" s="68"/>
      <c r="FT17" s="68"/>
      <c r="FU17" s="68"/>
      <c r="FV17" s="68"/>
      <c r="FW17" s="68"/>
      <c r="FX17" s="68"/>
      <c r="FY17" s="60"/>
      <c r="FZ17" s="98"/>
      <c r="GA17" s="96"/>
      <c r="GB17" s="96"/>
      <c r="GP17" s="584">
        <f>($B19*GP19+$B27*GP27+$B33*GP33+$B37*GP37+$B45*GP45+$B52*GP52+$B58*GP58+$B61*GP61+$B65*GP65)/$B17</f>
        <v>5.8699164103744623</v>
      </c>
      <c r="GQ17" s="108">
        <f>($C19*GQ19+$C27*GQ27+$C33*GQ33+$C37*GQ37+$C45*GQ45+$C52*GQ52+$C58*GQ58+$C61*GQ61+$C65*GQ65)/$C17</f>
        <v>6.1149429537082733</v>
      </c>
      <c r="GR17" s="108">
        <f>($D19*GR19+$D27*GR27+$D33*GR33+$D37*GR37+$D45*GR45+$D52*GR52+$D58*GR58+$D61*GR61+$D65*GR65)/$D17</f>
        <v>5.0159598413682103</v>
      </c>
      <c r="GS17" s="97"/>
      <c r="GT17" s="97"/>
      <c r="GU17" s="97"/>
      <c r="GV17" s="97"/>
      <c r="GW17" s="97"/>
      <c r="GX17" s="97"/>
      <c r="GY17" s="97"/>
      <c r="GZ17" s="97"/>
      <c r="HA17" s="97"/>
      <c r="HB17" s="97"/>
      <c r="HF17" s="60"/>
      <c r="HG17" s="521">
        <f>EE17/'Discounting metrics'!E$4/M17</f>
        <v>0.79177559091359662</v>
      </c>
      <c r="HJ17" s="60"/>
      <c r="HK17" s="521">
        <f>EH17/'Discounting metrics'!E$4/O17</f>
        <v>0.99004471983536779</v>
      </c>
      <c r="HN17" s="60"/>
      <c r="HO17" s="521">
        <f>FD17/'Discounting metrics'!E$4/Q17</f>
        <v>0.3716590897417521</v>
      </c>
      <c r="HR17" s="60"/>
      <c r="HS17" s="522">
        <f>$IM$11*IE17</f>
        <v>0.89168038197103838</v>
      </c>
      <c r="HT17" s="522"/>
      <c r="HU17" s="522"/>
      <c r="HV17" s="60"/>
      <c r="HW17" s="522">
        <f>$IM$11*IH17</f>
        <v>1.1167895773831189</v>
      </c>
      <c r="HX17" s="522"/>
      <c r="HY17" s="522"/>
      <c r="HZ17" s="60"/>
      <c r="IA17" s="522">
        <f>$IM$11*IK17</f>
        <v>0.4353892871581862</v>
      </c>
      <c r="IB17" s="522"/>
      <c r="IC17" s="522"/>
      <c r="ID17" s="60"/>
      <c r="IE17" s="523">
        <f>GP17/G17</f>
        <v>1.7875199821354113</v>
      </c>
      <c r="IG17" s="60"/>
      <c r="IH17" s="588">
        <f>GQ17/I17</f>
        <v>2.2387883885032305</v>
      </c>
      <c r="IJ17" s="60"/>
      <c r="IK17" s="588">
        <f>GR17/K17</f>
        <v>0.87280943546454337</v>
      </c>
      <c r="IM17" s="60"/>
      <c r="IN17" s="60"/>
      <c r="IO17" s="60"/>
      <c r="IP17" s="589">
        <f>IP19+IP27+IP33+IP37+IP45+IP52+IP58+IP61+IP65</f>
        <v>900.29566908895913</v>
      </c>
      <c r="IQ17" s="60"/>
      <c r="IR17" s="590">
        <f>($V19*IR19+$V27*IR27+$V33*IR33+$V37*IR37+$V45*IR45+$V52*IR52+$V58*IR58+$V61*IR61+$V65*IR65)/$V17</f>
        <v>0.2374276109771534</v>
      </c>
      <c r="IS17" s="60"/>
      <c r="IT17" s="60"/>
      <c r="IU17" s="429">
        <f>($B19*IU19+$B27*IU27+$B33*IU33+$B37*IU37+$B45*IU45+$B52*IU52+$B58*IU58+$B61*IU61+$B65*IU65)/$B17</f>
        <v>1.8249902307427613E-2</v>
      </c>
      <c r="IV17" s="591"/>
      <c r="IW17" s="100"/>
      <c r="IX17" s="429">
        <f>($C19*IX19+$C27*IX27+$C33*IX33+$C37*IX37+$C45*IX45+$C52*IX52+$C58*IX58+$C61*IX61+$C65*IX65)/$C17</f>
        <v>1.8421683788402386E-2</v>
      </c>
      <c r="IY17" s="429"/>
      <c r="IZ17" s="429"/>
      <c r="JA17" s="429"/>
      <c r="JB17" s="429"/>
      <c r="JC17" s="100"/>
      <c r="JD17" s="100"/>
      <c r="JE17" s="429">
        <f>($D19*JE19+$D27*JE27+$D33*JE33+$D37*JE37+$D45*JE45+$D52*JE52+$D58*JE58+$D61*JE61+$D65*JE65)/$D17</f>
        <v>1.7484047861008527E-2</v>
      </c>
      <c r="JF17" s="429"/>
      <c r="JG17" s="429"/>
      <c r="JH17" s="429"/>
      <c r="JI17" s="429"/>
      <c r="JJ17" s="430"/>
      <c r="JK17" s="430"/>
      <c r="JL17" s="430"/>
      <c r="JM17" s="430"/>
      <c r="JN17" s="430"/>
      <c r="JO17" s="430"/>
      <c r="JP17" s="430"/>
      <c r="JQ17" s="430"/>
      <c r="JR17" s="430"/>
      <c r="JS17" s="589">
        <f>JS19+JS27+JS33+JS37+JS45+JS52+JS58+JS61+JS65</f>
        <v>3000.6088111298973</v>
      </c>
      <c r="JT17" s="471">
        <f>JT19+JT27+JT33+JT37+JT45+JT52+JT58+JT61+JT65</f>
        <v>594.39814715577711</v>
      </c>
      <c r="JU17" s="471">
        <f>JU19+JU27+JU33+JU37+JU45+JU52+JU58+JU61+JU65</f>
        <v>148.22026862245798</v>
      </c>
      <c r="JV17" s="471">
        <f t="shared" ref="JV17:JX17" si="13">JV19+JV27+JV33+JV37+JV45+JV52+JV58+JV61+JV65</f>
        <v>528.38088807743202</v>
      </c>
      <c r="JW17" s="471">
        <f t="shared" si="13"/>
        <v>605.11260033655003</v>
      </c>
      <c r="JX17" s="471">
        <f t="shared" si="13"/>
        <v>1124.49690693768</v>
      </c>
      <c r="JY17" s="522">
        <f>JS17/V17</f>
        <v>0.7913260120694553</v>
      </c>
      <c r="JZ17" s="590">
        <f>($V19*JZ19+$V27*JZ27+$V33*JZ33+$V37*JZ37+$V45*JZ45+$V52*JZ52+$V58*JZ58+$V61*JZ61+$V65*JZ65)/$V17</f>
        <v>0.7913260120694553</v>
      </c>
      <c r="KA17" s="522"/>
      <c r="KB17" s="97"/>
      <c r="KC17" s="123"/>
      <c r="KD17" s="262">
        <f>($V19*KD19+$V27*KD27+$V33*KD33+$V37*KD37+$V45*KD45+$V52*KD52+$V58*KD58+$V61*KD61+$V65*KD65)/$V17</f>
        <v>0.19584467900893851</v>
      </c>
      <c r="KE17" s="123"/>
      <c r="KF17" s="262">
        <f>($V19*KF19+$V27*KF27+$V33*KF33+$V37*KF37+$V45*KF45+$V52*KF52+$V58*KF58+$V61*KF61+$V65*KF65)/$V17</f>
        <v>0.29892696394355217</v>
      </c>
      <c r="KG17" s="123"/>
      <c r="KH17" s="262">
        <f t="shared" ref="KH17:KQ17" si="14">($V19*KH19+$V27*KH27+$V33*KH33+$V37*KH37+$V45*KH45+$V52*KH52+$V58*KH58+$V61*KH61+$V65*KH65)/$V17</f>
        <v>0.29655436911696453</v>
      </c>
      <c r="KI17" s="522">
        <f>($V19*KI19+$V27*KI27+$V33*KI33+$V37*KI37+$V45*KI45+$V52*KI52+$V58*KI58+$V61*KI61+$V65*KI65)/$V17</f>
        <v>9.982459582311011E-2</v>
      </c>
      <c r="KJ17" s="522">
        <f>($V19*KJ19+$V27*KJ27+$V33*KJ33+$V37*KJ37+$V45*KJ45+$V52*KJ52+$V58*KJ58+$V61*KJ61+$V65*KJ65)/$V17</f>
        <v>0.15675576023958165</v>
      </c>
      <c r="KK17" s="522">
        <f>($V19*KK19+$V27*KK27+$V33*KK33+$V37*KK37+$V45*KK45+$V52*KK52+$V58*KK58+$V61*KK61+$V65*KK65)/$V17</f>
        <v>2.9017416124140164E-2</v>
      </c>
      <c r="KL17" s="522">
        <f>($V19*KL19+$V27*KL27+$V33*KL33+$V37*KL37+$V45*KL45+$V52*KL52+$V58*KL58+$V61*KL61+$V65*KL65)/$V17</f>
        <v>3.9088918769356884E-2</v>
      </c>
      <c r="KM17" s="522">
        <f t="shared" si="14"/>
        <v>9.8858749549045347E-2</v>
      </c>
      <c r="KN17" s="522">
        <f t="shared" si="14"/>
        <v>0.13934556862764971</v>
      </c>
      <c r="KO17" s="522">
        <f t="shared" si="14"/>
        <v>0.10456404964137343</v>
      </c>
      <c r="KP17" s="522">
        <f t="shared" si="14"/>
        <v>0.15958139531590249</v>
      </c>
      <c r="KQ17" s="521">
        <f t="shared" si="14"/>
        <v>3.9319307897297957</v>
      </c>
      <c r="KR17" s="60"/>
      <c r="KS17" s="60"/>
      <c r="KZ17" s="521">
        <f>($V19*KZ19+$V27*KZ27+$V33*KZ33+$V37*KZ37+$V45*KZ45+$V52*KZ52+$V58*KZ58+$V61*KZ61+$V65*KZ65)/$V17</f>
        <v>4.2982483569404151</v>
      </c>
    </row>
    <row r="18" spans="1:329" s="4" customFormat="1" x14ac:dyDescent="0.25">
      <c r="A18" s="14"/>
      <c r="L18" s="32"/>
      <c r="M18" s="32"/>
      <c r="N18" s="32"/>
      <c r="O18" s="32"/>
      <c r="P18" s="32"/>
      <c r="Q18" s="32"/>
      <c r="U18" s="60"/>
      <c r="AC18" s="60"/>
      <c r="AD18" s="60"/>
      <c r="AE18" s="60"/>
      <c r="AF18" s="60"/>
      <c r="AG18" s="60"/>
      <c r="AH18" s="60"/>
      <c r="AI18" s="60"/>
      <c r="AJ18" s="60"/>
      <c r="AK18" s="60"/>
      <c r="AL18" s="433"/>
      <c r="AM18" s="433"/>
      <c r="AN18" s="433"/>
      <c r="AO18" s="433"/>
      <c r="AP18" s="433"/>
      <c r="AQ18" s="433"/>
      <c r="AR18" s="433"/>
      <c r="AS18" s="433"/>
      <c r="AT18" s="433"/>
      <c r="AU18" s="60"/>
      <c r="AV18" s="60"/>
      <c r="AW18" s="60"/>
      <c r="AX18" s="60"/>
      <c r="AY18" s="60"/>
      <c r="AZ18" s="60"/>
      <c r="BA18" s="60"/>
      <c r="BB18" s="60"/>
      <c r="BC18" s="60"/>
      <c r="BD18" s="60"/>
      <c r="BE18" s="60"/>
      <c r="BF18" s="60"/>
      <c r="BJ18" s="60"/>
      <c r="BK18" s="60"/>
      <c r="BL18" s="144"/>
      <c r="BM18" s="144"/>
      <c r="BN18" s="144"/>
      <c r="BO18" s="144"/>
      <c r="BP18" s="144"/>
      <c r="BQ18" s="144"/>
      <c r="BR18" s="144"/>
      <c r="BS18" s="144"/>
      <c r="BT18" s="144"/>
      <c r="BU18" s="60"/>
      <c r="BV18" s="123"/>
      <c r="BW18" s="123"/>
      <c r="BX18" s="123"/>
      <c r="BY18" s="123"/>
      <c r="BZ18" s="123"/>
      <c r="CA18" s="123"/>
      <c r="CB18" s="123"/>
      <c r="CC18" s="123"/>
      <c r="CD18" s="123"/>
      <c r="CE18" s="60"/>
      <c r="CF18" s="60"/>
      <c r="CG18" s="149"/>
      <c r="CH18" s="149"/>
      <c r="CI18" s="149"/>
      <c r="CJ18" s="149"/>
      <c r="CK18" s="149"/>
      <c r="CL18" s="149"/>
      <c r="CM18" s="149"/>
      <c r="CN18" s="149"/>
      <c r="CO18" s="149"/>
      <c r="CP18" s="60"/>
      <c r="CQ18" s="123"/>
      <c r="CR18" s="123"/>
      <c r="CS18" s="123"/>
      <c r="CT18" s="123"/>
      <c r="CU18" s="123"/>
      <c r="CV18" s="123"/>
      <c r="CW18" s="123"/>
      <c r="CX18" s="123"/>
      <c r="CY18" s="123"/>
      <c r="CZ18" s="60"/>
      <c r="DA18" s="60"/>
      <c r="DB18" s="60"/>
      <c r="DC18" s="60"/>
      <c r="DD18" s="60"/>
      <c r="DE18" s="60"/>
      <c r="DF18" s="60"/>
      <c r="DG18" s="60"/>
      <c r="DH18" s="60"/>
      <c r="DI18" s="60"/>
      <c r="DL18" s="123"/>
      <c r="DM18" s="123"/>
      <c r="DS18" s="60"/>
      <c r="DT18" s="60"/>
      <c r="DU18" s="60"/>
      <c r="EE18" s="60"/>
      <c r="EF18" s="60"/>
      <c r="EG18" s="60"/>
      <c r="EH18" s="60"/>
      <c r="EI18" s="123"/>
      <c r="EJ18" s="60"/>
      <c r="EK18" s="60"/>
      <c r="EL18" s="60"/>
      <c r="EM18" s="60"/>
      <c r="EN18" s="269"/>
      <c r="EO18" s="269"/>
      <c r="EP18" s="269"/>
      <c r="EQ18" s="269"/>
      <c r="ER18" s="269"/>
      <c r="ES18" s="269"/>
      <c r="ET18" s="269"/>
      <c r="EU18" s="269"/>
      <c r="EV18" s="60"/>
      <c r="EW18" s="123"/>
      <c r="EX18" s="60"/>
      <c r="EY18" s="60"/>
      <c r="EZ18" s="60"/>
      <c r="FA18" s="60"/>
      <c r="FB18" s="60"/>
      <c r="FC18" s="60"/>
      <c r="FD18" s="60"/>
      <c r="FE18" s="60"/>
      <c r="FF18" s="60"/>
      <c r="FG18" s="60"/>
      <c r="FH18" s="60"/>
      <c r="FI18" s="60"/>
      <c r="FJ18" s="60"/>
      <c r="FK18" s="60"/>
      <c r="FL18" s="60"/>
      <c r="FM18" s="60"/>
      <c r="FN18" s="60"/>
      <c r="FO18" s="60"/>
      <c r="FP18" s="60"/>
      <c r="FQ18" s="60"/>
      <c r="FR18" s="60"/>
      <c r="FS18" s="60"/>
      <c r="FT18" s="60"/>
      <c r="FU18" s="60"/>
      <c r="FV18" s="60"/>
      <c r="FW18" s="60"/>
      <c r="FX18" s="60"/>
      <c r="FY18" s="60"/>
      <c r="FZ18" s="60"/>
      <c r="GA18" s="60"/>
      <c r="GB18" s="60"/>
      <c r="GR18" s="97"/>
      <c r="GS18" s="97"/>
      <c r="GT18" s="97"/>
      <c r="GU18" s="97"/>
      <c r="GV18" s="97"/>
      <c r="GW18" s="97"/>
      <c r="GX18" s="97"/>
      <c r="GY18" s="97"/>
      <c r="GZ18" s="97"/>
      <c r="HA18" s="97"/>
      <c r="HB18" s="97"/>
      <c r="HF18" s="60"/>
      <c r="HG18" s="264"/>
      <c r="HJ18" s="60"/>
      <c r="HK18" s="264"/>
      <c r="HN18" s="60"/>
      <c r="HO18" s="264"/>
      <c r="HR18" s="60"/>
      <c r="HS18" s="32"/>
      <c r="HT18" s="97"/>
      <c r="HU18" s="97"/>
      <c r="HV18" s="60"/>
      <c r="HW18" s="32"/>
      <c r="HX18" s="97"/>
      <c r="HY18" s="97"/>
      <c r="HZ18" s="60"/>
      <c r="IA18" s="32"/>
      <c r="IB18" s="97"/>
      <c r="IC18" s="97"/>
      <c r="ID18" s="60"/>
      <c r="IG18" s="60"/>
      <c r="IJ18" s="60"/>
      <c r="IM18" s="60"/>
      <c r="IN18" s="60"/>
      <c r="IO18" s="575" t="s">
        <v>860</v>
      </c>
      <c r="IP18" s="269">
        <f>IP17/$B17</f>
        <v>0.77967253170835893</v>
      </c>
      <c r="IQ18" s="60"/>
      <c r="IR18" s="60"/>
      <c r="IS18" s="60"/>
      <c r="IT18" s="60"/>
      <c r="IU18" s="60"/>
      <c r="IV18" s="49"/>
      <c r="IW18" s="60"/>
      <c r="IX18" s="60"/>
      <c r="IY18" s="60"/>
      <c r="IZ18" s="60"/>
      <c r="JA18" s="60"/>
      <c r="JB18" s="60"/>
      <c r="JC18" s="60"/>
      <c r="JD18" s="60"/>
      <c r="JE18" s="60"/>
      <c r="JF18" s="60"/>
      <c r="JG18" s="60"/>
      <c r="JH18" s="60"/>
      <c r="JI18" s="60"/>
      <c r="JJ18" s="97"/>
      <c r="JK18" s="97"/>
      <c r="JL18" s="97"/>
      <c r="JM18" s="97"/>
      <c r="JN18" s="97"/>
      <c r="JP18" s="575"/>
      <c r="JQ18" s="575"/>
      <c r="JR18" s="575" t="s">
        <v>860</v>
      </c>
      <c r="JS18" s="149">
        <f t="shared" ref="JS18:JX18" si="15">JS17/$B17</f>
        <v>2.5985821644654479</v>
      </c>
      <c r="JT18" s="269">
        <f t="shared" si="15"/>
        <v>0.51475967745648443</v>
      </c>
      <c r="JU18" s="269">
        <f t="shared" si="15"/>
        <v>0.12836146618844382</v>
      </c>
      <c r="JV18" s="269">
        <f t="shared" si="15"/>
        <v>0.45758752247528123</v>
      </c>
      <c r="JW18" s="269">
        <f t="shared" si="15"/>
        <v>0.52403859006724629</v>
      </c>
      <c r="JX18" s="149">
        <f t="shared" si="15"/>
        <v>0.97383490827799191</v>
      </c>
      <c r="JY18" s="457"/>
      <c r="JZ18" s="60"/>
      <c r="KA18" s="97"/>
      <c r="KB18" s="97"/>
      <c r="KC18" s="123"/>
      <c r="KD18" s="123"/>
      <c r="KE18" s="123"/>
      <c r="KF18" s="123"/>
      <c r="KG18" s="123"/>
      <c r="KH18" s="49"/>
      <c r="KI18" s="60"/>
      <c r="KJ18" s="60"/>
      <c r="KK18" s="60"/>
      <c r="KL18" s="60"/>
      <c r="KM18" s="60"/>
      <c r="KN18" s="60"/>
      <c r="KO18" s="60"/>
      <c r="KP18" s="60"/>
      <c r="KQ18" s="60"/>
      <c r="KR18" s="60"/>
      <c r="KS18" s="60"/>
    </row>
    <row r="19" spans="1:329" s="4" customFormat="1" ht="13.8" x14ac:dyDescent="0.3">
      <c r="A19" s="15" t="s">
        <v>74</v>
      </c>
      <c r="B19" s="152">
        <f>B20+B21+B22+B23+B24+B25</f>
        <v>568.9</v>
      </c>
      <c r="C19" s="152">
        <f>C20+C21+C22+C23+C24+C25</f>
        <v>431.90000000000003</v>
      </c>
      <c r="D19" s="152">
        <f>D20+D21+D22+D23+D24+D25</f>
        <v>137.00000000000003</v>
      </c>
      <c r="F19" s="153">
        <f t="shared" ref="F19:F25" si="16">U19/B19</f>
        <v>3.8517384426085428</v>
      </c>
      <c r="G19" s="153">
        <f t="shared" ref="G19:G25" si="17">V19/B19</f>
        <v>3.3784897169977151</v>
      </c>
      <c r="I19" s="153">
        <f>Y19/C19</f>
        <v>2.6231113220652928</v>
      </c>
      <c r="K19" s="153">
        <f>AA19/D19</f>
        <v>5.7598614598540134</v>
      </c>
      <c r="L19" s="267">
        <f>($B20*L20+$B21*L21+$B22*L22+$B23*L23+$B24*L24+$B25*L25)/$B19</f>
        <v>0.94529784804996753</v>
      </c>
      <c r="M19" s="267">
        <f>($B20*M20+$B21*M21+$B22*M22+$B23*M23+$B24*M24+$B25*M25)/$B19</f>
        <v>0.82915262983797078</v>
      </c>
      <c r="N19" s="153"/>
      <c r="O19" s="153">
        <f>($C20*O20+$C21*O21+$C22*O22+$C23*O23+$C24*O24+$C25*O25)/$C19</f>
        <v>0.64376684058134859</v>
      </c>
      <c r="P19" s="153"/>
      <c r="Q19" s="153">
        <f>($D20*Q20+$D21*Q21+$D22*Q22+$D23*Q23+$D24*Q24+$D25*Q25)/$D19</f>
        <v>1.4135914793265474</v>
      </c>
      <c r="U19" s="152">
        <f>U20+U21+U22+U23+U24+U25</f>
        <v>2191.2539999999999</v>
      </c>
      <c r="V19" s="152">
        <f>V20+V21+V22+V23+V24+V25</f>
        <v>1922.0228</v>
      </c>
      <c r="W19" s="265">
        <f>V19/V$17</f>
        <v>0.50687934788068778</v>
      </c>
      <c r="Y19" s="152">
        <f>Y20+Y21+Y22+Y23+Y24+Y25</f>
        <v>1132.9217800000001</v>
      </c>
      <c r="AA19" s="152">
        <f>AA20+AA21+AA22+AA23+AA24+AA25</f>
        <v>789.10101999999995</v>
      </c>
      <c r="AB19" s="154"/>
      <c r="AC19" s="265">
        <f t="shared" ref="AC19:AK19" si="18">($B20*AC20+$B21*AC21+$B22*AC22+$B23*AC23+$B24*AC24+$B25*AC25)/$B19</f>
        <v>0.14628707734589033</v>
      </c>
      <c r="AD19" s="265">
        <f t="shared" si="18"/>
        <v>0.22755121333094355</v>
      </c>
      <c r="AE19" s="265">
        <f t="shared" si="18"/>
        <v>0.13032335199743286</v>
      </c>
      <c r="AF19" s="265">
        <f t="shared" si="18"/>
        <v>0.13430242791482455</v>
      </c>
      <c r="AG19" s="265">
        <f t="shared" si="18"/>
        <v>0.12035404698197041</v>
      </c>
      <c r="AH19" s="265">
        <f t="shared" si="18"/>
        <v>0.17610004451227665</v>
      </c>
      <c r="AI19" s="265">
        <f t="shared" si="18"/>
        <v>2.6903286388200189E-2</v>
      </c>
      <c r="AJ19" s="592">
        <f t="shared" si="18"/>
        <v>3.3186883945740993E-2</v>
      </c>
      <c r="AK19" s="265">
        <f t="shared" si="18"/>
        <v>4.8411913789712276E-3</v>
      </c>
      <c r="AL19" s="154">
        <f t="shared" ref="AL19:AT19" si="19">($C20*AL20+$C21*AL21+$C22*AL22+$C23*AL23+$C24*AL24+$C25*AL25)/$C19</f>
        <v>0.15555845280316416</v>
      </c>
      <c r="AM19" s="154">
        <f t="shared" si="19"/>
        <v>0.22208154105850389</v>
      </c>
      <c r="AN19" s="154">
        <f t="shared" si="19"/>
        <v>0.16333543601278258</v>
      </c>
      <c r="AO19" s="154">
        <f t="shared" si="19"/>
        <v>0.13919956081724549</v>
      </c>
      <c r="AP19" s="154">
        <f t="shared" si="19"/>
        <v>0.1257920029309455</v>
      </c>
      <c r="AQ19" s="154">
        <f t="shared" si="19"/>
        <v>0.16858227809611648</v>
      </c>
      <c r="AR19" s="154">
        <f t="shared" si="19"/>
        <v>1.2544895853937327E-2</v>
      </c>
      <c r="AS19" s="154">
        <f t="shared" si="19"/>
        <v>6.5825323925483657E-3</v>
      </c>
      <c r="AT19" s="154">
        <f t="shared" si="19"/>
        <v>6.1761456434495047E-3</v>
      </c>
      <c r="AU19" s="265">
        <f t="shared" ref="AU19:BC19" si="20">($D20*AU20+$D21*AU21+$D22*AU22+$D23*AU23+$D24*AU24+$D25*AU25)/$D19</f>
        <v>0.11705855865978398</v>
      </c>
      <c r="AV19" s="265">
        <f t="shared" si="20"/>
        <v>0.24479465460442276</v>
      </c>
      <c r="AW19" s="265">
        <f t="shared" si="20"/>
        <v>2.6250949908166062E-2</v>
      </c>
      <c r="AX19" s="265">
        <f t="shared" si="20"/>
        <v>0.11886394834872516</v>
      </c>
      <c r="AY19" s="265">
        <f t="shared" si="20"/>
        <v>0.10321059315450797</v>
      </c>
      <c r="AZ19" s="265">
        <f t="shared" si="20"/>
        <v>0.19980021469577713</v>
      </c>
      <c r="BA19" s="265">
        <f t="shared" si="20"/>
        <v>7.2168898590741271E-2</v>
      </c>
      <c r="BB19" s="265">
        <f t="shared" si="20"/>
        <v>0.11705855865978398</v>
      </c>
      <c r="BC19" s="265">
        <f t="shared" si="20"/>
        <v>6.3267497876562156E-4</v>
      </c>
      <c r="BD19" s="152">
        <f>BD20+BD21+BD22+BD23+BD24+BD25</f>
        <v>82.980560972099084</v>
      </c>
      <c r="BE19" s="152">
        <f t="shared" ref="BE19:BF19" si="21">BE20+BE21+BE22+BE23+BE24+BE25</f>
        <v>30.48960182053014</v>
      </c>
      <c r="BF19" s="152">
        <f t="shared" si="21"/>
        <v>52.49095915156893</v>
      </c>
      <c r="BG19" s="49">
        <f>($B20*BG20+$B21*BG21+$B22*BG22+$B23*BG23+$B24*BG24+$B25*BG25)/$B19</f>
        <v>145.86141847793823</v>
      </c>
      <c r="BH19" s="49">
        <f>($B20*BH20+$B21*BH21+$B22*BH22+$B23*BH23+$B24*BH24+$B25*BH25)/$B19</f>
        <v>53.593956443188866</v>
      </c>
      <c r="BI19" s="49">
        <f>($B20*BI20+$B21*BI21+$B22*BI22+$B23*BI23+$B24*BI24+$B25*BI25)/$B19</f>
        <v>92.267462034749386</v>
      </c>
      <c r="BJ19" s="49">
        <f>($C20*BJ20+$C21*BJ21+$C22*BJ22+$C23*BJ23+$C24*BJ24+$C25*BJ25)/$C19</f>
        <v>149.68183065663845</v>
      </c>
      <c r="BK19" s="144">
        <f>($C20*BK20+$C21*BK21+$C22*BK22+$C23*BK23+$C24*BK24+$C25*BK25)/$C19</f>
        <v>53.399628300727095</v>
      </c>
      <c r="BL19" s="144"/>
      <c r="BM19" s="144"/>
      <c r="BN19" s="144"/>
      <c r="BO19" s="144"/>
      <c r="BP19" s="144"/>
      <c r="BQ19" s="144"/>
      <c r="BR19" s="144"/>
      <c r="BS19" s="144"/>
      <c r="BT19" s="144"/>
      <c r="BU19" s="144">
        <f>($C20*BU20+$C21*BU21+$C22*BU22+$C23*BU23+$C24*BU24+$C25*BU25)/$C19</f>
        <v>96.282202355911352</v>
      </c>
      <c r="BV19" s="144"/>
      <c r="BW19" s="144"/>
      <c r="BX19" s="144"/>
      <c r="BY19" s="144"/>
      <c r="BZ19" s="144"/>
      <c r="CA19" s="144"/>
      <c r="CB19" s="144"/>
      <c r="CC19" s="144"/>
      <c r="CD19" s="144"/>
      <c r="CE19" s="123">
        <f>($D20*CE20+$D21*CE21+$D22*CE22+$D23*CE23+$D24*CE24+$D25*CE25)/$D19</f>
        <v>133.81735993793367</v>
      </c>
      <c r="CF19" s="144">
        <f>($D20*CF20+$D21*CF21+$D22*CF22+$D23*CF23+$D24*CF24+$D25*CF25)/$D19</f>
        <v>54.206586550701523</v>
      </c>
      <c r="CG19" s="144"/>
      <c r="CH19" s="144"/>
      <c r="CI19" s="144"/>
      <c r="CJ19" s="144"/>
      <c r="CK19" s="144"/>
      <c r="CL19" s="144"/>
      <c r="CM19" s="144"/>
      <c r="CN19" s="144"/>
      <c r="CO19" s="144"/>
      <c r="CP19" s="144">
        <f>($D20*CP20+$D21*CP21+$D22*CP22+$D23*CP23+$D24*CP24+$D25*CP25)/$D19</f>
        <v>79.610773387232172</v>
      </c>
      <c r="CQ19" s="144"/>
      <c r="CR19" s="144"/>
      <c r="CS19" s="144"/>
      <c r="CT19" s="144"/>
      <c r="CU19" s="144"/>
      <c r="CV19" s="144"/>
      <c r="CW19" s="144"/>
      <c r="CX19" s="144"/>
      <c r="CY19" s="144"/>
      <c r="CZ19" s="152">
        <f>CZ20+CZ21+CZ22+CZ23+CZ24+CZ25</f>
        <v>39.968851488676691</v>
      </c>
      <c r="DA19" s="152">
        <f t="shared" ref="DA19:DB19" si="22">DA20+DA21+DA22+DA23+DA24+DA25</f>
        <v>0.60063212499999996</v>
      </c>
      <c r="DB19" s="152">
        <f t="shared" si="22"/>
        <v>39.368219363676694</v>
      </c>
      <c r="DC19" s="49">
        <f>($B20*DC20+$B21*DC21+$B22*DC22+$B23*DC23+$B24*DC24+$B25*DC25)/$B19</f>
        <v>70.256374562623819</v>
      </c>
      <c r="DD19" s="49">
        <f>($B20*DD20+$B21*DD21+$B22*DD22+$B23*DD23+$B24*DD24+$B25*DD25)/$B19</f>
        <v>1.0557780365617857</v>
      </c>
      <c r="DE19" s="152">
        <f>($B20*DE20+$B21*DE21+$B22*DE22+$B23*DE23+$B24*DE24+$B25*DE25)/$B19</f>
        <v>69.200596526062029</v>
      </c>
      <c r="DF19" s="270"/>
      <c r="DG19" s="152">
        <f>($C20*DG20+$C21*DG21+$C22*DG22+$C23*DG23+$C24*DG24+$C25*DG25)/$C19</f>
        <v>73.031374055078913</v>
      </c>
      <c r="DH19" s="153">
        <f>($C20*DH20+$C21*DH21+$C22*DH22+$C23*DH23+$C24*DH24+$C25*DH25)/$C19</f>
        <v>0.81972228814540415</v>
      </c>
      <c r="DI19" s="152">
        <f>($C20*DI20+$C21*DI21+$C22*DI22+$C23*DI23+$C24*DI24+$C25*DI25)/$C19</f>
        <v>72.211651766933514</v>
      </c>
      <c r="DJ19" s="152"/>
      <c r="DL19" s="123"/>
      <c r="DM19" s="123"/>
      <c r="DN19" s="153">
        <f>($D20*DN20+$D21*DN21+$D22*DN22+$D23*DN23+$D24*DN24+$D25*DN25)/$D19</f>
        <v>61.508036746628491</v>
      </c>
      <c r="DO19" s="153">
        <f>($D20*DO20+$D21*DO21+$D22*DO22+$D23*DO23+$D24*DO24+$D25*DO25)/$D19</f>
        <v>1.7999567062043793</v>
      </c>
      <c r="DP19" s="152">
        <f>($D20*DP20+$D21*DP21+$D22*DP22+$D23*DP23+$D24*DP24+$D25*DP25)/$D19</f>
        <v>59.708080040424129</v>
      </c>
      <c r="DQ19" s="152"/>
      <c r="DS19" s="554"/>
      <c r="DT19" s="554"/>
      <c r="DU19" s="554"/>
      <c r="DV19" s="152">
        <f t="shared" ref="DV19:DX25" si="23">BG19-DC19</f>
        <v>75.605043915314411</v>
      </c>
      <c r="DW19" s="152">
        <f t="shared" si="23"/>
        <v>52.538178406627082</v>
      </c>
      <c r="DX19" s="152">
        <f t="shared" si="23"/>
        <v>23.066865508687357</v>
      </c>
      <c r="DY19" s="152">
        <f t="shared" ref="DY19:DZ25" si="24">BJ19-DG19</f>
        <v>76.65045660155954</v>
      </c>
      <c r="DZ19" s="152">
        <f t="shared" si="24"/>
        <v>52.579906012581688</v>
      </c>
      <c r="EA19" s="152">
        <f t="shared" ref="EA19:EA25" si="25">BU19-DI19</f>
        <v>24.070550588977838</v>
      </c>
      <c r="EB19" s="152">
        <f t="shared" ref="EB19:EC25" si="26">CE19-DN19</f>
        <v>72.309323191305182</v>
      </c>
      <c r="EC19" s="152">
        <f t="shared" si="26"/>
        <v>52.406629844497147</v>
      </c>
      <c r="ED19" s="152">
        <f t="shared" ref="ED19:ED25" si="27">CP19-DP19</f>
        <v>19.902693346808043</v>
      </c>
      <c r="EE19" s="152">
        <f>($B20*EE20+$B21*EE21+$B22*EE22+$B23*EE23+$B24*EE24+$B25*EE25)/$B19</f>
        <v>55.375612872388288</v>
      </c>
      <c r="EF19" s="144"/>
      <c r="EG19" s="144"/>
      <c r="EH19" s="152">
        <f>($C20*EH20+$C21*EH21+$C22*EH22+$C23*EH23+$C24*EH24+$C25*EH25)/$C19</f>
        <v>54.616540857370801</v>
      </c>
      <c r="EI19" s="144"/>
      <c r="EJ19" s="144"/>
      <c r="EK19" s="60"/>
      <c r="EL19" s="144"/>
      <c r="EM19" s="593"/>
      <c r="EN19" s="269"/>
      <c r="EO19" s="269"/>
      <c r="EP19" s="269"/>
      <c r="EQ19" s="269"/>
      <c r="ER19" s="269"/>
      <c r="ES19" s="269"/>
      <c r="ET19" s="269"/>
      <c r="EU19" s="269"/>
      <c r="EV19" s="144"/>
      <c r="EW19" s="149"/>
      <c r="EX19" s="144"/>
      <c r="EY19" s="144"/>
      <c r="EZ19" s="144"/>
      <c r="FA19" s="144"/>
      <c r="FB19" s="144"/>
      <c r="FC19" s="144"/>
      <c r="FD19" s="152">
        <f>($D20*FD20+$D21*FD21+$D22*FD22+$D23*FD23+$D24*FD24+$D25*FD25)/$D19</f>
        <v>57.768628954768161</v>
      </c>
      <c r="FE19" s="144"/>
      <c r="FF19" s="144"/>
      <c r="FG19" s="144"/>
      <c r="FH19" s="144"/>
      <c r="FI19" s="269"/>
      <c r="FJ19" s="144"/>
      <c r="FK19" s="144"/>
      <c r="FL19" s="144"/>
      <c r="FM19" s="144"/>
      <c r="FN19" s="144"/>
      <c r="FO19" s="144"/>
      <c r="FP19" s="144"/>
      <c r="FQ19" s="144"/>
      <c r="FR19" s="144"/>
      <c r="FS19" s="144"/>
      <c r="FT19" s="144"/>
      <c r="FU19" s="144"/>
      <c r="FV19" s="144"/>
      <c r="FW19" s="144"/>
      <c r="FX19" s="144"/>
      <c r="FY19" s="60"/>
      <c r="FZ19" s="60"/>
      <c r="GA19" s="60"/>
      <c r="GB19" s="60"/>
      <c r="GP19" s="153">
        <f>($B20*GP20+$B21*GP21+$B22*GP22+$B23*GP23+$B24*GP24+$B25*GP25)/$B19</f>
        <v>5.4653260678502384</v>
      </c>
      <c r="GQ19" s="153">
        <f>($C20*GQ20+$C21*GQ21+$C22*GQ22+$C23*GQ23+$C24*GQ24+$C25*GQ25)/$C19</f>
        <v>5.6023871266496865</v>
      </c>
      <c r="GR19" s="153">
        <f>($D20*GR20+$D21*GR21+$D22*GR22+$D23*GR23+$D24*GR24+$D25*GR25)/$D19</f>
        <v>5.0332335766423357</v>
      </c>
      <c r="GS19" s="153"/>
      <c r="GT19" s="153"/>
      <c r="GU19" s="153"/>
      <c r="GV19" s="153"/>
      <c r="GW19" s="153"/>
      <c r="GX19" s="153"/>
      <c r="GY19" s="153"/>
      <c r="GZ19" s="153"/>
      <c r="HA19" s="153"/>
      <c r="HB19" s="153"/>
      <c r="HF19" s="149">
        <f>EE19/'Discounting metrics'!E$4/L19</f>
        <v>0.58580068691176357</v>
      </c>
      <c r="HG19" s="524">
        <f>EE19/'Discounting metrics'!E$4/M19</f>
        <v>0.667857893464193</v>
      </c>
      <c r="HH19" s="149"/>
      <c r="HI19" s="149"/>
      <c r="HJ19" s="60"/>
      <c r="HK19" s="524">
        <f>EH19/'Discounting metrics'!E$4/O19</f>
        <v>0.84839009117104824</v>
      </c>
      <c r="HL19" s="149"/>
      <c r="HM19" s="149"/>
      <c r="HN19" s="60"/>
      <c r="HO19" s="524">
        <f>FD19/'Discounting metrics'!E$4/Q19</f>
        <v>0.40866565623534928</v>
      </c>
      <c r="HP19" s="149"/>
      <c r="HQ19" s="149"/>
      <c r="HR19" s="269">
        <f>$IM$11*ID19</f>
        <v>0.70781146972250164</v>
      </c>
      <c r="HS19" s="525">
        <f>$IM$11*IE19</f>
        <v>0.80695958147599012</v>
      </c>
      <c r="HT19" s="149"/>
      <c r="HU19" s="149"/>
      <c r="HV19" s="60"/>
      <c r="HW19" s="525">
        <f t="shared" ref="HW19:HW25" si="28">$IM$11*IH19</f>
        <v>1.0654049244744779</v>
      </c>
      <c r="HX19" s="149"/>
      <c r="HY19" s="149"/>
      <c r="HZ19" s="60"/>
      <c r="IA19" s="525">
        <f t="shared" ref="IA19:IA25" si="29">$IM$11*IK19</f>
        <v>0.43590650892698024</v>
      </c>
      <c r="IB19" s="149"/>
      <c r="IC19" s="149"/>
      <c r="ID19" s="149">
        <f>GP19/F19</f>
        <v>1.4189245062416318</v>
      </c>
      <c r="IE19" s="525">
        <f t="shared" ref="IE19:IE25" si="30">GP19/G19</f>
        <v>1.6176832033418129</v>
      </c>
      <c r="IF19" s="49"/>
      <c r="IG19" s="60"/>
      <c r="IH19" s="525">
        <f t="shared" ref="IH19:IH25" si="31">GQ19/I19</f>
        <v>2.1357794004101498</v>
      </c>
      <c r="II19" s="49"/>
      <c r="IJ19" s="60"/>
      <c r="IK19" s="525">
        <f t="shared" ref="IK19:IK25" si="32">GR19/K19</f>
        <v>0.87384629156860061</v>
      </c>
      <c r="IL19" s="49"/>
      <c r="IM19" s="60"/>
      <c r="IN19" s="60"/>
      <c r="IO19" s="60"/>
      <c r="IP19" s="152">
        <f t="shared" ref="IP19" si="33">IP20+IP21+IP22+IP23+IP24+IP25</f>
        <v>386.24170660529995</v>
      </c>
      <c r="IQ19" s="269">
        <f>($U20*IQ20+$U21*IQ21+$U22*IQ22+$U23*IQ23+$U24*IQ24+$U25*IQ25)/$U19</f>
        <v>0.17626514616986436</v>
      </c>
      <c r="IR19" s="473">
        <f>($V20*IR20+$V21*IR21+$V22*IR22+$V23*IR23+$V24*IR24+$V25*IR25)/$V19</f>
        <v>0.20095584017281168</v>
      </c>
      <c r="IS19" s="60"/>
      <c r="IT19" s="60"/>
      <c r="IU19" s="594">
        <f>($B20*IU20+$B21*IU21+$B22*IU22+$B23*IU23+$B24*IU24+$B25*IU25)/$B19</f>
        <v>1.6997679732817718E-2</v>
      </c>
      <c r="IV19" s="269"/>
      <c r="IW19" s="473">
        <f>($Y20*IW20+$Y21*IW21+$Y22*IW22+$Y23*IW23+$Y24*IW24+$Y25*IW25)/$Y19</f>
        <v>0.25230343909320901</v>
      </c>
      <c r="IX19" s="594">
        <f>($C20*IX20+$C21*IX21+$C22*IX22+$C23*IX23+$C24*IX24+$C25*IX25)/$C19</f>
        <v>1.6070896040750172E-2</v>
      </c>
      <c r="IY19" s="594"/>
      <c r="IZ19" s="594"/>
      <c r="JA19" s="594"/>
      <c r="JB19" s="594"/>
      <c r="JC19" s="269"/>
      <c r="JD19" s="473">
        <f>($AA20*JD20+$AA21*JD21+$AA22*JD22+$AA23*JD23+$AA24*JD24+$AA25*JD25)/$AA19</f>
        <v>0.12723547776899338</v>
      </c>
      <c r="JE19" s="594">
        <f>($D20*JE20+$D21*JE21+$D22*JE22+$D23*JE23+$D24*JE24+$D25*JE25)/$D19</f>
        <v>1.9919416058394156E-2</v>
      </c>
      <c r="JF19" s="594"/>
      <c r="JG19" s="594"/>
      <c r="JH19" s="594"/>
      <c r="JI19" s="594"/>
      <c r="JJ19" s="595"/>
      <c r="JK19" s="595"/>
      <c r="JL19" s="595"/>
      <c r="JM19" s="595"/>
      <c r="JN19" s="595"/>
      <c r="JO19" s="595"/>
      <c r="JP19" s="595"/>
      <c r="JQ19" s="595"/>
      <c r="JR19" s="595"/>
      <c r="JS19" s="152">
        <f>JS20+JS21+JS22+JS23+JS24+JS25</f>
        <v>2235.9300118516412</v>
      </c>
      <c r="JT19" s="152">
        <f>JT20+JT21+JT22+JT23+JT24+JT25</f>
        <v>369.2141265946633</v>
      </c>
      <c r="JU19" s="152">
        <f>JU20+JU21+JU22+JU23+JU24+JU25</f>
        <v>87.048047366448984</v>
      </c>
      <c r="JV19" s="152">
        <f t="shared" ref="JV19:JX19" si="34">JV20+JV21+JV22+JV23+JV24+JV25</f>
        <v>303.1908063135906</v>
      </c>
      <c r="JW19" s="152">
        <f t="shared" si="34"/>
        <v>360.74186223925847</v>
      </c>
      <c r="JX19" s="152">
        <f t="shared" si="34"/>
        <v>1115.73516933768</v>
      </c>
      <c r="JY19" s="269">
        <f>($V20*JY20+$V21*JY21+$V22*JY22+$V23*JY23+$V24*JY24+$V25*JY25)/$V19</f>
        <v>1.016618300638328</v>
      </c>
      <c r="JZ19" s="473">
        <f>($V20*JZ20+$V21*JZ21+$V22*JZ22+$V23*JZ23+$V24*JZ24+$V25*JZ25)/$V19</f>
        <v>1.1633212737391259</v>
      </c>
      <c r="KA19" s="149"/>
      <c r="KB19" s="149"/>
      <c r="KC19" s="269"/>
      <c r="KD19" s="269">
        <f>($V20*KD20+$V21*KD21+$V22*KD22+$V23*KD23+$V24*KD24+$V25*KD25)/$V19</f>
        <v>0.23738645241935338</v>
      </c>
      <c r="KE19" s="269"/>
      <c r="KF19" s="269">
        <f>($V20*KF20+$V21*KF21+$V22*KF22+$V23*KF23+$V24*KF24+$V25*KF25)/$V19</f>
        <v>0.34543433540582819</v>
      </c>
      <c r="KG19" s="123"/>
      <c r="KH19" s="269">
        <f>($V20*KH20+$V21*KH21+$V22*KH22+$V23*KH23+$V24*KH24+$V25*KH25)/$V19</f>
        <v>0.58050048591394443</v>
      </c>
      <c r="KI19" s="269">
        <f>($U20*KI20+$U21*KI21+$U22*KI22+$U23*KI23+$U24*KI24+$U25*KI25)/$U19</f>
        <v>0.16849444500485261</v>
      </c>
      <c r="KJ19" s="269">
        <f>($V20*KJ20+$V21*KJ21+$V22*KJ22+$V23*KJ23+$V24*KJ24+$V25*KJ25)/$V19</f>
        <v>0.1920966424512047</v>
      </c>
      <c r="KK19" s="269">
        <f>($U20*KK20+$U21*KK21+$U22*KK22+$U23*KK23+$U24*KK24+$U25*KK25)/$U19</f>
        <v>3.9725220064150017E-2</v>
      </c>
      <c r="KL19" s="269">
        <f>($V20*KL20+$V21*KL21+$V22*KL22+$V23*KL23+$V24*KL24+$V25*KL25)/$V19</f>
        <v>4.5289809968148652E-2</v>
      </c>
      <c r="KM19" s="269">
        <f>($U20*KM20+$U21*KM21+$U22*KM22+$U23*KM23+$U24*KM24+$U25*KM25)/$U19</f>
        <v>0.13836406291264755</v>
      </c>
      <c r="KN19" s="269">
        <f>($V20*KN20+$V21*KN21+$V22*KN22+$V23*KN23+$V24*KN24+$V25*KN25)/$V19</f>
        <v>0.15774568663472183</v>
      </c>
      <c r="KO19" s="269">
        <f>($U20*KO20+$U21*KO21+$U22*KO22+$U23*KO23+$U24*KO24+$U25*KO25)/$U19</f>
        <v>0.16462804505514125</v>
      </c>
      <c r="KP19" s="269">
        <f>($V20*KP20+$V21*KP21+$V22*KP22+$V23*KP23+$V24*KP24+$V25*KP25)/$V19</f>
        <v>0.18768864877110639</v>
      </c>
      <c r="KQ19" s="149">
        <f>($V20*KQ20+$V21*KQ21+$V22*KQ22+$V23*KQ23+$V24*KQ24+$V25*KQ25)/$V19</f>
        <v>3.8130893899473115</v>
      </c>
      <c r="KT19" s="149">
        <f>($Y20*KT20+$Y21*KT21+$Y22*KT22+$Y23*KT23+$Y24*KT24+$Y25*KT25)/$Y19</f>
        <v>4.1903557420024535</v>
      </c>
      <c r="KW19" s="149">
        <f>($AA20*KW20+$AA21*KW21+$AA22*KW22+$AA23*KW23+$AA24*KW24+$AA25*KW25)/$AA19</f>
        <v>3.2714435724011381</v>
      </c>
      <c r="KZ19" s="149">
        <f>($V20*KZ20+$V21*KZ21+$V22*KZ22+$V23*KZ23+$V24*KZ24+$V25*KZ25)/$V19</f>
        <v>4.3231289126572339</v>
      </c>
      <c r="LC19" s="149">
        <f>($Y20*LC20+$Y21*LC21+$Y22*LC22+$Y23*LC23+$Y24*LC24+$Y25*LC25)/$Y19</f>
        <v>4.9860767974483631</v>
      </c>
      <c r="LF19" s="149">
        <f>($AA20*LF20+$AA21*LF21+$AA22*LF22+$AA23*LF23+$AA24*LF24+$AA25*LF25)/$AA19</f>
        <v>12.275246424177491</v>
      </c>
    </row>
    <row r="20" spans="1:329" s="4" customFormat="1" x14ac:dyDescent="0.25">
      <c r="A20" s="14" t="s">
        <v>52</v>
      </c>
      <c r="B20" s="67">
        <f>C20+D20</f>
        <v>135.9</v>
      </c>
      <c r="C20" s="105">
        <v>114</v>
      </c>
      <c r="D20" s="33">
        <v>21.9</v>
      </c>
      <c r="E20" s="38">
        <f>D20/B20</f>
        <v>0.16114790286975716</v>
      </c>
      <c r="F20" s="108">
        <f t="shared" si="16"/>
        <v>5.2401766004415</v>
      </c>
      <c r="G20" s="32">
        <f t="shared" si="17"/>
        <v>4.61135540838852</v>
      </c>
      <c r="H20" s="33">
        <v>4.71</v>
      </c>
      <c r="I20" s="264">
        <f t="shared" ref="I20:I25" si="35">$LI20*H20</f>
        <v>4.1448</v>
      </c>
      <c r="J20" s="33">
        <v>8</v>
      </c>
      <c r="K20" s="32">
        <f t="shared" ref="K20:K25" si="36">$LI20*J20</f>
        <v>7.04</v>
      </c>
      <c r="L20" s="264">
        <f>(F20/'Discounting metrics'!$D$4*(1-EXP(-'Discounting metrics'!$D$4*'Discounting metrics'!$E$4)))/'Discounting metrics'!$E$4</f>
        <v>1.2860498545286547</v>
      </c>
      <c r="M20" s="32">
        <f>(G20/'Discounting metrics'!$D$4*(1-EXP(-'Discounting metrics'!$D$4*'Discounting metrics'!$E$4)))/'Discounting metrics'!$E$4</f>
        <v>1.1317238719852161</v>
      </c>
      <c r="N20" s="32">
        <f>(H20/'Discounting metrics'!$D$4*(1-EXP(-'Discounting metrics'!$D$4*'Discounting metrics'!$E$4)))/'Discounting metrics'!$E$4</f>
        <v>1.1559333352085155</v>
      </c>
      <c r="O20" s="32">
        <f>(I20/'Discounting metrics'!$D$4*(1-EXP(-'Discounting metrics'!$D$4*'Discounting metrics'!$E$4)))/'Discounting metrics'!$E$4</f>
        <v>1.0172213349834935</v>
      </c>
      <c r="P20" s="32">
        <f>(J20/'Discounting metrics'!$D$4*(1-EXP(-'Discounting metrics'!$D$4*'Discounting metrics'!$E$4)))/'Discounting metrics'!$E$4</f>
        <v>1.9633687222225316</v>
      </c>
      <c r="Q20" s="32">
        <f>(K20/'Discounting metrics'!$D$4*(1-EXP(-'Discounting metrics'!$D$4*'Discounting metrics'!$E$4)))/'Discounting metrics'!$E$4</f>
        <v>1.7277644755558277</v>
      </c>
      <c r="R20" s="32">
        <f t="shared" ref="R20:R25" si="37">10/G20</f>
        <v>2.1685598082093156</v>
      </c>
      <c r="S20" s="32">
        <f t="shared" ref="S20:S25" si="38">10/I20</f>
        <v>2.4126616483304382</v>
      </c>
      <c r="T20" s="32">
        <f t="shared" ref="T20:T25" si="39">10/K20</f>
        <v>1.4204545454545454</v>
      </c>
      <c r="U20" s="107">
        <f>X20+Z20</f>
        <v>712.13999999999987</v>
      </c>
      <c r="V20" s="68">
        <f>Y20+AA20</f>
        <v>626.68319999999994</v>
      </c>
      <c r="W20" s="68"/>
      <c r="X20" s="67">
        <f t="shared" ref="X20:X25" si="40">C20*H20</f>
        <v>536.93999999999994</v>
      </c>
      <c r="Y20" s="67">
        <f t="shared" ref="Y20:Z25" si="41">C20*I20</f>
        <v>472.50720000000001</v>
      </c>
      <c r="Z20" s="67">
        <f t="shared" si="41"/>
        <v>175.2</v>
      </c>
      <c r="AA20" s="67">
        <f t="shared" ref="AA20:AA25" si="42">D20*K20</f>
        <v>154.17599999999999</v>
      </c>
      <c r="AB20" s="109">
        <f>AA20/V20</f>
        <v>0.24601904119976409</v>
      </c>
      <c r="AC20" s="294">
        <f t="shared" ref="AC20:AK25" si="43">($C20*AL20+$D20*AU20)/$B20</f>
        <v>0.21832863251978427</v>
      </c>
      <c r="AD20" s="294">
        <f t="shared" si="43"/>
        <v>0.38676459943859332</v>
      </c>
      <c r="AE20" s="294">
        <f t="shared" si="43"/>
        <v>0.11030320717363283</v>
      </c>
      <c r="AF20" s="294">
        <f t="shared" si="43"/>
        <v>0.11137539152154481</v>
      </c>
      <c r="AG20" s="294">
        <f t="shared" si="43"/>
        <v>8.5593798218820571E-2</v>
      </c>
      <c r="AH20" s="294">
        <f t="shared" si="43"/>
        <v>6.1486240598673844E-2</v>
      </c>
      <c r="AI20" s="294">
        <f t="shared" si="43"/>
        <v>8.6922087301180024E-3</v>
      </c>
      <c r="AJ20" s="294">
        <f t="shared" si="43"/>
        <v>1.4952703726521207E-2</v>
      </c>
      <c r="AK20" s="294">
        <f t="shared" si="43"/>
        <v>2.4790299642855262E-3</v>
      </c>
      <c r="AL20" s="433">
        <v>0.25105641895177455</v>
      </c>
      <c r="AM20" s="433">
        <v>0.38743634269437044</v>
      </c>
      <c r="AN20" s="433">
        <v>0.12084238467810281</v>
      </c>
      <c r="AO20" s="433">
        <v>0.1233258093424815</v>
      </c>
      <c r="AP20" s="433">
        <v>6.2266308536683891E-2</v>
      </c>
      <c r="AQ20" s="433">
        <v>4.2394618122719357E-2</v>
      </c>
      <c r="AR20" s="433">
        <v>1.2195328505599501E-3</v>
      </c>
      <c r="AS20" s="433">
        <v>8.6109038377004364E-3</v>
      </c>
      <c r="AT20" s="433">
        <v>2.8339261829481779E-3</v>
      </c>
      <c r="AU20" s="433">
        <v>4.7964812736821114E-2</v>
      </c>
      <c r="AV20" s="433">
        <v>0.3832678537235894</v>
      </c>
      <c r="AW20" s="433">
        <v>5.544173523255623E-2</v>
      </c>
      <c r="AX20" s="433">
        <v>4.9167737111189519E-2</v>
      </c>
      <c r="AY20" s="433">
        <v>0.20702456642720329</v>
      </c>
      <c r="AZ20" s="433">
        <v>0.16086728910364242</v>
      </c>
      <c r="BA20" s="433">
        <v>4.7591069473022947E-2</v>
      </c>
      <c r="BB20" s="433">
        <v>4.7964812736821114E-2</v>
      </c>
      <c r="BC20" s="433">
        <v>6.3162499042515E-4</v>
      </c>
      <c r="BD20" s="554">
        <f t="shared" ref="BD20:BF25" si="44">BG20*$B20/10^3</f>
        <v>26.053037792345826</v>
      </c>
      <c r="BE20" s="554">
        <f t="shared" si="44"/>
        <v>10.965936431801664</v>
      </c>
      <c r="BF20" s="554">
        <f t="shared" si="44"/>
        <v>15.087101360544162</v>
      </c>
      <c r="BG20" s="67">
        <f>BH20+BI20</f>
        <v>191.70741569055059</v>
      </c>
      <c r="BH20" s="67">
        <f t="shared" ref="BH20:BH25" si="45">(BK20*$C20+CF20*$D20)/$B20</f>
        <v>80.69121730538383</v>
      </c>
      <c r="BI20" s="67">
        <f t="shared" ref="BI20:BI25" si="46">(BU20*$C20+CP20*$D20)/$B20</f>
        <v>111.01619838516675</v>
      </c>
      <c r="BJ20" s="67">
        <f t="shared" ref="BJ20:BJ25" si="47">BK20+BU20</f>
        <v>202.71977743787295</v>
      </c>
      <c r="BK20" s="68">
        <f>$AL20*BL20+$AM20*BM20+$AN20*BN20+$AO20*BO20+$AP20*BP20+$AQ20*BQ20+$AR20*BR20+$AS20*BS20+$AT20*BT20</f>
        <v>87.223690287995794</v>
      </c>
      <c r="BL20" s="145">
        <v>128.50192058793397</v>
      </c>
      <c r="BM20" s="145">
        <v>116.03169734223715</v>
      </c>
      <c r="BN20" s="145">
        <v>39.787156768564927</v>
      </c>
      <c r="BO20" s="145">
        <v>32.82921097598976</v>
      </c>
      <c r="BP20" s="145">
        <v>6.7028722220978052</v>
      </c>
      <c r="BQ20" s="145">
        <v>1.7594710318225142</v>
      </c>
      <c r="BR20" s="145">
        <v>5.1369438812536972E-2</v>
      </c>
      <c r="BS20" s="145">
        <v>72.21742689015872</v>
      </c>
      <c r="BT20" s="145">
        <v>13.064111371529073</v>
      </c>
      <c r="BU20" s="68">
        <f>$AL20*BV20+$AM20*BW20+$AN20*BX20+$AO20*BY20+$AP20*BZ20+$AQ20*CA20+$AR20*CB20+$AS20*CC20+$AT20*CD20</f>
        <v>115.49608714987716</v>
      </c>
      <c r="BV20" s="145">
        <v>129.17929689549746</v>
      </c>
      <c r="BW20" s="145">
        <v>113.92602867899528</v>
      </c>
      <c r="BX20" s="145">
        <v>112.82393094509492</v>
      </c>
      <c r="BY20" s="145">
        <v>146.34588584457663</v>
      </c>
      <c r="BZ20" s="145">
        <v>82.811568206790454</v>
      </c>
      <c r="CA20" s="145">
        <v>34.200322626154474</v>
      </c>
      <c r="CB20" s="145">
        <v>0.59622114056002107</v>
      </c>
      <c r="CC20" s="145">
        <v>65.89933982521606</v>
      </c>
      <c r="CD20" s="145">
        <v>24.387945169318545</v>
      </c>
      <c r="CE20" s="68">
        <f>CF20+CP20</f>
        <v>134.38279289626982</v>
      </c>
      <c r="CF20" s="68">
        <f>$AU20*CG20+$AV20*CH20+$AW20*CI20+$AX20*CJ20+$AY20*CK20+$AZ20*CL20+$BA20*CM20+$BB20*CN20+$BC20*CO20</f>
        <v>46.686563423294224</v>
      </c>
      <c r="CG20" s="106">
        <v>141.04990922844877</v>
      </c>
      <c r="CH20" s="106">
        <v>89.712017513903831</v>
      </c>
      <c r="CI20" s="106">
        <v>36.155098494271463</v>
      </c>
      <c r="CJ20" s="106">
        <v>32.685977661127012</v>
      </c>
      <c r="CK20" s="106">
        <v>7.0874378276741536</v>
      </c>
      <c r="CL20" s="106">
        <v>1.6163565160569393</v>
      </c>
      <c r="CM20" s="106">
        <v>3.8829309949370838E-2</v>
      </c>
      <c r="CN20" s="106">
        <v>4.075944083182641</v>
      </c>
      <c r="CO20" s="106">
        <v>1.8351436147386055</v>
      </c>
      <c r="CP20" s="68">
        <f>$AU20*CQ20+$AV20*CR20+$AW20*CS20+$AX20*CT20+$AY20*CU20+$AZ20*CV20+$BA20*CW20+$BB20*CX20+$BC20*CY20</f>
        <v>87.696229472975602</v>
      </c>
      <c r="CQ20" s="106">
        <v>140.40804778988257</v>
      </c>
      <c r="CR20" s="106">
        <v>106.71992594020023</v>
      </c>
      <c r="CS20" s="106">
        <v>135.17796938033845</v>
      </c>
      <c r="CT20" s="106">
        <v>161.04910882730724</v>
      </c>
      <c r="CU20" s="106">
        <v>88.597943122608967</v>
      </c>
      <c r="CV20" s="106">
        <v>38.079049544636817</v>
      </c>
      <c r="CW20" s="106">
        <v>0.32825333736135615</v>
      </c>
      <c r="CX20" s="106">
        <v>3.3456837749038484</v>
      </c>
      <c r="CY20" s="106">
        <v>4.1545230258700068</v>
      </c>
      <c r="CZ20" s="554">
        <f t="shared" ref="CZ20:DB25" si="48">DC20*$B20/10^3</f>
        <v>11.511164520408121</v>
      </c>
      <c r="DA20" s="554">
        <f t="shared" si="48"/>
        <v>0.1958385</v>
      </c>
      <c r="DB20" s="554">
        <f t="shared" si="48"/>
        <v>11.315326020408122</v>
      </c>
      <c r="DC20" s="32">
        <f>DD20+DE20</f>
        <v>84.703197353996472</v>
      </c>
      <c r="DD20" s="32">
        <f t="shared" ref="DD20:DE25" si="49">(DH20*$C20+DO20*$D20)/$B20</f>
        <v>1.4410485651214129</v>
      </c>
      <c r="DE20" s="67">
        <f t="shared" si="49"/>
        <v>83.262148788875066</v>
      </c>
      <c r="DF20" s="270"/>
      <c r="DG20" s="67">
        <f>DH20+DI20</f>
        <v>87.917315362407862</v>
      </c>
      <c r="DH20" s="32">
        <f t="shared" ref="DH20:DH25" si="50">I20*0.5*2.5*0.25</f>
        <v>1.29525</v>
      </c>
      <c r="DI20" s="67">
        <f t="shared" ref="DI20:DI25" si="51">(1-DK20)*BU20</f>
        <v>86.622065362407866</v>
      </c>
      <c r="DJ20" s="67"/>
      <c r="DK20" s="34">
        <f>DK$17</f>
        <v>0.25</v>
      </c>
      <c r="DL20" s="159"/>
      <c r="DM20" s="159"/>
      <c r="DN20" s="68">
        <f>DO20+DP20</f>
        <v>67.972172104731712</v>
      </c>
      <c r="DO20" s="32">
        <f t="shared" ref="DO20:DO25" si="52">K20*0.5*2.5*0.25</f>
        <v>2.2000000000000002</v>
      </c>
      <c r="DP20" s="67">
        <f t="shared" ref="DP20:DP25" si="53">(1-DR20)*CP20</f>
        <v>65.772172104731709</v>
      </c>
      <c r="DQ20" s="67"/>
      <c r="DR20" s="34">
        <f>DR$17</f>
        <v>0.25</v>
      </c>
      <c r="DS20" s="554"/>
      <c r="DT20" s="554"/>
      <c r="DU20" s="554"/>
      <c r="DV20" s="32">
        <f t="shared" si="23"/>
        <v>107.00421833655412</v>
      </c>
      <c r="DW20" s="67">
        <f t="shared" si="23"/>
        <v>79.250168740262424</v>
      </c>
      <c r="DX20" s="67">
        <f t="shared" si="23"/>
        <v>27.754049596291679</v>
      </c>
      <c r="DY20" s="32">
        <f t="shared" si="24"/>
        <v>114.80246207546509</v>
      </c>
      <c r="DZ20" s="67">
        <f t="shared" si="24"/>
        <v>85.928440287995798</v>
      </c>
      <c r="EA20" s="67">
        <f t="shared" si="25"/>
        <v>28.874021787469289</v>
      </c>
      <c r="EB20" s="67">
        <f t="shared" si="26"/>
        <v>66.410620791538108</v>
      </c>
      <c r="EC20" s="67">
        <f t="shared" si="26"/>
        <v>44.486563423294221</v>
      </c>
      <c r="ED20" s="67">
        <f t="shared" si="27"/>
        <v>21.924057368243894</v>
      </c>
      <c r="EE20" s="68">
        <f t="shared" ref="EE20:EE25" si="54">EF20+EG20</f>
        <v>70.194740087055138</v>
      </c>
      <c r="EF20" s="67">
        <f t="shared" ref="EF20:EF25" si="55">(EJ20*$C20+FF20*$D20)/$B20</f>
        <v>48.613235149769956</v>
      </c>
      <c r="EG20" s="67">
        <f>(EV20*$C20+FR20*$D20)/$B20</f>
        <v>21.581504937285182</v>
      </c>
      <c r="EH20" s="261">
        <f>EJ20+EV20</f>
        <v>73.479034684771477</v>
      </c>
      <c r="EI20" s="154">
        <f t="shared" ref="EI20:EI25" si="56">EH20/($BJ20-$DG20)</f>
        <v>0.64004755086585363</v>
      </c>
      <c r="EJ20" s="108">
        <f t="shared" ref="EJ20:EJ25" si="57">EK20+EL20-DH20</f>
        <v>51.037131306358695</v>
      </c>
      <c r="EK20" s="126">
        <f>'Allometrics &amp; Decay rates'!$H$5*$AL20*BL20+'Allometrics &amp; Decay rates'!$H$6*$AM20*BM20+'Allometrics &amp; Decay rates'!$H$7*$AN20*BN20+'Allometrics &amp; Decay rates'!$H$8*$AO20*BO20+'Allometrics &amp; Decay rates'!$H$9*$AP20*BP20+'Allometrics &amp; Decay rates'!$H$10*$AQ20*BQ20+'Allometrics &amp; Decay rates'!$H$11*$AR20*BR20+'Allometrics &amp; Decay rates'!$H$12*$AS20*BS20+'Allometrics &amp; Decay rates'!$H$13*$AT20*BT20</f>
        <v>37.519983993076771</v>
      </c>
      <c r="EL20" s="97">
        <f>SUM(EN20:EU20)</f>
        <v>14.812397313281929</v>
      </c>
      <c r="EM20" s="550">
        <f>AL20*BL20*('Allometrics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12.647292474003343</v>
      </c>
      <c r="EN20" s="550">
        <f>AM20*BM20*('Allometrics &amp; Decay rates'!$I$6*((EXP('Allometrics &amp; Decay rates'!$K$6)-1)/('Discounting metrics'!$D$4+'Allometrics &amp; Decay rates'!$K$6)*(1-EXP(-('Discounting metrics'!$D$4+'Allometrics &amp; Decay rates'!$K$6)*'Discounting metrics'!$E$4))-(1-EXP(-'Allometrics &amp; Decay rates'!$K$6))/1.55)+'Allometrics &amp; Decay rates'!$E$6*((EXP('Allometrics &amp; Decay rates'!$L$6)-1)/('Discounting metrics'!$D$4+'Allometrics &amp; Decay rates'!$L$6)*(1-EXP(-('Discounting metrics'!$D$4+'Allometrics &amp; Decay rates'!$L$6)*'Discounting metrics'!$E$4))-(1-EXP(-'Allometrics &amp; Decay rates'!$L$6))/1.55))</f>
        <v>10.963951028096449</v>
      </c>
      <c r="EO20" s="550">
        <f>AN20*BN20*('Allometrics &amp; Decay rates'!$I$7*((EXP('Allometrics &amp; Decay rates'!$K$7)-1)/('Discounting metrics'!$D$4+'Allometrics &amp; Decay rates'!$K$7)*(1-EXP(-('Discounting metrics'!$D$4+'Allometrics &amp; Decay rates'!$K$7)*'Discounting metrics'!$E$4))-(1-EXP(-'Allometrics &amp; Decay rates'!$K$7))/1.55)+'Allometrics &amp; Decay rates'!$E$7*((EXP('Allometrics &amp; Decay rates'!$L$7)-1)/('Discounting metrics'!$D$4+'Allometrics &amp; Decay rates'!$L$7)*(1-EXP(-('Discounting metrics'!$D$4+'Allometrics &amp; Decay rates'!$L$7)*'Discounting metrics'!$E$4))-(1-EXP(-'Allometrics &amp; Decay rates'!$L$7))/1.55))</f>
        <v>1.0236729889091345</v>
      </c>
      <c r="EP20" s="550">
        <f>AO20*BO20*('Allometrics &amp; Decay rates'!$I$8*((EXP('Allometrics &amp; Decay rates'!$K$8)-1)/('Discounting metrics'!$D$4+'Allometrics &amp; Decay rates'!$K$8)*(1-EXP(-('Discounting metrics'!$D$4+'Allometrics &amp; Decay rates'!$K$8)*'Discounting metrics'!$E$4))-(1-EXP(-'Allometrics &amp; Decay rates'!$K$8))/1.55)+'Allometrics &amp; Decay rates'!$E$8*((EXP('Allometrics &amp; Decay rates'!$L$8)-1)/('Discounting metrics'!$D$4+'Allometrics &amp; Decay rates'!$L$8)*(1-EXP(-('Discounting metrics'!$D$4+'Allometrics &amp; Decay rates'!$L$8)*'Discounting metrics'!$E$4))-(1-EXP(-'Allometrics &amp; Decay rates'!$L$8))/1.55))</f>
        <v>2.2922317191143442</v>
      </c>
      <c r="EQ20" s="550">
        <f>AP20*BP20*('Allometrics &amp; Decay rates'!$I$9*((EXP('Allometrics &amp; Decay rates'!$K$9)-1)/('Discounting metrics'!$D$4+'Allometrics &amp; Decay rates'!$K$9)*(1-EXP(-('Discounting metrics'!$D$4+'Allometrics &amp; Decay rates'!$K$9)*'Discounting metrics'!$E$4))-(1-EXP(-'Allometrics &amp; Decay rates'!$K$9))/1.55)+'Allometrics &amp; Decay rates'!$E$9*((EXP('Allometrics &amp; Decay rates'!$L$9)-1)/('Discounting metrics'!$D$4+'Allometrics &amp; Decay rates'!$L$9)*(1-EXP(-('Discounting metrics'!$D$4+'Allometrics &amp; Decay rates'!$L$9)*'Discounting metrics'!$E$4))-(1-EXP(-'Allometrics &amp; Decay rates'!$L$9))/1.55))</f>
        <v>0.21875070292906329</v>
      </c>
      <c r="ER20" s="550">
        <f>AQ20*BQ20*('Allometrics &amp; Decay rates'!$I$10*((EXP('Allometrics &amp; Decay rates'!$K$10)-1)/('Discounting metrics'!$D$4+'Allometrics &amp; Decay rates'!$K$10)*(1-EXP(-('Discounting metrics'!$D$4+'Allometrics &amp; Decay rates'!$K$10)*'Discounting metrics'!$E$4))-(1-EXP(-'Allometrics &amp; Decay rates'!$K$10))/1.55)+'Allometrics &amp; Decay rates'!$E$10*((EXP('Allometrics &amp; Decay rates'!$L$10)-1)/('Discounting metrics'!$D$4+'Allometrics &amp; Decay rates'!$L$10)*(1-EXP(-('Discounting metrics'!$D$4+'Allometrics &amp; Decay rates'!$L$10)*'Discounting metrics'!$E$4))-(1-EXP(-'Allometrics &amp; Decay rates'!$L$10))/1.55))</f>
        <v>4.7454096227555566E-2</v>
      </c>
      <c r="ES20" s="550">
        <f>AR20*BR20*('Allometrics &amp; Decay rates'!$I$11*((EXP('Allometrics &amp; Decay rates'!$K$11)-1)/('Discounting metrics'!$D$4+'Allometrics &amp; Decay rates'!$K$11)*(1-EXP(-('Discounting metrics'!$D$4+'Allometrics &amp; Decay rates'!$K$11)*'Discounting metrics'!$E$4))-(1-EXP(-'Allometrics &amp; Decay rates'!$K$11))/1.55)+'Allometrics &amp; Decay rates'!$E$11*((EXP('Allometrics &amp; Decay rates'!$L$11)-1)/('Discounting metrics'!$D$4+'Allometrics &amp; Decay rates'!$L$11)*(1-EXP(-('Discounting metrics'!$D$4+'Allometrics &amp; Decay rates'!$L$11)*'Discounting metrics'!$E$4))-(1-EXP(-'Allometrics &amp; Decay rates'!$L$11))/1.55))</f>
        <v>4.4466090648790934E-5</v>
      </c>
      <c r="ET20" s="550">
        <f>AS20*BS20*('Allometrics &amp; Decay rates'!$I$12*((EXP('Allometrics &amp; Decay rates'!$K$12)-1)/('Discounting metrics'!$D$4+'Allometrics &amp; Decay rates'!$K$12)*(1-EXP(-('Discounting metrics'!$D$4+'Allometrics &amp; Decay rates'!$K$12)*'Discounting metrics'!$E$4))-(1-EXP(-'Allometrics &amp; Decay rates'!$K$12))/1.55)+'Allometrics &amp; Decay rates'!$E$12*((EXP('Allometrics &amp; Decay rates'!$L$12)-1)/('Discounting metrics'!$D$4+'Allometrics &amp; Decay rates'!$L$12)*(1-EXP(-('Discounting metrics'!$D$4+'Allometrics &amp; Decay rates'!$L$12)*'Discounting metrics'!$E$4))-(1-EXP(-'Allometrics &amp; Decay rates'!$L$12))/1.55))</f>
        <v>0.25374555728613829</v>
      </c>
      <c r="EU20" s="550">
        <f>AT20*BT20*('Allometrics &amp; Decay rates'!$I$13*((EXP('Allometrics &amp; Decay rates'!$K$13)-1)/('Discounting metrics'!$D$4+'Allometrics &amp; Decay rates'!$K$13)*(1-EXP(-('Discounting metrics'!$D$4+'Allometrics &amp; Decay rates'!$K$13)*'Discounting metrics'!$E$4))-(1-EXP(-'Allometrics &amp; Decay rates'!$K$13))/1.55)+'Allometrics &amp; Decay rates'!$E$13*((EXP('Allometrics &amp; Decay rates'!$L$13)-1)/('Discounting metrics'!$D$4+'Allometrics &amp; Decay rates'!$L$13)*(1-EXP(-('Discounting metrics'!$D$4+'Allometrics &amp; Decay rates'!$L$13)*'Discounting metrics'!$E$4))-(1-EXP(-'Allometrics &amp; Decay rates'!$L$13))/1.55))</f>
        <v>1.2546754628596517E-2</v>
      </c>
      <c r="EV20" s="108">
        <f t="shared" ref="EV20:EV25" si="58">SUM(EW20:FC20)</f>
        <v>22.441903378412778</v>
      </c>
      <c r="EW20" s="550">
        <f>AL20*BV20*$DK20*((EXP('Allometrics &amp; Decay rates'!$M$5)-1)/('Discounting metrics'!$D$4+'Allometrics &amp; Decay rates'!$M$5)*(1-EXP(-('Discounting metrics'!$D$4+'Allometrics &amp; Decay rates'!$M$5)*'Discounting metrics'!$E$4))-(1-EXP(-'Allometrics &amp; Decay rates'!$M$5))/1.55)</f>
        <v>6.3366093670159387</v>
      </c>
      <c r="EX20" s="550">
        <f>AM20*BW20*$DK20*((EXP('Allometrics &amp; Decay rates'!$M$5)-1)/('Discounting metrics'!$D$4+'Allometrics &amp; Decay rates'!$M$5)*(1-EXP(-('Discounting metrics'!$D$4+'Allometrics &amp; Decay rates'!$M$5)*'Discounting metrics'!$E$4))-(1-EXP(-'Allometrics &amp; Decay rates'!$M$5))/1.55)</f>
        <v>8.6241440881127325</v>
      </c>
      <c r="EY20" s="550">
        <f>AN20*BX20*$DK20*((EXP('Allometrics &amp; Decay rates'!$M$5)-1)/('Discounting metrics'!$D$4+'Allometrics &amp; Decay rates'!$M$5)*(1-EXP(-('Discounting metrics'!$D$4+'Allometrics &amp; Decay rates'!$M$5)*'Discounting metrics'!$E$4))-(1-EXP(-'Allometrics &amp; Decay rates'!$M$5))/1.55)</f>
        <v>2.6638710789915923</v>
      </c>
      <c r="EZ20" s="550">
        <f>AO20*BY20*$DK20*((EXP('Allometrics &amp; Decay rates'!$M$5)-1)/('Discounting metrics'!$D$4+'Allometrics &amp; Decay rates'!$M$5)*(1-EXP(-('Discounting metrics'!$D$4+'Allometrics &amp; Decay rates'!$M$5)*'Discounting metrics'!$E$4))-(1-EXP(-'Allometrics &amp; Decay rates'!$M$5))/1.55)</f>
        <v>3.5263643381587464</v>
      </c>
      <c r="FA20" s="550">
        <f>AP20*BZ20*$DK20*((EXP('Allometrics &amp; Decay rates'!$M$5)-1)/('Discounting metrics'!$D$4+'Allometrics &amp; Decay rates'!$M$5)*(1-EXP(-('Discounting metrics'!$D$4+'Allometrics &amp; Decay rates'!$M$5)*'Discounting metrics'!$E$4))-(1-EXP(-'Allometrics &amp; Decay rates'!$M$5))/1.55)</f>
        <v>1.0074808898164453</v>
      </c>
      <c r="FB20" s="550">
        <f>AQ20*CA20*$DK20*((EXP('Allometrics &amp; Decay rates'!$M$5)-1)/('Discounting metrics'!$D$4+'Allometrics &amp; Decay rates'!$M$5)*(1-EXP(-('Discounting metrics'!$D$4+'Allometrics &amp; Decay rates'!$M$5)*'Discounting metrics'!$E$4))-(1-EXP(-'Allometrics &amp; Decay rates'!$M$5))/1.55)</f>
        <v>0.28329154920166766</v>
      </c>
      <c r="FC20" s="550">
        <f>AR20*CB20*$DK20*((EXP('Allometrics &amp; Decay rates'!$M$5)-1)/('Discounting metrics'!$D$4+'Allometrics &amp; Decay rates'!$M$5)*(1-EXP(-('Discounting metrics'!$D$4+'Allometrics &amp; Decay rates'!$M$5)*'Discounting metrics'!$E$4))-(1-EXP(-'Allometrics &amp; Decay rates'!$M$5))/1.55)</f>
        <v>1.4206711565231675E-4</v>
      </c>
      <c r="FD20" s="261">
        <f t="shared" ref="FD20:FD25" si="59">FF20+FR20</f>
        <v>53.098412044148212</v>
      </c>
      <c r="FE20" s="154">
        <f t="shared" ref="FE20:FE25" si="60">FD20/($CE20-$DN20)</f>
        <v>0.79954699129862516</v>
      </c>
      <c r="FF20" s="108">
        <f t="shared" ref="FF20:FF25" si="61">FG20+FH20-$DO20</f>
        <v>35.9956935127327</v>
      </c>
      <c r="FG20" s="126">
        <f>'Allometrics &amp; Decay rates'!$H$5*$AU20*CG20+'Allometrics &amp; Decay rates'!$H$6*$AV20*CH20+'Allometrics &amp; Decay rates'!$H$7*$AW20*CI20+'Allometrics &amp; Decay rates'!$H$8*$AX20*CJ20+'Allometrics &amp; Decay rates'!$H$9*$AY20*CK20+'Allometrics &amp; Decay rates'!$H$10*$AZ20*CL20+'Allometrics &amp; Decay rates'!$H$11*$BA20*CM20+'Allometrics &amp; Decay rates'!$H$12*$BB20*CN20+'Allometrics &amp; Decay rates'!$H$13*$BC20*CO20</f>
        <v>19.893273381507225</v>
      </c>
      <c r="FH20" s="97">
        <f t="shared" ref="FH20:FH25" si="62">SUM(FI20:FQ20)</f>
        <v>18.302420131225478</v>
      </c>
      <c r="FI20" s="550">
        <f>AU20*CG20*('Allometrics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2.652236073684036</v>
      </c>
      <c r="FJ20" s="550">
        <f>AV20*CH20*('Allometrics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13.479371151486131</v>
      </c>
      <c r="FK20" s="550">
        <f>AW20*CI20*('Allometrics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0.78581981731392081</v>
      </c>
      <c r="FL20" s="550">
        <f>AX20*CJ20*('Allometrics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0.63002577007165206</v>
      </c>
      <c r="FM20" s="550">
        <f>AY20*CK20*('Allometrics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0.57521176392652917</v>
      </c>
      <c r="FN20" s="550">
        <f>AZ20*CL20*('Allometrics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0.10193457465081393</v>
      </c>
      <c r="FO20" s="550">
        <f>BA20*CM20*('Allometrics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7.2443888002164301E-4</v>
      </c>
      <c r="FP20" s="550">
        <f>BB20*CN20*('Allometrics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7.6642133205681154E-2</v>
      </c>
      <c r="FQ20" s="550">
        <f>BC20*CO20*('Allometrics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4.5440800669743384E-4</v>
      </c>
      <c r="FR20" s="108">
        <f>SUM(FS20:FY20)</f>
        <v>17.102718531415512</v>
      </c>
      <c r="FS20" s="550">
        <f>AU20*CQ20*$DK20*((EXP('Allometrics &amp; Decay rates'!$M$5)-1)/('Discounting metrics'!$D$4+'Allometrics &amp; Decay rates'!$M$5)*(1-EXP(-('Discounting metrics'!$D$4+'Allometrics &amp; Decay rates'!$M$5)*'Discounting metrics'!$E$4))-(1-EXP(-'Allometrics &amp; Decay rates'!$M$5))/1.55)</f>
        <v>1.3158532063978015</v>
      </c>
      <c r="FT20" s="550">
        <f>AV20*CR20*$DK20*((EXP('Allometrics &amp; Decay rates'!$M$5)-1)/('Discounting metrics'!$D$4+'Allometrics &amp; Decay rates'!$M$5)*(1-EXP(-('Discounting metrics'!$D$4+'Allometrics &amp; Decay rates'!$M$5)*'Discounting metrics'!$E$4))-(1-EXP(-'Allometrics &amp; Decay rates'!$M$5))/1.55)</f>
        <v>7.9917262426001541</v>
      </c>
      <c r="FU20" s="550">
        <f>AW20*CS20*$DK20*((EXP('Allometrics &amp; Decay rates'!$M$5)-1)/('Discounting metrics'!$D$4+'Allometrics &amp; Decay rates'!$M$5)*(1-EXP(-('Discounting metrics'!$D$4+'Allometrics &amp; Decay rates'!$M$5)*'Discounting metrics'!$E$4))-(1-EXP(-'Allometrics &amp; Decay rates'!$M$5))/1.55)</f>
        <v>1.4643180695213889</v>
      </c>
      <c r="FV20" s="550">
        <f>AX20*CT20*$DK20*((EXP('Allometrics &amp; Decay rates'!$M$5)-1)/('Discounting metrics'!$D$4+'Allometrics &amp; Decay rates'!$M$5)*(1-EXP(-('Discounting metrics'!$D$4+'Allometrics &amp; Decay rates'!$M$5)*'Discounting metrics'!$E$4))-(1-EXP(-'Allometrics &amp; Decay rates'!$M$5))/1.55)</f>
        <v>1.5471457747762587</v>
      </c>
      <c r="FW20" s="550">
        <f>AY20*CU20*$DK20*((EXP('Allometrics &amp; Decay rates'!$M$5)-1)/('Discounting metrics'!$D$4+'Allometrics &amp; Decay rates'!$M$5)*(1-EXP(-('Discounting metrics'!$D$4+'Allometrics &amp; Decay rates'!$M$5)*'Discounting metrics'!$E$4))-(1-EXP(-'Allometrics &amp; Decay rates'!$M$5))/1.55)</f>
        <v>3.5837541762311491</v>
      </c>
      <c r="FX20" s="550">
        <f>AZ20*CV20*$DK20*((EXP('Allometrics &amp; Decay rates'!$M$5)-1)/('Discounting metrics'!$D$4+'Allometrics &amp; Decay rates'!$M$5)*(1-EXP(-('Discounting metrics'!$D$4+'Allometrics &amp; Decay rates'!$M$5)*'Discounting metrics'!$E$4))-(1-EXP(-'Allometrics &amp; Decay rates'!$M$5))/1.55)</f>
        <v>1.1968687612786133</v>
      </c>
      <c r="FY20" s="550">
        <f>BA20*CW20*$DK20*((EXP('Allometrics &amp; Decay rates'!$M$5)-1)/('Discounting metrics'!$D$4+'Allometrics &amp; Decay rates'!$M$5)*(1-EXP(-('Discounting metrics'!$D$4+'Allometrics &amp; Decay rates'!$M$5)*'Discounting metrics'!$E$4))-(1-EXP(-'Allometrics &amp; Decay rates'!$M$5))/1.55)</f>
        <v>3.0523006101480276E-3</v>
      </c>
      <c r="FZ20" s="68"/>
      <c r="GA20" s="293"/>
      <c r="GB20" s="293"/>
      <c r="GP20" s="32">
        <f>(GQ20*$C20+GR20*$D20)/$B20</f>
        <v>6.6386534216335544</v>
      </c>
      <c r="GQ20" s="33">
        <v>6.94</v>
      </c>
      <c r="GR20" s="99">
        <v>5.07</v>
      </c>
      <c r="GS20" s="99"/>
      <c r="GT20" s="99"/>
      <c r="GU20" s="99"/>
      <c r="GV20" s="99"/>
      <c r="GW20" s="99"/>
      <c r="GX20" s="99"/>
      <c r="GY20" s="99"/>
      <c r="GZ20" s="99"/>
      <c r="HA20" s="99"/>
      <c r="HB20" s="99"/>
      <c r="HF20" s="97">
        <f t="shared" ref="HF20:HF25" si="63">HG20*$LI20</f>
        <v>0.54581663253468471</v>
      </c>
      <c r="HG20" s="526">
        <f>EE20/'Discounting metrics'!E$4/M20</f>
        <v>0.62024617333486898</v>
      </c>
      <c r="HH20" s="527">
        <f t="shared" ref="HH20:HH25" si="64">10^3*HG20/$LM20</f>
        <v>41.349744888991268</v>
      </c>
      <c r="HI20" s="528">
        <f t="shared" ref="HI20:HI25" si="65">HG20/$LO20</f>
        <v>6.2024617333486898</v>
      </c>
      <c r="HJ20" s="97">
        <f t="shared" ref="HJ20:HJ25" si="66">HK20*$LI20</f>
        <v>0.63566844597934202</v>
      </c>
      <c r="HK20" s="526">
        <f>EH20/'Discounting metrics'!E$4/O20</f>
        <v>0.7223505067947068</v>
      </c>
      <c r="HL20" s="527">
        <f t="shared" ref="HL20:HL25" si="67">10^3*HK20/$LM20</f>
        <v>48.156700452980452</v>
      </c>
      <c r="HM20" s="528">
        <f t="shared" ref="HM20:HM25" si="68">HK20/$LO20</f>
        <v>7.2235050679470678</v>
      </c>
      <c r="HN20" s="97">
        <f t="shared" ref="HN20:HN25" si="69">HO20*$LI20</f>
        <v>0.27044544126200026</v>
      </c>
      <c r="HO20" s="526">
        <f>FD20/'Discounting metrics'!E$4/Q20</f>
        <v>0.30732436507045485</v>
      </c>
      <c r="HP20" s="527">
        <f t="shared" ref="HP20:HP25" si="70">10^3*HO20/$LM20</f>
        <v>20.48829100469699</v>
      </c>
      <c r="HQ20" s="528">
        <f t="shared" ref="HQ20:HQ25" si="71">HO20/$LO20</f>
        <v>3.0732436507045482</v>
      </c>
      <c r="HR20" s="522">
        <f t="shared" ref="HR20:HR25" si="72">HS20*$LI20</f>
        <v>0.63196405826057278</v>
      </c>
      <c r="HS20" s="526">
        <f t="shared" ref="HS20:HS25" si="73">$IM$11*IE20</f>
        <v>0.71814097529610543</v>
      </c>
      <c r="HT20" s="527">
        <f t="shared" ref="HT20:HT25" si="74">10^3*HS20/$LM20</f>
        <v>47.876065019740366</v>
      </c>
      <c r="HU20" s="528">
        <f t="shared" ref="HU20:HU25" si="75">HS20/$LO20</f>
        <v>7.1814097529610539</v>
      </c>
      <c r="HV20" s="97">
        <f t="shared" ref="HV20:HV25" si="76">HW20*$LI20</f>
        <v>0.73501612984787135</v>
      </c>
      <c r="HW20" s="526">
        <f t="shared" si="28"/>
        <v>0.83524560209985377</v>
      </c>
      <c r="HX20" s="527">
        <f t="shared" ref="HX20:HX25" si="77">10^3*HW20/$LM20</f>
        <v>55.683040139990247</v>
      </c>
      <c r="HY20" s="528">
        <f t="shared" ref="HY20:HY25" si="78">HW20/$LO20</f>
        <v>8.3524560209985363</v>
      </c>
      <c r="HZ20" s="97">
        <f t="shared" ref="HZ20:HZ25" si="79">I20*$LI20</f>
        <v>3.647424</v>
      </c>
      <c r="IA20" s="526">
        <f t="shared" si="29"/>
        <v>0.35924737760201508</v>
      </c>
      <c r="IB20" s="527">
        <f t="shared" ref="IB20:IB25" si="80">10^3*I20/$LM20</f>
        <v>276.32</v>
      </c>
      <c r="IC20" s="528">
        <f t="shared" ref="IC20:IC25" si="81">I20/$LO20</f>
        <v>41.448</v>
      </c>
      <c r="ID20" s="522">
        <f t="shared" ref="ID20:ID25" si="82">IE20*$LI20</f>
        <v>1.2668758951891486</v>
      </c>
      <c r="IE20" s="526">
        <f t="shared" si="30"/>
        <v>1.4396316990785778</v>
      </c>
      <c r="IF20" s="68">
        <f t="shared" ref="IF20:IF25" si="83">10^3*IE20/$LM20</f>
        <v>95.975446605238531</v>
      </c>
      <c r="IG20" s="97">
        <f t="shared" ref="IG20:IG25" si="84">IH20*$LI20</f>
        <v>1.4734607218683653</v>
      </c>
      <c r="IH20" s="526">
        <f t="shared" si="31"/>
        <v>1.6743871839413242</v>
      </c>
      <c r="II20" s="68">
        <f t="shared" ref="II20:II25" si="85">10^3*IH20/$LM20</f>
        <v>111.62581226275496</v>
      </c>
      <c r="IJ20" s="97">
        <f t="shared" ref="IJ20:IJ25" si="86">IK20*$LI20</f>
        <v>0.63375000000000004</v>
      </c>
      <c r="IK20" s="526">
        <f t="shared" si="32"/>
        <v>0.72017045454545459</v>
      </c>
      <c r="IL20" s="68">
        <f t="shared" ref="IL20:IL25" si="87">10^3*IK20/$LM20</f>
        <v>48.01136363636364</v>
      </c>
      <c r="IM20" s="60"/>
      <c r="IN20" s="60"/>
      <c r="IO20" s="60"/>
      <c r="IP20" s="554">
        <f t="shared" ref="IP20:IP25" si="88">IR20*$V20</f>
        <v>79.051852526699975</v>
      </c>
      <c r="IQ20" s="596">
        <f t="shared" ref="IQ20:IQ25" si="89">IR20*$LI20</f>
        <v>0.11100605572878924</v>
      </c>
      <c r="IR20" s="166">
        <f t="shared" ref="IR20:IR25" si="90">(IW20*Y20+JD20*AA20)/V20</f>
        <v>0.12614324514635142</v>
      </c>
      <c r="IS20" s="68">
        <f t="shared" ref="IS20:IS25" si="91">10^3*IR20/$LM20</f>
        <v>8.4095496764234277</v>
      </c>
      <c r="IT20" s="97">
        <f t="shared" ref="IT20:IT25" si="92">IR20/$LO20</f>
        <v>1.261432451463514</v>
      </c>
      <c r="IU20" s="429">
        <f>(IX20*$C20+JE20*$D20)/$B20</f>
        <v>1.1791390728476819E-2</v>
      </c>
      <c r="IV20" s="262">
        <f t="shared" ref="IV20:IV25" si="93">IW20*$LI20</f>
        <v>0.13644626666666665</v>
      </c>
      <c r="IW20" s="436">
        <f t="shared" ref="IW20:IW25" si="94">IX20*JB20/I20</f>
        <v>0.15505257575757572</v>
      </c>
      <c r="IX20" s="101">
        <v>1.2999999999999999E-2</v>
      </c>
      <c r="IY20" s="101">
        <v>0.74</v>
      </c>
      <c r="IZ20" s="101">
        <v>0.26</v>
      </c>
      <c r="JA20" s="429">
        <f>1-IY20-IZ20</f>
        <v>0</v>
      </c>
      <c r="JB20" s="430">
        <f>IY20*$JJ20+IZ20*$JK20+JA20*$JL20+'Discounting metrics'!$B$6*(IY20*$JM20+IZ20*$JN20+JA20*$JO20)/10^3+'Discounting metrics'!$B$5*(IY20*$JP20+IZ20*$JQ20+JA20*$JR20)/10^3</f>
        <v>49.435531999999995</v>
      </c>
      <c r="JC20" s="262">
        <f t="shared" ref="JC20:JC25" si="95">JD20*$LI20</f>
        <v>3.3038779125000001E-2</v>
      </c>
      <c r="JD20" s="436">
        <f t="shared" ref="JD20:JD25" si="96">JE20*JI20/K20</f>
        <v>3.7544067187500002E-2</v>
      </c>
      <c r="JE20" s="101">
        <v>5.4999999999999997E-3</v>
      </c>
      <c r="JF20" s="101">
        <v>0.67</v>
      </c>
      <c r="JG20" s="101">
        <v>0.33</v>
      </c>
      <c r="JH20" s="429">
        <f>1-JF20-JG20</f>
        <v>0</v>
      </c>
      <c r="JI20" s="430">
        <f>JF20*$JJ20+JG20*$JK20+JH20*$JL20+'Discounting metrics'!$B$6*(JF20*$JM20+JG20*$JN20+JH20*$JO20)/10^3+'Discounting metrics'!$B$5*(JF20*$JP20+JG20*$JQ20+JH20*$JR20)/10^3</f>
        <v>48.056406000000003</v>
      </c>
      <c r="JJ20" s="431">
        <v>51.3</v>
      </c>
      <c r="JK20" s="431">
        <v>29</v>
      </c>
      <c r="JL20" s="431">
        <v>29</v>
      </c>
      <c r="JM20" s="99">
        <v>5</v>
      </c>
      <c r="JN20" s="431">
        <v>13</v>
      </c>
      <c r="JO20" s="431">
        <v>13</v>
      </c>
      <c r="JP20" s="431">
        <v>52</v>
      </c>
      <c r="JQ20" s="431">
        <v>58.3</v>
      </c>
      <c r="JR20" s="431">
        <v>58.3</v>
      </c>
      <c r="JS20" s="554">
        <f t="shared" ref="JS20:JS25" si="97">JV20+JW20+JT20+JU20+JX20</f>
        <v>328.86694890020402</v>
      </c>
      <c r="JT20" s="554">
        <f t="shared" ref="JT20:JT25" si="98">KJ20*$V20</f>
        <v>130.6739958734496</v>
      </c>
      <c r="JU20" s="554">
        <f t="shared" ref="JU20:JU25" si="99">KL20*$V20</f>
        <v>21.984424944767998</v>
      </c>
      <c r="JV20" s="554">
        <f t="shared" ref="JV20:JV25" si="100">KN20*$V20</f>
        <v>67.447291428659994</v>
      </c>
      <c r="JW20" s="554">
        <f t="shared" ref="JW20:JW25" si="101">KP20*$V20</f>
        <v>108.76123665332639</v>
      </c>
      <c r="JX20" s="554"/>
      <c r="JY20" s="167">
        <f t="shared" ref="JY20:JY25" si="102">JZ20*LI20</f>
        <v>0.46180097859999997</v>
      </c>
      <c r="JZ20" s="166">
        <f t="shared" ref="JZ20:JZ25" si="103">KF20+KD20+KH20</f>
        <v>0.52477383931818178</v>
      </c>
      <c r="KA20" s="68">
        <f t="shared" ref="KA20:KA25" si="104">10^3*JZ20/$LM20</f>
        <v>34.984922621212121</v>
      </c>
      <c r="KB20" s="97">
        <f t="shared" ref="KB20:KB25" si="105">JZ20/$LO20</f>
        <v>5.2477383931818178</v>
      </c>
      <c r="KC20" s="473">
        <f t="shared" ref="KC20:KC25" si="106">KD20*LI20</f>
        <v>0.21436574384000001</v>
      </c>
      <c r="KD20" s="269">
        <f t="shared" ref="KD20:KD25" si="107">KJ20+KL20</f>
        <v>0.2435974361818182</v>
      </c>
      <c r="KE20" s="473">
        <f t="shared" ref="KE20:KE25" si="108">KF20*LI20</f>
        <v>0.24743523475999998</v>
      </c>
      <c r="KF20" s="269">
        <f t="shared" ref="KF20:KF25" si="109">KN20+KP20</f>
        <v>0.28117640313636361</v>
      </c>
      <c r="KG20" s="597"/>
      <c r="KH20" s="598"/>
      <c r="KI20" s="435">
        <v>0.18349481264</v>
      </c>
      <c r="KJ20" s="522">
        <f t="shared" ref="KJ20:KJ25" si="110">KI20/$LI20</f>
        <v>0.20851683254545456</v>
      </c>
      <c r="KK20" s="435">
        <v>3.08709312E-2</v>
      </c>
      <c r="KL20" s="457">
        <f t="shared" ref="KL20:KL25" si="111">KK20/$LI20</f>
        <v>3.5080603636363637E-2</v>
      </c>
      <c r="KM20" s="435">
        <v>9.4710718999999999E-2</v>
      </c>
      <c r="KN20" s="522">
        <f t="shared" ref="KN20:KN25" si="112">KM20/$LI20</f>
        <v>0.10762581704545454</v>
      </c>
      <c r="KO20" s="435">
        <v>0.15272451576000001</v>
      </c>
      <c r="KP20" s="522">
        <f t="shared" ref="KP20:KP25" si="113">KO20/$LI20</f>
        <v>0.17355058609090909</v>
      </c>
      <c r="KQ20" s="599">
        <f t="shared" ref="KQ20:KQ25" si="114">44/12*HG20+$JZ20+$IR20</f>
        <v>2.9251530533590526</v>
      </c>
      <c r="KR20" s="527">
        <f t="shared" ref="KR20:KR25" si="115">10^3*KQ20/$LM20</f>
        <v>195.01020355727016</v>
      </c>
      <c r="KS20" s="528">
        <f t="shared" ref="KS20:KS25" si="116">KQ20/$LO20</f>
        <v>29.251530533590525</v>
      </c>
      <c r="KT20" s="599">
        <f t="shared" ref="KT20:KT25" si="117">44/12*HK20+$JZ20+$IW20</f>
        <v>3.3284449399896823</v>
      </c>
      <c r="KU20" s="527">
        <f t="shared" ref="KU20:KU25" si="118">10^3*KT20/$LM20</f>
        <v>221.89632933264548</v>
      </c>
      <c r="KV20" s="528">
        <f t="shared" ref="KV20:KV25" si="119">KT20/$LO20</f>
        <v>33.284449399896822</v>
      </c>
      <c r="KW20" s="599">
        <f t="shared" ref="KW20:KW25" si="120">44/12*HO20+$JZ20+$JD20</f>
        <v>1.6891739117640163</v>
      </c>
      <c r="KX20" s="527">
        <f t="shared" ref="KX20:KX25" si="121">10^3*KW20/$LM20</f>
        <v>112.61159411760109</v>
      </c>
      <c r="KY20" s="528">
        <f t="shared" ref="KY20:KY25" si="122">KW20/$LO20</f>
        <v>16.891739117640164</v>
      </c>
      <c r="KZ20" s="599">
        <f t="shared" ref="KZ20:KZ25" si="123">44/12*HS20+$JZ20+$IR20</f>
        <v>3.2841006605502532</v>
      </c>
      <c r="LA20" s="527">
        <f t="shared" ref="LA20:LA25" si="124">10^3*KZ20/$LM20</f>
        <v>218.94004403668353</v>
      </c>
      <c r="LB20" s="528">
        <f t="shared" ref="LB20:LB25" si="125">KZ20/$LO20</f>
        <v>32.841006605502528</v>
      </c>
      <c r="LC20" s="599">
        <f t="shared" ref="LC20:LC25" si="126">44/12*HW20+$JZ20+$IW20</f>
        <v>3.7423936227752215</v>
      </c>
      <c r="LD20" s="527">
        <f t="shared" ref="LD20:LD25" si="127">10^3*LC20/$LM20</f>
        <v>249.49290818501476</v>
      </c>
      <c r="LE20" s="528">
        <f t="shared" ref="LE20:LE25" si="128">LC20/$LO20</f>
        <v>37.423936227752215</v>
      </c>
      <c r="LF20" s="599">
        <f t="shared" ref="LF20:LF25" si="129">44/12*I20+$JZ20+$JD20</f>
        <v>15.759917906505681</v>
      </c>
      <c r="LG20" s="527">
        <f t="shared" ref="LG20:LG25" si="130">10^3*LF20/$LM20</f>
        <v>1050.6611937670455</v>
      </c>
      <c r="LH20" s="528">
        <f t="shared" ref="LH20:LH25" si="131">LF20/$LO20</f>
        <v>157.5991790650568</v>
      </c>
      <c r="LI20" s="31">
        <v>0.88</v>
      </c>
      <c r="LJ20" s="32">
        <f>$LI20*LK20</f>
        <v>16.544</v>
      </c>
      <c r="LK20" s="27">
        <v>18.8</v>
      </c>
      <c r="LL20" s="32">
        <f>$LI20*LM20</f>
        <v>13.2</v>
      </c>
      <c r="LM20" s="33">
        <v>15</v>
      </c>
      <c r="LN20" s="36">
        <f>$LI20*LO20</f>
        <v>8.8000000000000009E-2</v>
      </c>
      <c r="LO20" s="31">
        <v>0.1</v>
      </c>
      <c r="LP20" s="36">
        <f t="shared" ref="LP20:LP25" si="132">$LI20*LQ20</f>
        <v>3.5200000000000002E-2</v>
      </c>
      <c r="LQ20" s="35">
        <v>0.04</v>
      </c>
    </row>
    <row r="21" spans="1:329" s="4" customFormat="1" x14ac:dyDescent="0.25">
      <c r="A21" s="4" t="s">
        <v>66</v>
      </c>
      <c r="B21" s="67">
        <f t="shared" ref="B21:B25" si="133">C21+D21</f>
        <v>108.30000000000001</v>
      </c>
      <c r="C21" s="33">
        <v>45.7</v>
      </c>
      <c r="D21" s="33">
        <v>62.6</v>
      </c>
      <c r="E21" s="38">
        <f t="shared" ref="E21:E25" si="134">D21/B21</f>
        <v>0.57802400738688819</v>
      </c>
      <c r="F21" s="108">
        <f t="shared" si="16"/>
        <v>5.7993721144967676</v>
      </c>
      <c r="G21" s="32">
        <f t="shared" si="17"/>
        <v>5.0454537396121877</v>
      </c>
      <c r="H21" s="33">
        <v>3.1</v>
      </c>
      <c r="I21" s="32">
        <f t="shared" si="35"/>
        <v>2.6970000000000001</v>
      </c>
      <c r="J21" s="33">
        <v>7.77</v>
      </c>
      <c r="K21" s="32">
        <f t="shared" si="36"/>
        <v>6.7599</v>
      </c>
      <c r="L21" s="32">
        <f>(F21/'Discounting metrics'!$D$4*(1-EXP(-'Discounting metrics'!$D$4*'Discounting metrics'!$E$4)))/'Discounting metrics'!$E$4</f>
        <v>1.4232882272665623</v>
      </c>
      <c r="M21" s="32">
        <f>(G21/'Discounting metrics'!$D$4*(1-EXP(-'Discounting metrics'!$D$4*'Discounting metrics'!$E$4)))/'Discounting metrics'!$E$4</f>
        <v>1.2382607577219094</v>
      </c>
      <c r="N21" s="32">
        <f>(H21/'Discounting metrics'!$D$4*(1-EXP(-'Discounting metrics'!$D$4*'Discounting metrics'!$E$4)))/'Discounting metrics'!$E$4</f>
        <v>0.76080537986123109</v>
      </c>
      <c r="O21" s="32">
        <f>(I21/'Discounting metrics'!$D$4*(1-EXP(-'Discounting metrics'!$D$4*'Discounting metrics'!$E$4)))/'Discounting metrics'!$E$4</f>
        <v>0.66190068047927098</v>
      </c>
      <c r="P21" s="32">
        <f>(J21/'Discounting metrics'!$D$4*(1-EXP(-'Discounting metrics'!$D$4*'Discounting metrics'!$E$4)))/'Discounting metrics'!$E$4</f>
        <v>1.9069218714586336</v>
      </c>
      <c r="Q21" s="32">
        <f>(K21/'Discounting metrics'!$D$4*(1-EXP(-'Discounting metrics'!$D$4*'Discounting metrics'!$E$4)))/'Discounting metrics'!$E$4</f>
        <v>1.6590220281690113</v>
      </c>
      <c r="R21" s="32">
        <f t="shared" si="37"/>
        <v>1.9819822985372644</v>
      </c>
      <c r="S21" s="32">
        <f t="shared" si="38"/>
        <v>3.707823507601038</v>
      </c>
      <c r="T21" s="32">
        <f t="shared" si="39"/>
        <v>1.4793118241394103</v>
      </c>
      <c r="U21" s="107">
        <f t="shared" ref="U21:V25" si="135">X21+Z21</f>
        <v>628.072</v>
      </c>
      <c r="V21" s="68">
        <f t="shared" si="135"/>
        <v>546.42264</v>
      </c>
      <c r="W21" s="68"/>
      <c r="X21" s="67">
        <f t="shared" si="40"/>
        <v>141.67000000000002</v>
      </c>
      <c r="Y21" s="67">
        <f t="shared" si="41"/>
        <v>123.25290000000001</v>
      </c>
      <c r="Z21" s="67">
        <f t="shared" si="41"/>
        <v>486.40199999999999</v>
      </c>
      <c r="AA21" s="67">
        <f t="shared" si="42"/>
        <v>423.16973999999999</v>
      </c>
      <c r="AB21" s="600">
        <f t="shared" ref="AB21:AB25" si="136">AA21/V21</f>
        <v>0.77443668878727279</v>
      </c>
      <c r="AC21" s="294">
        <f t="shared" si="43"/>
        <v>0.36439633290265627</v>
      </c>
      <c r="AD21" s="294">
        <f t="shared" si="43"/>
        <v>0.18202897458067263</v>
      </c>
      <c r="AE21" s="294">
        <f t="shared" si="43"/>
        <v>1.5196649658618819E-2</v>
      </c>
      <c r="AF21" s="294">
        <f t="shared" si="43"/>
        <v>0.22596058408066225</v>
      </c>
      <c r="AG21" s="294">
        <f t="shared" si="43"/>
        <v>2.1455647385302805E-2</v>
      </c>
      <c r="AH21" s="294">
        <f t="shared" si="43"/>
        <v>2.7052731724139401E-2</v>
      </c>
      <c r="AI21" s="294">
        <f t="shared" si="43"/>
        <v>1.5554082193175131E-2</v>
      </c>
      <c r="AJ21" s="294">
        <f t="shared" si="43"/>
        <v>0.14747557438983383</v>
      </c>
      <c r="AK21" s="294">
        <f t="shared" si="43"/>
        <v>6.2653055964877712E-4</v>
      </c>
      <c r="AL21" s="433">
        <v>0.54979019966630094</v>
      </c>
      <c r="AM21" s="433">
        <v>6.2115668437640909E-2</v>
      </c>
      <c r="AN21" s="433">
        <v>5.7506574176528439E-3</v>
      </c>
      <c r="AO21" s="433">
        <v>0.30939991835739272</v>
      </c>
      <c r="AP21" s="433">
        <v>1.7627562073342599E-2</v>
      </c>
      <c r="AQ21" s="433">
        <v>1.5151664273613561E-2</v>
      </c>
      <c r="AR21" s="433">
        <v>3.8374324373348641E-3</v>
      </c>
      <c r="AS21" s="433">
        <v>3.5730721615126373E-2</v>
      </c>
      <c r="AT21" s="433">
        <v>2.0586475727920493E-6</v>
      </c>
      <c r="AU21" s="433">
        <v>0.22905288703846213</v>
      </c>
      <c r="AV21" s="433">
        <v>0.2695695191611287</v>
      </c>
      <c r="AW21" s="433">
        <v>2.2092525783413471E-2</v>
      </c>
      <c r="AX21" s="433">
        <v>0.16504720426522168</v>
      </c>
      <c r="AY21" s="433">
        <v>2.4250271966078867E-2</v>
      </c>
      <c r="AZ21" s="433">
        <v>3.5740891188820414E-2</v>
      </c>
      <c r="BA21" s="433">
        <v>2.4107610848796542E-2</v>
      </c>
      <c r="BB21" s="433">
        <v>0.22905288703846213</v>
      </c>
      <c r="BC21" s="433">
        <v>1.0824150066435457E-3</v>
      </c>
      <c r="BD21" s="554">
        <f t="shared" si="44"/>
        <v>21.300135780546036</v>
      </c>
      <c r="BE21" s="554">
        <f t="shared" si="44"/>
        <v>9.5961977542703387</v>
      </c>
      <c r="BF21" s="554">
        <f t="shared" si="44"/>
        <v>11.703938026275695</v>
      </c>
      <c r="BG21" s="67">
        <f t="shared" ref="BG21:BG25" si="137">BH21+BI21</f>
        <v>196.67715402166235</v>
      </c>
      <c r="BH21" s="67">
        <f t="shared" si="45"/>
        <v>88.607550824287515</v>
      </c>
      <c r="BI21" s="67">
        <f t="shared" si="46"/>
        <v>108.06960319737483</v>
      </c>
      <c r="BJ21" s="67">
        <f t="shared" si="47"/>
        <v>203.41455517100371</v>
      </c>
      <c r="BK21" s="68">
        <f t="shared" ref="BK21:BK25" si="138">$AL21*BL21+$AM21*BM21+$AN21*BN21+$AO21*BO21+$AP21*BP21+$AQ21*BQ21+$AR21*BR21+$AS21*BS21+$AT21*BT21</f>
        <v>89.222795319702598</v>
      </c>
      <c r="BL21" s="145">
        <v>123.8227531738543</v>
      </c>
      <c r="BM21" s="145">
        <v>120.75480390969317</v>
      </c>
      <c r="BN21" s="145">
        <v>61.138941943257407</v>
      </c>
      <c r="BO21" s="145">
        <v>36.118624582632748</v>
      </c>
      <c r="BP21" s="145">
        <v>4.2827738077093622</v>
      </c>
      <c r="BQ21" s="145">
        <v>0.67657632819438662</v>
      </c>
      <c r="BR21" s="145">
        <v>2.3477514099298592E-2</v>
      </c>
      <c r="BS21" s="145">
        <v>56.896946276993773</v>
      </c>
      <c r="BT21" s="145">
        <v>0</v>
      </c>
      <c r="BU21" s="68">
        <f t="shared" ref="BU21:BU25" si="139">$AL21*BV21+$AM21*BW21+$AN21*BX21+$AO21*BY21+$AP21*BZ21+$AQ21*CA21+$AR21*CB21+$AS21*CC21+$AT21*CD21</f>
        <v>114.19175985130113</v>
      </c>
      <c r="BV21" s="145">
        <v>116.24258000468326</v>
      </c>
      <c r="BW21" s="145">
        <v>94.094469516873531</v>
      </c>
      <c r="BX21" s="145">
        <v>146.33757898276647</v>
      </c>
      <c r="BY21" s="145">
        <v>132.93360245578685</v>
      </c>
      <c r="BZ21" s="145">
        <v>24.508365954683214</v>
      </c>
      <c r="CA21" s="145">
        <v>16.208880488744079</v>
      </c>
      <c r="CB21" s="145">
        <v>0.29021153990176596</v>
      </c>
      <c r="CC21" s="145">
        <v>50.04311903145399</v>
      </c>
      <c r="CD21" s="145">
        <v>0</v>
      </c>
      <c r="CE21" s="68">
        <f t="shared" ref="CE21:CE25" si="140">CF21+CP21</f>
        <v>191.75863593021026</v>
      </c>
      <c r="CF21" s="68">
        <f t="shared" ref="CF21:CF25" si="141">$AU21*CG21+$AV21*CH21+$AW21*CI21+$AX21*CJ21+$AY21*CK21+$AZ21*CL21+$BA21*CM21+$BB21*CN21+$BC21*CO21</f>
        <v>88.158402686260857</v>
      </c>
      <c r="CG21" s="106">
        <v>155.09698127089339</v>
      </c>
      <c r="CH21" s="106">
        <v>156.08301341013717</v>
      </c>
      <c r="CI21" s="106">
        <v>53.311942760862102</v>
      </c>
      <c r="CJ21" s="106">
        <v>41.05537244725663</v>
      </c>
      <c r="CK21" s="106">
        <v>5.4888637942127332</v>
      </c>
      <c r="CL21" s="106">
        <v>0.80835091165536987</v>
      </c>
      <c r="CM21" s="106">
        <v>7.913875023189372E-2</v>
      </c>
      <c r="CN21" s="106">
        <v>10.645374860125646</v>
      </c>
      <c r="CO21" s="106">
        <v>1.5144424587522929</v>
      </c>
      <c r="CP21" s="68">
        <f t="shared" ref="CP21:CP25" si="142">$AU21*CQ21+$AV21*CR21+$AW21*CS21+$AX21*CT21+$AY21*CU21+$AZ21*CV21+$BA21*CW21+$BB21*CX21+$BC21*CY21</f>
        <v>103.6002332439494</v>
      </c>
      <c r="CQ21" s="106">
        <v>152.38888982195624</v>
      </c>
      <c r="CR21" s="106">
        <v>116.80267822838675</v>
      </c>
      <c r="CS21" s="106">
        <v>194.84668279739853</v>
      </c>
      <c r="CT21" s="106">
        <v>175.31865706738137</v>
      </c>
      <c r="CU21" s="106">
        <v>55.8258076119454</v>
      </c>
      <c r="CV21" s="106">
        <v>11.982003825778373</v>
      </c>
      <c r="CW21" s="106">
        <v>0.35249319875592122</v>
      </c>
      <c r="CX21" s="106">
        <v>9.4883363859858818</v>
      </c>
      <c r="CY21" s="106">
        <v>3.9722096419337594</v>
      </c>
      <c r="CZ21" s="554">
        <f t="shared" si="48"/>
        <v>8.9487105947067711</v>
      </c>
      <c r="DA21" s="554">
        <f t="shared" si="48"/>
        <v>0.17075707499999998</v>
      </c>
      <c r="DB21" s="554">
        <f t="shared" si="48"/>
        <v>8.7779535197067702</v>
      </c>
      <c r="DC21" s="32">
        <f t="shared" ref="DC21:DC25" si="143">DD21+DE21</f>
        <v>82.628906691659921</v>
      </c>
      <c r="DD21" s="32">
        <f t="shared" si="49"/>
        <v>1.5767042936288085</v>
      </c>
      <c r="DE21" s="67">
        <f t="shared" si="49"/>
        <v>81.052202398031113</v>
      </c>
      <c r="DF21" s="270"/>
      <c r="DG21" s="67">
        <f t="shared" ref="DG21:DG25" si="144">DH21+DI21</f>
        <v>86.48663238847584</v>
      </c>
      <c r="DH21" s="32">
        <f t="shared" si="50"/>
        <v>0.84281249999999996</v>
      </c>
      <c r="DI21" s="67">
        <f t="shared" si="51"/>
        <v>85.643819888475846</v>
      </c>
      <c r="DJ21" s="67"/>
      <c r="DK21" s="34">
        <f t="shared" ref="DK21:DK25" si="145">DK$17</f>
        <v>0.25</v>
      </c>
      <c r="DL21" s="159"/>
      <c r="DM21" s="159"/>
      <c r="DN21" s="68">
        <f t="shared" ref="DN21:DN25" si="146">DO21+DP21</f>
        <v>79.812643682962062</v>
      </c>
      <c r="DO21" s="32">
        <f t="shared" si="52"/>
        <v>2.1124687500000001</v>
      </c>
      <c r="DP21" s="67">
        <f t="shared" si="53"/>
        <v>77.700174932962057</v>
      </c>
      <c r="DQ21" s="67"/>
      <c r="DR21" s="34">
        <f t="shared" ref="DR21:DR25" si="147">DR$17</f>
        <v>0.25</v>
      </c>
      <c r="DS21" s="554"/>
      <c r="DT21" s="554"/>
      <c r="DU21" s="554"/>
      <c r="DV21" s="67">
        <f t="shared" si="23"/>
        <v>114.04824733000243</v>
      </c>
      <c r="DW21" s="67">
        <f t="shared" si="23"/>
        <v>87.030846530658707</v>
      </c>
      <c r="DX21" s="67">
        <f t="shared" si="23"/>
        <v>27.017400799343719</v>
      </c>
      <c r="DY21" s="32">
        <f t="shared" si="24"/>
        <v>116.92792278252787</v>
      </c>
      <c r="DZ21" s="67">
        <f t="shared" si="24"/>
        <v>88.379982819702605</v>
      </c>
      <c r="EA21" s="67">
        <f t="shared" si="25"/>
        <v>28.547939962825282</v>
      </c>
      <c r="EB21" s="32">
        <f t="shared" si="26"/>
        <v>111.9459922472482</v>
      </c>
      <c r="EC21" s="67">
        <f t="shared" si="26"/>
        <v>86.045933936260852</v>
      </c>
      <c r="ED21" s="67">
        <f t="shared" si="27"/>
        <v>25.900058310987347</v>
      </c>
      <c r="EE21" s="68">
        <f t="shared" si="54"/>
        <v>91.807597237051482</v>
      </c>
      <c r="EF21" s="67">
        <f t="shared" si="55"/>
        <v>71.085706182632379</v>
      </c>
      <c r="EG21" s="67">
        <f t="shared" ref="EG21:EG25" si="148">(EV21*$C21+FR21*$D21)/$B21</f>
        <v>20.72189105441911</v>
      </c>
      <c r="EH21" s="261">
        <f t="shared" ref="EH21:EH25" si="149">EJ21+EV21</f>
        <v>94.751779073991699</v>
      </c>
      <c r="EI21" s="154">
        <f t="shared" si="56"/>
        <v>0.81034347330550649</v>
      </c>
      <c r="EJ21" s="108">
        <f t="shared" si="57"/>
        <v>72.789711136782827</v>
      </c>
      <c r="EK21" s="126">
        <f>'Allometrics &amp; Decay rates'!$H$5*$AL21*BL21+'Allometrics &amp; Decay rates'!$H$6*$AM21*BM21+'Allometrics &amp; Decay rates'!$H$7*$AN21*BN21+'Allometrics &amp; Decay rates'!$H$8*$AO21*BO21+'Allometrics &amp; Decay rates'!$H$9*$AP21*BP21+'Allometrics &amp; Decay rates'!$H$10*$AQ21*BQ21+'Allometrics &amp; Decay rates'!$H$11*$AR21*BR21+'Allometrics &amp; Decay rates'!$H$12*$AS21*BS21+'Allometrics &amp; Decay rates'!$H$13*$AT21*BT21</f>
        <v>37.837779382059878</v>
      </c>
      <c r="EL21" s="97">
        <f>SUM(EM21:EU21)</f>
        <v>35.794744254722943</v>
      </c>
      <c r="EM21" s="550">
        <f>AL21*BL21*('Allometrics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26.687879232910298</v>
      </c>
      <c r="EN21" s="550">
        <f>AM21*BM21*('Allometrics &amp; Decay rates'!$I$6*((EXP('Allometrics &amp; Decay rates'!$K$6)-1)/('Discounting metrics'!$D$4+'Allometrics &amp; Decay rates'!$K$6)*(1-EXP(-('Discounting metrics'!$D$4+'Allometrics &amp; Decay rates'!$K$6)*'Discounting metrics'!$E$4))-(1-EXP(-'Allometrics &amp; Decay rates'!$K$6))/1.55)+'Allometrics &amp; Decay rates'!$E$6*((EXP('Allometrics &amp; Decay rates'!$L$6)-1)/('Discounting metrics'!$D$4+'Allometrics &amp; Decay rates'!$L$6)*(1-EXP(-('Discounting metrics'!$D$4+'Allometrics &amp; Decay rates'!$L$6)*'Discounting metrics'!$E$4))-(1-EXP(-'Allometrics &amp; Decay rates'!$L$6))/1.55))</f>
        <v>1.8293452012218228</v>
      </c>
      <c r="EO21" s="550">
        <f>AN21*BN21*('Allometrics &amp; Decay rates'!$I$7*((EXP('Allometrics &amp; Decay rates'!$K$7)-1)/('Discounting metrics'!$D$4+'Allometrics &amp; Decay rates'!$K$7)*(1-EXP(-('Discounting metrics'!$D$4+'Allometrics &amp; Decay rates'!$K$7)*'Discounting metrics'!$E$4))-(1-EXP(-'Allometrics &amp; Decay rates'!$K$7))/1.55)+'Allometrics &amp; Decay rates'!$E$7*((EXP('Allometrics &amp; Decay rates'!$L$7)-1)/('Discounting metrics'!$D$4+'Allometrics &amp; Decay rates'!$L$7)*(1-EXP(-('Discounting metrics'!$D$4+'Allometrics &amp; Decay rates'!$L$7)*'Discounting metrics'!$E$4))-(1-EXP(-'Allometrics &amp; Decay rates'!$L$7))/1.55))</f>
        <v>7.4857353110301145E-2</v>
      </c>
      <c r="EP21" s="550">
        <f>AO21*BO21*('Allometrics &amp; Decay rates'!$I$8*((EXP('Allometrics &amp; Decay rates'!$K$8)-1)/('Discounting metrics'!$D$4+'Allometrics &amp; Decay rates'!$K$8)*(1-EXP(-('Discounting metrics'!$D$4+'Allometrics &amp; Decay rates'!$K$8)*'Discounting metrics'!$E$4))-(1-EXP(-'Allometrics &amp; Decay rates'!$K$8))/1.55)+'Allometrics &amp; Decay rates'!$E$8*((EXP('Allometrics &amp; Decay rates'!$L$8)-1)/('Discounting metrics'!$D$4+'Allometrics &amp; Decay rates'!$L$8)*(1-EXP(-('Discounting metrics'!$D$4+'Allometrics &amp; Decay rates'!$L$8)*'Discounting metrics'!$E$4))-(1-EXP(-'Allometrics &amp; Decay rates'!$L$8))/1.55))</f>
        <v>6.3269659499116884</v>
      </c>
      <c r="EQ21" s="550">
        <f>AP21*BP21*('Allometrics &amp; Decay rates'!$I$9*((EXP('Allometrics &amp; Decay rates'!$K$9)-1)/('Discounting metrics'!$D$4+'Allometrics &amp; Decay rates'!$K$9)*(1-EXP(-('Discounting metrics'!$D$4+'Allometrics &amp; Decay rates'!$K$9)*'Discounting metrics'!$E$4))-(1-EXP(-'Allometrics &amp; Decay rates'!$K$9))/1.55)+'Allometrics &amp; Decay rates'!$E$9*((EXP('Allometrics &amp; Decay rates'!$L$9)-1)/('Discounting metrics'!$D$4+'Allometrics &amp; Decay rates'!$L$9)*(1-EXP(-('Discounting metrics'!$D$4+'Allometrics &amp; Decay rates'!$L$9)*'Discounting metrics'!$E$4))-(1-EXP(-'Allometrics &amp; Decay rates'!$L$9))/1.55))</f>
        <v>3.9568791663565875E-2</v>
      </c>
      <c r="ER21" s="550">
        <f>AQ21*BQ21*('Allometrics &amp; Decay rates'!$I$10*((EXP('Allometrics &amp; Decay rates'!$K$10)-1)/('Discounting metrics'!$D$4+'Allometrics &amp; Decay rates'!$K$10)*(1-EXP(-('Discounting metrics'!$D$4+'Allometrics &amp; Decay rates'!$K$10)*'Discounting metrics'!$E$4))-(1-EXP(-'Allometrics &amp; Decay rates'!$K$10))/1.55)+'Allometrics &amp; Decay rates'!$E$10*((EXP('Allometrics &amp; Decay rates'!$L$10)-1)/('Discounting metrics'!$D$4+'Allometrics &amp; Decay rates'!$L$10)*(1-EXP(-('Discounting metrics'!$D$4+'Allometrics &amp; Decay rates'!$L$10)*'Discounting metrics'!$E$4))-(1-EXP(-'Allometrics &amp; Decay rates'!$L$10))/1.55))</f>
        <v>6.5216576276092911E-3</v>
      </c>
      <c r="ES21" s="550">
        <f>AR21*BR21*('Allometrics &amp; Decay rates'!$I$11*((EXP('Allometrics &amp; Decay rates'!$K$11)-1)/('Discounting metrics'!$D$4+'Allometrics &amp; Decay rates'!$K$11)*(1-EXP(-('Discounting metrics'!$D$4+'Allometrics &amp; Decay rates'!$K$11)*'Discounting metrics'!$E$4))-(1-EXP(-'Allometrics &amp; Decay rates'!$K$11))/1.55)+'Allometrics &amp; Decay rates'!$E$11*((EXP('Allometrics &amp; Decay rates'!$L$11)-1)/('Discounting metrics'!$D$4+'Allometrics &amp; Decay rates'!$L$11)*(1-EXP(-('Discounting metrics'!$D$4+'Allometrics &amp; Decay rates'!$L$11)*'Discounting metrics'!$E$4))-(1-EXP(-'Allometrics &amp; Decay rates'!$L$11))/1.55))</f>
        <v>6.3947486164307125E-5</v>
      </c>
      <c r="ET21" s="550">
        <f>AS21*BS21*('Allometrics &amp; Decay rates'!$I$12*((EXP('Allometrics &amp; Decay rates'!$K$12)-1)/('Discounting metrics'!$D$4+'Allometrics &amp; Decay rates'!$K$12)*(1-EXP(-('Discounting metrics'!$D$4+'Allometrics &amp; Decay rates'!$K$12)*'Discounting metrics'!$E$4))-(1-EXP(-'Allometrics &amp; Decay rates'!$K$12))/1.55)+'Allometrics &amp; Decay rates'!$E$12*((EXP('Allometrics &amp; Decay rates'!$L$12)-1)/('Discounting metrics'!$D$4+'Allometrics &amp; Decay rates'!$L$12)*(1-EXP(-('Discounting metrics'!$D$4+'Allometrics &amp; Decay rates'!$L$12)*'Discounting metrics'!$E$4))-(1-EXP(-'Allometrics &amp; Decay rates'!$L$12))/1.55))</f>
        <v>0.82954212079149636</v>
      </c>
      <c r="EU21" s="550">
        <f>AT21*BT21*('Allometrics &amp; Decay rates'!$I$13*((EXP('Allometrics &amp; Decay rates'!$K$13)-1)/('Discounting metrics'!$D$4+'Allometrics &amp; Decay rates'!$K$13)*(1-EXP(-('Discounting metrics'!$D$4+'Allometrics &amp; Decay rates'!$K$13)*'Discounting metrics'!$E$4))-(1-EXP(-'Allometrics &amp; Decay rates'!$K$13))/1.55)+'Allometrics &amp; Decay rates'!$E$13*((EXP('Allometrics &amp; Decay rates'!$L$13)-1)/('Discounting metrics'!$D$4+'Allometrics &amp; Decay rates'!$L$13)*(1-EXP(-('Discounting metrics'!$D$4+'Allometrics &amp; Decay rates'!$L$13)*'Discounting metrics'!$E$4))-(1-EXP(-'Allometrics &amp; Decay rates'!$L$13))/1.55))</f>
        <v>0</v>
      </c>
      <c r="EV21" s="108">
        <f t="shared" si="58"/>
        <v>21.962067937208872</v>
      </c>
      <c r="EW21" s="550">
        <f>AL21*BV21*$DK21*((EXP('Allometrics &amp; Decay rates'!$M$5)-1)/('Discounting metrics'!$D$4+'Allometrics &amp; Decay rates'!$M$5)*(1-EXP(-('Discounting metrics'!$D$4+'Allometrics &amp; Decay rates'!$M$5)*'Discounting metrics'!$E$4))-(1-EXP(-'Allometrics &amp; Decay rates'!$M$5))/1.55)</f>
        <v>12.486908328081757</v>
      </c>
      <c r="EX21" s="550">
        <f>AM21*BW21*$DK21*((EXP('Allometrics &amp; Decay rates'!$M$5)-1)/('Discounting metrics'!$D$4+'Allometrics &amp; Decay rates'!$M$5)*(1-EXP(-('Discounting metrics'!$D$4+'Allometrics &amp; Decay rates'!$M$5)*'Discounting metrics'!$E$4))-(1-EXP(-'Allometrics &amp; Decay rates'!$M$5))/1.55)</f>
        <v>1.1419785591843081</v>
      </c>
      <c r="EY21" s="550">
        <f>AN21*BX21*$DK21*((EXP('Allometrics &amp; Decay rates'!$M$5)-1)/('Discounting metrics'!$D$4+'Allometrics &amp; Decay rates'!$M$5)*(1-EXP(-('Discounting metrics'!$D$4+'Allometrics &amp; Decay rates'!$M$5)*'Discounting metrics'!$E$4))-(1-EXP(-'Allometrics &amp; Decay rates'!$M$5))/1.55)</f>
        <v>0.16442431862604509</v>
      </c>
      <c r="EZ21" s="550">
        <f>AO21*BY21*$DK21*((EXP('Allometrics &amp; Decay rates'!$M$5)-1)/('Discounting metrics'!$D$4+'Allometrics &amp; Decay rates'!$M$5)*(1-EXP(-('Discounting metrics'!$D$4+'Allometrics &amp; Decay rates'!$M$5)*'Discounting metrics'!$E$4))-(1-EXP(-'Allometrics &amp; Decay rates'!$M$5))/1.55)</f>
        <v>8.0361430269951786</v>
      </c>
      <c r="FA21" s="550">
        <f>AP21*BZ21*$DK21*((EXP('Allometrics &amp; Decay rates'!$M$5)-1)/('Discounting metrics'!$D$4+'Allometrics &amp; Decay rates'!$M$5)*(1-EXP(-('Discounting metrics'!$D$4+'Allometrics &amp; Decay rates'!$M$5)*'Discounting metrics'!$E$4))-(1-EXP(-'Allometrics &amp; Decay rates'!$M$5))/1.55)</f>
        <v>8.4411049112050537E-2</v>
      </c>
      <c r="FB21" s="550">
        <f>AQ21*CA21*$DK21*((EXP('Allometrics &amp; Decay rates'!$M$5)-1)/('Discounting metrics'!$D$4+'Allometrics &amp; Decay rates'!$M$5)*(1-EXP(-('Discounting metrics'!$D$4+'Allometrics &amp; Decay rates'!$M$5)*'Discounting metrics'!$E$4))-(1-EXP(-'Allometrics &amp; Decay rates'!$M$5))/1.55)</f>
        <v>4.7985060611879106E-2</v>
      </c>
      <c r="FC21" s="550">
        <f>AR21*CB21*$DK21*((EXP('Allometrics &amp; Decay rates'!$M$5)-1)/('Discounting metrics'!$D$4+'Allometrics &amp; Decay rates'!$M$5)*(1-EXP(-('Discounting metrics'!$D$4+'Allometrics &amp; Decay rates'!$M$5)*'Discounting metrics'!$E$4))-(1-EXP(-'Allometrics &amp; Decay rates'!$M$5))/1.55)</f>
        <v>2.1759459765840488E-4</v>
      </c>
      <c r="FD21" s="261">
        <f t="shared" si="59"/>
        <v>89.658250432767659</v>
      </c>
      <c r="FE21" s="154">
        <f t="shared" si="60"/>
        <v>0.80090629984095385</v>
      </c>
      <c r="FF21" s="108">
        <f t="shared" si="61"/>
        <v>69.841728125049698</v>
      </c>
      <c r="FG21" s="126">
        <f>'Allometrics &amp; Decay rates'!$H$5*$AU21*CG21+'Allometrics &amp; Decay rates'!$H$6*$AV21*CH21+'Allometrics &amp; Decay rates'!$H$7*$AW21*CI21+'Allometrics &amp; Decay rates'!$H$8*$AX21*CJ21+'Allometrics &amp; Decay rates'!$H$9*$AY21*CK21+'Allometrics &amp; Decay rates'!$H$10*$AZ21*CL21+'Allometrics &amp; Decay rates'!$H$11*$BA21*CM21+'Allometrics &amp; Decay rates'!$H$12*$BB21*CN21+'Allometrics &amp; Decay rates'!$H$13*$BC21*CO21</f>
        <v>37.393672266878546</v>
      </c>
      <c r="FH21" s="97">
        <f t="shared" si="62"/>
        <v>34.560524608171157</v>
      </c>
      <c r="FI21" s="550">
        <f>AU21*CG21*('Allometrics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13.92694076923703</v>
      </c>
      <c r="FJ21" s="550">
        <f>AV21*CH21*('Allometrics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16.494647489392129</v>
      </c>
      <c r="FK21" s="550">
        <f>AW21*CI21*('Allometrics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0.46172829911033519</v>
      </c>
      <c r="FL21" s="550">
        <f>AX21*CJ21*('Allometrics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2.6564080153515817</v>
      </c>
      <c r="FM21" s="550">
        <f>AY21*CK21*('Allometrics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5.2181394488197926E-2</v>
      </c>
      <c r="FN21" s="550">
        <f>AZ21*CL21*('Allometrics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1.1326139939141788E-2</v>
      </c>
      <c r="FO21" s="550">
        <f>BA21*CM21*('Allometrics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7.4792831216465732E-4</v>
      </c>
      <c r="FP21" s="550">
        <f>BB21*CN21*('Allometrics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0.95590193908640475</v>
      </c>
      <c r="FQ21" s="550">
        <f>BC21*CO21*('Allometrics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6.4263325417475187E-4</v>
      </c>
      <c r="FR21" s="108">
        <f t="shared" ref="FR21:FR25" si="150">SUM(FS21:FY21)</f>
        <v>19.816522307717968</v>
      </c>
      <c r="FS21" s="550">
        <f>AU21*CQ21*$DK21*((EXP('Allometrics &amp; Decay rates'!$M$5)-1)/('Discounting metrics'!$D$4+'Allometrics &amp; Decay rates'!$M$5)*(1-EXP(-('Discounting metrics'!$D$4+'Allometrics &amp; Decay rates'!$M$5)*'Discounting metrics'!$E$4))-(1-EXP(-'Allometrics &amp; Decay rates'!$M$5))/1.55)</f>
        <v>6.8199590041974663</v>
      </c>
      <c r="FT21" s="550">
        <f>AV21*CR21*$DK21*((EXP('Allometrics &amp; Decay rates'!$M$5)-1)/('Discounting metrics'!$D$4+'Allometrics &amp; Decay rates'!$M$5)*(1-EXP(-('Discounting metrics'!$D$4+'Allometrics &amp; Decay rates'!$M$5)*'Discounting metrics'!$E$4))-(1-EXP(-'Allometrics &amp; Decay rates'!$M$5))/1.55)</f>
        <v>6.1519992495951117</v>
      </c>
      <c r="FU21" s="550">
        <f>AW21*CS21*$DK21*((EXP('Allometrics &amp; Decay rates'!$M$5)-1)/('Discounting metrics'!$D$4+'Allometrics &amp; Decay rates'!$M$5)*(1-EXP(-('Discounting metrics'!$D$4+'Allometrics &amp; Decay rates'!$M$5)*'Discounting metrics'!$E$4))-(1-EXP(-'Allometrics &amp; Decay rates'!$M$5))/1.55)</f>
        <v>0.84106793421225023</v>
      </c>
      <c r="FV21" s="550">
        <f>AX21*CT21*$DK21*((EXP('Allometrics &amp; Decay rates'!$M$5)-1)/('Discounting metrics'!$D$4+'Allometrics &amp; Decay rates'!$M$5)*(1-EXP(-('Discounting metrics'!$D$4+'Allometrics &amp; Decay rates'!$M$5)*'Discounting metrics'!$E$4))-(1-EXP(-'Allometrics &amp; Decay rates'!$M$5))/1.55)</f>
        <v>5.6536510046141855</v>
      </c>
      <c r="FW21" s="550">
        <f>AY21*CU21*$DK21*((EXP('Allometrics &amp; Decay rates'!$M$5)-1)/('Discounting metrics'!$D$4+'Allometrics &amp; Decay rates'!$M$5)*(1-EXP(-('Discounting metrics'!$D$4+'Allometrics &amp; Decay rates'!$M$5)*'Discounting metrics'!$E$4))-(1-EXP(-'Allometrics &amp; Decay rates'!$M$5))/1.55)</f>
        <v>0.26451135297374184</v>
      </c>
      <c r="FX21" s="550">
        <f>AZ21*CV21*$DK21*((EXP('Allometrics &amp; Decay rates'!$M$5)-1)/('Discounting metrics'!$D$4+'Allometrics &amp; Decay rates'!$M$5)*(1-EXP(-('Discounting metrics'!$D$4+'Allometrics &amp; Decay rates'!$M$5)*'Discounting metrics'!$E$4))-(1-EXP(-'Allometrics &amp; Decay rates'!$M$5))/1.55)</f>
        <v>8.3673419937741175E-2</v>
      </c>
      <c r="FY21" s="550">
        <f>BA21*CW21*$DK21*((EXP('Allometrics &amp; Decay rates'!$M$5)-1)/('Discounting metrics'!$D$4+'Allometrics &amp; Decay rates'!$M$5)*(1-EXP(-('Discounting metrics'!$D$4+'Allometrics &amp; Decay rates'!$M$5)*'Discounting metrics'!$E$4))-(1-EXP(-'Allometrics &amp; Decay rates'!$M$5))/1.55)</f>
        <v>1.6603421874692853E-3</v>
      </c>
      <c r="FZ21" s="68"/>
      <c r="GA21" s="293"/>
      <c r="GB21" s="293"/>
      <c r="GP21" s="32">
        <f t="shared" ref="GP21:GP25" si="151">(GQ21*$C21+GR21*$D21)/$B21</f>
        <v>6.9624376731301938</v>
      </c>
      <c r="GQ21" s="33">
        <v>7.5</v>
      </c>
      <c r="GR21" s="99">
        <v>6.57</v>
      </c>
      <c r="GS21" s="99"/>
      <c r="GT21" s="99"/>
      <c r="GU21" s="99"/>
      <c r="GV21" s="99"/>
      <c r="GW21" s="99"/>
      <c r="GX21" s="99"/>
      <c r="GY21" s="99"/>
      <c r="GZ21" s="99"/>
      <c r="HA21" s="99"/>
      <c r="HB21" s="99"/>
      <c r="HF21" s="97">
        <f t="shared" si="63"/>
        <v>0.64503868913023177</v>
      </c>
      <c r="HG21" s="526">
        <f>EE21/'Discounting metrics'!E$4/M21</f>
        <v>0.74142378060946179</v>
      </c>
      <c r="HH21" s="527">
        <f t="shared" si="64"/>
        <v>64.471633096474946</v>
      </c>
      <c r="HI21" s="528">
        <f t="shared" si="65"/>
        <v>9.2677972576182714</v>
      </c>
      <c r="HJ21" s="97">
        <f t="shared" si="66"/>
        <v>1.2454141569197921</v>
      </c>
      <c r="HK21" s="526">
        <f>EH21/'Discounting metrics'!E$4/O21</f>
        <v>1.4315105251951632</v>
      </c>
      <c r="HL21" s="527">
        <f t="shared" si="67"/>
        <v>124.47917610392723</v>
      </c>
      <c r="HM21" s="528">
        <f t="shared" si="68"/>
        <v>17.893881564939541</v>
      </c>
      <c r="HN21" s="97">
        <f t="shared" si="69"/>
        <v>0.47017264721069396</v>
      </c>
      <c r="HO21" s="526">
        <f>FD21/'Discounting metrics'!E$4/Q21</f>
        <v>0.54042833012723446</v>
      </c>
      <c r="HP21" s="527">
        <f t="shared" si="70"/>
        <v>46.99376783715082</v>
      </c>
      <c r="HQ21" s="528">
        <f t="shared" si="71"/>
        <v>6.7553541265904302</v>
      </c>
      <c r="HR21" s="97">
        <f t="shared" si="72"/>
        <v>0.59887840191751862</v>
      </c>
      <c r="HS21" s="263">
        <f t="shared" si="73"/>
        <v>0.68836597921553866</v>
      </c>
      <c r="HT21" s="527">
        <f t="shared" si="74"/>
        <v>59.857911236133802</v>
      </c>
      <c r="HU21" s="528">
        <f t="shared" si="75"/>
        <v>8.6045747401942325</v>
      </c>
      <c r="HV21" s="97">
        <f t="shared" si="76"/>
        <v>1.2068627306347517</v>
      </c>
      <c r="HW21" s="263">
        <f t="shared" si="28"/>
        <v>1.3871985409594847</v>
      </c>
      <c r="HX21" s="527">
        <f t="shared" si="77"/>
        <v>120.62596008343345</v>
      </c>
      <c r="HY21" s="528">
        <f t="shared" si="78"/>
        <v>17.33998176199356</v>
      </c>
      <c r="HZ21" s="97">
        <f t="shared" si="79"/>
        <v>2.34639</v>
      </c>
      <c r="IA21" s="263">
        <f t="shared" si="29"/>
        <v>0.48482321207587864</v>
      </c>
      <c r="IB21" s="527">
        <f t="shared" si="80"/>
        <v>234.52173913043478</v>
      </c>
      <c r="IC21" s="528">
        <f t="shared" si="81"/>
        <v>33.712499999999999</v>
      </c>
      <c r="ID21" s="97">
        <f t="shared" si="82"/>
        <v>1.2005502553847331</v>
      </c>
      <c r="IE21" s="263">
        <f t="shared" si="30"/>
        <v>1.3799428222813024</v>
      </c>
      <c r="IF21" s="68">
        <f t="shared" si="83"/>
        <v>119.99502802446108</v>
      </c>
      <c r="IG21" s="97">
        <f t="shared" si="84"/>
        <v>2.419354838709677</v>
      </c>
      <c r="IH21" s="263">
        <f t="shared" si="31"/>
        <v>2.7808676307007785</v>
      </c>
      <c r="II21" s="68">
        <f t="shared" si="85"/>
        <v>241.81457658267641</v>
      </c>
      <c r="IJ21" s="97">
        <f t="shared" si="86"/>
        <v>0.84555984555984565</v>
      </c>
      <c r="IK21" s="263">
        <f t="shared" si="32"/>
        <v>0.97190786845959265</v>
      </c>
      <c r="IL21" s="68">
        <f t="shared" si="87"/>
        <v>84.513727692138488</v>
      </c>
      <c r="IM21" s="60"/>
      <c r="IN21" s="60"/>
      <c r="IO21" s="60"/>
      <c r="IP21" s="554">
        <f t="shared" si="88"/>
        <v>153.02003354600001</v>
      </c>
      <c r="IQ21" s="262">
        <f t="shared" si="89"/>
        <v>0.24363454117680775</v>
      </c>
      <c r="IR21" s="166">
        <f t="shared" si="90"/>
        <v>0.28003970250207788</v>
      </c>
      <c r="IS21" s="68">
        <f t="shared" si="91"/>
        <v>24.351278478441554</v>
      </c>
      <c r="IT21" s="97">
        <f t="shared" si="92"/>
        <v>3.5004962812759732</v>
      </c>
      <c r="IU21" s="429">
        <f>(IX21*C21+JE21*D21)/B21</f>
        <v>3.9185503231763619E-2</v>
      </c>
      <c r="IV21" s="262">
        <f t="shared" si="93"/>
        <v>0.42687309032258064</v>
      </c>
      <c r="IW21" s="436">
        <f t="shared" si="94"/>
        <v>0.4906587245087134</v>
      </c>
      <c r="IX21" s="101">
        <v>3.6700000000000003E-2</v>
      </c>
      <c r="IY21" s="433">
        <v>1</v>
      </c>
      <c r="IZ21" s="433">
        <v>0</v>
      </c>
      <c r="JA21" s="434">
        <f>1-IY21-IZ21</f>
        <v>0</v>
      </c>
      <c r="JB21" s="430">
        <f>IY21*$JJ21+IZ21*$JK21+JA21*$JL21+'Discounting metrics'!$B$6*(IY21*$JM21+IZ21*$JN21+JA21*$JO21)/10^3+'Discounting metrics'!$B$5*(IY21*$JP21+IZ21*$JQ21+JA21*$JR21)/10^3</f>
        <v>36.057400000000001</v>
      </c>
      <c r="JC21" s="262">
        <f t="shared" si="95"/>
        <v>0.19026427284427286</v>
      </c>
      <c r="JD21" s="436">
        <f t="shared" si="96"/>
        <v>0.21869456648766994</v>
      </c>
      <c r="JE21" s="101">
        <v>4.1000000000000002E-2</v>
      </c>
      <c r="JF21" s="433">
        <v>1</v>
      </c>
      <c r="JG21" s="433">
        <v>0</v>
      </c>
      <c r="JH21" s="434">
        <f>1-JF21-JG21</f>
        <v>0</v>
      </c>
      <c r="JI21" s="430">
        <f>JF21*$JJ21+JG21*$JK21+JH21*$JL21+'Discounting metrics'!$B$6*(JF21*$JM21+JG21*$JN21+JH21*$JO21)/10^3+'Discounting metrics'!$B$5*(JF21*$JP21+JG21*$JQ21+JH21*$JR21)/10^3</f>
        <v>36.057400000000001</v>
      </c>
      <c r="JJ21" s="431">
        <v>34.5</v>
      </c>
      <c r="JK21" s="430">
        <f>JJ21</f>
        <v>34.5</v>
      </c>
      <c r="JL21" s="430">
        <f>JJ21</f>
        <v>34.5</v>
      </c>
      <c r="JM21" s="435">
        <v>0.4</v>
      </c>
      <c r="JN21" s="430">
        <f>JM21</f>
        <v>0.4</v>
      </c>
      <c r="JO21" s="430">
        <f>JM21</f>
        <v>0.4</v>
      </c>
      <c r="JP21" s="431">
        <v>42.3</v>
      </c>
      <c r="JQ21" s="430">
        <f>JP21</f>
        <v>42.3</v>
      </c>
      <c r="JR21" s="430">
        <f>JP21</f>
        <v>42.3</v>
      </c>
      <c r="JS21" s="554">
        <f t="shared" si="97"/>
        <v>1365.4857705323257</v>
      </c>
      <c r="JT21" s="554">
        <f t="shared" si="98"/>
        <v>54.025222062288151</v>
      </c>
      <c r="JU21" s="554">
        <f t="shared" si="99"/>
        <v>25.7456207992496</v>
      </c>
      <c r="JV21" s="554">
        <f t="shared" si="100"/>
        <v>70.359907995500805</v>
      </c>
      <c r="JW21" s="554">
        <f t="shared" si="101"/>
        <v>99.619850337607218</v>
      </c>
      <c r="JX21" s="554">
        <f>KH21*$V21</f>
        <v>1115.73516933768</v>
      </c>
      <c r="JY21" s="167">
        <f t="shared" si="102"/>
        <v>2.1740911400800003</v>
      </c>
      <c r="JZ21" s="166">
        <f t="shared" si="103"/>
        <v>2.4989553334252874</v>
      </c>
      <c r="KA21" s="68">
        <f t="shared" si="104"/>
        <v>217.30046377611194</v>
      </c>
      <c r="KB21" s="97">
        <f t="shared" si="105"/>
        <v>31.236941667816094</v>
      </c>
      <c r="KC21" s="473">
        <f t="shared" si="106"/>
        <v>0.12700907357999999</v>
      </c>
      <c r="KD21" s="269">
        <f t="shared" si="107"/>
        <v>0.14598744089655172</v>
      </c>
      <c r="KE21" s="473">
        <f t="shared" si="108"/>
        <v>0.27063737650000003</v>
      </c>
      <c r="KF21" s="269">
        <f t="shared" si="109"/>
        <v>0.31107744425287359</v>
      </c>
      <c r="KG21" s="146">
        <v>1.7764446899999999</v>
      </c>
      <c r="KH21" s="269">
        <f>KG21/$LI21</f>
        <v>2.0418904482758622</v>
      </c>
      <c r="KI21" s="435">
        <v>8.6017561779999988E-2</v>
      </c>
      <c r="KJ21" s="522">
        <f t="shared" si="110"/>
        <v>9.8870760666666654E-2</v>
      </c>
      <c r="KK21" s="435">
        <v>4.0991511799999998E-2</v>
      </c>
      <c r="KL21" s="522">
        <f t="shared" si="111"/>
        <v>4.7116680229885056E-2</v>
      </c>
      <c r="KM21" s="435">
        <v>0.1120252264</v>
      </c>
      <c r="KN21" s="522">
        <f t="shared" si="112"/>
        <v>0.12876462804597702</v>
      </c>
      <c r="KO21" s="435">
        <v>0.15861215010000002</v>
      </c>
      <c r="KP21" s="522">
        <f t="shared" si="113"/>
        <v>0.18231281620689657</v>
      </c>
      <c r="KQ21" s="599">
        <f t="shared" si="114"/>
        <v>5.4975488981620586</v>
      </c>
      <c r="KR21" s="527">
        <f t="shared" si="115"/>
        <v>478.04773027496157</v>
      </c>
      <c r="KS21" s="528">
        <f t="shared" si="116"/>
        <v>68.719361227025729</v>
      </c>
      <c r="KT21" s="599">
        <f t="shared" si="117"/>
        <v>8.2384859836495998</v>
      </c>
      <c r="KU21" s="527">
        <f t="shared" si="118"/>
        <v>716.39008553474775</v>
      </c>
      <c r="KV21" s="528">
        <f t="shared" si="119"/>
        <v>102.98107479561999</v>
      </c>
      <c r="KW21" s="599">
        <f t="shared" si="120"/>
        <v>4.6992204437128171</v>
      </c>
      <c r="KX21" s="527">
        <f t="shared" si="121"/>
        <v>408.6278646706798</v>
      </c>
      <c r="KY21" s="528">
        <f t="shared" si="122"/>
        <v>58.740255546410211</v>
      </c>
      <c r="KZ21" s="599">
        <f t="shared" si="123"/>
        <v>5.3030036263843403</v>
      </c>
      <c r="LA21" s="527">
        <f t="shared" si="124"/>
        <v>461.1307501203774</v>
      </c>
      <c r="LB21" s="528">
        <f t="shared" si="125"/>
        <v>66.287545329804246</v>
      </c>
      <c r="LC21" s="599">
        <f t="shared" si="126"/>
        <v>8.0760087081187795</v>
      </c>
      <c r="LD21" s="527">
        <f t="shared" si="127"/>
        <v>702.26162679293736</v>
      </c>
      <c r="LE21" s="528">
        <f t="shared" si="128"/>
        <v>100.95010885148474</v>
      </c>
      <c r="LF21" s="599">
        <f t="shared" si="129"/>
        <v>12.606649899912957</v>
      </c>
      <c r="LG21" s="527">
        <f t="shared" si="130"/>
        <v>1096.2304260793876</v>
      </c>
      <c r="LH21" s="528">
        <f t="shared" si="131"/>
        <v>157.58312374891196</v>
      </c>
      <c r="LI21" s="31">
        <v>0.87</v>
      </c>
      <c r="LJ21" s="32">
        <f>$LI21*LK21</f>
        <v>15.572999999999999</v>
      </c>
      <c r="LK21" s="27">
        <v>17.899999999999999</v>
      </c>
      <c r="LL21" s="32">
        <f>$LI21*LM21</f>
        <v>10.005000000000001</v>
      </c>
      <c r="LM21" s="33">
        <v>11.5</v>
      </c>
      <c r="LN21" s="36">
        <f t="shared" ref="LN21:LN25" si="152">$LI21*LO21</f>
        <v>6.9599999999999995E-2</v>
      </c>
      <c r="LO21" s="35">
        <v>0.08</v>
      </c>
      <c r="LP21" s="36">
        <f t="shared" si="132"/>
        <v>1.3049999999999999E-2</v>
      </c>
      <c r="LQ21" s="35">
        <v>1.4999999999999999E-2</v>
      </c>
    </row>
    <row r="22" spans="1:329" s="4" customFormat="1" x14ac:dyDescent="0.25">
      <c r="A22" s="4" t="s">
        <v>65</v>
      </c>
      <c r="B22" s="67">
        <f t="shared" si="133"/>
        <v>196.3</v>
      </c>
      <c r="C22" s="105">
        <v>152</v>
      </c>
      <c r="D22" s="33">
        <v>44.3</v>
      </c>
      <c r="E22" s="38">
        <f t="shared" si="134"/>
        <v>0.2256749872643912</v>
      </c>
      <c r="F22" s="108">
        <f t="shared" si="16"/>
        <v>3.1497147223637287</v>
      </c>
      <c r="G22" s="32">
        <f t="shared" si="17"/>
        <v>2.771748955680081</v>
      </c>
      <c r="H22" s="33">
        <v>2.66</v>
      </c>
      <c r="I22" s="32">
        <f t="shared" si="35"/>
        <v>2.3408000000000002</v>
      </c>
      <c r="J22" s="33">
        <v>4.83</v>
      </c>
      <c r="K22" s="32">
        <f t="shared" si="36"/>
        <v>4.2504</v>
      </c>
      <c r="L22" s="32">
        <f>(F22/'Discounting metrics'!$D$4*(1-EXP(-'Discounting metrics'!$D$4*'Discounting metrics'!$E$4)))/'Discounting metrics'!$E$4</f>
        <v>0.77300642122659613</v>
      </c>
      <c r="M22" s="32">
        <f>(G22/'Discounting metrics'!$D$4*(1-EXP(-'Discounting metrics'!$D$4*'Discounting metrics'!$E$4)))/'Discounting metrics'!$E$4</f>
        <v>0.68024565067940457</v>
      </c>
      <c r="N22" s="32">
        <f>(H22/'Discounting metrics'!$D$4*(1-EXP(-'Discounting metrics'!$D$4*'Discounting metrics'!$E$4)))/'Discounting metrics'!$E$4</f>
        <v>0.65282010013899172</v>
      </c>
      <c r="O22" s="32">
        <f>(I22/'Discounting metrics'!$D$4*(1-EXP(-'Discounting metrics'!$D$4*'Discounting metrics'!$E$4)))/'Discounting metrics'!$E$4</f>
        <v>0.57448168812231271</v>
      </c>
      <c r="P22" s="32">
        <f>(J22/'Discounting metrics'!$D$4*(1-EXP(-'Discounting metrics'!$D$4*'Discounting metrics'!$E$4)))/'Discounting metrics'!$E$4</f>
        <v>1.1853838660418534</v>
      </c>
      <c r="Q22" s="32">
        <f>(K22/'Discounting metrics'!$D$4*(1-EXP(-'Discounting metrics'!$D$4*'Discounting metrics'!$E$4)))/'Discounting metrics'!$E$4</f>
        <v>1.0431378021168309</v>
      </c>
      <c r="R22" s="32">
        <f t="shared" si="37"/>
        <v>3.607830348238152</v>
      </c>
      <c r="S22" s="32">
        <f t="shared" si="38"/>
        <v>4.2720437457279559</v>
      </c>
      <c r="T22" s="32">
        <f t="shared" si="39"/>
        <v>2.3527197440240917</v>
      </c>
      <c r="U22" s="107">
        <f t="shared" si="135"/>
        <v>618.28899999999999</v>
      </c>
      <c r="V22" s="68">
        <f t="shared" si="135"/>
        <v>544.09431999999993</v>
      </c>
      <c r="W22" s="68"/>
      <c r="X22" s="67">
        <f t="shared" si="40"/>
        <v>404.32000000000005</v>
      </c>
      <c r="Y22" s="67">
        <f t="shared" si="41"/>
        <v>355.80160000000001</v>
      </c>
      <c r="Z22" s="67">
        <f t="shared" si="41"/>
        <v>213.96899999999999</v>
      </c>
      <c r="AA22" s="67">
        <f t="shared" si="42"/>
        <v>188.29271999999997</v>
      </c>
      <c r="AB22" s="109">
        <f t="shared" si="136"/>
        <v>0.34606632173627544</v>
      </c>
      <c r="AC22" s="294">
        <f t="shared" si="43"/>
        <v>8.8638619896338183E-3</v>
      </c>
      <c r="AD22" s="294">
        <f t="shared" si="43"/>
        <v>0.2188085661934519</v>
      </c>
      <c r="AE22" s="294">
        <f t="shared" si="43"/>
        <v>0.18983673202164919</v>
      </c>
      <c r="AF22" s="294">
        <f t="shared" si="43"/>
        <v>2.4686996105792187E-2</v>
      </c>
      <c r="AG22" s="294">
        <f t="shared" si="43"/>
        <v>0.20857768954239847</v>
      </c>
      <c r="AH22" s="294">
        <f t="shared" si="43"/>
        <v>0.30254741632899068</v>
      </c>
      <c r="AI22" s="294">
        <f t="shared" si="43"/>
        <v>3.5563238709914416E-2</v>
      </c>
      <c r="AJ22" s="294">
        <f t="shared" si="43"/>
        <v>2.693572126528787E-3</v>
      </c>
      <c r="AK22" s="294">
        <f t="shared" si="43"/>
        <v>8.200149770586496E-3</v>
      </c>
      <c r="AL22" s="433">
        <v>8.1041526231836105E-3</v>
      </c>
      <c r="AM22" s="433">
        <v>0.23339437733045754</v>
      </c>
      <c r="AN22" s="433">
        <v>0.24029597340835868</v>
      </c>
      <c r="AO22" s="433">
        <v>7.3037957022996543E-3</v>
      </c>
      <c r="AP22" s="433">
        <v>0.22299964713051285</v>
      </c>
      <c r="AQ22" s="433">
        <v>0.27173493936012677</v>
      </c>
      <c r="AR22" s="433">
        <v>5.2913838991497254E-3</v>
      </c>
      <c r="AS22" s="433">
        <v>1.3554801708152007E-4</v>
      </c>
      <c r="AT22" s="433">
        <v>1.0573612212313534E-2</v>
      </c>
      <c r="AU22" s="433">
        <v>1.1470539725535212E-2</v>
      </c>
      <c r="AV22" s="433">
        <v>0.16876244220192027</v>
      </c>
      <c r="AW22" s="433">
        <v>1.6703443290727368E-2</v>
      </c>
      <c r="AX22" s="433">
        <v>8.433138575208711E-2</v>
      </c>
      <c r="AY22" s="433">
        <v>0.15909377185857501</v>
      </c>
      <c r="AZ22" s="433">
        <v>0.40826968493547655</v>
      </c>
      <c r="BA22" s="433">
        <v>0.13943055092743664</v>
      </c>
      <c r="BB22" s="433">
        <v>1.1470539725535212E-2</v>
      </c>
      <c r="BC22" s="433">
        <v>5.6441166918100846E-5</v>
      </c>
      <c r="BD22" s="554">
        <f t="shared" si="44"/>
        <v>21.983962989312523</v>
      </c>
      <c r="BE22" s="554">
        <f t="shared" si="44"/>
        <v>6.3456089717322248</v>
      </c>
      <c r="BF22" s="554">
        <f t="shared" si="44"/>
        <v>15.6383540175803</v>
      </c>
      <c r="BG22" s="67">
        <f t="shared" si="137"/>
        <v>111.99166066893797</v>
      </c>
      <c r="BH22" s="67">
        <f t="shared" si="45"/>
        <v>32.32607728849834</v>
      </c>
      <c r="BI22" s="67">
        <f t="shared" si="46"/>
        <v>79.665583380439628</v>
      </c>
      <c r="BJ22" s="67">
        <f t="shared" si="47"/>
        <v>126.14951845749704</v>
      </c>
      <c r="BK22" s="68">
        <f>$AL22*BL22+$AM22*BM22+$AN22*BN22+$AO22*BO22+$AP22*BP22+$AQ22*BQ22+$AR22*BR22+$AS22*BS22+$AT22*BT22</f>
        <v>36.824865971599102</v>
      </c>
      <c r="BL22" s="145">
        <v>143.87008983638063</v>
      </c>
      <c r="BM22" s="145">
        <v>104.3067757648234</v>
      </c>
      <c r="BN22" s="145">
        <v>37.055187366178778</v>
      </c>
      <c r="BO22" s="145">
        <v>34.333219774561293</v>
      </c>
      <c r="BP22" s="145">
        <v>6.2430514999948175</v>
      </c>
      <c r="BQ22" s="145">
        <v>1.6356420915124763</v>
      </c>
      <c r="BR22" s="145">
        <v>4.8177581485345955E-2</v>
      </c>
      <c r="BS22" s="145">
        <v>174.92505100530528</v>
      </c>
      <c r="BT22" s="145">
        <v>28.25010239715138</v>
      </c>
      <c r="BU22" s="68">
        <f t="shared" si="139"/>
        <v>89.324652485897928</v>
      </c>
      <c r="BV22" s="145">
        <v>136.46453559469026</v>
      </c>
      <c r="BW22" s="145">
        <v>100.95267490008878</v>
      </c>
      <c r="BX22" s="145">
        <v>125.65974753630869</v>
      </c>
      <c r="BY22" s="145">
        <v>266.28228950561504</v>
      </c>
      <c r="BZ22" s="145">
        <v>90.159761097618954</v>
      </c>
      <c r="CA22" s="145">
        <v>39.740270587927363</v>
      </c>
      <c r="CB22" s="145">
        <v>0.28583243926747737</v>
      </c>
      <c r="CC22" s="145">
        <v>168.03826083476994</v>
      </c>
      <c r="CD22" s="145">
        <v>150.16901573985456</v>
      </c>
      <c r="CE22" s="68">
        <f t="shared" si="140"/>
        <v>63.413909340247741</v>
      </c>
      <c r="CF22" s="68">
        <f t="shared" si="141"/>
        <v>16.890052913073628</v>
      </c>
      <c r="CG22" s="145">
        <v>96.918952657956126</v>
      </c>
      <c r="CH22" s="145">
        <v>73.461294651129961</v>
      </c>
      <c r="CI22" s="145">
        <v>35.545597031164256</v>
      </c>
      <c r="CJ22" s="145">
        <v>20.897315299249524</v>
      </c>
      <c r="CK22" s="145">
        <v>4.3572813337861112</v>
      </c>
      <c r="CL22" s="145">
        <v>0.78844092495237017</v>
      </c>
      <c r="CM22" s="145">
        <v>6.8982881061225992E-2</v>
      </c>
      <c r="CN22" s="145">
        <v>1.9700135304307805E-5</v>
      </c>
      <c r="CO22" s="145">
        <v>1.2030995226016583</v>
      </c>
      <c r="CP22" s="68">
        <f t="shared" si="142"/>
        <v>46.523856427174117</v>
      </c>
      <c r="CQ22" s="106">
        <v>91.365681517024797</v>
      </c>
      <c r="CR22" s="106">
        <v>78.912762555060596</v>
      </c>
      <c r="CS22" s="106">
        <v>107.28197493837403</v>
      </c>
      <c r="CT22" s="106">
        <v>215.57717562538633</v>
      </c>
      <c r="CU22" s="106">
        <v>39.199936399181148</v>
      </c>
      <c r="CV22" s="106">
        <v>14.469194132799853</v>
      </c>
      <c r="CW22" s="106">
        <v>0.30461947623485824</v>
      </c>
      <c r="CX22" s="106">
        <v>1.8715128539092411E-5</v>
      </c>
      <c r="CY22" s="106">
        <v>2.8229799447135755</v>
      </c>
      <c r="CZ22" s="554">
        <f t="shared" si="48"/>
        <v>11.898794988185223</v>
      </c>
      <c r="DA22" s="554">
        <f t="shared" si="48"/>
        <v>0.17002947499999999</v>
      </c>
      <c r="DB22" s="554">
        <f t="shared" si="48"/>
        <v>11.728765513185225</v>
      </c>
      <c r="DC22" s="32">
        <f t="shared" si="143"/>
        <v>60.61535908397974</v>
      </c>
      <c r="DD22" s="32">
        <f t="shared" si="49"/>
        <v>0.86617154865002532</v>
      </c>
      <c r="DE22" s="67">
        <f t="shared" si="49"/>
        <v>59.749187535329717</v>
      </c>
      <c r="DF22" s="270"/>
      <c r="DG22" s="67">
        <f t="shared" si="144"/>
        <v>67.72498936442345</v>
      </c>
      <c r="DH22" s="32">
        <f t="shared" si="50"/>
        <v>0.73150000000000004</v>
      </c>
      <c r="DI22" s="67">
        <f t="shared" si="51"/>
        <v>66.993489364423453</v>
      </c>
      <c r="DJ22" s="67"/>
      <c r="DK22" s="34">
        <f t="shared" si="145"/>
        <v>0.25</v>
      </c>
      <c r="DL22" s="159"/>
      <c r="DM22" s="159"/>
      <c r="DN22" s="68">
        <f t="shared" si="146"/>
        <v>36.221142320380586</v>
      </c>
      <c r="DO22" s="32">
        <f t="shared" si="52"/>
        <v>1.3282499999999999</v>
      </c>
      <c r="DP22" s="67">
        <f t="shared" si="53"/>
        <v>34.892892320380589</v>
      </c>
      <c r="DQ22" s="67"/>
      <c r="DR22" s="34">
        <f t="shared" si="147"/>
        <v>0.25</v>
      </c>
      <c r="DS22" s="554"/>
      <c r="DT22" s="554"/>
      <c r="DU22" s="554"/>
      <c r="DV22" s="32">
        <f t="shared" si="23"/>
        <v>51.376301584958227</v>
      </c>
      <c r="DW22" s="67">
        <f t="shared" si="23"/>
        <v>31.459905739848313</v>
      </c>
      <c r="DX22" s="67">
        <f t="shared" si="23"/>
        <v>19.916395845109911</v>
      </c>
      <c r="DY22" s="32">
        <f t="shared" si="24"/>
        <v>58.424529093073588</v>
      </c>
      <c r="DZ22" s="32">
        <f t="shared" si="24"/>
        <v>36.093365971599106</v>
      </c>
      <c r="EA22" s="67">
        <f t="shared" si="25"/>
        <v>22.331163121474475</v>
      </c>
      <c r="EB22" s="32">
        <f t="shared" si="26"/>
        <v>27.192767019867155</v>
      </c>
      <c r="EC22" s="67">
        <f t="shared" si="26"/>
        <v>15.561802913073628</v>
      </c>
      <c r="ED22" s="67">
        <f t="shared" si="27"/>
        <v>11.630964106793527</v>
      </c>
      <c r="EE22" s="68">
        <f t="shared" si="54"/>
        <v>37.641797800944239</v>
      </c>
      <c r="EF22" s="67">
        <f t="shared" si="55"/>
        <v>22.319963995772522</v>
      </c>
      <c r="EG22" s="67">
        <f t="shared" si="148"/>
        <v>15.321833805171716</v>
      </c>
      <c r="EH22" s="261">
        <f t="shared" si="149"/>
        <v>42.362368250257433</v>
      </c>
      <c r="EI22" s="154">
        <f t="shared" si="56"/>
        <v>0.72507847145454574</v>
      </c>
      <c r="EJ22" s="108">
        <f t="shared" si="57"/>
        <v>25.224301323162113</v>
      </c>
      <c r="EK22" s="126">
        <f>'Allometrics &amp; Decay rates'!$H$5*$AL22*BL22+'Allometrics &amp; Decay rates'!$H$6*$AM22*BM22+'Allometrics &amp; Decay rates'!$H$7*$AN22*BN22+'Allometrics &amp; Decay rates'!$H$8*$AO22*BO22+'Allometrics &amp; Decay rates'!$H$9*$AP22*BP22+'Allometrics &amp; Decay rates'!$H$10*$AQ22*BQ22+'Allometrics &amp; Decay rates'!$H$11*$AR22*BR22+'Allometrics &amp; Decay rates'!$H$12*$AS22*BS22+'Allometrics &amp; Decay rates'!$H$13*$AT22*BT22</f>
        <v>16.400051618681083</v>
      </c>
      <c r="EL22" s="97">
        <f>SUM(EM22:EU22)</f>
        <v>9.5557497044810287</v>
      </c>
      <c r="EM22" s="550">
        <f>AL22*BL22*('Allometrics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0.45708265317409197</v>
      </c>
      <c r="EN22" s="550">
        <f>AM22*BM22*('Allometrics &amp; Decay rates'!$I$6*((EXP('Allometrics &amp; Decay rates'!$K$6)-1)/('Discounting metrics'!$D$4+'Allometrics &amp; Decay rates'!$K$6)*(1-EXP(-('Discounting metrics'!$D$4+'Allometrics &amp; Decay rates'!$K$6)*'Discounting metrics'!$E$4))-(1-EXP(-'Allometrics &amp; Decay rates'!$K$6))/1.55)+'Allometrics &amp; Decay rates'!$E$6*((EXP('Allometrics &amp; Decay rates'!$L$6)-1)/('Discounting metrics'!$D$4+'Allometrics &amp; Decay rates'!$L$6)*(1-EXP(-('Discounting metrics'!$D$4+'Allometrics &amp; Decay rates'!$L$6)*'Discounting metrics'!$E$4))-(1-EXP(-'Allometrics &amp; Decay rates'!$L$6))/1.55))</f>
        <v>5.9373547154559327</v>
      </c>
      <c r="EO22" s="550">
        <f>AN22*BN22*('Allometrics &amp; Decay rates'!$I$7*((EXP('Allometrics &amp; Decay rates'!$K$7)-1)/('Discounting metrics'!$D$4+'Allometrics &amp; Decay rates'!$K$7)*(1-EXP(-('Discounting metrics'!$D$4+'Allometrics &amp; Decay rates'!$K$7)*'Discounting metrics'!$E$4))-(1-EXP(-'Allometrics &amp; Decay rates'!$K$7))/1.55)+'Allometrics &amp; Decay rates'!$E$7*((EXP('Allometrics &amp; Decay rates'!$L$7)-1)/('Discounting metrics'!$D$4+'Allometrics &amp; Decay rates'!$L$7)*(1-EXP(-('Discounting metrics'!$D$4+'Allometrics &amp; Decay rates'!$L$7)*'Discounting metrics'!$E$4))-(1-EXP(-'Allometrics &amp; Decay rates'!$L$7))/1.55))</f>
        <v>1.8958089050850762</v>
      </c>
      <c r="EP22" s="550">
        <f>AO22*BO22*('Allometrics &amp; Decay rates'!$I$8*((EXP('Allometrics &amp; Decay rates'!$K$8)-1)/('Discounting metrics'!$D$4+'Allometrics &amp; Decay rates'!$K$8)*(1-EXP(-('Discounting metrics'!$D$4+'Allometrics &amp; Decay rates'!$K$8)*'Discounting metrics'!$E$4))-(1-EXP(-'Allometrics &amp; Decay rates'!$K$8))/1.55)+'Allometrics &amp; Decay rates'!$E$8*((EXP('Allometrics &amp; Decay rates'!$L$8)-1)/('Discounting metrics'!$D$4+'Allometrics &amp; Decay rates'!$L$8)*(1-EXP(-('Discounting metrics'!$D$4+'Allometrics &amp; Decay rates'!$L$8)*'Discounting metrics'!$E$4))-(1-EXP(-'Allometrics &amp; Decay rates'!$L$8))/1.55))</f>
        <v>0.14197348697152792</v>
      </c>
      <c r="EQ22" s="550">
        <f>AP22*BP22*('Allometrics &amp; Decay rates'!$I$9*((EXP('Allometrics &amp; Decay rates'!$K$9)-1)/('Discounting metrics'!$D$4+'Allometrics &amp; Decay rates'!$K$9)*(1-EXP(-('Discounting metrics'!$D$4+'Allometrics &amp; Decay rates'!$K$9)*'Discounting metrics'!$E$4))-(1-EXP(-'Allometrics &amp; Decay rates'!$K$9))/1.55)+'Allometrics &amp; Decay rates'!$E$9*((EXP('Allometrics &amp; Decay rates'!$L$9)-1)/('Discounting metrics'!$D$4+'Allometrics &amp; Decay rates'!$L$9)*(1-EXP(-('Discounting metrics'!$D$4+'Allometrics &amp; Decay rates'!$L$9)*'Discounting metrics'!$E$4))-(1-EXP(-'Allometrics &amp; Decay rates'!$L$9))/1.55))</f>
        <v>0.72968680149581788</v>
      </c>
      <c r="ER22" s="550">
        <f>AQ22*BQ22*('Allometrics &amp; Decay rates'!$I$10*((EXP('Allometrics &amp; Decay rates'!$K$10)-1)/('Discounting metrics'!$D$4+'Allometrics &amp; Decay rates'!$K$10)*(1-EXP(-('Discounting metrics'!$D$4+'Allometrics &amp; Decay rates'!$K$10)*'Discounting metrics'!$E$4))-(1-EXP(-'Allometrics &amp; Decay rates'!$K$10))/1.55)+'Allometrics &amp; Decay rates'!$E$10*((EXP('Allometrics &amp; Decay rates'!$L$10)-1)/('Discounting metrics'!$D$4+'Allometrics &amp; Decay rates'!$L$10)*(1-EXP(-('Discounting metrics'!$D$4+'Allometrics &amp; Decay rates'!$L$10)*'Discounting metrics'!$E$4))-(1-EXP(-'Allometrics &amp; Decay rates'!$L$10))/1.55))</f>
        <v>0.28275781644645254</v>
      </c>
      <c r="ES22" s="550">
        <f>AR22*BR22*('Allometrics &amp; Decay rates'!$I$11*((EXP('Allometrics &amp; Decay rates'!$K$11)-1)/('Discounting metrics'!$D$4+'Allometrics &amp; Decay rates'!$K$11)*(1-EXP(-('Discounting metrics'!$D$4+'Allometrics &amp; Decay rates'!$K$11)*'Discounting metrics'!$E$4))-(1-EXP(-'Allometrics &amp; Decay rates'!$K$11))/1.55)+'Allometrics &amp; Decay rates'!$E$11*((EXP('Allometrics &amp; Decay rates'!$L$11)-1)/('Discounting metrics'!$D$4+'Allometrics &amp; Decay rates'!$L$11)*(1-EXP(-('Discounting metrics'!$D$4+'Allometrics &amp; Decay rates'!$L$11)*'Discounting metrics'!$E$4))-(1-EXP(-'Allometrics &amp; Decay rates'!$L$11))/1.55))</f>
        <v>1.8094429319890683E-4</v>
      </c>
      <c r="ET22" s="550">
        <f>AS22*BS22*('Allometrics &amp; Decay rates'!$I$12*((EXP('Allometrics &amp; Decay rates'!$K$12)-1)/('Discounting metrics'!$D$4+'Allometrics &amp; Decay rates'!$K$12)*(1-EXP(-('Discounting metrics'!$D$4+'Allometrics &amp; Decay rates'!$K$12)*'Discounting metrics'!$E$4))-(1-EXP(-'Allometrics &amp; Decay rates'!$K$12))/1.55)+'Allometrics &amp; Decay rates'!$E$12*((EXP('Allometrics &amp; Decay rates'!$L$12)-1)/('Discounting metrics'!$D$4+'Allometrics &amp; Decay rates'!$L$12)*(1-EXP(-('Discounting metrics'!$D$4+'Allometrics &amp; Decay rates'!$L$12)*'Discounting metrics'!$E$4))-(1-EXP(-'Allometrics &amp; Decay rates'!$L$12))/1.55))</f>
        <v>9.6750423642392377E-3</v>
      </c>
      <c r="EU22" s="550">
        <f>AT22*BT22*('Allometrics &amp; Decay rates'!$I$13*((EXP('Allometrics &amp; Decay rates'!$K$13)-1)/('Discounting metrics'!$D$4+'Allometrics &amp; Decay rates'!$K$13)*(1-EXP(-('Discounting metrics'!$D$4+'Allometrics &amp; Decay rates'!$K$13)*'Discounting metrics'!$E$4))-(1-EXP(-'Allometrics &amp; Decay rates'!$K$13))/1.55)+'Allometrics &amp; Decay rates'!$E$13*((EXP('Allometrics &amp; Decay rates'!$L$13)-1)/('Discounting metrics'!$D$4+'Allometrics &amp; Decay rates'!$L$13)*(1-EXP(-('Discounting metrics'!$D$4+'Allometrics &amp; Decay rates'!$L$13)*'Discounting metrics'!$E$4))-(1-EXP(-'Allometrics &amp; Decay rates'!$L$13))/1.55))</f>
        <v>0.1012293391946901</v>
      </c>
      <c r="EV22" s="108">
        <f t="shared" si="58"/>
        <v>17.13806692709532</v>
      </c>
      <c r="EW22" s="550">
        <f>AL22*BV22*$DK22*((EXP('Allometrics &amp; Decay rates'!$M$5)-1)/('Discounting metrics'!$D$4+'Allometrics &amp; Decay rates'!$M$5)*(1-EXP(-('Discounting metrics'!$D$4+'Allometrics &amp; Decay rates'!$M$5)*'Discounting metrics'!$E$4))-(1-EXP(-'Allometrics &amp; Decay rates'!$M$5))/1.55)</f>
        <v>0.21608275171242672</v>
      </c>
      <c r="EX22" s="550">
        <f>AM22*BW22*$DK22*((EXP('Allometrics &amp; Decay rates'!$M$5)-1)/('Discounting metrics'!$D$4+'Allometrics &amp; Decay rates'!$M$5)*(1-EXP(-('Discounting metrics'!$D$4+'Allometrics &amp; Decay rates'!$M$5)*'Discounting metrics'!$E$4))-(1-EXP(-'Allometrics &amp; Decay rates'!$M$5))/1.55)</f>
        <v>4.6036352718339986</v>
      </c>
      <c r="EY22" s="550">
        <f>AN22*BX22*$DK22*((EXP('Allometrics &amp; Decay rates'!$M$5)-1)/('Discounting metrics'!$D$4+'Allometrics &amp; Decay rates'!$M$5)*(1-EXP(-('Discounting metrics'!$D$4+'Allometrics &amp; Decay rates'!$M$5)*'Discounting metrics'!$E$4))-(1-EXP(-'Allometrics &amp; Decay rates'!$M$5))/1.55)</f>
        <v>5.8997738570049139</v>
      </c>
      <c r="EZ22" s="550">
        <f>AO22*BY22*$DK22*((EXP('Allometrics &amp; Decay rates'!$M$5)-1)/('Discounting metrics'!$D$4+'Allometrics &amp; Decay rates'!$M$5)*(1-EXP(-('Discounting metrics'!$D$4+'Allometrics &amp; Decay rates'!$M$5)*'Discounting metrics'!$E$4))-(1-EXP(-'Allometrics &amp; Decay rates'!$M$5))/1.55)</f>
        <v>0.37999999248137939</v>
      </c>
      <c r="FA22" s="550">
        <f>AP22*BZ22*$DK22*((EXP('Allometrics &amp; Decay rates'!$M$5)-1)/('Discounting metrics'!$D$4+'Allometrics &amp; Decay rates'!$M$5)*(1-EXP(-('Discounting metrics'!$D$4+'Allometrics &amp; Decay rates'!$M$5)*'Discounting metrics'!$E$4))-(1-EXP(-'Allometrics &amp; Decay rates'!$M$5))/1.55)</f>
        <v>3.9283449542811808</v>
      </c>
      <c r="FB22" s="550">
        <f>AQ22*CA22*$DK22*((EXP('Allometrics &amp; Decay rates'!$M$5)-1)/('Discounting metrics'!$D$4+'Allometrics &amp; Decay rates'!$M$5)*(1-EXP(-('Discounting metrics'!$D$4+'Allometrics &amp; Decay rates'!$M$5)*'Discounting metrics'!$E$4))-(1-EXP(-'Allometrics &amp; Decay rates'!$M$5))/1.55)</f>
        <v>2.1099345889009782</v>
      </c>
      <c r="FC22" s="550">
        <f>AR22*CB22*$DK22*((EXP('Allometrics &amp; Decay rates'!$M$5)-1)/('Discounting metrics'!$D$4+'Allometrics &amp; Decay rates'!$M$5)*(1-EXP(-('Discounting metrics'!$D$4+'Allometrics &amp; Decay rates'!$M$5)*'Discounting metrics'!$E$4))-(1-EXP(-'Allometrics &amp; Decay rates'!$M$5))/1.55)</f>
        <v>2.9551088044519925E-4</v>
      </c>
      <c r="FD22" s="261">
        <f t="shared" si="59"/>
        <v>21.444806643029892</v>
      </c>
      <c r="FE22" s="154">
        <f t="shared" si="60"/>
        <v>0.78862171795029989</v>
      </c>
      <c r="FF22" s="108">
        <f t="shared" si="61"/>
        <v>12.354743369063314</v>
      </c>
      <c r="FG22" s="126">
        <f>'Allometrics &amp; Decay rates'!$H$5*$AU22*CG22+'Allometrics &amp; Decay rates'!$H$6*$AV22*CH22+'Allometrics &amp; Decay rates'!$H$7*$AW22*CI22+'Allometrics &amp; Decay rates'!$H$8*$AX22*CJ22+'Allometrics &amp; Decay rates'!$H$9*$AY22*CK22+'Allometrics &amp; Decay rates'!$H$10*$AZ22*CL22+'Allometrics &amp; Decay rates'!$H$11*$BA22*CM22+'Allometrics &amp; Decay rates'!$H$12*$BB22*CN22+'Allometrics &amp; Decay rates'!$H$13*$BC22*CO22</f>
        <v>7.061626924698662</v>
      </c>
      <c r="FH22" s="97">
        <f t="shared" si="62"/>
        <v>6.6213664443646518</v>
      </c>
      <c r="FI22" s="550">
        <f>AU22*CG22*('Allometrics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0.43582202986933005</v>
      </c>
      <c r="FJ22" s="550">
        <f>AV22*CH22*('Allometrics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4.8601647684586524</v>
      </c>
      <c r="FK22" s="550">
        <f>AW22*CI22*('Allometrics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0.23276004556222782</v>
      </c>
      <c r="FL22" s="550">
        <f>AX22*CJ22*('Allometrics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0.69087001776858536</v>
      </c>
      <c r="FM22" s="550">
        <f>AY22*CK22*('Allometrics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0.27175991216367246</v>
      </c>
      <c r="FN22" s="550">
        <f>AZ22*CL22*('Allometrics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0.12619231450381643</v>
      </c>
      <c r="FO22" s="550">
        <f>BA22*CM22*('Allometrics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3.7706470774718859E-3</v>
      </c>
      <c r="FP22" s="550">
        <f>BB22*CN22*('Allometrics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8.8586934975705904E-8</v>
      </c>
      <c r="FQ22" s="550">
        <f>BC22*CO22*('Allometrics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2.6620373960199618E-5</v>
      </c>
      <c r="FR22" s="108">
        <f t="shared" si="150"/>
        <v>9.0900632739665781</v>
      </c>
      <c r="FS22" s="550">
        <f>AU22*CQ22*$DK22*((EXP('Allometrics &amp; Decay rates'!$M$5)-1)/('Discounting metrics'!$D$4+'Allometrics &amp; Decay rates'!$M$5)*(1-EXP(-('Discounting metrics'!$D$4+'Allometrics &amp; Decay rates'!$M$5)*'Discounting metrics'!$E$4))-(1-EXP(-'Allometrics &amp; Decay rates'!$M$5))/1.55)</f>
        <v>0.20476684563953684</v>
      </c>
      <c r="FT22" s="550">
        <f>AV22*CR22*$DK22*((EXP('Allometrics &amp; Decay rates'!$M$5)-1)/('Discounting metrics'!$D$4+'Allometrics &amp; Decay rates'!$M$5)*(1-EXP(-('Discounting metrics'!$D$4+'Allometrics &amp; Decay rates'!$M$5)*'Discounting metrics'!$E$4))-(1-EXP(-'Allometrics &amp; Decay rates'!$M$5))/1.55)</f>
        <v>2.6020505996824492</v>
      </c>
      <c r="FU22" s="550">
        <f>AW22*CS22*$DK22*((EXP('Allometrics &amp; Decay rates'!$M$5)-1)/('Discounting metrics'!$D$4+'Allometrics &amp; Decay rates'!$M$5)*(1-EXP(-('Discounting metrics'!$D$4+'Allometrics &amp; Decay rates'!$M$5)*'Discounting metrics'!$E$4))-(1-EXP(-'Allometrics &amp; Decay rates'!$M$5))/1.55)</f>
        <v>0.35012688141759674</v>
      </c>
      <c r="FV22" s="550">
        <f>AX22*CT22*$DK22*((EXP('Allometrics &amp; Decay rates'!$M$5)-1)/('Discounting metrics'!$D$4+'Allometrics &amp; Decay rates'!$M$5)*(1-EXP(-('Discounting metrics'!$D$4+'Allometrics &amp; Decay rates'!$M$5)*'Discounting metrics'!$E$4))-(1-EXP(-'Allometrics &amp; Decay rates'!$M$5))/1.55)</f>
        <v>3.5520960711799621</v>
      </c>
      <c r="FW22" s="550">
        <f>AY22*CU22*$DK22*((EXP('Allometrics &amp; Decay rates'!$M$5)-1)/('Discounting metrics'!$D$4+'Allometrics &amp; Decay rates'!$M$5)*(1-EXP(-('Discounting metrics'!$D$4+'Allometrics &amp; Decay rates'!$M$5)*'Discounting metrics'!$E$4))-(1-EXP(-'Allometrics &amp; Decay rates'!$M$5))/1.55)</f>
        <v>1.2185159815134607</v>
      </c>
      <c r="FX22" s="550">
        <f>AZ22*CV22*$DK22*((EXP('Allometrics &amp; Decay rates'!$M$5)-1)/('Discounting metrics'!$D$4+'Allometrics &amp; Decay rates'!$M$5)*(1-EXP(-('Discounting metrics'!$D$4+'Allometrics &amp; Decay rates'!$M$5)*'Discounting metrics'!$E$4))-(1-EXP(-'Allometrics &amp; Decay rates'!$M$5))/1.55)</f>
        <v>1.1542082282748891</v>
      </c>
      <c r="FY22" s="550">
        <f>BA22*CW22*$DK22*((EXP('Allometrics &amp; Decay rates'!$M$5)-1)/('Discounting metrics'!$D$4+'Allometrics &amp; Decay rates'!$M$5)*(1-EXP(-('Discounting metrics'!$D$4+'Allometrics &amp; Decay rates'!$M$5)*'Discounting metrics'!$E$4))-(1-EXP(-'Allometrics &amp; Decay rates'!$M$5))/1.55)</f>
        <v>8.2986662586841016E-3</v>
      </c>
      <c r="FZ22" s="68"/>
      <c r="GA22" s="293"/>
      <c r="GB22" s="293"/>
      <c r="GP22" s="32">
        <f t="shared" si="151"/>
        <v>4.36666327050433</v>
      </c>
      <c r="GQ22" s="33">
        <v>4.7300000000000004</v>
      </c>
      <c r="GR22" s="99">
        <v>3.12</v>
      </c>
      <c r="GS22" s="99"/>
      <c r="GT22" s="99"/>
      <c r="GU22" s="99"/>
      <c r="GV22" s="99"/>
      <c r="GW22" s="99"/>
      <c r="GX22" s="99"/>
      <c r="GY22" s="99"/>
      <c r="GZ22" s="99"/>
      <c r="HA22" s="99"/>
      <c r="HB22" s="99"/>
      <c r="HF22" s="97">
        <f t="shared" si="63"/>
        <v>0.48695323566930715</v>
      </c>
      <c r="HG22" s="526">
        <f>EE22/'Discounting metrics'!E$4/M22</f>
        <v>0.55335594962421264</v>
      </c>
      <c r="HH22" s="527">
        <f t="shared" si="64"/>
        <v>39.525424973158046</v>
      </c>
      <c r="HI22" s="528">
        <f t="shared" si="65"/>
        <v>4.2565842278785588</v>
      </c>
      <c r="HJ22" s="97">
        <f t="shared" si="66"/>
        <v>0.64891335670023143</v>
      </c>
      <c r="HK22" s="526">
        <f>EH22/'Discounting metrics'!E$4/O22</f>
        <v>0.73740154170480843</v>
      </c>
      <c r="HL22" s="527">
        <f t="shared" si="67"/>
        <v>52.671538693200603</v>
      </c>
      <c r="HM22" s="528">
        <f t="shared" si="68"/>
        <v>5.6723195515754492</v>
      </c>
      <c r="HN22" s="97">
        <f t="shared" si="69"/>
        <v>0.18091022880745639</v>
      </c>
      <c r="HO22" s="526">
        <f>FD22/'Discounting metrics'!E$4/Q22</f>
        <v>0.20557980546301863</v>
      </c>
      <c r="HP22" s="527">
        <f t="shared" si="70"/>
        <v>14.684271818787044</v>
      </c>
      <c r="HQ22" s="528">
        <f t="shared" si="71"/>
        <v>1.581383118946297</v>
      </c>
      <c r="HR22" s="97">
        <f t="shared" si="72"/>
        <v>0.69157102493778366</v>
      </c>
      <c r="HS22" s="263">
        <f t="shared" si="73"/>
        <v>0.78587616470202692</v>
      </c>
      <c r="HT22" s="527">
        <f t="shared" si="74"/>
        <v>56.134011764430497</v>
      </c>
      <c r="HU22" s="528">
        <f t="shared" si="75"/>
        <v>6.0452012669386681</v>
      </c>
      <c r="HV22" s="97">
        <f t="shared" si="76"/>
        <v>0.88702898342342695</v>
      </c>
      <c r="HW22" s="263">
        <f t="shared" si="28"/>
        <v>1.0079874811629852</v>
      </c>
      <c r="HX22" s="527">
        <f t="shared" si="77"/>
        <v>71.99910579735608</v>
      </c>
      <c r="HY22" s="528">
        <f t="shared" si="78"/>
        <v>7.753749855099886</v>
      </c>
      <c r="HZ22" s="97">
        <f t="shared" si="79"/>
        <v>2.0599040000000004</v>
      </c>
      <c r="IA22" s="263">
        <f t="shared" si="29"/>
        <v>0.36617028454417844</v>
      </c>
      <c r="IB22" s="527">
        <f t="shared" si="80"/>
        <v>167.20000000000002</v>
      </c>
      <c r="IC22" s="528">
        <f t="shared" si="81"/>
        <v>18.006153846153847</v>
      </c>
      <c r="ID22" s="97">
        <f t="shared" si="82"/>
        <v>1.3863678635718897</v>
      </c>
      <c r="IE22" s="263">
        <f t="shared" si="30"/>
        <v>1.5754180267862383</v>
      </c>
      <c r="IF22" s="68">
        <f t="shared" si="83"/>
        <v>112.52985905615988</v>
      </c>
      <c r="IG22" s="97">
        <f t="shared" si="84"/>
        <v>1.7781954887218048</v>
      </c>
      <c r="IH22" s="263">
        <f t="shared" si="31"/>
        <v>2.0206766917293235</v>
      </c>
      <c r="II22" s="68">
        <f t="shared" si="85"/>
        <v>144.33404940923739</v>
      </c>
      <c r="IJ22" s="97">
        <f t="shared" si="86"/>
        <v>0.64596273291925466</v>
      </c>
      <c r="IK22" s="263">
        <f t="shared" si="32"/>
        <v>0.73404856013551667</v>
      </c>
      <c r="IL22" s="68">
        <f t="shared" si="87"/>
        <v>52.432040009679767</v>
      </c>
      <c r="IM22" s="60"/>
      <c r="IN22" s="60"/>
      <c r="IO22" s="60"/>
      <c r="IP22" s="554">
        <f t="shared" si="88"/>
        <v>69.265511967719988</v>
      </c>
      <c r="IQ22" s="262">
        <f t="shared" si="89"/>
        <v>0.11202772808139883</v>
      </c>
      <c r="IR22" s="166">
        <f t="shared" si="90"/>
        <v>0.12730423645613503</v>
      </c>
      <c r="IS22" s="68">
        <f t="shared" si="91"/>
        <v>9.0931597468667871</v>
      </c>
      <c r="IT22" s="97">
        <f t="shared" si="92"/>
        <v>0.97926335735488479</v>
      </c>
      <c r="IU22" s="429">
        <f>(IX22*C22+JE22*D22)/B22</f>
        <v>9.9467651553744249E-3</v>
      </c>
      <c r="IV22" s="262">
        <f t="shared" si="93"/>
        <v>0.16886438885714283</v>
      </c>
      <c r="IW22" s="436">
        <f t="shared" si="94"/>
        <v>0.19189135097402596</v>
      </c>
      <c r="IX22" s="101">
        <v>1.2699999999999999E-2</v>
      </c>
      <c r="IY22" s="101">
        <v>2.5999999999999999E-2</v>
      </c>
      <c r="IZ22" s="101">
        <v>0.61899999999999999</v>
      </c>
      <c r="JA22" s="429">
        <f t="shared" ref="JA22:JA25" si="153">1-IY22-IZ22</f>
        <v>0.35499999999999998</v>
      </c>
      <c r="JB22" s="430">
        <f>IY22*$JJ22+IZ22*$JK22+JA22*$JL22+'Discounting metrics'!$B$6*(IY22*$JM22+IZ22*$JN22+JA22*$JO22)/10^3+'Discounting metrics'!$B$5*(IY22*$JP22+IZ22*$JQ22+JA22*$JR22)/10^3</f>
        <v>35.368446800000001</v>
      </c>
      <c r="JC22" s="262">
        <f t="shared" si="95"/>
        <v>4.6280641821946182E-3</v>
      </c>
      <c r="JD22" s="436">
        <f t="shared" si="96"/>
        <v>5.2591638434029749E-3</v>
      </c>
      <c r="JE22" s="101">
        <v>5.0000000000000001E-4</v>
      </c>
      <c r="JF22" s="101">
        <v>0.5</v>
      </c>
      <c r="JG22" s="101">
        <v>0.5</v>
      </c>
      <c r="JH22" s="429">
        <f t="shared" ref="JH22:JH25" si="154">1-JF22-JG22</f>
        <v>0</v>
      </c>
      <c r="JI22" s="430">
        <f>JF22*$JJ22+JG22*$JK22+JH22*$JL22+'Discounting metrics'!$B$6*(JF22*$JM22+JG22*$JN22+JH22*$JO22)/10^3+'Discounting metrics'!$B$5*(JF22*$JP22+JG22*$JQ22+JH22*$JR22)/10^3</f>
        <v>44.707100000000004</v>
      </c>
      <c r="JJ22" s="431">
        <v>51.3</v>
      </c>
      <c r="JK22" s="431">
        <v>29</v>
      </c>
      <c r="JL22" s="431">
        <v>29</v>
      </c>
      <c r="JM22" s="99">
        <v>5</v>
      </c>
      <c r="JN22" s="431">
        <v>13</v>
      </c>
      <c r="JO22" s="431">
        <v>13</v>
      </c>
      <c r="JP22" s="431">
        <v>52</v>
      </c>
      <c r="JQ22" s="431">
        <v>58.3</v>
      </c>
      <c r="JR22" s="431">
        <v>58.3</v>
      </c>
      <c r="JS22" s="554">
        <f t="shared" si="97"/>
        <v>425.71455254379083</v>
      </c>
      <c r="JT22" s="554">
        <f t="shared" si="98"/>
        <v>153.08702623777694</v>
      </c>
      <c r="JU22" s="554">
        <f t="shared" si="99"/>
        <v>29.748895599376798</v>
      </c>
      <c r="JV22" s="554">
        <f t="shared" si="100"/>
        <v>117.59310002305737</v>
      </c>
      <c r="JW22" s="554">
        <f t="shared" si="101"/>
        <v>125.28553068357968</v>
      </c>
      <c r="JX22" s="554"/>
      <c r="JY22" s="167">
        <f t="shared" si="102"/>
        <v>0.68853651374000002</v>
      </c>
      <c r="JZ22" s="166">
        <f t="shared" si="103"/>
        <v>0.78242785652272728</v>
      </c>
      <c r="KA22" s="68">
        <f t="shared" si="104"/>
        <v>55.887704037337663</v>
      </c>
      <c r="KB22" s="97">
        <f t="shared" si="105"/>
        <v>6.018675819405594</v>
      </c>
      <c r="KC22" s="473">
        <f t="shared" si="106"/>
        <v>0.29571271984000003</v>
      </c>
      <c r="KD22" s="269">
        <f t="shared" si="107"/>
        <v>0.33603718163636365</v>
      </c>
      <c r="KE22" s="473">
        <f t="shared" si="108"/>
        <v>0.3928237939</v>
      </c>
      <c r="KF22" s="269">
        <f t="shared" si="109"/>
        <v>0.44639067488636364</v>
      </c>
      <c r="KG22" s="123"/>
      <c r="KH22" s="49"/>
      <c r="KI22" s="435">
        <v>0.24759784864000001</v>
      </c>
      <c r="KJ22" s="522">
        <f t="shared" si="110"/>
        <v>0.28136119163636364</v>
      </c>
      <c r="KK22" s="435">
        <v>4.8114871199999999E-2</v>
      </c>
      <c r="KL22" s="522">
        <f t="shared" si="111"/>
        <v>5.4675990000000001E-2</v>
      </c>
      <c r="KM22" s="435">
        <v>0.19019115659999999</v>
      </c>
      <c r="KN22" s="522">
        <f t="shared" si="112"/>
        <v>0.2161263143181818</v>
      </c>
      <c r="KO22" s="435">
        <v>0.2026326373</v>
      </c>
      <c r="KP22" s="522">
        <f t="shared" si="113"/>
        <v>0.23026436056818181</v>
      </c>
      <c r="KQ22" s="599">
        <f t="shared" si="114"/>
        <v>2.9387039082676418</v>
      </c>
      <c r="KR22" s="527">
        <f t="shared" si="115"/>
        <v>209.90742201911729</v>
      </c>
      <c r="KS22" s="528">
        <f t="shared" si="116"/>
        <v>22.605414678981859</v>
      </c>
      <c r="KT22" s="599">
        <f t="shared" si="117"/>
        <v>3.6781248604143837</v>
      </c>
      <c r="KU22" s="527">
        <f t="shared" si="118"/>
        <v>262.72320431531313</v>
      </c>
      <c r="KV22" s="528">
        <f t="shared" si="119"/>
        <v>28.293268157033719</v>
      </c>
      <c r="KW22" s="599">
        <f t="shared" si="120"/>
        <v>1.5414796403971986</v>
      </c>
      <c r="KX22" s="527">
        <f t="shared" si="121"/>
        <v>110.1056885997999</v>
      </c>
      <c r="KY22" s="528">
        <f t="shared" si="122"/>
        <v>11.857535695363065</v>
      </c>
      <c r="KZ22" s="599">
        <f t="shared" si="123"/>
        <v>3.7912780302196278</v>
      </c>
      <c r="LA22" s="527">
        <f t="shared" si="124"/>
        <v>270.80557358711627</v>
      </c>
      <c r="LB22" s="528">
        <f t="shared" si="125"/>
        <v>29.163677155535598</v>
      </c>
      <c r="LC22" s="599">
        <f t="shared" si="126"/>
        <v>4.6702733050943657</v>
      </c>
      <c r="LD22" s="527">
        <f t="shared" si="127"/>
        <v>333.59095036388322</v>
      </c>
      <c r="LE22" s="528">
        <f t="shared" si="128"/>
        <v>35.925179269956658</v>
      </c>
      <c r="LF22" s="599">
        <f t="shared" si="129"/>
        <v>9.3706203536994632</v>
      </c>
      <c r="LG22" s="527">
        <f t="shared" si="130"/>
        <v>669.33002526424741</v>
      </c>
      <c r="LH22" s="528">
        <f t="shared" si="131"/>
        <v>72.081695028457403</v>
      </c>
      <c r="LI22" s="31">
        <v>0.88</v>
      </c>
      <c r="LJ22" s="32">
        <f>$LI22*LK22</f>
        <v>16.192</v>
      </c>
      <c r="LK22" s="27">
        <v>18.399999999999999</v>
      </c>
      <c r="LL22" s="32">
        <f>$LI22*LM22</f>
        <v>12.32</v>
      </c>
      <c r="LM22" s="33">
        <v>14</v>
      </c>
      <c r="LN22" s="36">
        <f t="shared" si="152"/>
        <v>0.1144</v>
      </c>
      <c r="LO22" s="31">
        <v>0.13</v>
      </c>
      <c r="LP22" s="36">
        <f t="shared" si="132"/>
        <v>2.2000000000000002E-2</v>
      </c>
      <c r="LQ22" s="35">
        <v>2.5000000000000001E-2</v>
      </c>
    </row>
    <row r="23" spans="1:329" s="4" customFormat="1" x14ac:dyDescent="0.25">
      <c r="A23" s="4" t="s">
        <v>67</v>
      </c>
      <c r="B23" s="67">
        <f t="shared" si="133"/>
        <v>55.599999999999994</v>
      </c>
      <c r="C23" s="33">
        <v>51.3</v>
      </c>
      <c r="D23" s="33">
        <v>4.3</v>
      </c>
      <c r="E23" s="38">
        <f t="shared" si="134"/>
        <v>7.7338129496402883E-2</v>
      </c>
      <c r="F23" s="108">
        <f t="shared" si="16"/>
        <v>2.5787769784172663</v>
      </c>
      <c r="G23" s="32">
        <f t="shared" si="17"/>
        <v>2.2693237410071943</v>
      </c>
      <c r="H23" s="33">
        <v>2.52</v>
      </c>
      <c r="I23" s="32">
        <f t="shared" si="35"/>
        <v>2.2176</v>
      </c>
      <c r="J23" s="33">
        <v>3.28</v>
      </c>
      <c r="K23" s="32">
        <f t="shared" si="36"/>
        <v>2.8863999999999996</v>
      </c>
      <c r="L23" s="32">
        <f>(F23/'Discounting metrics'!$D$4*(1-EXP(-'Discounting metrics'!$D$4*'Discounting metrics'!$E$4)))/'Discounting metrics'!$E$4</f>
        <v>0.63288625762649853</v>
      </c>
      <c r="M23" s="32">
        <f>(G23/'Discounting metrics'!$D$4*(1-EXP(-'Discounting metrics'!$D$4*'Discounting metrics'!$E$4)))/'Discounting metrics'!$E$4</f>
        <v>0.55693990671131877</v>
      </c>
      <c r="N23" s="32">
        <f>(H23/'Discounting metrics'!$D$4*(1-EXP(-'Discounting metrics'!$D$4*'Discounting metrics'!$E$4)))/'Discounting metrics'!$E$4</f>
        <v>0.61846114750009751</v>
      </c>
      <c r="O23" s="32">
        <f>(I23/'Discounting metrics'!$D$4*(1-EXP(-'Discounting metrics'!$D$4*'Discounting metrics'!$E$4)))/'Discounting metrics'!$E$4</f>
        <v>0.54424580980008574</v>
      </c>
      <c r="P23" s="32">
        <f>(J23/'Discounting metrics'!$D$4*(1-EXP(-'Discounting metrics'!$D$4*'Discounting metrics'!$E$4)))/'Discounting metrics'!$E$4</f>
        <v>0.80498117611123787</v>
      </c>
      <c r="Q23" s="32">
        <f>(K23/'Discounting metrics'!$D$4*(1-EXP(-'Discounting metrics'!$D$4*'Discounting metrics'!$E$4)))/'Discounting metrics'!$E$4</f>
        <v>0.70838343497788925</v>
      </c>
      <c r="R23" s="32">
        <f t="shared" si="37"/>
        <v>4.4065991199482619</v>
      </c>
      <c r="S23" s="32">
        <f t="shared" si="38"/>
        <v>4.5093795093795093</v>
      </c>
      <c r="T23" s="32">
        <f t="shared" si="39"/>
        <v>3.4645232815964526</v>
      </c>
      <c r="U23" s="107">
        <f t="shared" si="135"/>
        <v>143.38</v>
      </c>
      <c r="V23" s="68">
        <f t="shared" si="135"/>
        <v>126.17439999999999</v>
      </c>
      <c r="W23" s="68"/>
      <c r="X23" s="67">
        <f t="shared" si="40"/>
        <v>129.27599999999998</v>
      </c>
      <c r="Y23" s="67">
        <f t="shared" si="41"/>
        <v>113.76288</v>
      </c>
      <c r="Z23" s="67">
        <f t="shared" si="41"/>
        <v>14.103999999999999</v>
      </c>
      <c r="AA23" s="67">
        <f t="shared" si="42"/>
        <v>12.411519999999998</v>
      </c>
      <c r="AB23" s="38">
        <f t="shared" si="136"/>
        <v>9.8367973218022028E-2</v>
      </c>
      <c r="AC23" s="294">
        <f t="shared" si="43"/>
        <v>3.8762699904432429E-3</v>
      </c>
      <c r="AD23" s="294">
        <f t="shared" si="43"/>
        <v>0.1789941347921207</v>
      </c>
      <c r="AE23" s="294">
        <f t="shared" si="43"/>
        <v>0.33088466202759581</v>
      </c>
      <c r="AF23" s="294">
        <f t="shared" si="43"/>
        <v>4.4351390337323176E-3</v>
      </c>
      <c r="AG23" s="294">
        <f t="shared" si="43"/>
        <v>0.1627772164562615</v>
      </c>
      <c r="AH23" s="294">
        <f t="shared" si="43"/>
        <v>0.29640903180632067</v>
      </c>
      <c r="AI23" s="294">
        <f t="shared" si="43"/>
        <v>9.5730614986966212E-3</v>
      </c>
      <c r="AJ23" s="294">
        <f t="shared" si="43"/>
        <v>5.3692227750603879E-5</v>
      </c>
      <c r="AK23" s="294">
        <f t="shared" si="43"/>
        <v>1.28164576852214E-2</v>
      </c>
      <c r="AL23" s="433">
        <v>4.1440578630086728E-3</v>
      </c>
      <c r="AM23" s="433">
        <v>0.18236921500892564</v>
      </c>
      <c r="AN23" s="433">
        <v>0.35545918533072435</v>
      </c>
      <c r="AO23" s="433">
        <v>3.5599755292299801E-3</v>
      </c>
      <c r="AP23" s="433">
        <v>0.16191198468976947</v>
      </c>
      <c r="AQ23" s="433">
        <v>0.27688566783485546</v>
      </c>
      <c r="AR23" s="433">
        <v>1.6245308181258914E-3</v>
      </c>
      <c r="AS23" s="433">
        <v>1.069098764798728E-6</v>
      </c>
      <c r="AT23" s="433">
        <v>1.3884834053344265E-2</v>
      </c>
      <c r="AU23" s="433">
        <v>6.8149839448823277E-4</v>
      </c>
      <c r="AV23" s="433">
        <v>0.1387286429032614</v>
      </c>
      <c r="AW23" s="433">
        <v>3.7704884015853257E-2</v>
      </c>
      <c r="AX23" s="433">
        <v>1.4876043168841595E-2</v>
      </c>
      <c r="AY23" s="433">
        <v>0.1730996326472011</v>
      </c>
      <c r="AZ23" s="433">
        <v>0.5293273043031026</v>
      </c>
      <c r="BA23" s="433">
        <v>0.10440088101341252</v>
      </c>
      <c r="BB23" s="433">
        <v>6.8149839448823277E-4</v>
      </c>
      <c r="BC23" s="433">
        <v>7.0479153895118736E-5</v>
      </c>
      <c r="BD23" s="554">
        <f t="shared" si="44"/>
        <v>6.6487071721936504</v>
      </c>
      <c r="BE23" s="554">
        <f t="shared" si="44"/>
        <v>1.9742073368605801</v>
      </c>
      <c r="BF23" s="554">
        <f t="shared" si="44"/>
        <v>4.6744998353330702</v>
      </c>
      <c r="BG23" s="67">
        <f t="shared" si="137"/>
        <v>119.58106424808724</v>
      </c>
      <c r="BH23" s="67">
        <f t="shared" si="45"/>
        <v>35.507326202528425</v>
      </c>
      <c r="BI23" s="67">
        <f t="shared" si="46"/>
        <v>84.073738045558827</v>
      </c>
      <c r="BJ23" s="67">
        <f t="shared" si="47"/>
        <v>124.37959910401247</v>
      </c>
      <c r="BK23" s="68">
        <f t="shared" si="138"/>
        <v>37.032088021036223</v>
      </c>
      <c r="BL23" s="145">
        <v>138.18651214602801</v>
      </c>
      <c r="BM23" s="145">
        <v>108.49597861208017</v>
      </c>
      <c r="BN23" s="145">
        <v>41.293568514625768</v>
      </c>
      <c r="BO23" s="145">
        <v>36.444335549343684</v>
      </c>
      <c r="BP23" s="145">
        <v>6.282537734532716</v>
      </c>
      <c r="BQ23" s="145">
        <v>1.6050948379193084</v>
      </c>
      <c r="BR23" s="145">
        <v>6.7599152733769957E-2</v>
      </c>
      <c r="BS23" s="145">
        <v>0</v>
      </c>
      <c r="BT23" s="145">
        <v>29.05571455045709</v>
      </c>
      <c r="BU23" s="68">
        <f t="shared" si="139"/>
        <v>87.34751108297624</v>
      </c>
      <c r="BV23" s="145">
        <v>133.76830393455637</v>
      </c>
      <c r="BW23" s="145">
        <v>105.50970378066766</v>
      </c>
      <c r="BX23" s="145">
        <v>119.34878184134038</v>
      </c>
      <c r="BY23" s="145">
        <v>172.65770012503776</v>
      </c>
      <c r="BZ23" s="145">
        <v>81.227238647801087</v>
      </c>
      <c r="CA23" s="145">
        <v>34.292589721897045</v>
      </c>
      <c r="CB23" s="145">
        <v>0.49529148639221421</v>
      </c>
      <c r="CC23" s="145">
        <v>0</v>
      </c>
      <c r="CD23" s="145">
        <v>134.36048535363523</v>
      </c>
      <c r="CE23" s="68">
        <f t="shared" si="140"/>
        <v>62.333427478560836</v>
      </c>
      <c r="CF23" s="68">
        <f t="shared" si="141"/>
        <v>17.316563111958661</v>
      </c>
      <c r="CG23" s="106">
        <v>111.08301713471579</v>
      </c>
      <c r="CH23" s="106">
        <v>100.97469352965143</v>
      </c>
      <c r="CI23" s="106">
        <v>40.196094428218551</v>
      </c>
      <c r="CJ23" s="106">
        <v>15.250235152437629</v>
      </c>
      <c r="CK23" s="106">
        <v>4.9896131037468932</v>
      </c>
      <c r="CL23" s="106">
        <v>1.1725865678640575</v>
      </c>
      <c r="CM23" s="106">
        <v>5.6481191778077214E-2</v>
      </c>
      <c r="CN23" s="106">
        <v>0</v>
      </c>
      <c r="CO23" s="106">
        <v>0.6641665172602228</v>
      </c>
      <c r="CP23" s="68">
        <f t="shared" si="142"/>
        <v>45.016864366602178</v>
      </c>
      <c r="CQ23" s="106">
        <v>116.15839105192791</v>
      </c>
      <c r="CR23" s="106">
        <v>96.268524645106481</v>
      </c>
      <c r="CS23" s="106">
        <v>111.29686882366224</v>
      </c>
      <c r="CT23" s="106">
        <v>262.46799815711478</v>
      </c>
      <c r="CU23" s="106">
        <v>61.243184758559281</v>
      </c>
      <c r="CV23" s="106">
        <v>24.262043256659059</v>
      </c>
      <c r="CW23" s="106">
        <v>0.36130483056921264</v>
      </c>
      <c r="CX23" s="106">
        <v>0</v>
      </c>
      <c r="CY23" s="106">
        <v>1.7700201272797074</v>
      </c>
      <c r="CZ23" s="554">
        <f t="shared" si="48"/>
        <v>3.5453043764998027</v>
      </c>
      <c r="DA23" s="554">
        <f t="shared" si="48"/>
        <v>3.9429499999999999E-2</v>
      </c>
      <c r="DB23" s="554">
        <f t="shared" si="48"/>
        <v>3.5058748764998025</v>
      </c>
      <c r="DC23" s="32">
        <f t="shared" si="143"/>
        <v>63.76446720323387</v>
      </c>
      <c r="DD23" s="32">
        <f t="shared" si="49"/>
        <v>0.70916366906474826</v>
      </c>
      <c r="DE23" s="67">
        <f t="shared" si="49"/>
        <v>63.05530353416912</v>
      </c>
      <c r="DF23" s="270"/>
      <c r="DG23" s="67">
        <f t="shared" si="144"/>
        <v>66.203633312232185</v>
      </c>
      <c r="DH23" s="32">
        <f t="shared" si="50"/>
        <v>0.69300000000000006</v>
      </c>
      <c r="DI23" s="67">
        <f t="shared" si="51"/>
        <v>65.510633312232187</v>
      </c>
      <c r="DJ23" s="67"/>
      <c r="DK23" s="34">
        <f t="shared" si="145"/>
        <v>0.25</v>
      </c>
      <c r="DL23" s="159"/>
      <c r="DM23" s="159"/>
      <c r="DN23" s="68">
        <f t="shared" si="146"/>
        <v>34.664648274951631</v>
      </c>
      <c r="DO23" s="32">
        <f t="shared" si="52"/>
        <v>0.90199999999999991</v>
      </c>
      <c r="DP23" s="67">
        <f t="shared" si="53"/>
        <v>33.76264827495163</v>
      </c>
      <c r="DQ23" s="67"/>
      <c r="DR23" s="34">
        <f t="shared" si="147"/>
        <v>0.25</v>
      </c>
      <c r="DS23" s="554"/>
      <c r="DT23" s="554"/>
      <c r="DU23" s="554"/>
      <c r="DV23" s="67">
        <f t="shared" si="23"/>
        <v>55.816597044853374</v>
      </c>
      <c r="DW23" s="67">
        <f t="shared" si="23"/>
        <v>34.798162533463675</v>
      </c>
      <c r="DX23" s="67">
        <f t="shared" si="23"/>
        <v>21.018434511389707</v>
      </c>
      <c r="DY23" s="67">
        <f t="shared" si="24"/>
        <v>58.175965791780285</v>
      </c>
      <c r="DZ23" s="67">
        <f t="shared" si="24"/>
        <v>36.339088021036225</v>
      </c>
      <c r="EA23" s="67">
        <f t="shared" si="25"/>
        <v>21.836877770744053</v>
      </c>
      <c r="EB23" s="67">
        <f t="shared" si="26"/>
        <v>27.668779203609205</v>
      </c>
      <c r="EC23" s="67">
        <f t="shared" si="26"/>
        <v>16.41456311195866</v>
      </c>
      <c r="ED23" s="67">
        <f t="shared" si="27"/>
        <v>11.254216091650548</v>
      </c>
      <c r="EE23" s="68">
        <f t="shared" si="54"/>
        <v>40.715539484625609</v>
      </c>
      <c r="EF23" s="67">
        <f t="shared" si="55"/>
        <v>24.625054469410632</v>
      </c>
      <c r="EG23" s="67">
        <f t="shared" si="148"/>
        <v>16.090485015214973</v>
      </c>
      <c r="EH23" s="261">
        <f t="shared" si="149"/>
        <v>42.27926029802466</v>
      </c>
      <c r="EI23" s="154">
        <f t="shared" si="56"/>
        <v>0.7267478884553098</v>
      </c>
      <c r="EJ23" s="108">
        <f t="shared" si="57"/>
        <v>25.577315317810882</v>
      </c>
      <c r="EK23" s="126">
        <f>'Allometrics &amp; Decay rates'!$H$5*$AL23*BL23+'Allometrics &amp; Decay rates'!$H$6*$AM23*BM23+'Allometrics &amp; Decay rates'!$H$7*$AN23*BN23+'Allometrics &amp; Decay rates'!$H$8*$AO23*BO23+'Allometrics &amp; Decay rates'!$H$9*$AP23*BP23+'Allometrics &amp; Decay rates'!$H$10*$AQ23*BQ23+'Allometrics &amp; Decay rates'!$H$11*$AR23*BR23+'Allometrics &amp; Decay rates'!$H$12*$AS23*BS23+'Allometrics &amp; Decay rates'!$H$13*$AT23*BT23</f>
        <v>17.068882780037331</v>
      </c>
      <c r="EL23" s="97">
        <f>SUM(EM23:EU23)</f>
        <v>9.2014325377735524</v>
      </c>
      <c r="EM23" s="550">
        <f>AL23*BL23*('Allometrics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0.22449572719193883</v>
      </c>
      <c r="EN23" s="550">
        <f>AM23*BM23*('Allometrics &amp; Decay rates'!$I$6*((EXP('Allometrics &amp; Decay rates'!$K$6)-1)/('Discounting metrics'!$D$4+'Allometrics &amp; Decay rates'!$K$6)*(1-EXP(-('Discounting metrics'!$D$4+'Allometrics &amp; Decay rates'!$K$6)*'Discounting metrics'!$E$4))-(1-EXP(-'Allometrics &amp; Decay rates'!$K$6))/1.55)+'Allometrics &amp; Decay rates'!$E$6*((EXP('Allometrics &amp; Decay rates'!$L$6)-1)/('Discounting metrics'!$D$4+'Allometrics &amp; Decay rates'!$L$6)*(1-EXP(-('Discounting metrics'!$D$4+'Allometrics &amp; Decay rates'!$L$6)*'Discounting metrics'!$E$4))-(1-EXP(-'Allometrics &amp; Decay rates'!$L$6))/1.55))</f>
        <v>4.8256437305679425</v>
      </c>
      <c r="EO23" s="550">
        <f>AN23*BN23*('Allometrics &amp; Decay rates'!$I$7*((EXP('Allometrics &amp; Decay rates'!$K$7)-1)/('Discounting metrics'!$D$4+'Allometrics &amp; Decay rates'!$K$7)*(1-EXP(-('Discounting metrics'!$D$4+'Allometrics &amp; Decay rates'!$K$7)*'Discounting metrics'!$E$4))-(1-EXP(-'Allometrics &amp; Decay rates'!$K$7))/1.55)+'Allometrics &amp; Decay rates'!$E$7*((EXP('Allometrics &amp; Decay rates'!$L$7)-1)/('Discounting metrics'!$D$4+'Allometrics &amp; Decay rates'!$L$7)*(1-EXP(-('Discounting metrics'!$D$4+'Allometrics &amp; Decay rates'!$L$7)*'Discounting metrics'!$E$4))-(1-EXP(-'Allometrics &amp; Decay rates'!$L$7))/1.55))</f>
        <v>3.1251524551514351</v>
      </c>
      <c r="EP23" s="550">
        <f>AO23*BO23*('Allometrics &amp; Decay rates'!$I$8*((EXP('Allometrics &amp; Decay rates'!$K$8)-1)/('Discounting metrics'!$D$4+'Allometrics &amp; Decay rates'!$K$8)*(1-EXP(-('Discounting metrics'!$D$4+'Allometrics &amp; Decay rates'!$K$8)*'Discounting metrics'!$E$4))-(1-EXP(-'Allometrics &amp; Decay rates'!$K$8))/1.55)+'Allometrics &amp; Decay rates'!$E$8*((EXP('Allometrics &amp; Decay rates'!$L$8)-1)/('Discounting metrics'!$D$4+'Allometrics &amp; Decay rates'!$L$8)*(1-EXP(-('Discounting metrics'!$D$4+'Allometrics &amp; Decay rates'!$L$8)*'Discounting metrics'!$E$4))-(1-EXP(-'Allometrics &amp; Decay rates'!$L$8))/1.55))</f>
        <v>7.3454963618784605E-2</v>
      </c>
      <c r="EQ23" s="550">
        <f>AP23*BP23*('Allometrics &amp; Decay rates'!$I$9*((EXP('Allometrics &amp; Decay rates'!$K$9)-1)/('Discounting metrics'!$D$4+'Allometrics &amp; Decay rates'!$K$9)*(1-EXP(-('Discounting metrics'!$D$4+'Allometrics &amp; Decay rates'!$K$9)*'Discounting metrics'!$E$4))-(1-EXP(-'Allometrics &amp; Decay rates'!$K$9))/1.55)+'Allometrics &amp; Decay rates'!$E$9*((EXP('Allometrics &amp; Decay rates'!$L$9)-1)/('Discounting metrics'!$D$4+'Allometrics &amp; Decay rates'!$L$9)*(1-EXP(-('Discounting metrics'!$D$4+'Allometrics &amp; Decay rates'!$L$9)*'Discounting metrics'!$E$4))-(1-EXP(-'Allometrics &amp; Decay rates'!$L$9))/1.55))</f>
        <v>0.53315010562474441</v>
      </c>
      <c r="ER23" s="550">
        <f>AQ23*BQ23*('Allometrics &amp; Decay rates'!$I$10*((EXP('Allometrics &amp; Decay rates'!$K$10)-1)/('Discounting metrics'!$D$4+'Allometrics &amp; Decay rates'!$K$10)*(1-EXP(-('Discounting metrics'!$D$4+'Allometrics &amp; Decay rates'!$K$10)*'Discounting metrics'!$E$4))-(1-EXP(-'Allometrics &amp; Decay rates'!$K$10))/1.55)+'Allometrics &amp; Decay rates'!$E$10*((EXP('Allometrics &amp; Decay rates'!$L$10)-1)/('Discounting metrics'!$D$4+'Allometrics &amp; Decay rates'!$L$10)*(1-EXP(-('Discounting metrics'!$D$4+'Allometrics &amp; Decay rates'!$L$10)*'Discounting metrics'!$E$4))-(1-EXP(-'Allometrics &amp; Decay rates'!$L$10))/1.55))</f>
        <v>0.28273660080953877</v>
      </c>
      <c r="ES23" s="550">
        <f>AR23*BR23*('Allometrics &amp; Decay rates'!$I$11*((EXP('Allometrics &amp; Decay rates'!$K$11)-1)/('Discounting metrics'!$D$4+'Allometrics &amp; Decay rates'!$K$11)*(1-EXP(-('Discounting metrics'!$D$4+'Allometrics &amp; Decay rates'!$K$11)*'Discounting metrics'!$E$4))-(1-EXP(-'Allometrics &amp; Decay rates'!$K$11))/1.55)+'Allometrics &amp; Decay rates'!$E$11*((EXP('Allometrics &amp; Decay rates'!$L$11)-1)/('Discounting metrics'!$D$4+'Allometrics &amp; Decay rates'!$L$11)*(1-EXP(-('Discounting metrics'!$D$4+'Allometrics &amp; Decay rates'!$L$11)*'Discounting metrics'!$E$4))-(1-EXP(-'Allometrics &amp; Decay rates'!$L$11))/1.55))</f>
        <v>7.7947076578471663E-5</v>
      </c>
      <c r="ET23" s="550">
        <f>AS23*BS23*('Allometrics &amp; Decay rates'!$I$12*((EXP('Allometrics &amp; Decay rates'!$K$12)-1)/('Discounting metrics'!$D$4+'Allometrics &amp; Decay rates'!$K$12)*(1-EXP(-('Discounting metrics'!$D$4+'Allometrics &amp; Decay rates'!$K$12)*'Discounting metrics'!$E$4))-(1-EXP(-'Allometrics &amp; Decay rates'!$K$12))/1.55)+'Allometrics &amp; Decay rates'!$E$12*((EXP('Allometrics &amp; Decay rates'!$L$12)-1)/('Discounting metrics'!$D$4+'Allometrics &amp; Decay rates'!$L$12)*(1-EXP(-('Discounting metrics'!$D$4+'Allometrics &amp; Decay rates'!$L$12)*'Discounting metrics'!$E$4))-(1-EXP(-'Allometrics &amp; Decay rates'!$L$12))/1.55))</f>
        <v>0</v>
      </c>
      <c r="EU23" s="550">
        <f>AT23*BT23*('Allometrics &amp; Decay rates'!$I$13*((EXP('Allometrics &amp; Decay rates'!$K$13)-1)/('Discounting metrics'!$D$4+'Allometrics &amp; Decay rates'!$K$13)*(1-EXP(-('Discounting metrics'!$D$4+'Allometrics &amp; Decay rates'!$K$13)*'Discounting metrics'!$E$4))-(1-EXP(-'Allometrics &amp; Decay rates'!$K$13))/1.55)+'Allometrics &amp; Decay rates'!$E$13*((EXP('Allometrics &amp; Decay rates'!$L$13)-1)/('Discounting metrics'!$D$4+'Allometrics &amp; Decay rates'!$L$13)*(1-EXP(-('Discounting metrics'!$D$4+'Allometrics &amp; Decay rates'!$L$13)*'Discounting metrics'!$E$4))-(1-EXP(-'Allometrics &amp; Decay rates'!$L$13))/1.55))</f>
        <v>0.1367210077325906</v>
      </c>
      <c r="EV23" s="108">
        <f t="shared" si="58"/>
        <v>16.701944980213778</v>
      </c>
      <c r="EW23" s="550">
        <f>AL23*BV23*$DK23*((EXP('Allometrics &amp; Decay rates'!$M$5)-1)/('Discounting metrics'!$D$4+'Allometrics &amp; Decay rates'!$M$5)*(1-EXP(-('Discounting metrics'!$D$4+'Allometrics &amp; Decay rates'!$M$5)*'Discounting metrics'!$E$4))-(1-EXP(-'Allometrics &amp; Decay rates'!$M$5))/1.55)</f>
        <v>0.10831078917524886</v>
      </c>
      <c r="EX23" s="550">
        <f>AM23*BW23*$DK23*((EXP('Allometrics &amp; Decay rates'!$M$5)-1)/('Discounting metrics'!$D$4+'Allometrics &amp; Decay rates'!$M$5)*(1-EXP(-('Discounting metrics'!$D$4+'Allometrics &amp; Decay rates'!$M$5)*'Discounting metrics'!$E$4))-(1-EXP(-'Allometrics &amp; Decay rates'!$M$5))/1.55)</f>
        <v>3.7595565461192231</v>
      </c>
      <c r="EY23" s="550">
        <f>AN23*BX23*$DK23*((EXP('Allometrics &amp; Decay rates'!$M$5)-1)/('Discounting metrics'!$D$4+'Allometrics &amp; Decay rates'!$M$5)*(1-EXP(-('Discounting metrics'!$D$4+'Allometrics &amp; Decay rates'!$M$5)*'Discounting metrics'!$E$4))-(1-EXP(-'Allometrics &amp; Decay rates'!$M$5))/1.55)</f>
        <v>8.2889671911536702</v>
      </c>
      <c r="EZ23" s="550">
        <f>AO23*BY23*$DK23*((EXP('Allometrics &amp; Decay rates'!$M$5)-1)/('Discounting metrics'!$D$4+'Allometrics &amp; Decay rates'!$M$5)*(1-EXP(-('Discounting metrics'!$D$4+'Allometrics &amp; Decay rates'!$M$5)*'Discounting metrics'!$E$4))-(1-EXP(-'Allometrics &amp; Decay rates'!$M$5))/1.55)</f>
        <v>0.12009520093495223</v>
      </c>
      <c r="FA23" s="550">
        <f>AP23*BZ23*$DK23*((EXP('Allometrics &amp; Decay rates'!$M$5)-1)/('Discounting metrics'!$D$4+'Allometrics &amp; Decay rates'!$M$5)*(1-EXP(-('Discounting metrics'!$D$4+'Allometrics &amp; Decay rates'!$M$5)*'Discounting metrics'!$E$4))-(1-EXP(-'Allometrics &amp; Decay rates'!$M$5))/1.55)</f>
        <v>2.5696464525712841</v>
      </c>
      <c r="FB23" s="550">
        <f>AQ23*CA23*$DK23*((EXP('Allometrics &amp; Decay rates'!$M$5)-1)/('Discounting metrics'!$D$4+'Allometrics &amp; Decay rates'!$M$5)*(1-EXP(-('Discounting metrics'!$D$4+'Allometrics &amp; Decay rates'!$M$5)*'Discounting metrics'!$E$4))-(1-EXP(-'Allometrics &amp; Decay rates'!$M$5))/1.55)</f>
        <v>1.8552115897748587</v>
      </c>
      <c r="FC23" s="550">
        <f>AR23*CB23*$DK23*((EXP('Allometrics &amp; Decay rates'!$M$5)-1)/('Discounting metrics'!$D$4+'Allometrics &amp; Decay rates'!$M$5)*(1-EXP(-('Discounting metrics'!$D$4+'Allometrics &amp; Decay rates'!$M$5)*'Discounting metrics'!$E$4))-(1-EXP(-'Allometrics &amp; Decay rates'!$M$5))/1.55)</f>
        <v>1.572104845411228E-4</v>
      </c>
      <c r="FD23" s="261">
        <f t="shared" si="59"/>
        <v>22.059986524771706</v>
      </c>
      <c r="FE23" s="154">
        <f t="shared" si="60"/>
        <v>0.79728803220541544</v>
      </c>
      <c r="FF23" s="108">
        <f t="shared" si="61"/>
        <v>13.264361091984341</v>
      </c>
      <c r="FG23" s="126">
        <f>'Allometrics &amp; Decay rates'!$H$5*$AU23*CG23+'Allometrics &amp; Decay rates'!$H$6*$AV23*CH23+'Allometrics &amp; Decay rates'!$H$7*$AW23*CI23+'Allometrics &amp; Decay rates'!$H$8*$AX23*CJ23+'Allometrics &amp; Decay rates'!$H$9*$AY23*CK23+'Allometrics &amp; Decay rates'!$H$10*$AZ23*CL23+'Allometrics &amp; Decay rates'!$H$11*$BA23*CM23+'Allometrics &amp; Decay rates'!$H$12*$BB23*CN23+'Allometrics &amp; Decay rates'!$H$13*$BC23*CO23</f>
        <v>7.3777908896675353</v>
      </c>
      <c r="FH23" s="97">
        <f t="shared" si="62"/>
        <v>6.7885702023168051</v>
      </c>
      <c r="FI23" s="550">
        <f>AU23*CG23*('Allometrics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2.9677623274905033E-2</v>
      </c>
      <c r="FJ23" s="550">
        <f>AV23*CH23*('Allometrics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5.4915544618228944</v>
      </c>
      <c r="FK23" s="550">
        <f>AW23*CI23*('Allometrics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0.59415270740655435</v>
      </c>
      <c r="FL23" s="550">
        <f>AX23*CJ23*('Allometrics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8.8936612537294013E-2</v>
      </c>
      <c r="FM23" s="550">
        <f>AY23*CK23*('Allometrics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0.33859429100969929</v>
      </c>
      <c r="FN23" s="550">
        <f>AZ23*CL23*('Allometrics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0.24332449192591182</v>
      </c>
      <c r="FO23" s="550">
        <f>BA23*CM23*('Allometrics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2.3116635703569872E-3</v>
      </c>
      <c r="FP23" s="550">
        <f>BB23*CN23*('Allometrics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Q23" s="550">
        <f>BC23*CO23*('Allometrics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1.8350769189173688E-5</v>
      </c>
      <c r="FR23" s="108">
        <f t="shared" si="150"/>
        <v>8.7956254327873644</v>
      </c>
      <c r="FS23" s="550">
        <f>AU23*CQ23*$DK23*((EXP('Allometrics &amp; Decay rates'!$M$5)-1)/('Discounting metrics'!$D$4+'Allometrics &amp; Decay rates'!$M$5)*(1-EXP(-('Discounting metrics'!$D$4+'Allometrics &amp; Decay rates'!$M$5)*'Discounting metrics'!$E$4))-(1-EXP(-'Allometrics &amp; Decay rates'!$M$5))/1.55)</f>
        <v>1.5467072230648221E-2</v>
      </c>
      <c r="FT23" s="550">
        <f>AV23*CR23*$DK23*((EXP('Allometrics &amp; Decay rates'!$M$5)-1)/('Discounting metrics'!$D$4+'Allometrics &amp; Decay rates'!$M$5)*(1-EXP(-('Discounting metrics'!$D$4+'Allometrics &amp; Decay rates'!$M$5)*'Discounting metrics'!$E$4))-(1-EXP(-'Allometrics &amp; Decay rates'!$M$5))/1.55)</f>
        <v>2.6094149292140352</v>
      </c>
      <c r="FU23" s="550">
        <f>AW23*CS23*$DK23*((EXP('Allometrics &amp; Decay rates'!$M$5)-1)/('Discounting metrics'!$D$4+'Allometrics &amp; Decay rates'!$M$5)*(1-EXP(-('Discounting metrics'!$D$4+'Allometrics &amp; Decay rates'!$M$5)*'Discounting metrics'!$E$4))-(1-EXP(-'Allometrics &amp; Decay rates'!$M$5))/1.55)</f>
        <v>0.81992333055509459</v>
      </c>
      <c r="FV23" s="550">
        <f>AX23*CT23*$DK23*((EXP('Allometrics &amp; Decay rates'!$M$5)-1)/('Discounting metrics'!$D$4+'Allometrics &amp; Decay rates'!$M$5)*(1-EXP(-('Discounting metrics'!$D$4+'Allometrics &amp; Decay rates'!$M$5)*'Discounting metrics'!$E$4))-(1-EXP(-'Allometrics &amp; Decay rates'!$M$5))/1.55)</f>
        <v>0.76288043611975331</v>
      </c>
      <c r="FW23" s="550">
        <f>AY23*CU23*$DK23*((EXP('Allometrics &amp; Decay rates'!$M$5)-1)/('Discounting metrics'!$D$4+'Allometrics &amp; Decay rates'!$M$5)*(1-EXP(-('Discounting metrics'!$D$4+'Allometrics &amp; Decay rates'!$M$5)*'Discounting metrics'!$E$4))-(1-EXP(-'Allometrics &amp; Decay rates'!$M$5))/1.55)</f>
        <v>2.0713171533114512</v>
      </c>
      <c r="FX23" s="550">
        <f>AZ23*CV23*$DK23*((EXP('Allometrics &amp; Decay rates'!$M$5)-1)/('Discounting metrics'!$D$4+'Allometrics &amp; Decay rates'!$M$5)*(1-EXP(-('Discounting metrics'!$D$4+'Allometrics &amp; Decay rates'!$M$5)*'Discounting metrics'!$E$4))-(1-EXP(-'Allometrics &amp; Decay rates'!$M$5))/1.55)</f>
        <v>2.5092524581965931</v>
      </c>
      <c r="FY23" s="550">
        <f>BA23*CW23*$DK23*((EXP('Allometrics &amp; Decay rates'!$M$5)-1)/('Discounting metrics'!$D$4+'Allometrics &amp; Decay rates'!$M$5)*(1-EXP(-('Discounting metrics'!$D$4+'Allometrics &amp; Decay rates'!$M$5)*'Discounting metrics'!$E$4))-(1-EXP(-'Allometrics &amp; Decay rates'!$M$5))/1.55)</f>
        <v>7.370053159789009E-3</v>
      </c>
      <c r="FZ23" s="68"/>
      <c r="GA23" s="293"/>
      <c r="GB23" s="293"/>
      <c r="GP23" s="32">
        <f t="shared" si="151"/>
        <v>4.6292985611510797</v>
      </c>
      <c r="GQ23" s="33">
        <v>4.76</v>
      </c>
      <c r="GR23" s="99">
        <v>3.07</v>
      </c>
      <c r="GS23" s="99"/>
      <c r="GT23" s="99"/>
      <c r="GU23" s="99"/>
      <c r="GV23" s="99"/>
      <c r="GW23" s="99"/>
      <c r="GX23" s="99"/>
      <c r="GY23" s="99"/>
      <c r="GZ23" s="99"/>
      <c r="HA23" s="99"/>
      <c r="HB23" s="99"/>
      <c r="HF23" s="97">
        <f t="shared" si="63"/>
        <v>0.64333107243188259</v>
      </c>
      <c r="HG23" s="526">
        <f>EE23/'Discounting metrics'!E$4/M23</f>
        <v>0.73105803685441206</v>
      </c>
      <c r="HH23" s="527">
        <f t="shared" si="64"/>
        <v>52.218431203886574</v>
      </c>
      <c r="HI23" s="528">
        <f t="shared" si="65"/>
        <v>6.0921503071201011</v>
      </c>
      <c r="HJ23" s="97">
        <f t="shared" si="66"/>
        <v>0.68362031259236056</v>
      </c>
      <c r="HK23" s="526">
        <f>EH23/'Discounting metrics'!E$4/O23</f>
        <v>0.77684126430950062</v>
      </c>
      <c r="HL23" s="527">
        <f t="shared" si="67"/>
        <v>55.488661736392899</v>
      </c>
      <c r="HM23" s="528">
        <f t="shared" si="68"/>
        <v>6.4736772025791725</v>
      </c>
      <c r="HN23" s="97">
        <f t="shared" si="69"/>
        <v>0.2740435078412729</v>
      </c>
      <c r="HO23" s="526">
        <f>FD23/'Discounting metrics'!E$4/Q23</f>
        <v>0.31141307709235555</v>
      </c>
      <c r="HP23" s="527">
        <f t="shared" si="70"/>
        <v>22.243791220882539</v>
      </c>
      <c r="HQ23" s="528">
        <f t="shared" si="71"/>
        <v>2.5951089757696297</v>
      </c>
      <c r="HR23" s="97">
        <f t="shared" si="72"/>
        <v>0.89548788140008295</v>
      </c>
      <c r="HS23" s="263">
        <f t="shared" si="73"/>
        <v>1.017599865227367</v>
      </c>
      <c r="HT23" s="527">
        <f t="shared" si="74"/>
        <v>72.685704659097638</v>
      </c>
      <c r="HU23" s="528">
        <f t="shared" si="75"/>
        <v>8.4799988768947259</v>
      </c>
      <c r="HV23" s="97">
        <f t="shared" si="76"/>
        <v>0.94224690228816899</v>
      </c>
      <c r="HW23" s="263">
        <f t="shared" si="28"/>
        <v>1.0707351162365557</v>
      </c>
      <c r="HX23" s="527">
        <f t="shared" si="77"/>
        <v>76.481079731182561</v>
      </c>
      <c r="HY23" s="528">
        <f t="shared" si="78"/>
        <v>8.9227926353046314</v>
      </c>
      <c r="HZ23" s="97">
        <f t="shared" si="79"/>
        <v>1.9514880000000001</v>
      </c>
      <c r="IA23" s="263">
        <f t="shared" si="29"/>
        <v>0.53056691645652876</v>
      </c>
      <c r="IB23" s="527">
        <f t="shared" si="80"/>
        <v>158.4</v>
      </c>
      <c r="IC23" s="528">
        <f t="shared" si="81"/>
        <v>18.48</v>
      </c>
      <c r="ID23" s="97">
        <f t="shared" si="82"/>
        <v>1.795152740968057</v>
      </c>
      <c r="IE23" s="263">
        <f t="shared" si="30"/>
        <v>2.0399462965546102</v>
      </c>
      <c r="IF23" s="68">
        <f t="shared" si="83"/>
        <v>145.71044975390072</v>
      </c>
      <c r="IG23" s="97">
        <f t="shared" si="84"/>
        <v>1.8888888888888886</v>
      </c>
      <c r="IH23" s="263">
        <f t="shared" si="31"/>
        <v>2.1464646464646462</v>
      </c>
      <c r="II23" s="68">
        <f t="shared" si="85"/>
        <v>153.3189033189033</v>
      </c>
      <c r="IJ23" s="97">
        <f t="shared" si="86"/>
        <v>0.93597560975609762</v>
      </c>
      <c r="IK23" s="263">
        <f t="shared" si="32"/>
        <v>1.063608647450111</v>
      </c>
      <c r="IL23" s="68">
        <f t="shared" si="87"/>
        <v>75.972046246436506</v>
      </c>
      <c r="IM23" s="60"/>
      <c r="IN23" s="60"/>
      <c r="IO23" s="60"/>
      <c r="IP23" s="554">
        <f t="shared" si="88"/>
        <v>30.244224999743999</v>
      </c>
      <c r="IQ23" s="262">
        <f t="shared" si="89"/>
        <v>0.21093754358867345</v>
      </c>
      <c r="IR23" s="166">
        <f t="shared" si="90"/>
        <v>0.23970175407803801</v>
      </c>
      <c r="IS23" s="68">
        <f t="shared" si="91"/>
        <v>17.121553862717001</v>
      </c>
      <c r="IT23" s="97">
        <f t="shared" si="92"/>
        <v>1.9975146173169835</v>
      </c>
      <c r="IU23" s="429">
        <f>(IX23*C23+JE23*D23)/B23</f>
        <v>1.5500719424460432E-2</v>
      </c>
      <c r="IV23" s="262">
        <f t="shared" si="93"/>
        <v>0.23395081066666668</v>
      </c>
      <c r="IW23" s="436">
        <f t="shared" si="94"/>
        <v>0.26585319393939394</v>
      </c>
      <c r="IX23" s="101">
        <v>1.6799999999999999E-2</v>
      </c>
      <c r="IY23" s="101">
        <v>1.2E-2</v>
      </c>
      <c r="IZ23" s="101">
        <v>0.76700000000000002</v>
      </c>
      <c r="JA23" s="429">
        <f t="shared" si="153"/>
        <v>0.22099999999999997</v>
      </c>
      <c r="JB23" s="430">
        <f>IY23*$JJ23+IZ23*$JK23+JA23*$JL23+'Discounting metrics'!$B$6*(IY23*$JM23+IZ23*$JN23+JA23*$JO23)/10^3+'Discounting metrics'!$B$5*(IY23*$JP23+IZ23*$JQ23+JA23*$JR23)/10^3</f>
        <v>35.092621600000001</v>
      </c>
      <c r="JC23" s="262">
        <f t="shared" si="95"/>
        <v>0</v>
      </c>
      <c r="JD23" s="436">
        <f t="shared" si="96"/>
        <v>0</v>
      </c>
      <c r="JE23" s="101">
        <v>0</v>
      </c>
      <c r="JF23" s="433">
        <v>1</v>
      </c>
      <c r="JG23" s="433">
        <v>0</v>
      </c>
      <c r="JH23" s="434">
        <f t="shared" si="154"/>
        <v>0</v>
      </c>
      <c r="JI23" s="430">
        <f>JF23*$JJ23+JG23*$JK23+JH23*$JL23+'Discounting metrics'!$B$6*(JF23*$JM23+JG23*$JN23+JH23*$JO23)/10^3+'Discounting metrics'!$B$5*(JF23*$JP23+JG23*$JQ23+JH23*$JR23)/10^3</f>
        <v>54.558</v>
      </c>
      <c r="JJ23" s="431">
        <v>51.3</v>
      </c>
      <c r="JK23" s="431">
        <v>29</v>
      </c>
      <c r="JL23" s="431">
        <v>29</v>
      </c>
      <c r="JM23" s="99">
        <v>5</v>
      </c>
      <c r="JN23" s="431">
        <v>13</v>
      </c>
      <c r="JO23" s="431">
        <v>13</v>
      </c>
      <c r="JP23" s="431">
        <v>52</v>
      </c>
      <c r="JQ23" s="431">
        <v>58.3</v>
      </c>
      <c r="JR23" s="431">
        <v>58.3</v>
      </c>
      <c r="JS23" s="554">
        <f t="shared" si="97"/>
        <v>74.104593708850786</v>
      </c>
      <c r="JT23" s="554">
        <f t="shared" si="98"/>
        <v>20.9545940728452</v>
      </c>
      <c r="JU23" s="554">
        <f t="shared" si="99"/>
        <v>6.2529226693400002</v>
      </c>
      <c r="JV23" s="554">
        <f t="shared" si="100"/>
        <v>29.061773123671998</v>
      </c>
      <c r="JW23" s="554">
        <f t="shared" si="101"/>
        <v>17.8353038429936</v>
      </c>
      <c r="JX23" s="554"/>
      <c r="JY23" s="167">
        <f t="shared" si="102"/>
        <v>0.51684051966</v>
      </c>
      <c r="JZ23" s="166">
        <f t="shared" si="103"/>
        <v>0.58731877234090912</v>
      </c>
      <c r="KA23" s="68">
        <f t="shared" si="104"/>
        <v>41.951340881493515</v>
      </c>
      <c r="KB23" s="97">
        <f t="shared" si="105"/>
        <v>4.8943231028409091</v>
      </c>
      <c r="KC23" s="473">
        <f t="shared" si="106"/>
        <v>0.18975810254</v>
      </c>
      <c r="KD23" s="269">
        <f t="shared" si="107"/>
        <v>0.21563420743181819</v>
      </c>
      <c r="KE23" s="473">
        <f t="shared" si="108"/>
        <v>0.32708241712000002</v>
      </c>
      <c r="KF23" s="269">
        <f t="shared" si="109"/>
        <v>0.37168456490909091</v>
      </c>
      <c r="KG23" s="123"/>
      <c r="KH23" s="49"/>
      <c r="KI23" s="435">
        <v>0.14614725953999999</v>
      </c>
      <c r="KJ23" s="522">
        <f t="shared" si="110"/>
        <v>0.16607643129545455</v>
      </c>
      <c r="KK23" s="435">
        <v>4.3610843000000003E-2</v>
      </c>
      <c r="KL23" s="522">
        <f t="shared" si="111"/>
        <v>4.955777613636364E-2</v>
      </c>
      <c r="KM23" s="435">
        <v>0.2026905644</v>
      </c>
      <c r="KN23" s="522">
        <f t="shared" si="112"/>
        <v>0.23033018681818182</v>
      </c>
      <c r="KO23" s="435">
        <v>0.12439185272</v>
      </c>
      <c r="KP23" s="522">
        <f t="shared" si="113"/>
        <v>0.14135437809090909</v>
      </c>
      <c r="KQ23" s="599">
        <f t="shared" si="114"/>
        <v>3.5075666615517913</v>
      </c>
      <c r="KR23" s="527">
        <f t="shared" si="115"/>
        <v>250.54047582512794</v>
      </c>
      <c r="KS23" s="528">
        <f t="shared" si="116"/>
        <v>29.229722179598262</v>
      </c>
      <c r="KT23" s="599">
        <f t="shared" si="117"/>
        <v>3.7015899354151385</v>
      </c>
      <c r="KU23" s="527">
        <f t="shared" si="118"/>
        <v>264.39928110108133</v>
      </c>
      <c r="KV23" s="528">
        <f t="shared" si="119"/>
        <v>30.846582795126157</v>
      </c>
      <c r="KW23" s="599">
        <f t="shared" si="120"/>
        <v>1.7291667216795461</v>
      </c>
      <c r="KX23" s="527">
        <f t="shared" si="121"/>
        <v>123.51190869139614</v>
      </c>
      <c r="KY23" s="528">
        <f t="shared" si="122"/>
        <v>14.409722680662885</v>
      </c>
      <c r="KZ23" s="599">
        <f t="shared" si="123"/>
        <v>4.5582200322526258</v>
      </c>
      <c r="LA23" s="527">
        <f t="shared" si="124"/>
        <v>325.58714516090185</v>
      </c>
      <c r="LB23" s="528">
        <f t="shared" si="125"/>
        <v>37.985166935438549</v>
      </c>
      <c r="LC23" s="599">
        <f t="shared" si="126"/>
        <v>4.7792007258143405</v>
      </c>
      <c r="LD23" s="527">
        <f t="shared" si="127"/>
        <v>341.37148041531003</v>
      </c>
      <c r="LE23" s="528">
        <f t="shared" si="128"/>
        <v>39.826672715119507</v>
      </c>
      <c r="LF23" s="599">
        <f t="shared" si="129"/>
        <v>8.718518772340909</v>
      </c>
      <c r="LG23" s="527">
        <f t="shared" si="130"/>
        <v>622.75134088149355</v>
      </c>
      <c r="LH23" s="528">
        <f t="shared" si="131"/>
        <v>72.654323102840905</v>
      </c>
      <c r="LI23" s="31">
        <v>0.88</v>
      </c>
      <c r="LJ23" s="32">
        <f>$LI23*LK23</f>
        <v>16.015999999999998</v>
      </c>
      <c r="LK23" s="27">
        <v>18.2</v>
      </c>
      <c r="LL23" s="32">
        <f>$LI23*LM23</f>
        <v>12.32</v>
      </c>
      <c r="LM23" s="33">
        <v>14</v>
      </c>
      <c r="LN23" s="34">
        <f t="shared" si="152"/>
        <v>0.1056</v>
      </c>
      <c r="LO23" s="31">
        <v>0.12</v>
      </c>
      <c r="LP23" s="36">
        <f t="shared" si="132"/>
        <v>1.7600000000000001E-2</v>
      </c>
      <c r="LQ23" s="35">
        <v>0.02</v>
      </c>
    </row>
    <row r="24" spans="1:329" s="4" customFormat="1" x14ac:dyDescent="0.25">
      <c r="A24" s="4" t="s">
        <v>307</v>
      </c>
      <c r="B24" s="67">
        <f t="shared" si="133"/>
        <v>41.4</v>
      </c>
      <c r="C24" s="33">
        <v>38.6</v>
      </c>
      <c r="D24" s="33">
        <v>2.8</v>
      </c>
      <c r="E24" s="38">
        <f t="shared" si="134"/>
        <v>6.7632850241545889E-2</v>
      </c>
      <c r="F24" s="108">
        <f t="shared" si="16"/>
        <v>1.4148792270531401</v>
      </c>
      <c r="G24" s="32">
        <f t="shared" si="17"/>
        <v>1.2450937198067633</v>
      </c>
      <c r="H24" s="33">
        <v>1.26</v>
      </c>
      <c r="I24" s="32">
        <f t="shared" si="35"/>
        <v>1.1088</v>
      </c>
      <c r="J24" s="33">
        <v>3.55</v>
      </c>
      <c r="K24" s="32">
        <f t="shared" si="36"/>
        <v>3.1239999999999997</v>
      </c>
      <c r="L24" s="32">
        <f>(F24/'Discounting metrics'!$D$4*(1-EXP(-'Discounting metrics'!$D$4*'Discounting metrics'!$E$4)))/'Discounting metrics'!$E$4</f>
        <v>0.34724120251481577</v>
      </c>
      <c r="M24" s="32">
        <f>(G24/'Discounting metrics'!$D$4*(1-EXP(-'Discounting metrics'!$D$4*'Discounting metrics'!$E$4)))/'Discounting metrics'!$E$4</f>
        <v>0.30557225821303796</v>
      </c>
      <c r="N24" s="32">
        <f>(H24/'Discounting metrics'!$D$4*(1-EXP(-'Discounting metrics'!$D$4*'Discounting metrics'!$E$4)))/'Discounting metrics'!$E$4</f>
        <v>0.30923057375004875</v>
      </c>
      <c r="O24" s="32">
        <f>(I24/'Discounting metrics'!$D$4*(1-EXP(-'Discounting metrics'!$D$4*'Discounting metrics'!$E$4)))/'Discounting metrics'!$E$4</f>
        <v>0.27212290490004287</v>
      </c>
      <c r="P24" s="32">
        <f>(J24/'Discounting metrics'!$D$4*(1-EXP(-'Discounting metrics'!$D$4*'Discounting metrics'!$E$4)))/'Discounting metrics'!$E$4</f>
        <v>0.87124487048624843</v>
      </c>
      <c r="Q24" s="32">
        <f>(K24/'Discounting metrics'!$D$4*(1-EXP(-'Discounting metrics'!$D$4*'Discounting metrics'!$E$4)))/'Discounting metrics'!$E$4</f>
        <v>0.7666954860278985</v>
      </c>
      <c r="R24" s="32">
        <f t="shared" si="37"/>
        <v>8.031523925405379</v>
      </c>
      <c r="S24" s="32">
        <f t="shared" si="38"/>
        <v>9.0187590187590185</v>
      </c>
      <c r="T24" s="32">
        <f t="shared" si="39"/>
        <v>3.2010243277848915</v>
      </c>
      <c r="U24" s="107">
        <f t="shared" si="135"/>
        <v>58.576000000000001</v>
      </c>
      <c r="V24" s="68">
        <f t="shared" si="135"/>
        <v>51.546880000000002</v>
      </c>
      <c r="W24" s="68"/>
      <c r="X24" s="67">
        <f t="shared" si="40"/>
        <v>48.636000000000003</v>
      </c>
      <c r="Y24" s="67">
        <f t="shared" si="41"/>
        <v>42.799680000000002</v>
      </c>
      <c r="Z24" s="67">
        <f t="shared" si="41"/>
        <v>9.94</v>
      </c>
      <c r="AA24" s="67">
        <f t="shared" si="42"/>
        <v>8.7471999999999976</v>
      </c>
      <c r="AB24" s="38">
        <f t="shared" si="136"/>
        <v>0.16969407265774372</v>
      </c>
      <c r="AC24" s="294">
        <f t="shared" si="43"/>
        <v>0.2061921660418892</v>
      </c>
      <c r="AD24" s="294">
        <f t="shared" si="43"/>
        <v>7.8546765716909772E-2</v>
      </c>
      <c r="AE24" s="294">
        <f t="shared" si="43"/>
        <v>1.1613609806009458E-2</v>
      </c>
      <c r="AF24" s="294">
        <f t="shared" si="43"/>
        <v>0.48759384583377735</v>
      </c>
      <c r="AG24" s="294">
        <f t="shared" si="43"/>
        <v>5.1801610003975131E-2</v>
      </c>
      <c r="AH24" s="294">
        <f t="shared" si="43"/>
        <v>0.11357181753211001</v>
      </c>
      <c r="AI24" s="294">
        <f t="shared" si="43"/>
        <v>4.3018354861055833E-2</v>
      </c>
      <c r="AJ24" s="294">
        <f t="shared" si="43"/>
        <v>7.4144829390221136E-3</v>
      </c>
      <c r="AK24" s="294">
        <f t="shared" si="43"/>
        <v>2.4579287253669691E-4</v>
      </c>
      <c r="AL24" s="433">
        <v>0.21770880332473203</v>
      </c>
      <c r="AM24" s="433">
        <v>8.0640490153734951E-2</v>
      </c>
      <c r="AN24" s="433">
        <v>1.1553792598749904E-2</v>
      </c>
      <c r="AO24" s="433">
        <v>0.50407796371559088</v>
      </c>
      <c r="AP24" s="433">
        <v>5.0964700266447407E-2</v>
      </c>
      <c r="AQ24" s="433">
        <v>0.1007157315116729</v>
      </c>
      <c r="AR24" s="433">
        <v>2.9575306893254664E-2</v>
      </c>
      <c r="AS24" s="433">
        <v>4.5120136755429918E-3</v>
      </c>
      <c r="AT24" s="433">
        <v>2.5035568958677989E-4</v>
      </c>
      <c r="AU24" s="433">
        <v>4.7427094928412877E-2</v>
      </c>
      <c r="AV24" s="433">
        <v>4.9683278837819866E-2</v>
      </c>
      <c r="AW24" s="433">
        <v>1.2438232734659015E-2</v>
      </c>
      <c r="AX24" s="433">
        <v>0.26034850646306196</v>
      </c>
      <c r="AY24" s="433">
        <v>6.3339008528464413E-2</v>
      </c>
      <c r="AZ24" s="433">
        <v>0.29080214624242151</v>
      </c>
      <c r="BA24" s="433">
        <v>0.22834037327431478</v>
      </c>
      <c r="BB24" s="433">
        <v>4.7427094928412877E-2</v>
      </c>
      <c r="BC24" s="433">
        <v>1.8289118034626672E-4</v>
      </c>
      <c r="BD24" s="554">
        <f t="shared" si="44"/>
        <v>4.5252550845427475</v>
      </c>
      <c r="BE24" s="554">
        <f t="shared" si="44"/>
        <v>1.0934846631318935</v>
      </c>
      <c r="BF24" s="554">
        <f t="shared" si="44"/>
        <v>3.431770421410854</v>
      </c>
      <c r="BG24" s="67">
        <f t="shared" si="137"/>
        <v>109.30567837059778</v>
      </c>
      <c r="BH24" s="67">
        <f t="shared" si="45"/>
        <v>26.412673022509505</v>
      </c>
      <c r="BI24" s="67">
        <f t="shared" si="46"/>
        <v>82.893005348088266</v>
      </c>
      <c r="BJ24" s="67">
        <f t="shared" si="47"/>
        <v>111.77439433558092</v>
      </c>
      <c r="BK24" s="68">
        <f t="shared" si="138"/>
        <v>27.324631010892116</v>
      </c>
      <c r="BL24" s="145">
        <v>60.204757956334078</v>
      </c>
      <c r="BM24" s="145">
        <v>54.722671726407306</v>
      </c>
      <c r="BN24" s="145">
        <v>19.770748401761331</v>
      </c>
      <c r="BO24" s="145">
        <v>18.02021206803709</v>
      </c>
      <c r="BP24" s="145">
        <v>4.0566887322069807</v>
      </c>
      <c r="BQ24" s="145">
        <v>0.84475259467098718</v>
      </c>
      <c r="BR24" s="145">
        <v>3.8092662317569533E-2</v>
      </c>
      <c r="BS24" s="145">
        <v>44.013318049653122</v>
      </c>
      <c r="BT24" s="145">
        <v>4.3941631055223489</v>
      </c>
      <c r="BU24" s="68">
        <f t="shared" si="139"/>
        <v>84.449763324688803</v>
      </c>
      <c r="BV24" s="145">
        <v>65.019613848767989</v>
      </c>
      <c r="BW24" s="145">
        <v>56.173066939654241</v>
      </c>
      <c r="BX24" s="145">
        <v>77.603938759903016</v>
      </c>
      <c r="BY24" s="145">
        <v>119.79008581535558</v>
      </c>
      <c r="BZ24" s="145">
        <v>44.969546133932035</v>
      </c>
      <c r="CA24" s="145">
        <v>19.711408861936448</v>
      </c>
      <c r="CB24" s="145">
        <v>0.26063450376038916</v>
      </c>
      <c r="CC24" s="145">
        <v>43.637189882115941</v>
      </c>
      <c r="CD24" s="145">
        <v>10.891143538769914</v>
      </c>
      <c r="CE24" s="68">
        <f t="shared" si="140"/>
        <v>75.272665424758557</v>
      </c>
      <c r="CF24" s="68">
        <f t="shared" si="141"/>
        <v>13.840680754092093</v>
      </c>
      <c r="CG24" s="106">
        <v>77.785530775366709</v>
      </c>
      <c r="CH24" s="106">
        <v>73.815317749716513</v>
      </c>
      <c r="CI24" s="106">
        <v>22.056525789001061</v>
      </c>
      <c r="CJ24" s="106">
        <v>21.320882235372736</v>
      </c>
      <c r="CK24" s="106">
        <v>3.8983002226604189</v>
      </c>
      <c r="CL24" s="106">
        <v>0.86272608305073739</v>
      </c>
      <c r="CM24" s="106">
        <v>2.0144217211029006E-2</v>
      </c>
      <c r="CN24" s="106">
        <v>3.3008796911041771</v>
      </c>
      <c r="CO24" s="106">
        <v>0</v>
      </c>
      <c r="CP24" s="68">
        <f t="shared" si="142"/>
        <v>61.431984670666466</v>
      </c>
      <c r="CQ24" s="106">
        <v>82.402943658781624</v>
      </c>
      <c r="CR24" s="106">
        <v>73.704870346986326</v>
      </c>
      <c r="CS24" s="106">
        <v>90.384390025222402</v>
      </c>
      <c r="CT24" s="106">
        <v>159.75750694542293</v>
      </c>
      <c r="CU24" s="106">
        <v>46.011790179209321</v>
      </c>
      <c r="CV24" s="106">
        <v>27.514998894234601</v>
      </c>
      <c r="CW24" s="106">
        <v>0.25388798352864472</v>
      </c>
      <c r="CX24" s="106">
        <v>3.613285327022671</v>
      </c>
      <c r="CY24" s="106">
        <v>0</v>
      </c>
      <c r="CZ24" s="554">
        <f t="shared" si="48"/>
        <v>2.5899362160581405</v>
      </c>
      <c r="DA24" s="554">
        <f t="shared" si="48"/>
        <v>1.6108400000000002E-2</v>
      </c>
      <c r="DB24" s="554">
        <f t="shared" si="48"/>
        <v>2.5738278160581403</v>
      </c>
      <c r="DC24" s="32">
        <f t="shared" si="143"/>
        <v>62.558845798505807</v>
      </c>
      <c r="DD24" s="32">
        <f t="shared" si="49"/>
        <v>0.38909178743961359</v>
      </c>
      <c r="DE24" s="67">
        <f t="shared" si="49"/>
        <v>62.169754011066196</v>
      </c>
      <c r="DF24" s="270"/>
      <c r="DG24" s="67">
        <f t="shared" si="144"/>
        <v>63.683822493516601</v>
      </c>
      <c r="DH24" s="32">
        <f t="shared" si="50"/>
        <v>0.34650000000000003</v>
      </c>
      <c r="DI24" s="67">
        <f t="shared" si="51"/>
        <v>63.337322493516602</v>
      </c>
      <c r="DJ24" s="67"/>
      <c r="DK24" s="34">
        <f t="shared" si="145"/>
        <v>0.25</v>
      </c>
      <c r="DL24" s="159"/>
      <c r="DM24" s="159"/>
      <c r="DN24" s="68">
        <f t="shared" si="146"/>
        <v>47.050238502999854</v>
      </c>
      <c r="DO24" s="32">
        <f t="shared" si="52"/>
        <v>0.97624999999999984</v>
      </c>
      <c r="DP24" s="67">
        <f t="shared" si="53"/>
        <v>46.073988502999853</v>
      </c>
      <c r="DQ24" s="67"/>
      <c r="DR24" s="34">
        <f t="shared" si="147"/>
        <v>0.25</v>
      </c>
      <c r="DS24" s="554"/>
      <c r="DT24" s="554"/>
      <c r="DU24" s="554"/>
      <c r="DV24" s="67">
        <f t="shared" si="23"/>
        <v>46.746832572091968</v>
      </c>
      <c r="DW24" s="67">
        <f t="shared" si="23"/>
        <v>26.023581235069891</v>
      </c>
      <c r="DX24" s="67">
        <f t="shared" si="23"/>
        <v>20.72325133702207</v>
      </c>
      <c r="DY24" s="67">
        <f t="shared" si="24"/>
        <v>48.090571842064321</v>
      </c>
      <c r="DZ24" s="67">
        <f t="shared" si="24"/>
        <v>26.978131010892117</v>
      </c>
      <c r="EA24" s="67">
        <f t="shared" si="25"/>
        <v>21.112440831172201</v>
      </c>
      <c r="EB24" s="67">
        <f t="shared" si="26"/>
        <v>28.222426921758704</v>
      </c>
      <c r="EC24" s="67">
        <f t="shared" si="26"/>
        <v>12.864430754092092</v>
      </c>
      <c r="ED24" s="67">
        <f t="shared" si="27"/>
        <v>15.357996167666613</v>
      </c>
      <c r="EE24" s="68">
        <f t="shared" si="54"/>
        <v>37.773214278382653</v>
      </c>
      <c r="EF24" s="67">
        <f t="shared" si="55"/>
        <v>21.61573885145916</v>
      </c>
      <c r="EG24" s="67">
        <f t="shared" si="148"/>
        <v>16.15747542692349</v>
      </c>
      <c r="EH24" s="261">
        <f t="shared" si="149"/>
        <v>38.920164070294682</v>
      </c>
      <c r="EI24" s="154">
        <f t="shared" si="56"/>
        <v>0.80930965425226287</v>
      </c>
      <c r="EJ24" s="108">
        <f t="shared" si="57"/>
        <v>22.458893774524292</v>
      </c>
      <c r="EK24" s="126">
        <f>'Allometrics &amp; Decay rates'!$H$5*$AL24*BL24+'Allometrics &amp; Decay rates'!$H$6*$AM24*BM24+'Allometrics &amp; Decay rates'!$H$7*$AN24*BN24+'Allometrics &amp; Decay rates'!$H$8*$AO24*BO24+'Allometrics &amp; Decay rates'!$H$9*$AP24*BP24+'Allometrics &amp; Decay rates'!$H$10*$AQ24*BQ24+'Allometrics &amp; Decay rates'!$H$11*$AR24*BR24+'Allometrics &amp; Decay rates'!$H$12*$AS24*BS24+'Allometrics &amp; Decay rates'!$H$13*$AT24*BT24</f>
        <v>11.154650473323573</v>
      </c>
      <c r="EL24" s="97">
        <f>SUM(EM24:EU24)</f>
        <v>11.650743301200718</v>
      </c>
      <c r="EM24" s="550">
        <f>AL24*BL24*('Allometrics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5.1383468739831164</v>
      </c>
      <c r="EN24" s="550">
        <f>AM24*BM24*('Allometrics &amp; Decay rates'!$I$6*((EXP('Allometrics &amp; Decay rates'!$K$6)-1)/('Discounting metrics'!$D$4+'Allometrics &amp; Decay rates'!$K$6)*(1-EXP(-('Discounting metrics'!$D$4+'Allometrics &amp; Decay rates'!$K$6)*'Discounting metrics'!$E$4))-(1-EXP(-'Allometrics &amp; Decay rates'!$K$6))/1.55)+'Allometrics &amp; Decay rates'!$E$6*((EXP('Allometrics &amp; Decay rates'!$L$6)-1)/('Discounting metrics'!$D$4+'Allometrics &amp; Decay rates'!$L$6)*(1-EXP(-('Discounting metrics'!$D$4+'Allometrics &amp; Decay rates'!$L$6)*'Discounting metrics'!$E$4))-(1-EXP(-'Allometrics &amp; Decay rates'!$L$6))/1.55))</f>
        <v>1.0762434887961958</v>
      </c>
      <c r="EO24" s="550">
        <f>AN24*BN24*('Allometrics &amp; Decay rates'!$I$7*((EXP('Allometrics &amp; Decay rates'!$K$7)-1)/('Discounting metrics'!$D$4+'Allometrics &amp; Decay rates'!$K$7)*(1-EXP(-('Discounting metrics'!$D$4+'Allometrics &amp; Decay rates'!$K$7)*'Discounting metrics'!$E$4))-(1-EXP(-'Allometrics &amp; Decay rates'!$K$7))/1.55)+'Allometrics &amp; Decay rates'!$E$7*((EXP('Allometrics &amp; Decay rates'!$L$7)-1)/('Discounting metrics'!$D$4+'Allometrics &amp; Decay rates'!$L$7)*(1-EXP(-('Discounting metrics'!$D$4+'Allometrics &amp; Decay rates'!$L$7)*'Discounting metrics'!$E$4))-(1-EXP(-'Allometrics &amp; Decay rates'!$L$7))/1.55))</f>
        <v>4.8634754565902896E-2</v>
      </c>
      <c r="EP24" s="550">
        <f>AO24*BO24*('Allometrics &amp; Decay rates'!$I$8*((EXP('Allometrics &amp; Decay rates'!$K$8)-1)/('Discounting metrics'!$D$4+'Allometrics &amp; Decay rates'!$K$8)*(1-EXP(-('Discounting metrics'!$D$4+'Allometrics &amp; Decay rates'!$K$8)*'Discounting metrics'!$E$4))-(1-EXP(-'Allometrics &amp; Decay rates'!$K$8))/1.55)+'Allometrics &amp; Decay rates'!$E$8*((EXP('Allometrics &amp; Decay rates'!$L$8)-1)/('Discounting metrics'!$D$4+'Allometrics &amp; Decay rates'!$L$8)*(1-EXP(-('Discounting metrics'!$D$4+'Allometrics &amp; Decay rates'!$L$8)*'Discounting metrics'!$E$4))-(1-EXP(-'Allometrics &amp; Decay rates'!$L$8))/1.55))</f>
        <v>5.1428245509744928</v>
      </c>
      <c r="EQ24" s="550">
        <f>AP24*BP24*('Allometrics &amp; Decay rates'!$I$9*((EXP('Allometrics &amp; Decay rates'!$K$9)-1)/('Discounting metrics'!$D$4+'Allometrics &amp; Decay rates'!$K$9)*(1-EXP(-('Discounting metrics'!$D$4+'Allometrics &amp; Decay rates'!$K$9)*'Discounting metrics'!$E$4))-(1-EXP(-'Allometrics &amp; Decay rates'!$K$9))/1.55)+'Allometrics &amp; Decay rates'!$E$9*((EXP('Allometrics &amp; Decay rates'!$L$9)-1)/('Discounting metrics'!$D$4+'Allometrics &amp; Decay rates'!$L$9)*(1-EXP(-('Discounting metrics'!$D$4+'Allometrics &amp; Decay rates'!$L$9)*'Discounting metrics'!$E$4))-(1-EXP(-'Allometrics &amp; Decay rates'!$L$9))/1.55))</f>
        <v>0.1083618866214239</v>
      </c>
      <c r="ER24" s="550">
        <f>AQ24*BQ24*('Allometrics &amp; Decay rates'!$I$10*((EXP('Allometrics &amp; Decay rates'!$K$10)-1)/('Discounting metrics'!$D$4+'Allometrics &amp; Decay rates'!$K$10)*(1-EXP(-('Discounting metrics'!$D$4+'Allometrics &amp; Decay rates'!$K$10)*'Discounting metrics'!$E$4))-(1-EXP(-'Allometrics &amp; Decay rates'!$K$10))/1.55)+'Allometrics &amp; Decay rates'!$E$10*((EXP('Allometrics &amp; Decay rates'!$L$10)-1)/('Discounting metrics'!$D$4+'Allometrics &amp; Decay rates'!$L$10)*(1-EXP(-('Discounting metrics'!$D$4+'Allometrics &amp; Decay rates'!$L$10)*'Discounting metrics'!$E$4))-(1-EXP(-'Allometrics &amp; Decay rates'!$L$10))/1.55))</f>
        <v>5.4126220672208313E-2</v>
      </c>
      <c r="ES24" s="550">
        <f>AR24*BR24*('Allometrics &amp; Decay rates'!$I$11*((EXP('Allometrics &amp; Decay rates'!$K$11)-1)/('Discounting metrics'!$D$4+'Allometrics &amp; Decay rates'!$K$11)*(1-EXP(-('Discounting metrics'!$D$4+'Allometrics &amp; Decay rates'!$K$11)*'Discounting metrics'!$E$4))-(1-EXP(-'Allometrics &amp; Decay rates'!$K$11))/1.55)+'Allometrics &amp; Decay rates'!$E$11*((EXP('Allometrics &amp; Decay rates'!$L$11)-1)/('Discounting metrics'!$D$4+'Allometrics &amp; Decay rates'!$L$11)*(1-EXP(-('Discounting metrics'!$D$4+'Allometrics &amp; Decay rates'!$L$11)*'Discounting metrics'!$E$4))-(1-EXP(-'Allometrics &amp; Decay rates'!$L$11))/1.55))</f>
        <v>7.9965233731110156E-4</v>
      </c>
      <c r="ET24" s="550">
        <f>AS24*BS24*('Allometrics &amp; Decay rates'!$I$12*((EXP('Allometrics &amp; Decay rates'!$K$12)-1)/('Discounting metrics'!$D$4+'Allometrics &amp; Decay rates'!$K$12)*(1-EXP(-('Discounting metrics'!$D$4+'Allometrics &amp; Decay rates'!$K$12)*'Discounting metrics'!$E$4))-(1-EXP(-'Allometrics &amp; Decay rates'!$K$12))/1.55)+'Allometrics &amp; Decay rates'!$E$12*((EXP('Allometrics &amp; Decay rates'!$L$12)-1)/('Discounting metrics'!$D$4+'Allometrics &amp; Decay rates'!$L$12)*(1-EXP(-('Discounting metrics'!$D$4+'Allometrics &amp; Decay rates'!$L$12)*'Discounting metrics'!$E$4))-(1-EXP(-'Allometrics &amp; Decay rates'!$L$12))/1.55))</f>
        <v>8.1033055453033534E-2</v>
      </c>
      <c r="EU24" s="550">
        <f>AT24*BT24*('Allometrics &amp; Decay rates'!$I$13*((EXP('Allometrics &amp; Decay rates'!$K$13)-1)/('Discounting metrics'!$D$4+'Allometrics &amp; Decay rates'!$K$13)*(1-EXP(-('Discounting metrics'!$D$4+'Allometrics &amp; Decay rates'!$K$13)*'Discounting metrics'!$E$4))-(1-EXP(-'Allometrics &amp; Decay rates'!$K$13))/1.55)+'Allometrics &amp; Decay rates'!$E$13*((EXP('Allometrics &amp; Decay rates'!$L$13)-1)/('Discounting metrics'!$D$4+'Allometrics &amp; Decay rates'!$L$13)*(1-EXP(-('Discounting metrics'!$D$4+'Allometrics &amp; Decay rates'!$L$13)*'Discounting metrics'!$E$4))-(1-EXP(-'Allometrics &amp; Decay rates'!$L$13))/1.55))</f>
        <v>3.7281779703428439E-4</v>
      </c>
      <c r="EV24" s="108">
        <f t="shared" si="58"/>
        <v>16.46127029577039</v>
      </c>
      <c r="EW24" s="550">
        <f>AL24*BV24*$DK24*((EXP('Allometrics &amp; Decay rates'!$M$5)-1)/('Discounting metrics'!$D$4+'Allometrics &amp; Decay rates'!$M$5)*(1-EXP(-('Discounting metrics'!$D$4+'Allometrics &amp; Decay rates'!$M$5)*'Discounting metrics'!$E$4))-(1-EXP(-'Allometrics &amp; Decay rates'!$M$5))/1.55)</f>
        <v>2.7657509186755429</v>
      </c>
      <c r="EX24" s="550">
        <f>AM24*BW24*$DK24*((EXP('Allometrics &amp; Decay rates'!$M$5)-1)/('Discounting metrics'!$D$4+'Allometrics &amp; Decay rates'!$M$5)*(1-EXP(-('Discounting metrics'!$D$4+'Allometrics &amp; Decay rates'!$M$5)*'Discounting metrics'!$E$4))-(1-EXP(-'Allometrics &amp; Decay rates'!$M$5))/1.55)</f>
        <v>0.88506258902049539</v>
      </c>
      <c r="EY24" s="550">
        <f>AN24*BX24*$DK24*((EXP('Allometrics &amp; Decay rates'!$M$5)-1)/('Discounting metrics'!$D$4+'Allometrics &amp; Decay rates'!$M$5)*(1-EXP(-('Discounting metrics'!$D$4+'Allometrics &amp; Decay rates'!$M$5)*'Discounting metrics'!$E$4))-(1-EXP(-'Allometrics &amp; Decay rates'!$M$5))/1.55)</f>
        <v>0.1751866550152536</v>
      </c>
      <c r="EZ24" s="550">
        <f>AO24*BY24*$DK24*((EXP('Allometrics &amp; Decay rates'!$M$5)-1)/('Discounting metrics'!$D$4+'Allometrics &amp; Decay rates'!$M$5)*(1-EXP(-('Discounting metrics'!$D$4+'Allometrics &amp; Decay rates'!$M$5)*'Discounting metrics'!$E$4))-(1-EXP(-'Allometrics &amp; Decay rates'!$M$5))/1.55)</f>
        <v>11.798078379869914</v>
      </c>
      <c r="FA24" s="550">
        <f>AP24*BZ24*$DK24*((EXP('Allometrics &amp; Decay rates'!$M$5)-1)/('Discounting metrics'!$D$4+'Allometrics &amp; Decay rates'!$M$5)*(1-EXP(-('Discounting metrics'!$D$4+'Allometrics &amp; Decay rates'!$M$5)*'Discounting metrics'!$E$4))-(1-EXP(-'Allometrics &amp; Decay rates'!$M$5))/1.55)</f>
        <v>0.44779647190906374</v>
      </c>
      <c r="FB24" s="550">
        <f>AQ24*CA24*$DK24*((EXP('Allometrics &amp; Decay rates'!$M$5)-1)/('Discounting metrics'!$D$4+'Allometrics &amp; Decay rates'!$M$5)*(1-EXP(-('Discounting metrics'!$D$4+'Allometrics &amp; Decay rates'!$M$5)*'Discounting metrics'!$E$4))-(1-EXP(-'Allometrics &amp; Decay rates'!$M$5))/1.55)</f>
        <v>0.38788918111081316</v>
      </c>
      <c r="FC24" s="550">
        <f>AR24*CB24*$DK24*((EXP('Allometrics &amp; Decay rates'!$M$5)-1)/('Discounting metrics'!$D$4+'Allometrics &amp; Decay rates'!$M$5)*(1-EXP(-('Discounting metrics'!$D$4+'Allometrics &amp; Decay rates'!$M$5)*'Discounting metrics'!$E$4))-(1-EXP(-'Allometrics &amp; Decay rates'!$M$5))/1.55)</f>
        <v>1.5061001693044032E-3</v>
      </c>
      <c r="FD24" s="261">
        <f t="shared" si="59"/>
        <v>21.961692147023861</v>
      </c>
      <c r="FE24" s="154">
        <f t="shared" si="60"/>
        <v>0.77816455005476548</v>
      </c>
      <c r="FF24" s="108">
        <f t="shared" si="61"/>
        <v>9.9922459834898003</v>
      </c>
      <c r="FG24" s="126">
        <f>'Allometrics &amp; Decay rates'!$H$5*$AU24*CG24+'Allometrics &amp; Decay rates'!$H$6*$AV24*CH24+'Allometrics &amp; Decay rates'!$H$7*$AW24*CI24+'Allometrics &amp; Decay rates'!$H$8*$AX24*CJ24+'Allometrics &amp; Decay rates'!$H$9*$AY24*CK24+'Allometrics &amp; Decay rates'!$H$10*$AZ24*CL24+'Allometrics &amp; Decay rates'!$H$11*$BA24*CM24+'Allometrics &amp; Decay rates'!$H$12*$BB24*CN24+'Allometrics &amp; Decay rates'!$H$13*$BC24*CO24</f>
        <v>5.5425675045226068</v>
      </c>
      <c r="FH24" s="97">
        <f t="shared" si="62"/>
        <v>5.4259284789671938</v>
      </c>
      <c r="FI24" s="550">
        <f>AU24*CG24*('Allometrics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1.4462452860179442</v>
      </c>
      <c r="FJ24" s="550">
        <f>AV24*CH24*('Allometrics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1.4377168289350464</v>
      </c>
      <c r="FK24" s="550">
        <f>AW24*CI24*('Allometrics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0.10755049120312016</v>
      </c>
      <c r="FL24" s="550">
        <f>AX24*CJ24*('Allometrics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2.17609011137159</v>
      </c>
      <c r="FM24" s="550">
        <f>AY24*CK24*('Allometrics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9.6797280721980239E-2</v>
      </c>
      <c r="FN24" s="550">
        <f>AZ24*CL24*('Allometrics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9.8352895337643853E-2</v>
      </c>
      <c r="FO24" s="550">
        <f>BA24*CM24*('Allometrics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1.8032241529704256E-3</v>
      </c>
      <c r="FP24" s="550">
        <f>BB24*CN24*('Allometrics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6.1372361226897834E-2</v>
      </c>
      <c r="FQ24" s="550">
        <f>BC24*CO24*('Allometrics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R24" s="108">
        <f t="shared" si="150"/>
        <v>11.969446163534062</v>
      </c>
      <c r="FS24" s="550">
        <f>AU24*CQ24*$DK24*((EXP('Allometrics &amp; Decay rates'!$M$5)-1)/('Discounting metrics'!$D$4+'Allometrics &amp; Decay rates'!$M$5)*(1-EXP(-('Discounting metrics'!$D$4+'Allometrics &amp; Decay rates'!$M$5)*'Discounting metrics'!$E$4))-(1-EXP(-'Allometrics &amp; Decay rates'!$M$5))/1.55)</f>
        <v>0.76359299986153095</v>
      </c>
      <c r="FT24" s="550">
        <f>AV24*CR24*$DK24*((EXP('Allometrics &amp; Decay rates'!$M$5)-1)/('Discounting metrics'!$D$4+'Allometrics &amp; Decay rates'!$M$5)*(1-EXP(-('Discounting metrics'!$D$4+'Allometrics &amp; Decay rates'!$M$5)*'Discounting metrics'!$E$4))-(1-EXP(-'Allometrics &amp; Decay rates'!$M$5))/1.55)</f>
        <v>0.71548267931655629</v>
      </c>
      <c r="FU24" s="550">
        <f>AW24*CS24*$DK24*((EXP('Allometrics &amp; Decay rates'!$M$5)-1)/('Discounting metrics'!$D$4+'Allometrics &amp; Decay rates'!$M$5)*(1-EXP(-('Discounting metrics'!$D$4+'Allometrics &amp; Decay rates'!$M$5)*'Discounting metrics'!$E$4))-(1-EXP(-'Allometrics &amp; Decay rates'!$M$5))/1.55)</f>
        <v>0.21965687412611123</v>
      </c>
      <c r="FV24" s="550">
        <f>AX24*CT24*$DK24*((EXP('Allometrics &amp; Decay rates'!$M$5)-1)/('Discounting metrics'!$D$4+'Allometrics &amp; Decay rates'!$M$5)*(1-EXP(-('Discounting metrics'!$D$4+'Allometrics &amp; Decay rates'!$M$5)*'Discounting metrics'!$E$4))-(1-EXP(-'Allometrics &amp; Decay rates'!$M$5))/1.55)</f>
        <v>8.1266031850213647</v>
      </c>
      <c r="FW24" s="550">
        <f>AY24*CU24*$DK24*((EXP('Allometrics &amp; Decay rates'!$M$5)-1)/('Discounting metrics'!$D$4+'Allometrics &amp; Decay rates'!$M$5)*(1-EXP(-('Discounting metrics'!$D$4+'Allometrics &amp; Decay rates'!$M$5)*'Discounting metrics'!$E$4))-(1-EXP(-'Allometrics &amp; Decay rates'!$M$5))/1.55)</f>
        <v>0.56942047642130666</v>
      </c>
      <c r="FX24" s="550">
        <f>AZ24*CV24*$DK24*((EXP('Allometrics &amp; Decay rates'!$M$5)-1)/('Discounting metrics'!$D$4+'Allometrics &amp; Decay rates'!$M$5)*(1-EXP(-('Discounting metrics'!$D$4+'Allometrics &amp; Decay rates'!$M$5)*'Discounting metrics'!$E$4))-(1-EXP(-'Allometrics &amp; Decay rates'!$M$5))/1.55)</f>
        <v>1.5633628798998374</v>
      </c>
      <c r="FY24" s="550">
        <f>BA24*CW24*$DK24*((EXP('Allometrics &amp; Decay rates'!$M$5)-1)/('Discounting metrics'!$D$4+'Allometrics &amp; Decay rates'!$M$5)*(1-EXP(-('Discounting metrics'!$D$4+'Allometrics &amp; Decay rates'!$M$5)*'Discounting metrics'!$E$4))-(1-EXP(-'Allometrics &amp; Decay rates'!$M$5))/1.55)</f>
        <v>1.1327068887353861E-2</v>
      </c>
      <c r="FZ24" s="68"/>
      <c r="GA24" s="293"/>
      <c r="GB24" s="293"/>
      <c r="GP24" s="32">
        <f t="shared" si="151"/>
        <v>5.2320772946859915</v>
      </c>
      <c r="GQ24" s="33">
        <v>5.32</v>
      </c>
      <c r="GR24" s="99">
        <v>4.0199999999999996</v>
      </c>
      <c r="GS24" s="99"/>
      <c r="GT24" s="99"/>
      <c r="GU24" s="99"/>
      <c r="GV24" s="99"/>
      <c r="GW24" s="99"/>
      <c r="GX24" s="99"/>
      <c r="GY24" s="99"/>
      <c r="GZ24" s="99"/>
      <c r="HA24" s="99"/>
      <c r="HB24" s="99"/>
      <c r="HF24" s="97">
        <f t="shared" si="63"/>
        <v>1.0878091080441692</v>
      </c>
      <c r="HG24" s="526">
        <f>EE24/'Discounting metrics'!E$4/M24</f>
        <v>1.2361467136865558</v>
      </c>
      <c r="HH24" s="527">
        <f t="shared" si="64"/>
        <v>85.251497495624534</v>
      </c>
      <c r="HI24" s="528">
        <f t="shared" si="65"/>
        <v>12.361467136865558</v>
      </c>
      <c r="HJ24" s="97">
        <f t="shared" si="66"/>
        <v>1.258613066564171</v>
      </c>
      <c r="HK24" s="526">
        <f>EH24/'Discounting metrics'!E$4/O24</f>
        <v>1.4302421210956489</v>
      </c>
      <c r="HL24" s="527">
        <f t="shared" si="67"/>
        <v>98.637387661768884</v>
      </c>
      <c r="HM24" s="528">
        <f t="shared" si="68"/>
        <v>14.302421210956489</v>
      </c>
      <c r="HN24" s="97">
        <f t="shared" si="69"/>
        <v>0.25207255607446938</v>
      </c>
      <c r="HO24" s="526">
        <f>FD24/'Discounting metrics'!E$4/Q24</f>
        <v>0.28644608644826064</v>
      </c>
      <c r="HP24" s="527">
        <f t="shared" si="70"/>
        <v>19.754902513673148</v>
      </c>
      <c r="HQ24" s="528">
        <f t="shared" si="71"/>
        <v>2.8644608644826062</v>
      </c>
      <c r="HR24" s="97">
        <f t="shared" si="72"/>
        <v>1.8446462244098387</v>
      </c>
      <c r="HS24" s="263">
        <f t="shared" si="73"/>
        <v>2.0961888913748168</v>
      </c>
      <c r="HT24" s="527">
        <f t="shared" si="74"/>
        <v>144.56475112929769</v>
      </c>
      <c r="HU24" s="528">
        <f t="shared" si="75"/>
        <v>20.961888913748165</v>
      </c>
      <c r="HV24" s="97">
        <f t="shared" si="76"/>
        <v>2.106198958055908</v>
      </c>
      <c r="HW24" s="263">
        <f t="shared" si="28"/>
        <v>2.3934079068817136</v>
      </c>
      <c r="HX24" s="527">
        <f t="shared" si="77"/>
        <v>165.06261426770439</v>
      </c>
      <c r="HY24" s="528">
        <f t="shared" si="78"/>
        <v>23.934079068817134</v>
      </c>
      <c r="HZ24" s="97">
        <f t="shared" si="79"/>
        <v>0.97574400000000006</v>
      </c>
      <c r="IA24" s="263">
        <f t="shared" si="29"/>
        <v>0.64190880704952102</v>
      </c>
      <c r="IB24" s="527">
        <f t="shared" si="80"/>
        <v>76.468965517241372</v>
      </c>
      <c r="IC24" s="528">
        <f t="shared" si="81"/>
        <v>11.087999999999999</v>
      </c>
      <c r="ID24" s="97">
        <f t="shared" si="82"/>
        <v>3.6978967495219894</v>
      </c>
      <c r="IE24" s="263">
        <f t="shared" si="30"/>
        <v>4.2021553971840788</v>
      </c>
      <c r="IF24" s="68">
        <f t="shared" si="83"/>
        <v>289.80382049545369</v>
      </c>
      <c r="IG24" s="97">
        <f t="shared" si="84"/>
        <v>4.2222222222222223</v>
      </c>
      <c r="IH24" s="263">
        <f t="shared" si="31"/>
        <v>4.7979797979797985</v>
      </c>
      <c r="II24" s="68">
        <f t="shared" si="85"/>
        <v>330.8951584813654</v>
      </c>
      <c r="IJ24" s="97">
        <f t="shared" si="86"/>
        <v>1.1323943661971831</v>
      </c>
      <c r="IK24" s="263">
        <f t="shared" si="32"/>
        <v>1.2868117797695262</v>
      </c>
      <c r="IL24" s="68">
        <f t="shared" si="87"/>
        <v>88.745639984105267</v>
      </c>
      <c r="IM24" s="60"/>
      <c r="IN24" s="60"/>
      <c r="IO24" s="60"/>
      <c r="IP24" s="554">
        <f t="shared" si="88"/>
        <v>25.411520214136004</v>
      </c>
      <c r="IQ24" s="262">
        <f t="shared" si="89"/>
        <v>0.43382136393977061</v>
      </c>
      <c r="IR24" s="166">
        <f t="shared" si="90"/>
        <v>0.49297882265883025</v>
      </c>
      <c r="IS24" s="68">
        <f t="shared" si="91"/>
        <v>33.998539493712435</v>
      </c>
      <c r="IT24" s="97">
        <f t="shared" si="92"/>
        <v>4.9297882265883022</v>
      </c>
      <c r="IU24" s="429">
        <f>(IX24*C24+JE24*D24)/B24</f>
        <v>1.1338647342995169E-2</v>
      </c>
      <c r="IV24" s="262">
        <f t="shared" si="93"/>
        <v>0.51117640377777784</v>
      </c>
      <c r="IW24" s="436">
        <f t="shared" si="94"/>
        <v>0.58088227702020212</v>
      </c>
      <c r="IX24" s="101">
        <v>1.1900000000000001E-2</v>
      </c>
      <c r="IY24" s="101">
        <v>0.97799999999999998</v>
      </c>
      <c r="IZ24" s="101">
        <v>2.1999999999999999E-2</v>
      </c>
      <c r="JA24" s="429">
        <f t="shared" si="153"/>
        <v>0</v>
      </c>
      <c r="JB24" s="430">
        <f>IY24*$JJ24+IZ24*$JK24+JA24*$JL24+'Discounting metrics'!$B$6*(IY24*$JM24+IZ24*$JN24+JA24*$JO24)/10^3+'Discounting metrics'!$B$5*(IY24*$JP24+IZ24*$JQ24+JA24*$JR24)/10^3</f>
        <v>54.1245604</v>
      </c>
      <c r="JC24" s="262">
        <f t="shared" si="95"/>
        <v>5.5326422535211278E-2</v>
      </c>
      <c r="JD24" s="436">
        <f t="shared" si="96"/>
        <v>6.2870934699103723E-2</v>
      </c>
      <c r="JE24" s="101">
        <v>3.5999999999999999E-3</v>
      </c>
      <c r="JF24" s="433">
        <v>1</v>
      </c>
      <c r="JG24" s="433">
        <v>0</v>
      </c>
      <c r="JH24" s="434">
        <f t="shared" si="154"/>
        <v>0</v>
      </c>
      <c r="JI24" s="430">
        <f>JF24*$JJ24+JG24*$JK24+JH24*$JL24+'Discounting metrics'!$B$6*(JF24*$JM24+JG24*$JN24+JH24*$JO24)/10^3+'Discounting metrics'!$B$5*(JF24*$JP24+JG24*$JQ24+JH24*$JR24)/10^3</f>
        <v>54.558</v>
      </c>
      <c r="JJ24" s="431">
        <v>51.3</v>
      </c>
      <c r="JK24" s="431">
        <v>29</v>
      </c>
      <c r="JL24" s="431">
        <v>29</v>
      </c>
      <c r="JM24" s="99">
        <v>5</v>
      </c>
      <c r="JN24" s="431">
        <v>13</v>
      </c>
      <c r="JO24" s="431">
        <v>13</v>
      </c>
      <c r="JP24" s="431">
        <v>52</v>
      </c>
      <c r="JQ24" s="431">
        <v>58.3</v>
      </c>
      <c r="JR24" s="431">
        <v>58.3</v>
      </c>
      <c r="JS24" s="554">
        <f t="shared" si="97"/>
        <v>25.058657182312324</v>
      </c>
      <c r="JT24" s="554">
        <f t="shared" si="98"/>
        <v>6.4466157290572808</v>
      </c>
      <c r="JU24" s="554">
        <f t="shared" si="99"/>
        <v>2.0743925280287998</v>
      </c>
      <c r="JV24" s="554">
        <f t="shared" si="100"/>
        <v>10.636258641657601</v>
      </c>
      <c r="JW24" s="554">
        <f t="shared" si="101"/>
        <v>5.9013902835686407</v>
      </c>
      <c r="JX24" s="554"/>
      <c r="JY24" s="167">
        <f t="shared" si="102"/>
        <v>0.42779734332000002</v>
      </c>
      <c r="JZ24" s="166">
        <f t="shared" si="103"/>
        <v>0.48613334468181824</v>
      </c>
      <c r="KA24" s="68">
        <f t="shared" si="104"/>
        <v>33.526437564263325</v>
      </c>
      <c r="KB24" s="97">
        <f t="shared" si="105"/>
        <v>4.8613334468181817</v>
      </c>
      <c r="KC24" s="473">
        <f t="shared" si="106"/>
        <v>0.14546927508000002</v>
      </c>
      <c r="KD24" s="269">
        <f t="shared" si="107"/>
        <v>0.16530599440909091</v>
      </c>
      <c r="KE24" s="473">
        <f t="shared" si="108"/>
        <v>0.28232806824000001</v>
      </c>
      <c r="KF24" s="269">
        <f t="shared" si="109"/>
        <v>0.3208273502727273</v>
      </c>
      <c r="KG24" s="123"/>
      <c r="KH24" s="49"/>
      <c r="KI24" s="435">
        <v>0.11005558127999999</v>
      </c>
      <c r="KJ24" s="522">
        <f t="shared" si="110"/>
        <v>0.12506316054545455</v>
      </c>
      <c r="KK24" s="435">
        <v>3.54136938E-2</v>
      </c>
      <c r="KL24" s="522">
        <f t="shared" si="111"/>
        <v>4.0242833863636363E-2</v>
      </c>
      <c r="KM24" s="435">
        <v>0.18158048760000001</v>
      </c>
      <c r="KN24" s="522">
        <f t="shared" si="112"/>
        <v>0.2063414631818182</v>
      </c>
      <c r="KO24" s="435">
        <v>0.10074758064000001</v>
      </c>
      <c r="KP24" s="522">
        <f t="shared" si="113"/>
        <v>0.11448588709090911</v>
      </c>
      <c r="KQ24" s="599">
        <f t="shared" si="114"/>
        <v>5.5116501175246855</v>
      </c>
      <c r="KR24" s="527">
        <f t="shared" si="115"/>
        <v>380.113801208599</v>
      </c>
      <c r="KS24" s="528">
        <f t="shared" si="116"/>
        <v>55.116501175246853</v>
      </c>
      <c r="KT24" s="599">
        <f t="shared" si="117"/>
        <v>6.3112367323860656</v>
      </c>
      <c r="KU24" s="527">
        <f t="shared" si="118"/>
        <v>435.25770568179763</v>
      </c>
      <c r="KV24" s="528">
        <f t="shared" si="119"/>
        <v>63.112367323860653</v>
      </c>
      <c r="KW24" s="599">
        <f t="shared" si="120"/>
        <v>1.5993065963578776</v>
      </c>
      <c r="KX24" s="527">
        <f t="shared" si="121"/>
        <v>110.29700664537087</v>
      </c>
      <c r="KY24" s="528">
        <f t="shared" si="122"/>
        <v>15.993065963578776</v>
      </c>
      <c r="KZ24" s="599">
        <f t="shared" si="123"/>
        <v>8.6651381023816434</v>
      </c>
      <c r="LA24" s="527">
        <f t="shared" si="124"/>
        <v>597.59573119873403</v>
      </c>
      <c r="LB24" s="528">
        <f t="shared" si="125"/>
        <v>86.651381023816427</v>
      </c>
      <c r="LC24" s="599">
        <f t="shared" si="126"/>
        <v>9.8428446136016348</v>
      </c>
      <c r="LD24" s="527">
        <f t="shared" si="127"/>
        <v>678.81686990356104</v>
      </c>
      <c r="LE24" s="528">
        <f t="shared" si="128"/>
        <v>98.428446136016348</v>
      </c>
      <c r="LF24" s="599">
        <f t="shared" si="129"/>
        <v>4.6146042793809219</v>
      </c>
      <c r="LG24" s="527">
        <f t="shared" si="130"/>
        <v>318.24857099178774</v>
      </c>
      <c r="LH24" s="528">
        <f t="shared" si="131"/>
        <v>46.146042793809215</v>
      </c>
      <c r="LI24" s="31">
        <v>0.88</v>
      </c>
      <c r="LJ24" s="32">
        <f t="shared" ref="LJ24:LJ25" si="155">$LI24*LK24</f>
        <v>16.015999999999998</v>
      </c>
      <c r="LK24" s="27">
        <v>18.2</v>
      </c>
      <c r="LL24" s="32">
        <f t="shared" ref="LL24:LL25" si="156">$LI24*LM24</f>
        <v>12.76</v>
      </c>
      <c r="LM24" s="33">
        <v>14.5</v>
      </c>
      <c r="LN24" s="36">
        <f t="shared" si="152"/>
        <v>8.8000000000000009E-2</v>
      </c>
      <c r="LO24" s="31">
        <v>0.1</v>
      </c>
      <c r="LP24" s="36">
        <f t="shared" si="132"/>
        <v>3.0800000000000004E-2</v>
      </c>
      <c r="LQ24" s="35">
        <v>3.5000000000000003E-2</v>
      </c>
    </row>
    <row r="25" spans="1:329" s="4" customFormat="1" x14ac:dyDescent="0.25">
      <c r="A25" s="4" t="s">
        <v>308</v>
      </c>
      <c r="B25" s="67">
        <f t="shared" si="133"/>
        <v>31.400000000000002</v>
      </c>
      <c r="C25" s="33">
        <v>30.3</v>
      </c>
      <c r="D25" s="33">
        <v>1.1000000000000001</v>
      </c>
      <c r="E25" s="38">
        <f t="shared" si="134"/>
        <v>3.5031847133757961E-2</v>
      </c>
      <c r="F25" s="108">
        <f t="shared" si="16"/>
        <v>0.98079617834394894</v>
      </c>
      <c r="G25" s="32">
        <f t="shared" si="17"/>
        <v>0.86310063694267525</v>
      </c>
      <c r="H25" s="33">
        <v>0.93</v>
      </c>
      <c r="I25" s="32">
        <f t="shared" si="35"/>
        <v>0.81840000000000002</v>
      </c>
      <c r="J25" s="33">
        <v>2.38</v>
      </c>
      <c r="K25" s="32">
        <f t="shared" si="36"/>
        <v>2.0943999999999998</v>
      </c>
      <c r="L25" s="32">
        <f>(F25/'Discounting metrics'!$D$4*(1-EXP(-'Discounting metrics'!$D$4*'Discounting metrics'!$E$4)))/'Discounting metrics'!$E$4</f>
        <v>0.24070806742948764</v>
      </c>
      <c r="M25" s="32">
        <f>(G25/'Discounting metrics'!$D$4*(1-EXP(-'Discounting metrics'!$D$4*'Discounting metrics'!$E$4)))/'Discounting metrics'!$E$4</f>
        <v>0.21182309933794918</v>
      </c>
      <c r="N25" s="32">
        <f>(H25/'Discounting metrics'!$D$4*(1-EXP(-'Discounting metrics'!$D$4*'Discounting metrics'!$E$4)))/'Discounting metrics'!$E$4</f>
        <v>0.22824161395836928</v>
      </c>
      <c r="O25" s="32">
        <f>(I25/'Discounting metrics'!$D$4*(1-EXP(-'Discounting metrics'!$D$4*'Discounting metrics'!$E$4)))/'Discounting metrics'!$E$4</f>
        <v>0.20085262028336498</v>
      </c>
      <c r="P25" s="32">
        <f>(J25/'Discounting metrics'!$D$4*(1-EXP(-'Discounting metrics'!$D$4*'Discounting metrics'!$E$4)))/'Discounting metrics'!$E$4</f>
        <v>0.58410219486120307</v>
      </c>
      <c r="Q25" s="32">
        <f>(K25/'Discounting metrics'!$D$4*(1-EXP(-'Discounting metrics'!$D$4*'Discounting metrics'!$E$4)))/'Discounting metrics'!$E$4</f>
        <v>0.51400993147785867</v>
      </c>
      <c r="R25" s="32">
        <f t="shared" si="37"/>
        <v>11.586134422774354</v>
      </c>
      <c r="S25" s="32">
        <f t="shared" si="38"/>
        <v>12.218963831867057</v>
      </c>
      <c r="T25" s="32">
        <f t="shared" si="39"/>
        <v>4.7746371275783046</v>
      </c>
      <c r="U25" s="107">
        <f t="shared" si="135"/>
        <v>30.797000000000001</v>
      </c>
      <c r="V25" s="68">
        <f t="shared" si="135"/>
        <v>27.101360000000003</v>
      </c>
      <c r="W25" s="68"/>
      <c r="X25" s="67">
        <f t="shared" si="40"/>
        <v>28.179000000000002</v>
      </c>
      <c r="Y25" s="67">
        <f t="shared" si="41"/>
        <v>24.797520000000002</v>
      </c>
      <c r="Z25" s="67">
        <f t="shared" si="41"/>
        <v>2.6179999999999999</v>
      </c>
      <c r="AA25" s="67">
        <f t="shared" si="42"/>
        <v>2.3038400000000001</v>
      </c>
      <c r="AB25" s="38">
        <f t="shared" si="136"/>
        <v>8.5008280027275382E-2</v>
      </c>
      <c r="AC25" s="294">
        <f t="shared" si="43"/>
        <v>0.11451853169148631</v>
      </c>
      <c r="AD25" s="294">
        <f t="shared" si="43"/>
        <v>3.2573462238392178E-2</v>
      </c>
      <c r="AE25" s="294">
        <f t="shared" si="43"/>
        <v>4.337613974081439E-2</v>
      </c>
      <c r="AF25" s="294">
        <f t="shared" si="43"/>
        <v>0.36682063674105486</v>
      </c>
      <c r="AG25" s="294">
        <f t="shared" si="43"/>
        <v>7.5629719489535382E-2</v>
      </c>
      <c r="AH25" s="294">
        <f t="shared" si="43"/>
        <v>0.26513538663402764</v>
      </c>
      <c r="AI25" s="294">
        <f t="shared" si="43"/>
        <v>0.10016609837489622</v>
      </c>
      <c r="AJ25" s="294">
        <f t="shared" si="43"/>
        <v>1.1989822898968027E-3</v>
      </c>
      <c r="AK25" s="294">
        <f t="shared" si="43"/>
        <v>5.3949272461489047E-4</v>
      </c>
      <c r="AL25" s="433">
        <v>0.11854358762387592</v>
      </c>
      <c r="AM25" s="433">
        <v>3.1893711692667692E-2</v>
      </c>
      <c r="AN25" s="433">
        <v>4.289496227003043E-2</v>
      </c>
      <c r="AO25" s="433">
        <v>0.36869170601226903</v>
      </c>
      <c r="AP25" s="433">
        <v>7.4467283737083889E-2</v>
      </c>
      <c r="AQ25" s="433">
        <v>0.26038599364358594</v>
      </c>
      <c r="AR25" s="433">
        <v>0.10146889380347351</v>
      </c>
      <c r="AS25" s="433">
        <v>1.1101271879052656E-3</v>
      </c>
      <c r="AT25" s="433">
        <v>5.006886313334843E-4</v>
      </c>
      <c r="AU25" s="433">
        <v>3.6465364629364189E-3</v>
      </c>
      <c r="AV25" s="433">
        <v>5.1297499997893903E-2</v>
      </c>
      <c r="AW25" s="433">
        <v>5.6630391890590749E-2</v>
      </c>
      <c r="AX25" s="433">
        <v>0.3152811831794286</v>
      </c>
      <c r="AY25" s="433">
        <v>0.10764954067069912</v>
      </c>
      <c r="AZ25" s="433">
        <v>0.39595957537074083</v>
      </c>
      <c r="BA25" s="433">
        <v>6.428000611499457E-2</v>
      </c>
      <c r="BB25" s="433">
        <v>3.6465364629364189E-3</v>
      </c>
      <c r="BC25" s="433">
        <v>1.6083691122754423E-3</v>
      </c>
      <c r="BD25" s="554">
        <f t="shared" si="44"/>
        <v>2.4694621531582879</v>
      </c>
      <c r="BE25" s="554">
        <f t="shared" si="44"/>
        <v>0.51416666273344014</v>
      </c>
      <c r="BF25" s="554">
        <f t="shared" si="44"/>
        <v>1.9552954904248476</v>
      </c>
      <c r="BG25" s="67">
        <f t="shared" si="137"/>
        <v>78.645291501856292</v>
      </c>
      <c r="BH25" s="67">
        <f t="shared" si="45"/>
        <v>16.37473448195669</v>
      </c>
      <c r="BI25" s="67">
        <f t="shared" si="46"/>
        <v>62.270557019899606</v>
      </c>
      <c r="BJ25" s="67">
        <f t="shared" si="47"/>
        <v>78.270330047556143</v>
      </c>
      <c r="BK25" s="68">
        <f t="shared" si="138"/>
        <v>16.18681597225892</v>
      </c>
      <c r="BL25" s="145">
        <v>57.225242942541904</v>
      </c>
      <c r="BM25" s="145">
        <v>69.977311421601698</v>
      </c>
      <c r="BN25" s="145">
        <v>17.7202543866089</v>
      </c>
      <c r="BO25" s="145">
        <v>16.659418869228094</v>
      </c>
      <c r="BP25" s="145">
        <v>2.4204772645593491</v>
      </c>
      <c r="BQ25" s="145">
        <v>0.26635908761076149</v>
      </c>
      <c r="BR25" s="145">
        <v>6.8457002086003207E-2</v>
      </c>
      <c r="BS25" s="145">
        <v>10.521305051540724</v>
      </c>
      <c r="BT25" s="145">
        <v>1.5302570312138342</v>
      </c>
      <c r="BU25" s="68">
        <f t="shared" si="139"/>
        <v>62.083514075297231</v>
      </c>
      <c r="BV25" s="145">
        <v>59.069511032117028</v>
      </c>
      <c r="BW25" s="145">
        <v>70.62965984118749</v>
      </c>
      <c r="BX25" s="145">
        <v>64.305879681868092</v>
      </c>
      <c r="BY25" s="145">
        <v>125.96650012345546</v>
      </c>
      <c r="BZ25" s="145">
        <v>30.069014842534187</v>
      </c>
      <c r="CA25" s="145">
        <v>5.1871853420810883</v>
      </c>
      <c r="CB25" s="145">
        <v>0.24857986747372102</v>
      </c>
      <c r="CC25" s="145">
        <v>9.2965414895424434</v>
      </c>
      <c r="CD25" s="145">
        <v>3.96745519084104</v>
      </c>
      <c r="CE25" s="68">
        <f t="shared" si="140"/>
        <v>88.973775197578604</v>
      </c>
      <c r="CF25" s="68">
        <f t="shared" si="141"/>
        <v>21.551035249086226</v>
      </c>
      <c r="CG25" s="106">
        <v>216.3175754023367</v>
      </c>
      <c r="CH25" s="106">
        <v>168.48938223519016</v>
      </c>
      <c r="CI25" s="106">
        <v>19.381800649167246</v>
      </c>
      <c r="CJ25" s="106">
        <v>34.138222285857239</v>
      </c>
      <c r="CK25" s="106">
        <v>1.835798465668572</v>
      </c>
      <c r="CL25" s="106">
        <v>0.14656395225395502</v>
      </c>
      <c r="CM25" s="106">
        <v>4.2733285066759608E-2</v>
      </c>
      <c r="CN25" s="106">
        <v>0</v>
      </c>
      <c r="CO25" s="106">
        <v>0</v>
      </c>
      <c r="CP25" s="68">
        <f t="shared" si="142"/>
        <v>67.422739948492378</v>
      </c>
      <c r="CQ25" s="106">
        <v>237.99059176431214</v>
      </c>
      <c r="CR25" s="106">
        <v>166.12596103933691</v>
      </c>
      <c r="CS25" s="106">
        <v>68.894385026580068</v>
      </c>
      <c r="CT25" s="106">
        <v>162.13062655931353</v>
      </c>
      <c r="CU25" s="106">
        <v>19.418522059602186</v>
      </c>
      <c r="CV25" s="106">
        <v>2.3050956179184645</v>
      </c>
      <c r="CW25" s="106">
        <v>0.18171490311766647</v>
      </c>
      <c r="CX25" s="106">
        <v>0</v>
      </c>
      <c r="CY25" s="106">
        <v>0</v>
      </c>
      <c r="CZ25" s="554">
        <f t="shared" si="48"/>
        <v>1.4749407928186358</v>
      </c>
      <c r="DA25" s="554">
        <f t="shared" si="48"/>
        <v>8.4691750000000024E-3</v>
      </c>
      <c r="DB25" s="554">
        <f t="shared" si="48"/>
        <v>1.4664716178186359</v>
      </c>
      <c r="DC25" s="32">
        <f t="shared" si="143"/>
        <v>46.972636713969294</v>
      </c>
      <c r="DD25" s="32">
        <f t="shared" si="49"/>
        <v>0.26971894904458604</v>
      </c>
      <c r="DE25" s="67">
        <f t="shared" si="49"/>
        <v>46.702917764924706</v>
      </c>
      <c r="DF25" s="270"/>
      <c r="DG25" s="67">
        <f t="shared" si="144"/>
        <v>46.818385556472926</v>
      </c>
      <c r="DH25" s="32">
        <f t="shared" si="50"/>
        <v>0.25575000000000003</v>
      </c>
      <c r="DI25" s="67">
        <f t="shared" si="51"/>
        <v>46.562635556472927</v>
      </c>
      <c r="DJ25" s="67"/>
      <c r="DK25" s="34">
        <f t="shared" si="145"/>
        <v>0.25</v>
      </c>
      <c r="DL25" s="159"/>
      <c r="DM25" s="159"/>
      <c r="DN25" s="68">
        <f t="shared" si="146"/>
        <v>51.221554961369279</v>
      </c>
      <c r="DO25" s="32">
        <f t="shared" si="52"/>
        <v>0.65449999999999997</v>
      </c>
      <c r="DP25" s="67">
        <f t="shared" si="53"/>
        <v>50.56705496136928</v>
      </c>
      <c r="DQ25" s="67"/>
      <c r="DR25" s="34">
        <f t="shared" si="147"/>
        <v>0.25</v>
      </c>
      <c r="DS25" s="554"/>
      <c r="DT25" s="554"/>
      <c r="DU25" s="554"/>
      <c r="DV25" s="67">
        <f t="shared" si="23"/>
        <v>31.672654787886998</v>
      </c>
      <c r="DW25" s="67">
        <f t="shared" si="23"/>
        <v>16.105015532912105</v>
      </c>
      <c r="DX25" s="67">
        <f t="shared" si="23"/>
        <v>15.5676392549749</v>
      </c>
      <c r="DY25" s="67">
        <f t="shared" si="24"/>
        <v>31.451944491083218</v>
      </c>
      <c r="DZ25" s="67">
        <f t="shared" si="24"/>
        <v>15.931065972258919</v>
      </c>
      <c r="EA25" s="67">
        <f t="shared" si="25"/>
        <v>15.520878518824304</v>
      </c>
      <c r="EB25" s="67">
        <f t="shared" si="26"/>
        <v>37.752220236209325</v>
      </c>
      <c r="EC25" s="67">
        <f t="shared" si="26"/>
        <v>20.896535249086227</v>
      </c>
      <c r="ED25" s="67">
        <f t="shared" si="27"/>
        <v>16.855684987123098</v>
      </c>
      <c r="EE25" s="68">
        <f t="shared" si="54"/>
        <v>25.613956359956745</v>
      </c>
      <c r="EF25" s="67">
        <f t="shared" si="55"/>
        <v>13.449502742846537</v>
      </c>
      <c r="EG25" s="67">
        <f t="shared" si="148"/>
        <v>12.16445361711021</v>
      </c>
      <c r="EH25" s="261">
        <f t="shared" si="149"/>
        <v>25.471728650558155</v>
      </c>
      <c r="EI25" s="154">
        <f t="shared" si="56"/>
        <v>0.80986180863251611</v>
      </c>
      <c r="EJ25" s="108">
        <f t="shared" si="57"/>
        <v>13.343904779471396</v>
      </c>
      <c r="EK25" s="126">
        <f>'Allometrics &amp; Decay rates'!$H$5*$AL25*BL25+'Allometrics &amp; Decay rates'!$H$6*$AM25*BM25+'Allometrics &amp; Decay rates'!$H$7*$AN25*BN25+'Allometrics &amp; Decay rates'!$H$8*$AO25*BO25+'Allometrics &amp; Decay rates'!$H$9*$AP25*BP25+'Allometrics &amp; Decay rates'!$H$10*$AQ25*BQ25+'Allometrics &amp; Decay rates'!$H$11*$AR25*BR25+'Allometrics &amp; Decay rates'!$H$12*$AS25*BS25+'Allometrics &amp; Decay rates'!$H$13*$AT25*BT25</f>
        <v>6.6080570416842042</v>
      </c>
      <c r="EL25" s="97">
        <f>SUM(EM25:EU25)</f>
        <v>6.9915977377871927</v>
      </c>
      <c r="EM25" s="550">
        <f>AL25*BL25*('Allometrics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2.6593917993702232</v>
      </c>
      <c r="EN25" s="550">
        <f>AM25*BM25*('Allometrics &amp; Decay rates'!$I$6*((EXP('Allometrics &amp; Decay rates'!$K$6)-1)/('Discounting metrics'!$D$4+'Allometrics &amp; Decay rates'!$K$6)*(1-EXP(-('Discounting metrics'!$D$4+'Allometrics &amp; Decay rates'!$K$6)*'Discounting metrics'!$E$4))-(1-EXP(-'Allometrics &amp; Decay rates'!$K$6))/1.55)+'Allometrics &amp; Decay rates'!$E$6*((EXP('Allometrics &amp; Decay rates'!$L$6)-1)/('Discounting metrics'!$D$4+'Allometrics &amp; Decay rates'!$L$6)*(1-EXP(-('Discounting metrics'!$D$4+'Allometrics &amp; Decay rates'!$L$6)*'Discounting metrics'!$E$4))-(1-EXP(-'Allometrics &amp; Decay rates'!$L$6))/1.55))</f>
        <v>0.5443176312248853</v>
      </c>
      <c r="EO25" s="550">
        <f>AN25*BN25*('Allometrics &amp; Decay rates'!$I$7*((EXP('Allometrics &amp; Decay rates'!$K$7)-1)/('Discounting metrics'!$D$4+'Allometrics &amp; Decay rates'!$K$7)*(1-EXP(-('Discounting metrics'!$D$4+'Allometrics &amp; Decay rates'!$K$7)*'Discounting metrics'!$E$4))-(1-EXP(-'Allometrics &amp; Decay rates'!$K$7))/1.55)+'Allometrics &amp; Decay rates'!$E$7*((EXP('Allometrics &amp; Decay rates'!$L$7)-1)/('Discounting metrics'!$D$4+'Allometrics &amp; Decay rates'!$L$7)*(1-EXP(-('Discounting metrics'!$D$4+'Allometrics &amp; Decay rates'!$L$7)*'Discounting metrics'!$E$4))-(1-EXP(-'Allometrics &amp; Decay rates'!$L$7))/1.55))</f>
        <v>0.1618360590698627</v>
      </c>
      <c r="EP25" s="550">
        <f>AO25*BO25*('Allometrics &amp; Decay rates'!$I$8*((EXP('Allometrics &amp; Decay rates'!$K$8)-1)/('Discounting metrics'!$D$4+'Allometrics &amp; Decay rates'!$K$8)*(1-EXP(-('Discounting metrics'!$D$4+'Allometrics &amp; Decay rates'!$K$8)*'Discounting metrics'!$E$4))-(1-EXP(-'Allometrics &amp; Decay rates'!$K$8))/1.55)+'Allometrics &amp; Decay rates'!$E$8*((EXP('Allometrics &amp; Decay rates'!$L$8)-1)/('Discounting metrics'!$D$4+'Allometrics &amp; Decay rates'!$L$8)*(1-EXP(-('Discounting metrics'!$D$4+'Allometrics &amp; Decay rates'!$L$8)*'Discounting metrics'!$E$4))-(1-EXP(-'Allometrics &amp; Decay rates'!$L$8))/1.55))</f>
        <v>3.4775014074846942</v>
      </c>
      <c r="EQ25" s="550">
        <f>AP25*BP25*('Allometrics &amp; Decay rates'!$I$9*((EXP('Allometrics &amp; Decay rates'!$K$9)-1)/('Discounting metrics'!$D$4+'Allometrics &amp; Decay rates'!$K$9)*(1-EXP(-('Discounting metrics'!$D$4+'Allometrics &amp; Decay rates'!$K$9)*'Discounting metrics'!$E$4))-(1-EXP(-'Allometrics &amp; Decay rates'!$K$9))/1.55)+'Allometrics &amp; Decay rates'!$E$9*((EXP('Allometrics &amp; Decay rates'!$L$9)-1)/('Discounting metrics'!$D$4+'Allometrics &amp; Decay rates'!$L$9)*(1-EXP(-('Discounting metrics'!$D$4+'Allometrics &amp; Decay rates'!$L$9)*'Discounting metrics'!$E$4))-(1-EXP(-'Allometrics &amp; Decay rates'!$L$9))/1.55))</f>
        <v>9.4471740798787493E-2</v>
      </c>
      <c r="ER25" s="550">
        <f>AQ25*BQ25*('Allometrics &amp; Decay rates'!$I$10*((EXP('Allometrics &amp; Decay rates'!$K$10)-1)/('Discounting metrics'!$D$4+'Allometrics &amp; Decay rates'!$K$10)*(1-EXP(-('Discounting metrics'!$D$4+'Allometrics &amp; Decay rates'!$K$10)*'Discounting metrics'!$E$4))-(1-EXP(-'Allometrics &amp; Decay rates'!$K$10))/1.55)+'Allometrics &amp; Decay rates'!$E$10*((EXP('Allometrics &amp; Decay rates'!$L$10)-1)/('Discounting metrics'!$D$4+'Allometrics &amp; Decay rates'!$L$10)*(1-EXP(-('Discounting metrics'!$D$4+'Allometrics &amp; Decay rates'!$L$10)*'Discounting metrics'!$E$4))-(1-EXP(-'Allometrics &amp; Decay rates'!$L$10))/1.55))</f>
        <v>4.4123097826399886E-2</v>
      </c>
      <c r="ES25" s="550">
        <f>AR25*BR25*('Allometrics &amp; Decay rates'!$I$11*((EXP('Allometrics &amp; Decay rates'!$K$11)-1)/('Discounting metrics'!$D$4+'Allometrics &amp; Decay rates'!$K$11)*(1-EXP(-('Discounting metrics'!$D$4+'Allometrics &amp; Decay rates'!$K$11)*'Discounting metrics'!$E$4))-(1-EXP(-'Allometrics &amp; Decay rates'!$K$11))/1.55)+'Allometrics &amp; Decay rates'!$E$11*((EXP('Allometrics &amp; Decay rates'!$L$11)-1)/('Discounting metrics'!$D$4+'Allometrics &amp; Decay rates'!$L$11)*(1-EXP(-('Discounting metrics'!$D$4+'Allometrics &amp; Decay rates'!$L$11)*'Discounting metrics'!$E$4))-(1-EXP(-'Allometrics &amp; Decay rates'!$L$11))/1.55))</f>
        <v>4.9303917319375836E-3</v>
      </c>
      <c r="ET25" s="550">
        <f>AS25*BS25*('Allometrics &amp; Decay rates'!$I$12*((EXP('Allometrics &amp; Decay rates'!$K$12)-1)/('Discounting metrics'!$D$4+'Allometrics &amp; Decay rates'!$K$12)*(1-EXP(-('Discounting metrics'!$D$4+'Allometrics &amp; Decay rates'!$K$12)*'Discounting metrics'!$E$4))-(1-EXP(-'Allometrics &amp; Decay rates'!$K$12))/1.55)+'Allometrics &amp; Decay rates'!$E$12*((EXP('Allometrics &amp; Decay rates'!$L$12)-1)/('Discounting metrics'!$D$4+'Allometrics &amp; Decay rates'!$L$12)*(1-EXP(-('Discounting metrics'!$D$4+'Allometrics &amp; Decay rates'!$L$12)*'Discounting metrics'!$E$4))-(1-EXP(-'Allometrics &amp; Decay rates'!$L$12))/1.55))</f>
        <v>4.7659562243991538E-3</v>
      </c>
      <c r="EU25" s="550">
        <f>AT25*BT25*('Allometrics &amp; Decay rates'!$I$13*((EXP('Allometrics &amp; Decay rates'!$K$13)-1)/('Discounting metrics'!$D$4+'Allometrics &amp; Decay rates'!$K$13)*(1-EXP(-('Discounting metrics'!$D$4+'Allometrics &amp; Decay rates'!$K$13)*'Discounting metrics'!$E$4))-(1-EXP(-'Allometrics &amp; Decay rates'!$K$13))/1.55)+'Allometrics &amp; Decay rates'!$E$13*((EXP('Allometrics &amp; Decay rates'!$L$13)-1)/('Discounting metrics'!$D$4+'Allometrics &amp; Decay rates'!$L$13)*(1-EXP(-('Discounting metrics'!$D$4+'Allometrics &amp; Decay rates'!$L$13)*'Discounting metrics'!$E$4))-(1-EXP(-'Allometrics &amp; Decay rates'!$L$13))/1.55))</f>
        <v>2.5965405600260723E-4</v>
      </c>
      <c r="EV25" s="108">
        <f t="shared" si="58"/>
        <v>12.127823871086758</v>
      </c>
      <c r="EW25" s="550">
        <f>AL25*BV25*$DK25*((EXP('Allometrics &amp; Decay rates'!$M$5)-1)/('Discounting metrics'!$D$4+'Allometrics &amp; Decay rates'!$M$5)*(1-EXP(-('Discounting metrics'!$D$4+'Allometrics &amp; Decay rates'!$M$5)*'Discounting metrics'!$E$4))-(1-EXP(-'Allometrics &amp; Decay rates'!$M$5))/1.55)</f>
        <v>1.368151312189569</v>
      </c>
      <c r="EX25" s="550">
        <f>AM25*BW25*$DK25*((EXP('Allometrics &amp; Decay rates'!$M$5)-1)/('Discounting metrics'!$D$4+'Allometrics &amp; Decay rates'!$M$5)*(1-EXP(-('Discounting metrics'!$D$4+'Allometrics &amp; Decay rates'!$M$5)*'Discounting metrics'!$E$4))-(1-EXP(-'Allometrics &amp; Decay rates'!$M$5))/1.55)</f>
        <v>0.44013394804721256</v>
      </c>
      <c r="EY25" s="550">
        <f>AN25*BX25*$DK25*((EXP('Allometrics &amp; Decay rates'!$M$5)-1)/('Discounting metrics'!$D$4+'Allometrics &amp; Decay rates'!$M$5)*(1-EXP(-('Discounting metrics'!$D$4+'Allometrics &amp; Decay rates'!$M$5)*'Discounting metrics'!$E$4))-(1-EXP(-'Allometrics &amp; Decay rates'!$M$5))/1.55)</f>
        <v>0.53895147217240591</v>
      </c>
      <c r="EZ25" s="550">
        <f>AO25*BY25*$DK25*((EXP('Allometrics &amp; Decay rates'!$M$5)-1)/('Discounting metrics'!$D$4+'Allometrics &amp; Decay rates'!$M$5)*(1-EXP(-('Discounting metrics'!$D$4+'Allometrics &amp; Decay rates'!$M$5)*'Discounting metrics'!$E$4))-(1-EXP(-'Allometrics &amp; Decay rates'!$M$5))/1.55)</f>
        <v>9.0742579320453522</v>
      </c>
      <c r="FA25" s="550">
        <f>AP25*BZ25*$DK25*((EXP('Allometrics &amp; Decay rates'!$M$5)-1)/('Discounting metrics'!$D$4+'Allometrics &amp; Decay rates'!$M$5)*(1-EXP(-('Discounting metrics'!$D$4+'Allometrics &amp; Decay rates'!$M$5)*'Discounting metrics'!$E$4))-(1-EXP(-'Allometrics &amp; Decay rates'!$M$5))/1.55)</f>
        <v>0.43749933888451403</v>
      </c>
      <c r="FB25" s="550">
        <f>AQ25*CA25*$DK25*((EXP('Allometrics &amp; Decay rates'!$M$5)-1)/('Discounting metrics'!$D$4+'Allometrics &amp; Decay rates'!$M$5)*(1-EXP(-('Discounting metrics'!$D$4+'Allometrics &amp; Decay rates'!$M$5)*'Discounting metrics'!$E$4))-(1-EXP(-'Allometrics &amp; Decay rates'!$M$5))/1.55)</f>
        <v>0.26390163095468872</v>
      </c>
      <c r="FC25" s="550">
        <f>AR25*CB25*$DK25*((EXP('Allometrics &amp; Decay rates'!$M$5)-1)/('Discounting metrics'!$D$4+'Allometrics &amp; Decay rates'!$M$5)*(1-EXP(-('Discounting metrics'!$D$4+'Allometrics &amp; Decay rates'!$M$5)*'Discounting metrics'!$E$4))-(1-EXP(-'Allometrics &amp; Decay rates'!$M$5))/1.55)</f>
        <v>4.9282367930147562E-3</v>
      </c>
      <c r="FD25" s="261">
        <f t="shared" si="59"/>
        <v>29.531683264299851</v>
      </c>
      <c r="FE25" s="154">
        <f t="shared" si="60"/>
        <v>0.78225023798666804</v>
      </c>
      <c r="FF25" s="108">
        <f t="shared" si="61"/>
        <v>16.358246643089068</v>
      </c>
      <c r="FG25" s="126">
        <f>'Allometrics &amp; Decay rates'!$H$5*$AU25*CG25+'Allometrics &amp; Decay rates'!$H$6*$AV25*CH25+'Allometrics &amp; Decay rates'!$H$7*$AW25*CI25+'Allometrics &amp; Decay rates'!$H$8*$AX25*CJ25+'Allometrics &amp; Decay rates'!$H$9*$AY25*CK25+'Allometrics &amp; Decay rates'!$H$10*$AZ25*CL25+'Allometrics &amp; Decay rates'!$H$11*$BA25*CM25+'Allometrics &amp; Decay rates'!$H$12*$BB25*CN25+'Allometrics &amp; Decay rates'!$H$13*$BC25*CO25</f>
        <v>8.5641466076702688</v>
      </c>
      <c r="FH25" s="97">
        <f t="shared" si="62"/>
        <v>8.4486000354187993</v>
      </c>
      <c r="FI25" s="550">
        <f>AU25*CG25*('Allometrics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0.30923524063090263</v>
      </c>
      <c r="FJ25" s="550">
        <f>AV25*CH25*('Allometrics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3.3883272734440091</v>
      </c>
      <c r="FK25" s="550">
        <f>AW25*CI25*('Allometrics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0.43028905843470405</v>
      </c>
      <c r="FL25" s="550">
        <f>AX25*CJ25*('Allometrics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4.2194473002404944</v>
      </c>
      <c r="FM25" s="550">
        <f>AY25*CK25*('Allometrics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7.7473610717918251E-2</v>
      </c>
      <c r="FN25" s="550">
        <f>AZ25*CL25*('Allometrics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2.2750693048192307E-2</v>
      </c>
      <c r="FO25" s="550">
        <f>BA25*CM25*('Allometrics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1.07685890258072E-3</v>
      </c>
      <c r="FP25" s="550">
        <f>BB25*CN25*('Allometrics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Q25" s="550">
        <f>BC25*CO25*('Allometrics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R25" s="108">
        <f t="shared" si="150"/>
        <v>13.173436621210785</v>
      </c>
      <c r="FS25" s="550">
        <f>AU25*CQ25*$DK25*((EXP('Allometrics &amp; Decay rates'!$M$5)-1)/('Discounting metrics'!$D$4+'Allometrics &amp; Decay rates'!$M$5)*(1-EXP(-('Discounting metrics'!$D$4+'Allometrics &amp; Decay rates'!$M$5)*'Discounting metrics'!$E$4))-(1-EXP(-'Allometrics &amp; Decay rates'!$M$5))/1.55)</f>
        <v>0.16956375998621045</v>
      </c>
      <c r="FT25" s="550">
        <f>AV25*CR25*$DK25*((EXP('Allometrics &amp; Decay rates'!$M$5)-1)/('Discounting metrics'!$D$4+'Allometrics &amp; Decay rates'!$M$5)*(1-EXP(-('Discounting metrics'!$D$4+'Allometrics &amp; Decay rates'!$M$5)*'Discounting metrics'!$E$4))-(1-EXP(-'Allometrics &amp; Decay rates'!$M$5))/1.55)</f>
        <v>1.6650466098772372</v>
      </c>
      <c r="FU25" s="550">
        <f>AW25*CS25*$DK25*((EXP('Allometrics &amp; Decay rates'!$M$5)-1)/('Discounting metrics'!$D$4+'Allometrics &amp; Decay rates'!$M$5)*(1-EXP(-('Discounting metrics'!$D$4+'Allometrics &amp; Decay rates'!$M$5)*'Discounting metrics'!$E$4))-(1-EXP(-'Allometrics &amp; Decay rates'!$M$5))/1.55)</f>
        <v>0.76230028765409907</v>
      </c>
      <c r="FV25" s="550">
        <f>AX25*CT25*$DK25*((EXP('Allometrics &amp; Decay rates'!$M$5)-1)/('Discounting metrics'!$D$4+'Allometrics &amp; Decay rates'!$M$5)*(1-EXP(-('Discounting metrics'!$D$4+'Allometrics &amp; Decay rates'!$M$5)*'Discounting metrics'!$E$4))-(1-EXP(-'Allometrics &amp; Decay rates'!$M$5))/1.55)</f>
        <v>9.9874772143652422</v>
      </c>
      <c r="FW25" s="550">
        <f>AY25*CU25*$DK25*((EXP('Allometrics &amp; Decay rates'!$M$5)-1)/('Discounting metrics'!$D$4+'Allometrics &amp; Decay rates'!$M$5)*(1-EXP(-('Discounting metrics'!$D$4+'Allometrics &amp; Decay rates'!$M$5)*'Discounting metrics'!$E$4))-(1-EXP(-'Allometrics &amp; Decay rates'!$M$5))/1.55)</f>
        <v>0.40843320526966037</v>
      </c>
      <c r="FX25" s="550">
        <f>AZ25*CV25*$DK25*((EXP('Allometrics &amp; Decay rates'!$M$5)-1)/('Discounting metrics'!$D$4+'Allometrics &amp; Decay rates'!$M$5)*(1-EXP(-('Discounting metrics'!$D$4+'Allometrics &amp; Decay rates'!$M$5)*'Discounting metrics'!$E$4))-(1-EXP(-'Allometrics &amp; Decay rates'!$M$5))/1.55)</f>
        <v>0.1783333154499068</v>
      </c>
      <c r="FY25" s="550">
        <f>BA25*CW25*$DK25*((EXP('Allometrics &amp; Decay rates'!$M$5)-1)/('Discounting metrics'!$D$4+'Allometrics &amp; Decay rates'!$M$5)*(1-EXP(-('Discounting metrics'!$D$4+'Allometrics &amp; Decay rates'!$M$5)*'Discounting metrics'!$E$4))-(1-EXP(-'Allometrics &amp; Decay rates'!$M$5))/1.55)</f>
        <v>2.2822286084295336E-3</v>
      </c>
      <c r="FZ25" s="68"/>
      <c r="GA25" s="293"/>
      <c r="GB25" s="293"/>
      <c r="GP25" s="32">
        <f t="shared" si="151"/>
        <v>3.8798089171974524</v>
      </c>
      <c r="GQ25" s="33">
        <v>3.87</v>
      </c>
      <c r="GR25" s="99">
        <v>4.1500000000000004</v>
      </c>
      <c r="GS25" s="99"/>
      <c r="GT25" s="99"/>
      <c r="GU25" s="99"/>
      <c r="GV25" s="99"/>
      <c r="GW25" s="99"/>
      <c r="GX25" s="99"/>
      <c r="GY25" s="99"/>
      <c r="GZ25" s="99"/>
      <c r="HA25" s="99"/>
      <c r="HB25" s="99"/>
      <c r="HF25" s="97">
        <f t="shared" si="63"/>
        <v>1.0641087618494558</v>
      </c>
      <c r="HG25" s="526">
        <f>EE25/'Discounting metrics'!E$4/M25</f>
        <v>1.2092145021016543</v>
      </c>
      <c r="HH25" s="527">
        <f t="shared" si="64"/>
        <v>83.394103593217537</v>
      </c>
      <c r="HI25" s="528">
        <f t="shared" si="65"/>
        <v>13.435716690018381</v>
      </c>
      <c r="HJ25" s="97">
        <f t="shared" si="66"/>
        <v>1.1159984460679524</v>
      </c>
      <c r="HK25" s="526">
        <f>EH25/'Discounting metrics'!E$4/O25</f>
        <v>1.2681800523499458</v>
      </c>
      <c r="HL25" s="527">
        <f t="shared" si="67"/>
        <v>87.460693265513498</v>
      </c>
      <c r="HM25" s="528">
        <f t="shared" si="68"/>
        <v>14.090889470554954</v>
      </c>
      <c r="HN25" s="97">
        <f t="shared" si="69"/>
        <v>0.50559103396824767</v>
      </c>
      <c r="HO25" s="526">
        <f>FD25/'Discounting metrics'!E$4/Q25</f>
        <v>0.57453526587300874</v>
      </c>
      <c r="HP25" s="527">
        <f t="shared" si="70"/>
        <v>39.623121784345429</v>
      </c>
      <c r="HQ25" s="528">
        <f t="shared" si="71"/>
        <v>6.383725176366764</v>
      </c>
      <c r="HR25" s="97">
        <f t="shared" si="72"/>
        <v>1.9732852895591937</v>
      </c>
      <c r="HS25" s="263">
        <f t="shared" si="73"/>
        <v>2.2423696472263566</v>
      </c>
      <c r="HT25" s="527">
        <f t="shared" si="74"/>
        <v>154.64618256733493</v>
      </c>
      <c r="HU25" s="528">
        <f t="shared" si="75"/>
        <v>24.915218302515076</v>
      </c>
      <c r="HV25" s="97">
        <f t="shared" si="76"/>
        <v>2.0758038966917729</v>
      </c>
      <c r="HW25" s="263">
        <f t="shared" si="28"/>
        <v>2.3588680644224693</v>
      </c>
      <c r="HX25" s="527">
        <f t="shared" si="77"/>
        <v>162.68055616706684</v>
      </c>
      <c r="HY25" s="528">
        <f t="shared" si="78"/>
        <v>26.209645160249661</v>
      </c>
      <c r="HZ25" s="97">
        <f t="shared" si="79"/>
        <v>0.72019200000000005</v>
      </c>
      <c r="IA25" s="263">
        <f t="shared" si="29"/>
        <v>0.98843194739088902</v>
      </c>
      <c r="IB25" s="527">
        <f t="shared" si="80"/>
        <v>56.441379310344828</v>
      </c>
      <c r="IC25" s="528">
        <f t="shared" si="81"/>
        <v>9.0933333333333337</v>
      </c>
      <c r="ID25" s="97">
        <f t="shared" si="82"/>
        <v>3.9557749131408899</v>
      </c>
      <c r="IE25" s="263">
        <f t="shared" si="30"/>
        <v>4.4951987649328293</v>
      </c>
      <c r="IF25" s="68">
        <f t="shared" si="83"/>
        <v>310.01370792640205</v>
      </c>
      <c r="IG25" s="97">
        <f t="shared" si="84"/>
        <v>4.161290322580645</v>
      </c>
      <c r="IH25" s="263">
        <f t="shared" si="31"/>
        <v>4.7287390029325511</v>
      </c>
      <c r="II25" s="68">
        <f t="shared" si="85"/>
        <v>326.11993123672767</v>
      </c>
      <c r="IJ25" s="97">
        <f t="shared" si="86"/>
        <v>1.7436974789915971</v>
      </c>
      <c r="IK25" s="263">
        <f t="shared" si="32"/>
        <v>1.9814744079449966</v>
      </c>
      <c r="IL25" s="68">
        <f t="shared" si="87"/>
        <v>136.65340744448253</v>
      </c>
      <c r="IM25" s="60"/>
      <c r="IN25" s="60"/>
      <c r="IO25" s="60"/>
      <c r="IP25" s="554">
        <f t="shared" si="88"/>
        <v>29.248563350999998</v>
      </c>
      <c r="IQ25" s="262">
        <f t="shared" si="89"/>
        <v>0.94972118553755225</v>
      </c>
      <c r="IR25" s="166">
        <f t="shared" si="90"/>
        <v>1.0792286199290366</v>
      </c>
      <c r="IS25" s="68">
        <f t="shared" si="91"/>
        <v>74.429559995105961</v>
      </c>
      <c r="IT25" s="97">
        <f t="shared" si="92"/>
        <v>11.991429110322629</v>
      </c>
      <c r="IU25" s="429">
        <f>(IX25*C25+JE25*D25)/B25</f>
        <v>1.7195222929936308E-2</v>
      </c>
      <c r="IV25" s="262">
        <f t="shared" si="93"/>
        <v>1.019214376344086</v>
      </c>
      <c r="IW25" s="436">
        <f t="shared" si="94"/>
        <v>1.1581981549364613</v>
      </c>
      <c r="IX25" s="101">
        <v>1.7500000000000002E-2</v>
      </c>
      <c r="IY25" s="433">
        <v>0.98</v>
      </c>
      <c r="IZ25" s="433">
        <v>0.02</v>
      </c>
      <c r="JA25" s="434">
        <f t="shared" si="153"/>
        <v>0</v>
      </c>
      <c r="JB25" s="430">
        <f>IY25*$JJ25+IZ25*$JK25+JA25*$JL25+'Discounting metrics'!$B$6*(IY25*$JM25+IZ25*$JN25+JA25*$JO25)/10^3+'Discounting metrics'!$B$5*(IY25*$JP25+IZ25*$JQ25+JA25*$JR25)/10^3</f>
        <v>54.163963999999993</v>
      </c>
      <c r="JC25" s="262">
        <f t="shared" si="95"/>
        <v>0.20172705882352945</v>
      </c>
      <c r="JD25" s="436">
        <f t="shared" si="96"/>
        <v>0.22923529411764709</v>
      </c>
      <c r="JE25" s="101">
        <v>8.8000000000000005E-3</v>
      </c>
      <c r="JF25" s="433">
        <v>1</v>
      </c>
      <c r="JG25" s="433">
        <v>0</v>
      </c>
      <c r="JH25" s="434">
        <f t="shared" si="154"/>
        <v>0</v>
      </c>
      <c r="JI25" s="430">
        <f>JF25*$JJ25+JG25*$JK25+JH25*$JL25+'Discounting metrics'!$B$6*(JF25*$JM25+JG25*$JN25+JH25*$JO25)/10^3+'Discounting metrics'!$B$5*(JF25*$JP25+JG25*$JQ25+JH25*$JR25)/10^3</f>
        <v>54.558</v>
      </c>
      <c r="JJ25" s="431">
        <v>51.3</v>
      </c>
      <c r="JK25" s="431">
        <v>29</v>
      </c>
      <c r="JL25" s="431">
        <v>29</v>
      </c>
      <c r="JM25" s="99">
        <v>5</v>
      </c>
      <c r="JN25" s="431">
        <v>13</v>
      </c>
      <c r="JO25" s="431">
        <v>13</v>
      </c>
      <c r="JP25" s="431">
        <v>52</v>
      </c>
      <c r="JQ25" s="431">
        <v>58.3</v>
      </c>
      <c r="JR25" s="431">
        <v>58.3</v>
      </c>
      <c r="JS25" s="554">
        <f t="shared" si="97"/>
        <v>16.699488984157721</v>
      </c>
      <c r="JT25" s="554">
        <f t="shared" si="98"/>
        <v>4.0266726192461606</v>
      </c>
      <c r="JU25" s="554">
        <f t="shared" si="99"/>
        <v>1.2417908256858001</v>
      </c>
      <c r="JV25" s="554">
        <f t="shared" si="100"/>
        <v>8.0924751010428011</v>
      </c>
      <c r="JW25" s="554">
        <f t="shared" si="101"/>
        <v>3.3385504381829603</v>
      </c>
      <c r="JX25" s="554"/>
      <c r="JY25" s="167">
        <f t="shared" si="102"/>
        <v>0.54224401676</v>
      </c>
      <c r="JZ25" s="166">
        <f t="shared" si="103"/>
        <v>0.61618638268181813</v>
      </c>
      <c r="KA25" s="68">
        <f t="shared" si="104"/>
        <v>42.495612598746078</v>
      </c>
      <c r="KB25" s="97">
        <f t="shared" si="105"/>
        <v>6.8465153631313127</v>
      </c>
      <c r="KC25" s="473">
        <f t="shared" si="106"/>
        <v>0.17107067068000004</v>
      </c>
      <c r="KD25" s="269">
        <f t="shared" si="107"/>
        <v>0.19439848940909094</v>
      </c>
      <c r="KE25" s="473">
        <f t="shared" si="108"/>
        <v>0.37117334607999997</v>
      </c>
      <c r="KF25" s="269">
        <f t="shared" si="109"/>
        <v>0.42178789327272725</v>
      </c>
      <c r="KG25" s="123"/>
      <c r="KH25" s="49"/>
      <c r="KI25" s="435">
        <v>0.13074885928000002</v>
      </c>
      <c r="KJ25" s="522">
        <f t="shared" si="110"/>
        <v>0.14857824918181819</v>
      </c>
      <c r="KK25" s="435">
        <v>4.0321811399999997E-2</v>
      </c>
      <c r="KL25" s="522">
        <f t="shared" si="111"/>
        <v>4.5820240227272727E-2</v>
      </c>
      <c r="KM25" s="435">
        <v>0.26276829239999999</v>
      </c>
      <c r="KN25" s="522">
        <f t="shared" si="112"/>
        <v>0.29860033227272725</v>
      </c>
      <c r="KO25" s="435">
        <v>0.10840505368</v>
      </c>
      <c r="KP25" s="522">
        <f t="shared" si="113"/>
        <v>0.123187561</v>
      </c>
      <c r="KQ25" s="599">
        <f t="shared" si="114"/>
        <v>6.1292015103169195</v>
      </c>
      <c r="KR25" s="527">
        <f t="shared" si="115"/>
        <v>422.70355243564961</v>
      </c>
      <c r="KS25" s="528">
        <f t="shared" si="116"/>
        <v>68.102239003521333</v>
      </c>
      <c r="KT25" s="599">
        <f t="shared" si="117"/>
        <v>6.4243780629014138</v>
      </c>
      <c r="KU25" s="527">
        <f t="shared" si="118"/>
        <v>443.06055606216648</v>
      </c>
      <c r="KV25" s="528">
        <f t="shared" si="119"/>
        <v>71.381978476682377</v>
      </c>
      <c r="KW25" s="599">
        <f t="shared" si="120"/>
        <v>2.9520509850004975</v>
      </c>
      <c r="KX25" s="527">
        <f t="shared" si="121"/>
        <v>203.58972310348258</v>
      </c>
      <c r="KY25" s="528">
        <f t="shared" si="122"/>
        <v>32.80056650000553</v>
      </c>
      <c r="KZ25" s="599">
        <f t="shared" si="123"/>
        <v>9.9174370424408274</v>
      </c>
      <c r="LA25" s="527">
        <f t="shared" si="124"/>
        <v>683.96117534074676</v>
      </c>
      <c r="LB25" s="528">
        <f t="shared" si="125"/>
        <v>110.19374491600919</v>
      </c>
      <c r="LC25" s="599">
        <f t="shared" si="126"/>
        <v>10.423567440500666</v>
      </c>
      <c r="LD25" s="527">
        <f t="shared" si="127"/>
        <v>718.86672003452861</v>
      </c>
      <c r="LE25" s="528">
        <f t="shared" si="128"/>
        <v>115.81741600556296</v>
      </c>
      <c r="LF25" s="599">
        <f t="shared" si="129"/>
        <v>3.8462216767994652</v>
      </c>
      <c r="LG25" s="527">
        <f t="shared" si="130"/>
        <v>265.25666736548033</v>
      </c>
      <c r="LH25" s="528">
        <f t="shared" si="131"/>
        <v>42.735796408882948</v>
      </c>
      <c r="LI25" s="31">
        <v>0.88</v>
      </c>
      <c r="LJ25" s="32">
        <f t="shared" si="155"/>
        <v>16.015999999999998</v>
      </c>
      <c r="LK25" s="27">
        <v>18.2</v>
      </c>
      <c r="LL25" s="32">
        <f t="shared" si="156"/>
        <v>12.76</v>
      </c>
      <c r="LM25" s="33">
        <v>14.5</v>
      </c>
      <c r="LN25" s="36">
        <f t="shared" si="152"/>
        <v>7.9199999999999993E-2</v>
      </c>
      <c r="LO25" s="35">
        <v>0.09</v>
      </c>
      <c r="LP25" s="36">
        <f t="shared" si="132"/>
        <v>3.0800000000000004E-2</v>
      </c>
      <c r="LQ25" s="35">
        <v>3.5000000000000003E-2</v>
      </c>
    </row>
    <row r="26" spans="1:329" s="4" customFormat="1" x14ac:dyDescent="0.25">
      <c r="A26" s="14"/>
      <c r="C26" s="33"/>
      <c r="D26" s="33"/>
      <c r="E26" s="33"/>
      <c r="H26" s="33"/>
      <c r="J26" s="33"/>
      <c r="M26" s="32"/>
      <c r="N26" s="32"/>
      <c r="O26" s="32"/>
      <c r="P26" s="32"/>
      <c r="Q26" s="32"/>
      <c r="U26" s="60"/>
      <c r="AC26" s="60"/>
      <c r="AD26" s="60"/>
      <c r="AE26" s="60"/>
      <c r="AF26" s="60"/>
      <c r="AG26" s="60"/>
      <c r="AH26" s="60"/>
      <c r="AI26" s="60"/>
      <c r="AJ26" s="60"/>
      <c r="AK26" s="60"/>
      <c r="AL26" s="293"/>
      <c r="AM26" s="293"/>
      <c r="AN26" s="293"/>
      <c r="AO26" s="293"/>
      <c r="AP26" s="293"/>
      <c r="AQ26" s="293"/>
      <c r="AR26" s="293"/>
      <c r="AS26" s="293"/>
      <c r="AT26" s="293"/>
      <c r="AU26" s="293"/>
      <c r="AV26" s="293"/>
      <c r="AW26" s="293"/>
      <c r="AX26" s="293"/>
      <c r="AY26" s="293"/>
      <c r="AZ26" s="293"/>
      <c r="BA26" s="293"/>
      <c r="BB26" s="293"/>
      <c r="BC26" s="293"/>
      <c r="BD26" s="60"/>
      <c r="BE26" s="60"/>
      <c r="BF26" s="60"/>
      <c r="BJ26" s="67"/>
      <c r="BK26" s="106"/>
      <c r="BL26" s="145"/>
      <c r="BM26" s="145"/>
      <c r="BN26" s="145"/>
      <c r="BO26" s="145"/>
      <c r="BP26" s="145"/>
      <c r="BQ26" s="145"/>
      <c r="BR26" s="145"/>
      <c r="BS26" s="145"/>
      <c r="BT26" s="145"/>
      <c r="BU26" s="106"/>
      <c r="BV26" s="145"/>
      <c r="BW26" s="145"/>
      <c r="BX26" s="145"/>
      <c r="BY26" s="145"/>
      <c r="BZ26" s="145"/>
      <c r="CA26" s="145"/>
      <c r="CB26" s="145"/>
      <c r="CC26" s="145"/>
      <c r="CD26" s="145"/>
      <c r="CE26" s="60"/>
      <c r="CF26" s="106"/>
      <c r="CG26" s="145"/>
      <c r="CH26" s="145"/>
      <c r="CI26" s="145"/>
      <c r="CJ26" s="145"/>
      <c r="CK26" s="145"/>
      <c r="CL26" s="145"/>
      <c r="CM26" s="145"/>
      <c r="CN26" s="145"/>
      <c r="CO26" s="145"/>
      <c r="CP26" s="106"/>
      <c r="CQ26" s="145"/>
      <c r="CR26" s="145"/>
      <c r="CS26" s="145"/>
      <c r="CT26" s="145"/>
      <c r="CU26" s="145"/>
      <c r="CV26" s="145"/>
      <c r="CW26" s="145"/>
      <c r="CX26" s="145"/>
      <c r="CY26" s="145"/>
      <c r="CZ26" s="60"/>
      <c r="DA26" s="60"/>
      <c r="DB26" s="60"/>
      <c r="DC26" s="32"/>
      <c r="DD26" s="32"/>
      <c r="DE26" s="67"/>
      <c r="DF26" s="270"/>
      <c r="DL26" s="123"/>
      <c r="DM26" s="123"/>
      <c r="DN26" s="60"/>
      <c r="DS26" s="60"/>
      <c r="DT26" s="60"/>
      <c r="DU26" s="60"/>
      <c r="EE26" s="60"/>
      <c r="EF26" s="60"/>
      <c r="EG26" s="60"/>
      <c r="EH26" s="60"/>
      <c r="EI26" s="123"/>
      <c r="EJ26" s="60"/>
      <c r="EK26" s="60"/>
      <c r="EL26" s="60"/>
      <c r="EM26" s="126"/>
      <c r="EN26" s="126"/>
      <c r="EO26" s="126"/>
      <c r="EP26" s="126"/>
      <c r="EQ26" s="126"/>
      <c r="ER26" s="126"/>
      <c r="ES26" s="126"/>
      <c r="ET26" s="126"/>
      <c r="EU26" s="126"/>
      <c r="EV26" s="60"/>
      <c r="EW26" s="542"/>
      <c r="EX26" s="542"/>
      <c r="EY26" s="542"/>
      <c r="EZ26" s="542"/>
      <c r="FA26" s="542"/>
      <c r="FB26" s="542"/>
      <c r="FC26" s="542"/>
      <c r="FG26" s="60"/>
      <c r="FH26" s="60"/>
      <c r="FI26" s="542"/>
      <c r="FJ26" s="542"/>
      <c r="FK26" s="542"/>
      <c r="FL26" s="542"/>
      <c r="FM26" s="542"/>
      <c r="FN26" s="542"/>
      <c r="FO26" s="542"/>
      <c r="FP26" s="542"/>
      <c r="FQ26" s="542"/>
      <c r="FR26" s="60"/>
      <c r="FS26" s="542"/>
      <c r="FT26" s="542"/>
      <c r="FU26" s="542"/>
      <c r="FV26" s="542"/>
      <c r="FW26" s="542"/>
      <c r="FX26" s="542"/>
      <c r="FY26" s="542"/>
      <c r="FZ26" s="60"/>
      <c r="GA26" s="60"/>
      <c r="GB26" s="60"/>
      <c r="GQ26" s="33"/>
      <c r="GR26" s="99"/>
      <c r="GS26" s="99"/>
      <c r="GT26" s="99"/>
      <c r="GU26" s="99"/>
      <c r="GV26" s="99"/>
      <c r="GW26" s="99"/>
      <c r="GX26" s="99"/>
      <c r="GY26" s="99"/>
      <c r="GZ26" s="99"/>
      <c r="HA26" s="99"/>
      <c r="HB26" s="99"/>
      <c r="HF26" s="97"/>
      <c r="HG26" s="264"/>
      <c r="HI26" s="67"/>
      <c r="HJ26" s="97"/>
      <c r="HK26" s="264"/>
      <c r="HM26" s="67"/>
      <c r="HN26" s="97"/>
      <c r="HO26" s="264"/>
      <c r="HQ26" s="67"/>
      <c r="HR26" s="97"/>
      <c r="HS26" s="32"/>
      <c r="HU26" s="67"/>
      <c r="HV26" s="97"/>
      <c r="HW26" s="32"/>
      <c r="HY26" s="67"/>
      <c r="HZ26" s="97"/>
      <c r="IA26" s="32"/>
      <c r="IC26" s="67"/>
      <c r="ID26" s="97"/>
      <c r="IF26" s="60"/>
      <c r="IG26" s="97"/>
      <c r="II26" s="60"/>
      <c r="IJ26" s="97"/>
      <c r="IL26" s="60"/>
      <c r="IM26" s="60"/>
      <c r="IN26" s="60"/>
      <c r="IO26" s="60"/>
      <c r="IP26" s="97"/>
      <c r="IQ26" s="49"/>
      <c r="IR26" s="60"/>
      <c r="IS26" s="60"/>
      <c r="IT26" s="97"/>
      <c r="IU26" s="601"/>
      <c r="IV26" s="49"/>
      <c r="IW26" s="60"/>
      <c r="IX26" s="100"/>
      <c r="IY26" s="100"/>
      <c r="IZ26" s="100"/>
      <c r="JA26" s="100"/>
      <c r="JB26" s="100"/>
      <c r="JC26" s="49"/>
      <c r="JD26" s="60"/>
      <c r="JE26" s="100"/>
      <c r="JF26" s="100"/>
      <c r="JG26" s="100"/>
      <c r="JH26" s="100"/>
      <c r="JI26" s="100"/>
      <c r="JJ26" s="97"/>
      <c r="JK26" s="97"/>
      <c r="JL26" s="97"/>
      <c r="JM26" s="97"/>
      <c r="JN26" s="97"/>
      <c r="JO26" s="97"/>
      <c r="JP26" s="97"/>
      <c r="JQ26" s="97"/>
      <c r="JR26" s="97"/>
      <c r="JS26" s="97"/>
      <c r="JT26" s="97"/>
      <c r="JU26" s="97"/>
      <c r="JV26" s="97"/>
      <c r="JW26" s="97"/>
      <c r="JX26" s="97"/>
      <c r="JY26" s="522"/>
      <c r="JZ26" s="60"/>
      <c r="KA26" s="60"/>
      <c r="KB26" s="97"/>
      <c r="KC26" s="123"/>
      <c r="KD26" s="123"/>
      <c r="KE26" s="123"/>
      <c r="KF26" s="123"/>
      <c r="KG26" s="123"/>
      <c r="KH26" s="49"/>
      <c r="KI26" s="60"/>
      <c r="KJ26" s="60"/>
      <c r="KK26" s="60"/>
      <c r="KL26" s="60"/>
      <c r="KM26" s="60"/>
      <c r="KN26" s="60"/>
      <c r="KO26" s="60"/>
      <c r="KP26" s="60"/>
    </row>
    <row r="27" spans="1:329" s="4" customFormat="1" ht="13.8" x14ac:dyDescent="0.3">
      <c r="A27" s="15" t="s">
        <v>75</v>
      </c>
      <c r="B27" s="152">
        <f>B28+B29+B30+B31</f>
        <v>49.589999999999996</v>
      </c>
      <c r="C27" s="152">
        <f t="shared" ref="C27:D27" si="157">C28+C29+C30+C31</f>
        <v>46.199999999999996</v>
      </c>
      <c r="D27" s="152">
        <f t="shared" si="157"/>
        <v>3.39</v>
      </c>
      <c r="E27" s="33"/>
      <c r="F27" s="153">
        <f>U27/B27</f>
        <v>14.177354305303489</v>
      </c>
      <c r="G27" s="153">
        <f>V27/B27</f>
        <v>3.8576106069772136</v>
      </c>
      <c r="I27" s="153">
        <f>Y27/C27</f>
        <v>3.6929826839826845</v>
      </c>
      <c r="K27" s="153">
        <f>AA27/D27</f>
        <v>6.1012123893805308</v>
      </c>
      <c r="L27" s="153">
        <f>($B28*L28+$B29*L29+$B30*L30+$B31*L31)/$B27</f>
        <v>3.4794217508624774</v>
      </c>
      <c r="M27" s="153">
        <f>($B28*M28+$B29*M29+$B30*M30+$B31*M31)/$B27</f>
        <v>0.94673900103161679</v>
      </c>
      <c r="N27" s="153"/>
      <c r="O27" s="153">
        <f t="shared" ref="O27" si="158">($C28*O28+$C29*O29+$C30*O30+$C31*O31)/$C27</f>
        <v>0.90633583668012718</v>
      </c>
      <c r="P27" s="153"/>
      <c r="Q27" s="153">
        <f>($D28*Q28+$D29*Q29+$D30*Q30+$D31*Q31)/$D27</f>
        <v>1.4973661966182912</v>
      </c>
      <c r="U27" s="152">
        <f>U28+U29+U30+U31</f>
        <v>703.05499999999995</v>
      </c>
      <c r="V27" s="152">
        <f>V28+V29+V30+V31</f>
        <v>191.29891000000001</v>
      </c>
      <c r="W27" s="592">
        <f>V27/V$17</f>
        <v>5.0449696408953311E-2</v>
      </c>
      <c r="Y27" s="152">
        <f>Y28+Y29+Y30+Y31</f>
        <v>170.61580000000001</v>
      </c>
      <c r="AA27" s="152">
        <f>AA28+AA29+AA30+AA31</f>
        <v>20.683109999999999</v>
      </c>
      <c r="AB27" s="154"/>
      <c r="AC27" s="265">
        <f t="shared" ref="AC27:AK27" si="159">($B28*AC28+$B29*AC29+$B30*AC30+$B31*AC31)/$B27</f>
        <v>0.42741180246726307</v>
      </c>
      <c r="AD27" s="265">
        <f t="shared" si="159"/>
        <v>0.20187943102024589</v>
      </c>
      <c r="AE27" s="265">
        <f t="shared" si="159"/>
        <v>0.14872118580698304</v>
      </c>
      <c r="AF27" s="265">
        <f t="shared" si="159"/>
        <v>0.10957688685601377</v>
      </c>
      <c r="AG27" s="265">
        <f t="shared" si="159"/>
        <v>4.4616467114376862E-2</v>
      </c>
      <c r="AH27" s="265">
        <f t="shared" si="159"/>
        <v>3.4727847031074593E-2</v>
      </c>
      <c r="AI27" s="265">
        <f t="shared" si="159"/>
        <v>3.684800393308511E-3</v>
      </c>
      <c r="AJ27" s="265">
        <f t="shared" si="159"/>
        <v>2.4390393208665654E-2</v>
      </c>
      <c r="AK27" s="265">
        <f t="shared" si="159"/>
        <v>4.6657853799990309E-3</v>
      </c>
      <c r="AL27" s="502"/>
      <c r="AM27" s="502"/>
      <c r="AN27" s="502"/>
      <c r="AO27" s="502"/>
      <c r="AP27" s="502"/>
      <c r="AQ27" s="502"/>
      <c r="AR27" s="502"/>
      <c r="AS27" s="502"/>
      <c r="AT27" s="502"/>
      <c r="AU27" s="502"/>
      <c r="AV27" s="502"/>
      <c r="AW27" s="502"/>
      <c r="AX27" s="502"/>
      <c r="AY27" s="502"/>
      <c r="AZ27" s="502"/>
      <c r="BA27" s="502"/>
      <c r="BB27" s="502"/>
      <c r="BC27" s="502"/>
      <c r="BD27" s="152">
        <f>BD28+BD29+BD30+BD31</f>
        <v>10.424885237995369</v>
      </c>
      <c r="BE27" s="152">
        <f t="shared" ref="BE27:BF27" si="160">BE28+BE29+BE30+BE31</f>
        <v>4.7843961219692863</v>
      </c>
      <c r="BF27" s="152">
        <f t="shared" si="160"/>
        <v>5.6404891160260835</v>
      </c>
      <c r="BG27" s="49">
        <f>($B28*BG28+$B29*BG29+$B30*BG30+$B31*BG31)/$B27</f>
        <v>210.2215212340264</v>
      </c>
      <c r="BH27" s="49">
        <f>($B28*BH28+$B29*BH29+$B30*BH30+$B31*BH31)/$B27</f>
        <v>96.479050654754701</v>
      </c>
      <c r="BI27" s="49">
        <f>($B28*BI28+$B29*BI29+$B30*BI30+$B31*BI31)/$B27</f>
        <v>113.74247057927171</v>
      </c>
      <c r="BJ27" s="49">
        <f>($C28*BJ28+$C29*BJ29+$C30*BJ30+$C31*BJ31)/$C27</f>
        <v>214.44923621512993</v>
      </c>
      <c r="BK27" s="144">
        <f t="shared" ref="BK27:BU27" si="161">($C28*BK28+$C29*BK29+$C30*BK30+$C31*BK31)/$C27</f>
        <v>99.08253866100759</v>
      </c>
      <c r="BL27" s="144"/>
      <c r="BM27" s="144"/>
      <c r="BN27" s="144"/>
      <c r="BO27" s="144"/>
      <c r="BP27" s="144"/>
      <c r="BQ27" s="144"/>
      <c r="BR27" s="144"/>
      <c r="BS27" s="144"/>
      <c r="BT27" s="144"/>
      <c r="BU27" s="144">
        <f t="shared" si="161"/>
        <v>115.36669755412233</v>
      </c>
      <c r="BV27" s="144"/>
      <c r="BW27" s="144"/>
      <c r="BX27" s="144"/>
      <c r="BY27" s="144"/>
      <c r="BZ27" s="144"/>
      <c r="CA27" s="144"/>
      <c r="CB27" s="144"/>
      <c r="CC27" s="144"/>
      <c r="CD27" s="144"/>
      <c r="CE27" s="123">
        <f>($D28*CE28+$D29*CE29+$D30*CE30+$D31*CE31)/$D27</f>
        <v>152.60487458889924</v>
      </c>
      <c r="CF27" s="144">
        <f>($D28*CF28+$D29*CF29+$D30*CF30+$D31*CF31)/$D27</f>
        <v>60.997886675733177</v>
      </c>
      <c r="CG27" s="144"/>
      <c r="CH27" s="144"/>
      <c r="CI27" s="144"/>
      <c r="CJ27" s="144"/>
      <c r="CK27" s="144"/>
      <c r="CL27" s="144"/>
      <c r="CM27" s="144"/>
      <c r="CN27" s="144"/>
      <c r="CO27" s="144"/>
      <c r="CP27" s="144">
        <f>($D28*CP28+$D29*CP29+$D30*CP30+$D31*CP31)/$D27</f>
        <v>91.606987913166066</v>
      </c>
      <c r="CQ27" s="144"/>
      <c r="CR27" s="144"/>
      <c r="CS27" s="144"/>
      <c r="CT27" s="144"/>
      <c r="CU27" s="144"/>
      <c r="CV27" s="144"/>
      <c r="CW27" s="144"/>
      <c r="CX27" s="144"/>
      <c r="CY27" s="144"/>
      <c r="CZ27" s="152">
        <f>CZ28+CZ29+CZ30+CZ31</f>
        <v>4.2901477463945623</v>
      </c>
      <c r="DA27" s="152">
        <f t="shared" ref="DA27:DB27" si="162">DA28+DA29+DA30+DA31</f>
        <v>5.9780909374999996E-2</v>
      </c>
      <c r="DB27" s="152">
        <f t="shared" si="162"/>
        <v>4.2303668370195622</v>
      </c>
      <c r="DC27" s="153">
        <f>($B28*DC28+$B29*DC29+$B30*DC30+$B31*DC31)/$B27</f>
        <v>86.512356249134143</v>
      </c>
      <c r="DD27" s="153">
        <f>($B28*DD28+$B29*DD29+$B30*DD30+$B31*DD31)/$B27</f>
        <v>1.2055033146803791</v>
      </c>
      <c r="DE27" s="152">
        <f>($B28*DE28+$B29*DE29+$B30*DE30+$B31*DE31)/$B27</f>
        <v>85.306852934453786</v>
      </c>
      <c r="DF27" s="270"/>
      <c r="DG27" s="152">
        <f>($C28*DG28+$C29*DG29+$C30*DG30+$C31*DG31)/$C27</f>
        <v>87.679080254336313</v>
      </c>
      <c r="DH27" s="153">
        <f t="shared" ref="DH27:DI27" si="163">($C28*DH28+$C29*DH29+$C30*DH30+$C31*DH31)/$C27</f>
        <v>1.1540570887445889</v>
      </c>
      <c r="DI27" s="152">
        <f t="shared" si="163"/>
        <v>86.525023165591733</v>
      </c>
      <c r="DJ27" s="152"/>
      <c r="DL27" s="123"/>
      <c r="DM27" s="123"/>
      <c r="DN27" s="49">
        <f>($D28*DN28+$D29*DN29+$D30*DN30+$D31*DN31)/$D27</f>
        <v>70.611869806555958</v>
      </c>
      <c r="DO27" s="153">
        <f>($D28*DO28+$D29*DO29+$D30*DO30+$D31*DO31)/$D27</f>
        <v>1.9066288716814157</v>
      </c>
      <c r="DP27" s="152">
        <f>($D28*DP28+$D29*DP29+$D30*DP30+$D31*DP31)/$D27</f>
        <v>68.705240934874553</v>
      </c>
      <c r="DQ27" s="152"/>
      <c r="DS27" s="154"/>
      <c r="DT27" s="154"/>
      <c r="DU27" s="154"/>
      <c r="DV27" s="152">
        <f t="shared" ref="DV27:DX31" si="164">BG27-DC27</f>
        <v>123.70916498489225</v>
      </c>
      <c r="DW27" s="152">
        <f t="shared" si="164"/>
        <v>95.273547340074316</v>
      </c>
      <c r="DX27" s="152">
        <f t="shared" si="164"/>
        <v>28.435617644817924</v>
      </c>
      <c r="DY27" s="152">
        <f t="shared" ref="DY27:DZ31" si="165">BJ27-DG27</f>
        <v>126.77015596079362</v>
      </c>
      <c r="DZ27" s="152">
        <f t="shared" si="165"/>
        <v>97.928481572262996</v>
      </c>
      <c r="EA27" s="152">
        <f>BU27-DI27</f>
        <v>28.841674388530592</v>
      </c>
      <c r="EB27" s="152">
        <f t="shared" ref="EB27:EC31" si="166">CE27-DN27</f>
        <v>81.993004782343277</v>
      </c>
      <c r="EC27" s="152">
        <f t="shared" si="166"/>
        <v>59.091257804051764</v>
      </c>
      <c r="ED27" s="152">
        <f>CP27-DP27</f>
        <v>22.901746978291513</v>
      </c>
      <c r="EE27" s="49">
        <f>($B28*EE28+$B29*EE29+$B30*EE30+$B31*EE31)/$B27</f>
        <v>96.347880282231742</v>
      </c>
      <c r="EF27" s="144"/>
      <c r="EG27" s="144"/>
      <c r="EH27" s="152">
        <f t="shared" ref="EH27" si="167">($C28*EH28+$C29*EH29+$C30*EH30+$C31*EH31)/$C27</f>
        <v>98.549211528319233</v>
      </c>
      <c r="EI27" s="144"/>
      <c r="EJ27" s="144"/>
      <c r="EK27" s="144"/>
      <c r="EL27" s="144"/>
      <c r="EM27" s="550"/>
      <c r="EN27" s="550"/>
      <c r="EO27" s="550"/>
      <c r="EP27" s="550"/>
      <c r="EQ27" s="550"/>
      <c r="ER27" s="550"/>
      <c r="ES27" s="550"/>
      <c r="ET27" s="550"/>
      <c r="EU27" s="550"/>
      <c r="EV27" s="144"/>
      <c r="EW27" s="555"/>
      <c r="EX27" s="555"/>
      <c r="EY27" s="542"/>
      <c r="EZ27" s="542"/>
      <c r="FA27" s="542"/>
      <c r="FB27" s="542"/>
      <c r="FC27" s="542"/>
      <c r="FD27" s="152">
        <f>($D28*FD28+$D29*FD29+$D30*FD30+$D31*FD31)/$D27</f>
        <v>66.347436751481894</v>
      </c>
      <c r="FG27" s="60"/>
      <c r="FH27" s="60"/>
      <c r="FI27" s="555"/>
      <c r="FJ27" s="555"/>
      <c r="FK27" s="555"/>
      <c r="FL27" s="555"/>
      <c r="FM27" s="555"/>
      <c r="FN27" s="555"/>
      <c r="FO27" s="555"/>
      <c r="FP27" s="555"/>
      <c r="FQ27" s="555"/>
      <c r="FR27" s="144"/>
      <c r="FS27" s="555"/>
      <c r="FT27" s="555"/>
      <c r="FU27" s="555"/>
      <c r="FV27" s="555"/>
      <c r="FW27" s="555"/>
      <c r="FX27" s="555"/>
      <c r="FY27" s="555"/>
      <c r="FZ27" s="60"/>
      <c r="GA27" s="60"/>
      <c r="GB27" s="60"/>
      <c r="GP27" s="153">
        <f>($B28*GP28+$B29*GP29+$B30*GP30+$B31*GP31)/$B27</f>
        <v>7.1275478927203073</v>
      </c>
      <c r="GQ27" s="153">
        <f t="shared" ref="GQ27" si="168">($C28*GQ28+$C29*GQ29+$C30*GQ30+$C31*GQ31)/$C27</f>
        <v>7.2545887445887463</v>
      </c>
      <c r="GR27" s="153">
        <f>($D28*GR28+$D29*GR29+$D30*GR30+$D31*GR31)/$D27</f>
        <v>5.396194690265486</v>
      </c>
      <c r="GS27" s="153"/>
      <c r="GT27" s="153"/>
      <c r="GU27" s="153"/>
      <c r="GV27" s="153"/>
      <c r="GW27" s="153"/>
      <c r="GX27" s="153"/>
      <c r="GY27" s="153"/>
      <c r="GZ27" s="153"/>
      <c r="HA27" s="153"/>
      <c r="HB27" s="153"/>
      <c r="HF27" s="149">
        <f>EE27/'Discounting metrics'!E$4/L27</f>
        <v>0.2769077369202198</v>
      </c>
      <c r="HG27" s="524">
        <f>EE27/'Discounting metrics'!E$4/M27</f>
        <v>1.0176815381773225</v>
      </c>
      <c r="HH27" s="144">
        <f>10^3*HG27/(($V28*$LM28+$V29*$LM29+$V30*$LM30+$V31*$LM31)/$V27)</f>
        <v>76.241092958135695</v>
      </c>
      <c r="HI27" s="152"/>
      <c r="HJ27" s="97"/>
      <c r="HK27" s="524">
        <f>EH27/'Discounting metrics'!E$4/O27</f>
        <v>1.0873365869466352</v>
      </c>
      <c r="HL27" s="144">
        <f>10^3*HK27/(($Y28*$LM28+$Y29*$LM29+$Y30*$LM30+$Y31*$LM31)/$Y27)</f>
        <v>81.535177419275627</v>
      </c>
      <c r="HM27" s="152"/>
      <c r="HN27" s="97"/>
      <c r="HO27" s="524">
        <f>FD27/'Discounting metrics'!E$4/Q27</f>
        <v>0.44309426045094025</v>
      </c>
      <c r="HP27" s="144">
        <f>10^3*HO27/(($AA28*$LM28+$AA29*$LM29+$AA30*$LM30+$AA31*$LM31)/$AA27)</f>
        <v>32.94250438180417</v>
      </c>
      <c r="HQ27" s="152"/>
      <c r="HR27" s="269">
        <f>$IM$11*ID27</f>
        <v>0.25078598215741604</v>
      </c>
      <c r="HS27" s="525">
        <f>$IM$11*IE27</f>
        <v>0.92167978733220224</v>
      </c>
      <c r="HT27" s="144">
        <f>10^3*HS27/(($V28*$LM28+$V29*$LM29+$V30*$LM30+$V31*$LM31)/$V27)</f>
        <v>69.048982129992453</v>
      </c>
      <c r="HU27" s="152"/>
      <c r="HV27" s="97"/>
      <c r="HW27" s="525">
        <f>$IM$11*IH27</f>
        <v>0.97992724568104839</v>
      </c>
      <c r="HX27" s="144">
        <f>10^3*HW27/(($Y28*$LM28+$Y29*$LM29+$Y30*$LM30+$Y31*$LM31)/$Y27)</f>
        <v>73.480965134218991</v>
      </c>
      <c r="HY27" s="152"/>
      <c r="HZ27" s="97"/>
      <c r="IA27" s="525">
        <f>$IM$11*IK27</f>
        <v>0.44119417834230401</v>
      </c>
      <c r="IB27" s="144">
        <f>10^3*I27/(($AA28*$LM28+$AA29*$LM29+$AA30*$LM30+$AA31*$LM31)/$AA27)</f>
        <v>274.56031167096643</v>
      </c>
      <c r="IC27" s="152"/>
      <c r="ID27" s="149">
        <f>GP27/F27</f>
        <v>0.50274174851185194</v>
      </c>
      <c r="IE27" s="525">
        <f>GP27/G27</f>
        <v>1.8476587242446911</v>
      </c>
      <c r="IF27" s="123"/>
      <c r="IG27" s="97"/>
      <c r="IH27" s="525">
        <f>GQ27/I27</f>
        <v>1.9644253345821432</v>
      </c>
      <c r="II27" s="123"/>
      <c r="IJ27" s="97"/>
      <c r="IK27" s="525">
        <f>GR27/K27</f>
        <v>0.884446294585292</v>
      </c>
      <c r="IL27" s="123"/>
      <c r="IM27" s="60"/>
      <c r="IN27" s="60"/>
      <c r="IO27" s="60"/>
      <c r="IP27" s="152">
        <f t="shared" ref="IP27" si="169">IP28+IP29+IP30+IP31</f>
        <v>61.210112377368006</v>
      </c>
      <c r="IQ27" s="269">
        <f>($U28*IQ28+$U29*IQ29+$U30*IQ30+$U31*IQ31)/$U27</f>
        <v>8.7063049658089336E-2</v>
      </c>
      <c r="IR27" s="473">
        <f>($V28*IR28+$V29*IR29+$V30*IR30+$V31*IR31)/$V27</f>
        <v>0.31997104624050393</v>
      </c>
      <c r="IS27" s="144"/>
      <c r="IT27" s="149"/>
      <c r="IU27" s="594">
        <f>($B28*IU28+$B29*IU29+$B30*IU30+$B31*IU31)/$B27</f>
        <v>2.4804375882234324E-2</v>
      </c>
      <c r="IV27" s="269"/>
      <c r="IW27" s="473">
        <f>($Y28*IW28+$Y29*IW29+$Y30*IW30+$Y31*IW31)/$Y27</f>
        <v>0.33866853418832255</v>
      </c>
      <c r="IX27" s="594">
        <f>($C28*IX28+$C29*IX29+$C30*IX30+$C31*IX31)/$C27</f>
        <v>2.5107359307359311E-2</v>
      </c>
      <c r="IY27" s="594"/>
      <c r="IZ27" s="594"/>
      <c r="JA27" s="594"/>
      <c r="JB27" s="594"/>
      <c r="JC27" s="269"/>
      <c r="JD27" s="473">
        <f>($AA28*JD28+$AA29*JD29+$AA30*JD30+$AA31*JD31)/$AA27</f>
        <v>0.1657347218092444</v>
      </c>
      <c r="JE27" s="594">
        <f>($D28*JE28+$D29*JE29+$D30*JE30+$D31*JE31)/$D27</f>
        <v>2.067522123893805E-2</v>
      </c>
      <c r="JF27" s="594"/>
      <c r="JG27" s="594"/>
      <c r="JH27" s="594"/>
      <c r="JI27" s="594"/>
      <c r="JJ27" s="595"/>
      <c r="JK27" s="595"/>
      <c r="JL27" s="595"/>
      <c r="JM27" s="595"/>
      <c r="JN27" s="595"/>
      <c r="JO27" s="595"/>
      <c r="JP27" s="595"/>
      <c r="JQ27" s="595"/>
      <c r="JR27" s="595"/>
      <c r="JS27" s="152">
        <f>JS28+JS29+JS30+JS31</f>
        <v>47.746639165426707</v>
      </c>
      <c r="JT27" s="152">
        <f>JT28+JT29+JT30+JT31</f>
        <v>8.362090760860772</v>
      </c>
      <c r="JU27" s="152">
        <f>JU28+JU29+JU30+JU31</f>
        <v>3.5518051958991999</v>
      </c>
      <c r="JV27" s="152">
        <f t="shared" ref="JV27:JW27" si="170">JV28+JV29+JV30+JV31</f>
        <v>18.377937262013802</v>
      </c>
      <c r="JW27" s="152">
        <f t="shared" si="170"/>
        <v>17.454805946652936</v>
      </c>
      <c r="JX27" s="152"/>
      <c r="JY27" s="269">
        <f>($V28*JY28+$V29*JY29+$V30*JY30+$V31*JY31)/$V27</f>
        <v>6.3158360903075902E-2</v>
      </c>
      <c r="JZ27" s="473">
        <f>($V28*JZ28+$V29*JZ29+$V30*JZ30+$V31*JZ31)/$V27</f>
        <v>0.2495917993752641</v>
      </c>
      <c r="KA27" s="144">
        <f>10^3*JZ27/(($V28*$LM28+$V29*$LM29+$V30*$LM30+$V31*$LM31)/$V27)</f>
        <v>18.698532756955835</v>
      </c>
      <c r="KB27" s="149"/>
      <c r="KC27" s="123"/>
      <c r="KD27" s="269">
        <f>($V28*KD28+$V29*KD29+$V30*KD30+$V31*KD31)/$V27</f>
        <v>6.2278953689594845E-2</v>
      </c>
      <c r="KE27" s="123"/>
      <c r="KF27" s="269">
        <f>($V28*KF28+$V29*KF29+$V30*KF30+$V31*KF31)/$V27</f>
        <v>0.1873128456856693</v>
      </c>
      <c r="KG27" s="269"/>
      <c r="KH27" s="269">
        <f>($V28*KH28+$V29*KH29+$V30*KH30+$V31*KH31)/$V27</f>
        <v>0</v>
      </c>
      <c r="KI27" s="269">
        <f>($U28*KI28+$U29*KI29+$U30*KI30+$U31*KI31)/$U27</f>
        <v>1.1893935411682974E-2</v>
      </c>
      <c r="KJ27" s="269">
        <f>($V28*KJ28+$V29*KJ29+$V30*KJ30+$V31*KJ31)/$V27</f>
        <v>4.3712171495701529E-2</v>
      </c>
      <c r="KK27" s="269">
        <f>($U28*KK28+$U29*KK29+$U30*KK30+$U31*KK31)/$U27</f>
        <v>5.0519592292199052E-3</v>
      </c>
      <c r="KL27" s="269">
        <f>($V28*KL28+$V29*KL29+$V30*KL30+$V31*KL31)/$V27</f>
        <v>1.8566782193893315E-2</v>
      </c>
      <c r="KM27" s="269">
        <f>($U28*KM28+$U29*KM29+$U30*KM30+$U31*KM31)/$U27</f>
        <v>2.6140113166130394E-2</v>
      </c>
      <c r="KN27" s="269">
        <f>($V28*KN28+$V29*KN29+$V30*KN30+$V31*KN31)/$V27</f>
        <v>9.6069221000860905E-2</v>
      </c>
      <c r="KO27" s="269">
        <f>($U28*KO28+$U29*KO29+$U30*KO30+$U31*KO31)/$U27</f>
        <v>2.4827084576104198E-2</v>
      </c>
      <c r="KP27" s="269">
        <f>($V28*KP28+$V29*KP29+$V30*KP30+$V31*KP31)/$V27</f>
        <v>9.1243624684808372E-2</v>
      </c>
      <c r="KQ27" s="149">
        <f>($V28*KQ28+$V29*KQ29+$V30*KQ30+$V31*KQ31)/$V27</f>
        <v>4.3010618189326157</v>
      </c>
      <c r="KT27" s="149">
        <f>($Y28*KT28+$Y29*KT29+$Y30*KT30+$Y31*KT31)/$Y27</f>
        <v>4.5579609585226608</v>
      </c>
      <c r="KW27" s="149">
        <f>($AA28*KW28+$AA29*KW29+$AA30*KW30+$AA31*KW31)/$AA27</f>
        <v>2.1818905617828332</v>
      </c>
      <c r="KZ27" s="149">
        <f>($V28*KZ28+$V29*KZ29+$V30*KZ30+$V31*KZ31)/$V27</f>
        <v>3.9490553991671762</v>
      </c>
      <c r="LC27" s="149">
        <f>($Y28*LC28+$Y29*LC29+$Y30*LC30+$Y31*LC31)/$Y27</f>
        <v>4.1641267072155097</v>
      </c>
      <c r="LF27" s="149">
        <f>($AA28*LF28+$AA29*LF29+$AA30*LF30+$AA31*LF31)/$AA27</f>
        <v>12.585292172533023</v>
      </c>
    </row>
    <row r="28" spans="1:329" s="4" customFormat="1" x14ac:dyDescent="0.25">
      <c r="A28" s="14" t="s">
        <v>68</v>
      </c>
      <c r="B28" s="67">
        <f t="shared" ref="B28:B31" si="171">C28+D28</f>
        <v>17.98</v>
      </c>
      <c r="C28" s="33">
        <v>17.8</v>
      </c>
      <c r="D28" s="33">
        <v>0.18</v>
      </c>
      <c r="E28" s="38">
        <f t="shared" ref="E28:E31" si="172">D28/B28</f>
        <v>1.0011123470522803E-2</v>
      </c>
      <c r="F28" s="108">
        <f>U28/B28</f>
        <v>11.716129032258063</v>
      </c>
      <c r="G28" s="32">
        <f>V28/B28</f>
        <v>4.1006451612903225</v>
      </c>
      <c r="H28" s="33">
        <v>11.6</v>
      </c>
      <c r="I28" s="32">
        <f>$LI28*H28</f>
        <v>4.0599999999999996</v>
      </c>
      <c r="J28" s="33">
        <v>23.2</v>
      </c>
      <c r="K28" s="32">
        <f>$LI28*J28</f>
        <v>8.1199999999999992</v>
      </c>
      <c r="L28" s="32">
        <f>(F28/'Discounting metrics'!$D$4*(1-EXP(-'Discounting metrics'!$D$4*'Discounting metrics'!$E$4)))/'Discounting metrics'!$E$4</f>
        <v>2.875385160932352</v>
      </c>
      <c r="M28" s="32">
        <f>(G28/'Discounting metrics'!$D$4*(1-EXP(-'Discounting metrics'!$D$4*'Discounting metrics'!$E$4)))/'Discounting metrics'!$E$4</f>
        <v>1.0063848063263234</v>
      </c>
      <c r="N28" s="32">
        <f>(H28/'Discounting metrics'!$D$4*(1-EXP(-'Discounting metrics'!$D$4*'Discounting metrics'!$E$4)))/'Discounting metrics'!$E$4</f>
        <v>2.8468846472226712</v>
      </c>
      <c r="O28" s="32">
        <f>(I28/'Discounting metrics'!$D$4*(1-EXP(-'Discounting metrics'!$D$4*'Discounting metrics'!$E$4)))/'Discounting metrics'!$E$4</f>
        <v>0.99640962652793463</v>
      </c>
      <c r="P28" s="32">
        <f>(J28/'Discounting metrics'!$D$4*(1-EXP(-'Discounting metrics'!$D$4*'Discounting metrics'!$E$4)))/'Discounting metrics'!$E$4</f>
        <v>5.6937692944453424</v>
      </c>
      <c r="Q28" s="32">
        <f>(K28/'Discounting metrics'!$D$4*(1-EXP(-'Discounting metrics'!$D$4*'Discounting metrics'!$E$4)))/'Discounting metrics'!$E$4</f>
        <v>1.9928192530558693</v>
      </c>
      <c r="R28" s="32">
        <f>10/G28</f>
        <v>2.4386406544996855</v>
      </c>
      <c r="S28" s="32">
        <f>10/I28</f>
        <v>2.4630541871921183</v>
      </c>
      <c r="T28" s="32">
        <f>10/K28</f>
        <v>1.2315270935960592</v>
      </c>
      <c r="U28" s="107">
        <f t="shared" ref="U28:V31" si="173">X28+Z28</f>
        <v>210.65599999999998</v>
      </c>
      <c r="V28" s="68">
        <f t="shared" si="173"/>
        <v>73.729600000000005</v>
      </c>
      <c r="W28" s="68"/>
      <c r="X28" s="67">
        <f>C28*H28</f>
        <v>206.48</v>
      </c>
      <c r="Y28" s="67">
        <f t="shared" ref="Y28:Z31" si="174">C28*I28</f>
        <v>72.268000000000001</v>
      </c>
      <c r="Z28" s="67">
        <f t="shared" si="174"/>
        <v>4.1760000000000002</v>
      </c>
      <c r="AA28" s="67">
        <f>D28*K28</f>
        <v>1.4615999999999998</v>
      </c>
      <c r="AB28" s="38">
        <f t="shared" ref="AB28:AB31" si="175">AA28/V28</f>
        <v>1.9823788546255501E-2</v>
      </c>
      <c r="AC28" s="294">
        <f t="shared" ref="AC28:AK31" si="176">($C28*AL28+$D28*AU28)/$B28</f>
        <v>0.75671082118609667</v>
      </c>
      <c r="AD28" s="294">
        <f t="shared" si="176"/>
        <v>4.2806509655634269E-2</v>
      </c>
      <c r="AE28" s="294">
        <f t="shared" si="176"/>
        <v>0</v>
      </c>
      <c r="AF28" s="294">
        <f t="shared" si="176"/>
        <v>0.16273038620021213</v>
      </c>
      <c r="AG28" s="294">
        <f t="shared" si="176"/>
        <v>1.2477007420300969E-3</v>
      </c>
      <c r="AH28" s="294">
        <f t="shared" si="176"/>
        <v>1.1798303568451057E-3</v>
      </c>
      <c r="AI28" s="294">
        <f t="shared" si="176"/>
        <v>3.6090307415666255E-5</v>
      </c>
      <c r="AJ28" s="294">
        <f t="shared" si="176"/>
        <v>3.528866155176584E-2</v>
      </c>
      <c r="AK28" s="294">
        <f t="shared" si="176"/>
        <v>0</v>
      </c>
      <c r="AL28" s="433">
        <v>0.75957029401918574</v>
      </c>
      <c r="AM28" s="433">
        <v>4.2895566599551113E-2</v>
      </c>
      <c r="AN28" s="433">
        <v>0</v>
      </c>
      <c r="AO28" s="433">
        <v>0.16419277152177139</v>
      </c>
      <c r="AP28" s="433">
        <v>1.2603179405450079E-3</v>
      </c>
      <c r="AQ28" s="433">
        <v>1.1917405344763841E-3</v>
      </c>
      <c r="AR28" s="433">
        <v>3.6455265580543772E-5</v>
      </c>
      <c r="AS28" s="433">
        <v>3.0852854118889682E-2</v>
      </c>
      <c r="AT28" s="433">
        <v>0</v>
      </c>
      <c r="AU28" s="433">
        <v>0.47394072991396391</v>
      </c>
      <c r="AV28" s="433">
        <v>3.3999767423857741E-2</v>
      </c>
      <c r="AW28" s="433">
        <v>0</v>
      </c>
      <c r="AX28" s="433">
        <v>1.8116726623795813E-2</v>
      </c>
      <c r="AY28" s="433">
        <v>0</v>
      </c>
      <c r="AZ28" s="433">
        <v>2.0461244186875269E-6</v>
      </c>
      <c r="BA28" s="433">
        <v>0</v>
      </c>
      <c r="BB28" s="433">
        <v>0.47394072991396391</v>
      </c>
      <c r="BC28" s="433">
        <v>0</v>
      </c>
      <c r="BD28" s="554">
        <f>BG28*$B28/10^3</f>
        <v>4.3287578738264116</v>
      </c>
      <c r="BE28" s="554">
        <f t="shared" ref="BE28:BF31" si="177">BH28*$B28/10^3</f>
        <v>2.0762336193755706</v>
      </c>
      <c r="BF28" s="554">
        <f t="shared" si="177"/>
        <v>2.2525242544508419</v>
      </c>
      <c r="BG28" s="67">
        <f t="shared" ref="BG28:BG31" si="178">BH28+BI28</f>
        <v>240.7540530492999</v>
      </c>
      <c r="BH28" s="67">
        <f>(BK28*$C28+CF28*$D28)/$B28</f>
        <v>115.47461731788489</v>
      </c>
      <c r="BI28" s="67">
        <f>(BU28*$C28+CP28*$D28)/$B28</f>
        <v>125.27943573141501</v>
      </c>
      <c r="BJ28" s="67">
        <f>BK28+BU28</f>
        <v>240.4972995875421</v>
      </c>
      <c r="BK28" s="68">
        <f t="shared" ref="BK28:BK31" si="179">$AL28*BL28+$AM28*BM28+$AN28*BN28+$AO28*BO28+$AP28*BP28+$AQ28*BQ28+$AR28*BR28+$AS28*BS28+$AT28*BT28</f>
        <v>115.21144380190796</v>
      </c>
      <c r="BL28" s="145">
        <v>130.7490986615951</v>
      </c>
      <c r="BM28" s="145">
        <v>144.12630113412959</v>
      </c>
      <c r="BN28" s="145">
        <v>0</v>
      </c>
      <c r="BO28" s="145">
        <v>42.049646716629198</v>
      </c>
      <c r="BP28" s="145">
        <v>4.7562508910485448</v>
      </c>
      <c r="BQ28" s="145">
        <v>1.7677320096667146</v>
      </c>
      <c r="BR28" s="145">
        <v>7.3195192130880285E-2</v>
      </c>
      <c r="BS28" s="145">
        <v>90.869433292770836</v>
      </c>
      <c r="BT28" s="145">
        <v>0</v>
      </c>
      <c r="BU28" s="68">
        <f t="shared" ref="BU28:BU31" si="180">$AL28*BV28+$AM28*BW28+$AN28*BX28+$AO28*BY28+$AP28*BZ28+$AQ28*CA28+$AR28*CB28+$AS28*CC28+$AT28*CD28</f>
        <v>125.28585578563414</v>
      </c>
      <c r="BV28" s="145">
        <v>125.57752912317652</v>
      </c>
      <c r="BW28" s="145">
        <v>102.73430541947171</v>
      </c>
      <c r="BX28" s="145">
        <v>0</v>
      </c>
      <c r="BY28" s="145">
        <v>140.11769774080813</v>
      </c>
      <c r="BZ28" s="145">
        <v>57.429436428331897</v>
      </c>
      <c r="CA28" s="145">
        <v>47.29993350497363</v>
      </c>
      <c r="CB28" s="145">
        <v>1.6318448617864603</v>
      </c>
      <c r="CC28" s="145">
        <v>76.457354653077431</v>
      </c>
      <c r="CD28" s="145">
        <v>0</v>
      </c>
      <c r="CE28" s="68">
        <f t="shared" ref="CE28:CE31" si="181">CF28+CP28</f>
        <v>266.14411760090314</v>
      </c>
      <c r="CF28" s="68">
        <f t="shared" ref="CF28:CF31" si="182">$AU28*CG28+$AV28*CH28+$AW28*CI28+$AX28*CJ28+$AY28*CK28+$AZ28*CL28+$BA28*CM28+$BB28*CN28+$BC28*CO28</f>
        <v>141.49955389782667</v>
      </c>
      <c r="CG28" s="145">
        <v>270.98831945208048</v>
      </c>
      <c r="CH28" s="145">
        <v>214.54049231351974</v>
      </c>
      <c r="CI28" s="145">
        <v>0</v>
      </c>
      <c r="CJ28" s="145">
        <v>56.523452873966846</v>
      </c>
      <c r="CK28" s="145">
        <v>0</v>
      </c>
      <c r="CL28" s="145">
        <v>2.3174271521309628</v>
      </c>
      <c r="CM28" s="145">
        <v>0</v>
      </c>
      <c r="CN28" s="145">
        <v>10.01981925557814</v>
      </c>
      <c r="CO28" s="145">
        <v>0</v>
      </c>
      <c r="CP28" s="68">
        <f t="shared" ref="CP28:CP31" si="183">$AU28*CQ28+$AV28*CR28+$AW28*CS28+$AX28*CT28+$AY28*CU28+$AZ28*CV28+$BA28*CW28+$BB28*CX28+$BC28*CY28</f>
        <v>124.64456370307649</v>
      </c>
      <c r="CQ28" s="145">
        <v>236.61423520649532</v>
      </c>
      <c r="CR28" s="145">
        <v>145.76314614857841</v>
      </c>
      <c r="CS28" s="145">
        <v>0</v>
      </c>
      <c r="CT28" s="145">
        <v>202.93282229854316</v>
      </c>
      <c r="CU28" s="145">
        <v>0</v>
      </c>
      <c r="CV28" s="145">
        <v>93.80062282434848</v>
      </c>
      <c r="CW28" s="145">
        <v>0</v>
      </c>
      <c r="CX28" s="145">
        <v>8.1673860392503173</v>
      </c>
      <c r="CY28" s="145">
        <v>0</v>
      </c>
      <c r="CZ28" s="554">
        <f>DC28*$B28/10^3</f>
        <v>1.7124336908381312</v>
      </c>
      <c r="DA28" s="554">
        <f t="shared" ref="DA28:DB31" si="184">DD28*$B28/10^3</f>
        <v>2.3040499999999998E-2</v>
      </c>
      <c r="DB28" s="554">
        <f t="shared" si="184"/>
        <v>1.6893931908381312</v>
      </c>
      <c r="DC28" s="32">
        <f t="shared" ref="DC28:DC31" si="185">DD28+DE28</f>
        <v>95.24102841146447</v>
      </c>
      <c r="DD28" s="32">
        <f t="shared" ref="DD28:DE31" si="186">(DH28*$C28+DO28*$D28)/$B28</f>
        <v>1.2814516129032256</v>
      </c>
      <c r="DE28" s="67">
        <f t="shared" si="186"/>
        <v>93.959576798561244</v>
      </c>
      <c r="DF28" s="270"/>
      <c r="DG28" s="67">
        <f t="shared" ref="DG28:DG31" si="187">DH28+DI28</f>
        <v>95.23314183922561</v>
      </c>
      <c r="DH28" s="32">
        <f>I28*0.5*2.5*0.25</f>
        <v>1.2687499999999998</v>
      </c>
      <c r="DI28" s="67">
        <f>(1-DK28)*BU28</f>
        <v>93.964391839225613</v>
      </c>
      <c r="DJ28" s="67"/>
      <c r="DK28" s="34">
        <f t="shared" ref="DK28:DK31" si="188">DK$17</f>
        <v>0.25</v>
      </c>
      <c r="DL28" s="159"/>
      <c r="DM28" s="159"/>
      <c r="DN28" s="68">
        <f t="shared" ref="DN28:DN31" si="189">DO28+DP28</f>
        <v>96.020922777307362</v>
      </c>
      <c r="DO28" s="32">
        <f>K28*0.5*2.5*0.25</f>
        <v>2.5374999999999996</v>
      </c>
      <c r="DP28" s="67">
        <f>(1-DR28)*CP28</f>
        <v>93.483422777307368</v>
      </c>
      <c r="DQ28" s="67"/>
      <c r="DR28" s="34">
        <f t="shared" ref="DR28:DR31" si="190">DR$17</f>
        <v>0.25</v>
      </c>
      <c r="DS28" s="294"/>
      <c r="DT28" s="294"/>
      <c r="DU28" s="294"/>
      <c r="DV28" s="67">
        <f t="shared" si="164"/>
        <v>145.51302463783543</v>
      </c>
      <c r="DW28" s="67">
        <f t="shared" si="164"/>
        <v>114.19316570498167</v>
      </c>
      <c r="DX28" s="67">
        <f t="shared" si="164"/>
        <v>31.319858932853762</v>
      </c>
      <c r="DY28" s="67">
        <f t="shared" si="165"/>
        <v>145.26415774831651</v>
      </c>
      <c r="DZ28" s="67">
        <f t="shared" si="165"/>
        <v>113.94269380190796</v>
      </c>
      <c r="EA28" s="67">
        <f>BU28-DI28</f>
        <v>31.321463946408528</v>
      </c>
      <c r="EB28" s="67">
        <f t="shared" si="166"/>
        <v>170.12319482359578</v>
      </c>
      <c r="EC28" s="67">
        <f t="shared" si="166"/>
        <v>138.96205389782668</v>
      </c>
      <c r="ED28" s="67">
        <f>CP28-DP28</f>
        <v>31.161140925769118</v>
      </c>
      <c r="EE28" s="68">
        <f>EF28+EG28</f>
        <v>117.85840551160678</v>
      </c>
      <c r="EF28" s="67">
        <f>(EJ28*$C28+FF28*$D28)/$B28</f>
        <v>93.84445814262709</v>
      </c>
      <c r="EG28" s="67">
        <f t="shared" ref="EG28:EG31" si="191">(EV28*$C28+FR28*$D28)/$B28</f>
        <v>24.013947368979693</v>
      </c>
      <c r="EH28" s="261">
        <f t="shared" ref="EH28:EH31" si="192">EJ28+EV28</f>
        <v>117.65750071633815</v>
      </c>
      <c r="EI28" s="154">
        <f>EH28/($BJ28-$DG28)</f>
        <v>0.80995548069187562</v>
      </c>
      <c r="EJ28" s="108">
        <f>EK28+EL28-DH28</f>
        <v>93.639341581801261</v>
      </c>
      <c r="EK28" s="126">
        <f>'Allometrics &amp; Decay rates'!$H$5*$AL28*BL28+'Allometrics &amp; Decay rates'!$H$6*$AM28*BM28+'Allometrics &amp; Decay rates'!$H$7*$AN28*BN28+'Allometrics &amp; Decay rates'!$H$8*$AO28*BO28+'Allometrics &amp; Decay rates'!$H$9*$AP28*BP28+'Allometrics &amp; Decay rates'!$H$10*$AQ28*BQ28+'Allometrics &amp; Decay rates'!$H$11*$AR28*BR28+'Allometrics &amp; Decay rates'!$H$12*$AS28*BS28+'Allometrics &amp; Decay rates'!$H$13*$AT28*BT28</f>
        <v>49.409375202548638</v>
      </c>
      <c r="EL28" s="97">
        <f t="shared" ref="EL28:EL31" si="193">SUM(EM28:EU28)</f>
        <v>45.49871637925262</v>
      </c>
      <c r="EM28" s="550">
        <f>AL28*BL28*('Allometrics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38.933485794620921</v>
      </c>
      <c r="EN28" s="550">
        <f>AM28*BM28*('Allometrics &amp; Decay rates'!$I$6*((EXP('Allometrics &amp; Decay rates'!$K$6)-1)/('Discounting metrics'!$D$4+'Allometrics &amp; Decay rates'!$K$6)*(1-EXP(-('Discounting metrics'!$D$4+'Allometrics &amp; Decay rates'!$K$6)*'Discounting metrics'!$E$4))-(1-EXP(-'Allometrics &amp; Decay rates'!$K$6))/1.55)+'Allometrics &amp; Decay rates'!$E$6*((EXP('Allometrics &amp; Decay rates'!$L$6)-1)/('Discounting metrics'!$D$4+'Allometrics &amp; Decay rates'!$L$6)*(1-EXP(-('Discounting metrics'!$D$4+'Allometrics &amp; Decay rates'!$L$6)*'Discounting metrics'!$E$4))-(1-EXP(-'Allometrics &amp; Decay rates'!$L$6))/1.55))</f>
        <v>1.5078069301763988</v>
      </c>
      <c r="EO28" s="550">
        <f>AN28*BN28*('Allometrics &amp; Decay rates'!$I$7*((EXP('Allometrics &amp; Decay rates'!$K$7)-1)/('Discounting metrics'!$D$4+'Allometrics &amp; Decay rates'!$K$7)*(1-EXP(-('Discounting metrics'!$D$4+'Allometrics &amp; Decay rates'!$K$7)*'Discounting metrics'!$E$4))-(1-EXP(-'Allometrics &amp; Decay rates'!$K$7))/1.55)+'Allometrics &amp; Decay rates'!$E$7*((EXP('Allometrics &amp; Decay rates'!$L$7)-1)/('Discounting metrics'!$D$4+'Allometrics &amp; Decay rates'!$L$7)*(1-EXP(-('Discounting metrics'!$D$4+'Allometrics &amp; Decay rates'!$L$7)*'Discounting metrics'!$E$4))-(1-EXP(-'Allometrics &amp; Decay rates'!$L$7))/1.55))</f>
        <v>0</v>
      </c>
      <c r="EP28" s="550">
        <f>AO28*BO28*('Allometrics &amp; Decay rates'!$I$8*((EXP('Allometrics &amp; Decay rates'!$K$8)-1)/('Discounting metrics'!$D$4+'Allometrics &amp; Decay rates'!$K$8)*(1-EXP(-('Discounting metrics'!$D$4+'Allometrics &amp; Decay rates'!$K$8)*'Discounting metrics'!$E$4))-(1-EXP(-'Allometrics &amp; Decay rates'!$K$8))/1.55)+'Allometrics &amp; Decay rates'!$E$8*((EXP('Allometrics &amp; Decay rates'!$L$8)-1)/('Discounting metrics'!$D$4+'Allometrics &amp; Decay rates'!$L$8)*(1-EXP(-('Discounting metrics'!$D$4+'Allometrics &amp; Decay rates'!$L$8)*'Discounting metrics'!$E$4))-(1-EXP(-'Allometrics &amp; Decay rates'!$L$8))/1.55))</f>
        <v>3.9089533157639118</v>
      </c>
      <c r="EQ28" s="550">
        <f>AP28*BP28*('Allometrics &amp; Decay rates'!$I$9*((EXP('Allometrics &amp; Decay rates'!$K$9)-1)/('Discounting metrics'!$D$4+'Allometrics &amp; Decay rates'!$K$9)*(1-EXP(-('Discounting metrics'!$D$4+'Allometrics &amp; Decay rates'!$K$9)*'Discounting metrics'!$E$4))-(1-EXP(-'Allometrics &amp; Decay rates'!$K$9))/1.55)+'Allometrics &amp; Decay rates'!$E$9*((EXP('Allometrics &amp; Decay rates'!$L$9)-1)/('Discounting metrics'!$D$4+'Allometrics &amp; Decay rates'!$L$9)*(1-EXP(-('Discounting metrics'!$D$4+'Allometrics &amp; Decay rates'!$L$9)*'Discounting metrics'!$E$4))-(1-EXP(-'Allometrics &amp; Decay rates'!$L$9))/1.55))</f>
        <v>3.1418125592100575E-3</v>
      </c>
      <c r="ER28" s="550">
        <f>AQ28*BQ28*('Allometrics &amp; Decay rates'!$I$10*((EXP('Allometrics &amp; Decay rates'!$K$10)-1)/('Discounting metrics'!$D$4+'Allometrics &amp; Decay rates'!$K$10)*(1-EXP(-('Discounting metrics'!$D$4+'Allometrics &amp; Decay rates'!$K$10)*'Discounting metrics'!$E$4))-(1-EXP(-'Allometrics &amp; Decay rates'!$K$10))/1.55)+'Allometrics &amp; Decay rates'!$E$10*((EXP('Allometrics &amp; Decay rates'!$L$10)-1)/('Discounting metrics'!$D$4+'Allometrics &amp; Decay rates'!$L$10)*(1-EXP(-('Discounting metrics'!$D$4+'Allometrics &amp; Decay rates'!$L$10)*'Discounting metrics'!$E$4))-(1-EXP(-'Allometrics &amp; Decay rates'!$L$10))/1.55))</f>
        <v>1.3402289514984616E-3</v>
      </c>
      <c r="ES28" s="550">
        <f>AR28*BR28*('Allometrics &amp; Decay rates'!$I$11*((EXP('Allometrics &amp; Decay rates'!$K$11)-1)/('Discounting metrics'!$D$4+'Allometrics &amp; Decay rates'!$K$11)*(1-EXP(-('Discounting metrics'!$D$4+'Allometrics &amp; Decay rates'!$K$11)*'Discounting metrics'!$E$4))-(1-EXP(-'Allometrics &amp; Decay rates'!$K$11))/1.55)+'Allometrics &amp; Decay rates'!$E$11*((EXP('Allometrics &amp; Decay rates'!$L$11)-1)/('Discounting metrics'!$D$4+'Allometrics &amp; Decay rates'!$L$11)*(1-EXP(-('Discounting metrics'!$D$4+'Allometrics &amp; Decay rates'!$L$11)*'Discounting metrics'!$E$4))-(1-EXP(-'Allometrics &amp; Decay rates'!$L$11))/1.55))</f>
        <v>1.8939715276176979E-6</v>
      </c>
      <c r="ET28" s="550">
        <f>AS28*BS28*('Allometrics &amp; Decay rates'!$I$12*((EXP('Allometrics &amp; Decay rates'!$K$12)-1)/('Discounting metrics'!$D$4+'Allometrics &amp; Decay rates'!$K$12)*(1-EXP(-('Discounting metrics'!$D$4+'Allometrics &amp; Decay rates'!$K$12)*'Discounting metrics'!$E$4))-(1-EXP(-'Allometrics &amp; Decay rates'!$K$12))/1.55)+'Allometrics &amp; Decay rates'!$E$12*((EXP('Allometrics &amp; Decay rates'!$L$12)-1)/('Discounting metrics'!$D$4+'Allometrics &amp; Decay rates'!$L$12)*(1-EXP(-('Discounting metrics'!$D$4+'Allometrics &amp; Decay rates'!$L$12)*'Discounting metrics'!$E$4))-(1-EXP(-'Allometrics &amp; Decay rates'!$L$12))/1.55))</f>
        <v>1.1439864032091525</v>
      </c>
      <c r="EU28" s="550">
        <f>AT28*BT28*('Allometrics &amp; Decay rates'!$I$13*((EXP('Allometrics &amp; Decay rates'!$K$13)-1)/('Discounting metrics'!$D$4+'Allometrics &amp; Decay rates'!$K$13)*(1-EXP(-('Discounting metrics'!$D$4+'Allometrics &amp; Decay rates'!$K$13)*'Discounting metrics'!$E$4))-(1-EXP(-'Allometrics &amp; Decay rates'!$K$13))/1.55)+'Allometrics &amp; Decay rates'!$E$13*((EXP('Allometrics &amp; Decay rates'!$L$13)-1)/('Discounting metrics'!$D$4+'Allometrics &amp; Decay rates'!$L$13)*(1-EXP(-('Discounting metrics'!$D$4+'Allometrics &amp; Decay rates'!$L$13)*'Discounting metrics'!$E$4))-(1-EXP(-'Allometrics &amp; Decay rates'!$L$13))/1.55))</f>
        <v>0</v>
      </c>
      <c r="EV28" s="108">
        <f t="shared" ref="EV28:EV31" si="194">SUM(EW28:FC28)</f>
        <v>24.01815913453688</v>
      </c>
      <c r="EW28" s="550">
        <f>AL28*BV28*$DK28*((EXP('Allometrics &amp; Decay rates'!$M$5)-1)/('Discounting metrics'!$D$4+'Allometrics &amp; Decay rates'!$M$5)*(1-EXP(-('Discounting metrics'!$D$4+'Allometrics &amp; Decay rates'!$M$5)*'Discounting metrics'!$E$4))-(1-EXP(-'Allometrics &amp; Decay rates'!$M$5))/1.55)</f>
        <v>18.636853613470279</v>
      </c>
      <c r="EX28" s="550">
        <f>AM28*BW28*$DK28*((EXP('Allometrics &amp; Decay rates'!$M$5)-1)/('Discounting metrics'!$D$4+'Allometrics &amp; Decay rates'!$M$5)*(1-EXP(-('Discounting metrics'!$D$4+'Allometrics &amp; Decay rates'!$M$5)*'Discounting metrics'!$E$4))-(1-EXP(-'Allometrics &amp; Decay rates'!$M$5))/1.55)</f>
        <v>0.86103456621277186</v>
      </c>
      <c r="EY28" s="550">
        <f>AN28*BX28*$DK28*((EXP('Allometrics &amp; Decay rates'!$M$5)-1)/('Discounting metrics'!$D$4+'Allometrics &amp; Decay rates'!$M$5)*(1-EXP(-('Discounting metrics'!$D$4+'Allometrics &amp; Decay rates'!$M$5)*'Discounting metrics'!$E$4))-(1-EXP(-'Allometrics &amp; Decay rates'!$M$5))/1.55)</f>
        <v>0</v>
      </c>
      <c r="EZ28" s="550">
        <f>AO28*BY28*$DK28*((EXP('Allometrics &amp; Decay rates'!$M$5)-1)/('Discounting metrics'!$D$4+'Allometrics &amp; Decay rates'!$M$5)*(1-EXP(-('Discounting metrics'!$D$4+'Allometrics &amp; Decay rates'!$M$5)*'Discounting metrics'!$E$4))-(1-EXP(-'Allometrics &amp; Decay rates'!$M$5))/1.55)</f>
        <v>4.4951037017275635</v>
      </c>
      <c r="FA28" s="550">
        <f>AP28*BZ28*$DK28*((EXP('Allometrics &amp; Decay rates'!$M$5)-1)/('Discounting metrics'!$D$4+'Allometrics &amp; Decay rates'!$M$5)*(1-EXP(-('Discounting metrics'!$D$4+'Allometrics &amp; Decay rates'!$M$5)*'Discounting metrics'!$E$4))-(1-EXP(-'Allometrics &amp; Decay rates'!$M$5))/1.55)</f>
        <v>1.4141886966779996E-2</v>
      </c>
      <c r="FB28" s="550">
        <f>AQ28*CA28*$DK28*((EXP('Allometrics &amp; Decay rates'!$M$5)-1)/('Discounting metrics'!$D$4+'Allometrics &amp; Decay rates'!$M$5)*(1-EXP(-('Discounting metrics'!$D$4+'Allometrics &amp; Decay rates'!$M$5)*'Discounting metrics'!$E$4))-(1-EXP(-'Allometrics &amp; Decay rates'!$M$5))/1.55)</f>
        <v>1.1013742795883475E-2</v>
      </c>
      <c r="FC28" s="550">
        <f>AR28*CB28*$DK28*((EXP('Allometrics &amp; Decay rates'!$M$5)-1)/('Discounting metrics'!$D$4+'Allometrics &amp; Decay rates'!$M$5)*(1-EXP(-('Discounting metrics'!$D$4+'Allometrics &amp; Decay rates'!$M$5)*'Discounting metrics'!$E$4))-(1-EXP(-'Allometrics &amp; Decay rates'!$M$5))/1.55)</f>
        <v>1.1623363601708384E-5</v>
      </c>
      <c r="FD28" s="261">
        <f t="shared" ref="FD28:FD31" si="195">FF28+FR28</f>
        <v>137.72565748817237</v>
      </c>
      <c r="FE28" s="154">
        <f>FD28/($CE28-$DN28)</f>
        <v>0.80956425507399465</v>
      </c>
      <c r="FF28" s="108">
        <f t="shared" ref="FF28:FF31" si="196">FG28+FH28-$DO28</f>
        <v>114.12820693540337</v>
      </c>
      <c r="FG28" s="126">
        <f>'Allometrics &amp; Decay rates'!$H$5*$AU28*CG28+'Allometrics &amp; Decay rates'!$H$6*$AV28*CH28+'Allometrics &amp; Decay rates'!$H$7*$AW28*CI28+'Allometrics &amp; Decay rates'!$H$8*$AX28*CJ28+'Allometrics &amp; Decay rates'!$H$9*$AY28*CK28+'Allometrics &amp; Decay rates'!$H$10*$AZ28*CL28+'Allometrics &amp; Decay rates'!$H$11*$BA28*CM28+'Allometrics &amp; Decay rates'!$H$12*$BB28*CN28+'Allometrics &amp; Decay rates'!$H$13*$BC28*CO28</f>
        <v>61.193980298808853</v>
      </c>
      <c r="FH28" s="97">
        <f t="shared" ref="FH28:FH31" si="197">SUM(FI28:FQ28)</f>
        <v>55.471726636594511</v>
      </c>
      <c r="FI28" s="550">
        <f>AU28*CG28*('Allometrics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50.349042765828941</v>
      </c>
      <c r="FJ28" s="550">
        <f>AV28*CH28*('Allometrics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2.8595772453861454</v>
      </c>
      <c r="FK28" s="550">
        <f>AW28*CI28*('Allometrics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L28" s="550">
        <f>AX28*CJ28*('Allometrics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0.40144405275001915</v>
      </c>
      <c r="FM28" s="550">
        <f>AY28*CK28*('Allometrics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N28" s="550">
        <f>AZ28*CL28*('Allometrics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1.8588945016788259E-6</v>
      </c>
      <c r="FO28" s="550">
        <f>BA28*CM28*('Allometrics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P28" s="550">
        <f>BB28*CN28*('Allometrics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1.8616607137348957</v>
      </c>
      <c r="FQ28" s="550">
        <f>BC28*CO28*('Allometrics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R28" s="108">
        <f t="shared" ref="FR28:FR31" si="198">SUM(FS28:FY28)</f>
        <v>23.597450552768997</v>
      </c>
      <c r="FS28" s="550">
        <f>AU28*CQ28*$DK28*((EXP('Allometrics &amp; Decay rates'!$M$5)-1)/('Discounting metrics'!$D$4+'Allometrics &amp; Decay rates'!$M$5)*(1-EXP(-('Discounting metrics'!$D$4+'Allometrics &amp; Decay rates'!$M$5)*'Discounting metrics'!$E$4))-(1-EXP(-'Allometrics &amp; Decay rates'!$M$5))/1.55)</f>
        <v>21.910767525958821</v>
      </c>
      <c r="FT28" s="550">
        <f>AV28*CR28*$DK28*((EXP('Allometrics &amp; Decay rates'!$M$5)-1)/('Discounting metrics'!$D$4+'Allometrics &amp; Decay rates'!$M$5)*(1-EXP(-('Discounting metrics'!$D$4+'Allometrics &amp; Decay rates'!$M$5)*'Discounting metrics'!$E$4))-(1-EXP(-'Allometrics &amp; Decay rates'!$M$5))/1.55)</f>
        <v>0.96831435138480659</v>
      </c>
      <c r="FU28" s="550">
        <f>AW28*CS28*$DK28*((EXP('Allometrics &amp; Decay rates'!$M$5)-1)/('Discounting metrics'!$D$4+'Allometrics &amp; Decay rates'!$M$5)*(1-EXP(-('Discounting metrics'!$D$4+'Allometrics &amp; Decay rates'!$M$5)*'Discounting metrics'!$E$4))-(1-EXP(-'Allometrics &amp; Decay rates'!$M$5))/1.55)</f>
        <v>0</v>
      </c>
      <c r="FV28" s="550">
        <f>AX28*CT28*$DK28*((EXP('Allometrics &amp; Decay rates'!$M$5)-1)/('Discounting metrics'!$D$4+'Allometrics &amp; Decay rates'!$M$5)*(1-EXP(-('Discounting metrics'!$D$4+'Allometrics &amp; Decay rates'!$M$5)*'Discounting metrics'!$E$4))-(1-EXP(-'Allometrics &amp; Decay rates'!$M$5))/1.55)</f>
        <v>0.7183311754960523</v>
      </c>
      <c r="FW28" s="550">
        <f>AY28*CU28*$DK28*((EXP('Allometrics &amp; Decay rates'!$M$5)-1)/('Discounting metrics'!$D$4+'Allometrics &amp; Decay rates'!$M$5)*(1-EXP(-('Discounting metrics'!$D$4+'Allometrics &amp; Decay rates'!$M$5)*'Discounting metrics'!$E$4))-(1-EXP(-'Allometrics &amp; Decay rates'!$M$5))/1.55)</f>
        <v>0</v>
      </c>
      <c r="FX28" s="550">
        <f>AZ28*CV28*$DK28*((EXP('Allometrics &amp; Decay rates'!$M$5)-1)/('Discounting metrics'!$D$4+'Allometrics &amp; Decay rates'!$M$5)*(1-EXP(-('Discounting metrics'!$D$4+'Allometrics &amp; Decay rates'!$M$5)*'Discounting metrics'!$E$4))-(1-EXP(-'Allometrics &amp; Decay rates'!$M$5))/1.55)</f>
        <v>3.7499929319866295E-5</v>
      </c>
      <c r="FY28" s="550">
        <f>BA28*CW28*$DK28*((EXP('Allometrics &amp; Decay rates'!$M$5)-1)/('Discounting metrics'!$D$4+'Allometrics &amp; Decay rates'!$M$5)*(1-EXP(-('Discounting metrics'!$D$4+'Allometrics &amp; Decay rates'!$M$5)*'Discounting metrics'!$E$4))-(1-EXP(-'Allometrics &amp; Decay rates'!$M$5))/1.55)</f>
        <v>0</v>
      </c>
      <c r="FZ28" s="68"/>
      <c r="GA28" s="293"/>
      <c r="GB28" s="293"/>
      <c r="GP28" s="32">
        <f t="shared" ref="GP28:GP31" si="199">(GQ28*$C28+GR28*$D28)/$B28</f>
        <v>8.5350055617352627</v>
      </c>
      <c r="GQ28" s="33">
        <v>8.5299999999999994</v>
      </c>
      <c r="GR28" s="99">
        <v>9.0299999999999994</v>
      </c>
      <c r="GS28" s="99"/>
      <c r="GT28" s="99"/>
      <c r="GU28" s="99"/>
      <c r="GV28" s="99"/>
      <c r="GW28" s="99"/>
      <c r="GX28" s="99"/>
      <c r="GY28" s="99"/>
      <c r="GZ28" s="99"/>
      <c r="HA28" s="99"/>
      <c r="HB28" s="99"/>
      <c r="HF28" s="97">
        <f>HG28*$LI28</f>
        <v>0.40988736783141361</v>
      </c>
      <c r="HG28" s="526">
        <f>EE28/'Discounting metrics'!E$4/M28</f>
        <v>1.1711067652326104</v>
      </c>
      <c r="HH28" s="527">
        <f>10^3*HG28/$LM28</f>
        <v>91.492716033797677</v>
      </c>
      <c r="HI28" s="528">
        <f>HG28/$LO28</f>
        <v>39.036892174420345</v>
      </c>
      <c r="HJ28" s="97">
        <f>HK28*$LI28</f>
        <v>0.41328510036794447</v>
      </c>
      <c r="HK28" s="526">
        <f>EH28/'Discounting metrics'!E$4/O28</f>
        <v>1.1808145724798413</v>
      </c>
      <c r="HL28" s="527">
        <f>10^3*HK28/$LM28</f>
        <v>92.251138474987613</v>
      </c>
      <c r="HM28" s="528">
        <f>HK28/$LO28</f>
        <v>39.360485749328049</v>
      </c>
      <c r="HN28" s="97">
        <f>HO28*$LI28</f>
        <v>0.24188837019183956</v>
      </c>
      <c r="HO28" s="526">
        <f>FD28/'Discounting metrics'!E$4/Q28</f>
        <v>0.69110962911954166</v>
      </c>
      <c r="HP28" s="527">
        <f>10^3*HO28/$LM28</f>
        <v>53.992939774964185</v>
      </c>
      <c r="HQ28" s="528">
        <f>HO28/$LO28</f>
        <v>23.036987637318056</v>
      </c>
      <c r="HR28" s="97">
        <f>HS28*$LI28</f>
        <v>0.36339418111630267</v>
      </c>
      <c r="HS28" s="263">
        <f>$IM$11*IE28</f>
        <v>1.038269088903722</v>
      </c>
      <c r="HT28" s="527">
        <f>10^3*HS28/$LM28</f>
        <v>81.114772570603293</v>
      </c>
      <c r="HU28" s="528">
        <f>HS28/$LO28</f>
        <v>34.608969630124072</v>
      </c>
      <c r="HV28" s="97">
        <f>HW28*$LI28</f>
        <v>0.3668169101859165</v>
      </c>
      <c r="HW28" s="263">
        <f>$IM$11*IH28</f>
        <v>1.0480483148169044</v>
      </c>
      <c r="HX28" s="527">
        <f>10^3*HW28/$LM28</f>
        <v>81.878774595070652</v>
      </c>
      <c r="HY28" s="528">
        <f>HW28/$LO28</f>
        <v>34.93494382723015</v>
      </c>
      <c r="HZ28" s="97">
        <f>I28*$LI28</f>
        <v>1.4209999999999998</v>
      </c>
      <c r="IA28" s="263">
        <f>$IM$11*IK28</f>
        <v>0.55474069652969793</v>
      </c>
      <c r="IB28" s="527">
        <f>10^3*I28/$LM28</f>
        <v>317.18749999999994</v>
      </c>
      <c r="IC28" s="528">
        <f>I28/$LO28</f>
        <v>135.33333333333331</v>
      </c>
      <c r="ID28" s="97">
        <f>IE28*$LI28</f>
        <v>0.72848340422299873</v>
      </c>
      <c r="IE28" s="263">
        <f>GP28/G28</f>
        <v>2.0813811549228536</v>
      </c>
      <c r="IF28" s="68">
        <f>10^3*IE28/$LM28</f>
        <v>162.60790272834791</v>
      </c>
      <c r="IG28" s="97">
        <f>IH28*$LI28</f>
        <v>0.73534482758620678</v>
      </c>
      <c r="IH28" s="263">
        <f>GQ28/I28</f>
        <v>2.1009852216748768</v>
      </c>
      <c r="II28" s="68">
        <f>10^3*IH28/$LM28</f>
        <v>164.13947044334975</v>
      </c>
      <c r="IJ28" s="97">
        <f>IK28*$LI28</f>
        <v>0.38922413793103444</v>
      </c>
      <c r="IK28" s="263">
        <f>GR28/K28</f>
        <v>1.1120689655172413</v>
      </c>
      <c r="IL28" s="68">
        <f>10^3*IK28/$LM28</f>
        <v>86.880387931034477</v>
      </c>
      <c r="IM28" s="60"/>
      <c r="IN28" s="60"/>
      <c r="IO28" s="60"/>
      <c r="IP28" s="554">
        <f>IR28*$V28</f>
        <v>34.302796920000006</v>
      </c>
      <c r="IQ28" s="262">
        <f>IR28*$LI28</f>
        <v>0.16283797717605955</v>
      </c>
      <c r="IR28" s="166">
        <f>(IW28*Y28+JD28*AA28)/V28</f>
        <v>0.4652513633601702</v>
      </c>
      <c r="IS28" s="68">
        <f>10^3*IR28/$LM28</f>
        <v>36.347762762513298</v>
      </c>
      <c r="IT28" s="97">
        <f>IR28/$LO28</f>
        <v>15.508378778672341</v>
      </c>
      <c r="IU28" s="429">
        <f>(IX28*C28+JE28*D28)/B28</f>
        <v>3.4968854282536155E-2</v>
      </c>
      <c r="IV28" s="262">
        <f>IW28*$LI28</f>
        <v>0.16085203448275862</v>
      </c>
      <c r="IW28" s="436">
        <f>IX28*JB28/I28</f>
        <v>0.45957724137931039</v>
      </c>
      <c r="IX28" s="101">
        <v>3.4200000000000001E-2</v>
      </c>
      <c r="IY28" s="433">
        <v>1</v>
      </c>
      <c r="IZ28" s="433">
        <v>0</v>
      </c>
      <c r="JA28" s="434">
        <f>1-IY28-IZ28</f>
        <v>0</v>
      </c>
      <c r="JB28" s="430">
        <f>IY28*$JJ28+IZ28*$JK28+JA28*$JL28+'Discounting metrics'!$B$6*(IY28*$JM28+IZ28*$JN28+JA28*$JO28)/10^3+'Discounting metrics'!$B$5*(IY28*$JP28+IZ28*$JQ28+JA28*$JR28)/10^3</f>
        <v>54.558</v>
      </c>
      <c r="JC28" s="262">
        <f>JD28*$LI28</f>
        <v>0.26103181034482759</v>
      </c>
      <c r="JD28" s="436">
        <f>JE28*JI28/K28</f>
        <v>0.74580517241379318</v>
      </c>
      <c r="JE28" s="101">
        <v>0.111</v>
      </c>
      <c r="JF28" s="433">
        <v>1</v>
      </c>
      <c r="JG28" s="433">
        <v>0</v>
      </c>
      <c r="JH28" s="434">
        <f>1-JF28-JG28</f>
        <v>0</v>
      </c>
      <c r="JI28" s="430">
        <f>JF28*$JJ28+JG28*$JK28+JH28*$JL28+'Discounting metrics'!$B$6*(JF28*$JM28+JG28*$JN28+JH28*$JO28)/10^3+'Discounting metrics'!$B$5*(JF28*$JP28+JG28*$JQ28+JH28*$JR28)/10^3</f>
        <v>54.558</v>
      </c>
      <c r="JJ28" s="431">
        <v>51.3</v>
      </c>
      <c r="JK28" s="431">
        <v>29</v>
      </c>
      <c r="JL28" s="431">
        <v>29</v>
      </c>
      <c r="JM28" s="99">
        <v>5</v>
      </c>
      <c r="JN28" s="431">
        <v>13</v>
      </c>
      <c r="JO28" s="431">
        <v>13</v>
      </c>
      <c r="JP28" s="431">
        <v>52</v>
      </c>
      <c r="JQ28" s="431">
        <v>58.3</v>
      </c>
      <c r="JR28" s="431">
        <v>58.3</v>
      </c>
      <c r="JS28" s="554">
        <f>JV28+JW28+JT28+JU28+JX28</f>
        <v>8.6012562699680011</v>
      </c>
      <c r="JT28" s="554">
        <f>KJ28*$V28</f>
        <v>1.8210664716204801</v>
      </c>
      <c r="JU28" s="554">
        <f>KL28*$V28</f>
        <v>0.7300762711744001</v>
      </c>
      <c r="JV28" s="554">
        <f>KN28*$V28</f>
        <v>2.5018969776576006</v>
      </c>
      <c r="JW28" s="554">
        <f>KP28*$V28</f>
        <v>3.5482165495155207</v>
      </c>
      <c r="JX28" s="554"/>
      <c r="JY28" s="167">
        <f>JZ28*LI28</f>
        <v>4.0830815499999999E-2</v>
      </c>
      <c r="JZ28" s="166">
        <f>KF28+KD28+KH28</f>
        <v>0.11665947285714287</v>
      </c>
      <c r="KA28" s="68">
        <f>10^3*JZ28/$LM28</f>
        <v>9.114021316964287</v>
      </c>
      <c r="KB28" s="97">
        <f>JZ28/$LO28</f>
        <v>3.8886490952380957</v>
      </c>
      <c r="KC28" s="473">
        <f>KD28*LI28</f>
        <v>1.2110467979999999E-2</v>
      </c>
      <c r="KD28" s="269">
        <f>KJ28+KL28</f>
        <v>3.4601337085714286E-2</v>
      </c>
      <c r="KE28" s="473">
        <f>KF28*LI28</f>
        <v>2.8720347520000002E-2</v>
      </c>
      <c r="KF28" s="269">
        <f>KN28+KP28</f>
        <v>8.2058135771428578E-2</v>
      </c>
      <c r="KG28" s="123"/>
      <c r="KH28" s="49"/>
      <c r="KI28" s="435">
        <v>8.6447405799999991E-3</v>
      </c>
      <c r="KJ28" s="522">
        <f>KI28/$LI28</f>
        <v>2.4699258799999999E-2</v>
      </c>
      <c r="KK28" s="435">
        <v>3.4657274000000002E-3</v>
      </c>
      <c r="KL28" s="522">
        <f>KK28/$LI28</f>
        <v>9.9020782857142872E-3</v>
      </c>
      <c r="KM28" s="435">
        <v>1.1876694599999999E-2</v>
      </c>
      <c r="KN28" s="522">
        <f>KM28/$LI28</f>
        <v>3.3933413142857145E-2</v>
      </c>
      <c r="KO28" s="435">
        <v>1.684365292E-2</v>
      </c>
      <c r="KP28" s="522">
        <f>KO28/$LI28</f>
        <v>4.8124722628571433E-2</v>
      </c>
      <c r="KQ28" s="599">
        <f>44/12*HG28+$JZ28+$IR28</f>
        <v>4.8759689754035511</v>
      </c>
      <c r="KR28" s="527">
        <f>10^3*KQ28/$LM28</f>
        <v>380.93507620340239</v>
      </c>
      <c r="KS28" s="528">
        <f>KQ28/$LO28</f>
        <v>162.53229918011837</v>
      </c>
      <c r="KT28" s="599">
        <f>44/12*HK28+$JZ28+$IW28</f>
        <v>4.9058901466625384</v>
      </c>
      <c r="KU28" s="527">
        <f>10^3*KT28/$LM28</f>
        <v>383.27266770801077</v>
      </c>
      <c r="KV28" s="528">
        <f>KT28/$LO28</f>
        <v>163.52967155541796</v>
      </c>
      <c r="KW28" s="599">
        <f>44/12*HO28+$JZ28+$JD28</f>
        <v>3.3965332853759223</v>
      </c>
      <c r="KX28" s="527">
        <f>10^3*KW28/$LM28</f>
        <v>265.35416291999394</v>
      </c>
      <c r="KY28" s="528">
        <f>KW28/$LO28</f>
        <v>113.21777617919741</v>
      </c>
      <c r="KZ28" s="599">
        <f>44/12*HS28+$JZ28+$IR28</f>
        <v>4.3888974955309603</v>
      </c>
      <c r="LA28" s="527">
        <f>10^3*KZ28/$LM28</f>
        <v>342.88261683835628</v>
      </c>
      <c r="LB28" s="528">
        <f>KZ28/$LO28</f>
        <v>146.29658318436535</v>
      </c>
      <c r="LC28" s="599">
        <f>44/12*HW28+$JZ28+$IW28</f>
        <v>4.4190805352317692</v>
      </c>
      <c r="LD28" s="527">
        <f>10^3*LC28/$LM28</f>
        <v>345.24066681498198</v>
      </c>
      <c r="LE28" s="528">
        <f>LC28/$LO28</f>
        <v>147.30268450772564</v>
      </c>
      <c r="LF28" s="599">
        <f>44/12*I28+$JZ28+$JD28</f>
        <v>15.7491313119376</v>
      </c>
      <c r="LG28" s="527">
        <f>10^3*LF28/$LM28</f>
        <v>1230.4008837451249</v>
      </c>
      <c r="LH28" s="528">
        <f>LF28/$LO28</f>
        <v>524.9710437312533</v>
      </c>
      <c r="LI28" s="31">
        <v>0.35</v>
      </c>
      <c r="LJ28" s="32">
        <f>$LI28*LK28</f>
        <v>6.0549999999999997</v>
      </c>
      <c r="LK28" s="27">
        <v>17.3</v>
      </c>
      <c r="LL28" s="32">
        <f>$LI28*LM28</f>
        <v>4.4799999999999995</v>
      </c>
      <c r="LM28" s="33">
        <v>12.8</v>
      </c>
      <c r="LN28" s="36">
        <f t="shared" ref="LN28:LN31" si="200">$LI28*LO28</f>
        <v>1.0499999999999999E-2</v>
      </c>
      <c r="LO28" s="35">
        <v>0.03</v>
      </c>
      <c r="LP28" s="36">
        <f t="shared" ref="LP28:LP31" si="201">$LI28*LQ28</f>
        <v>3.4999999999999996E-3</v>
      </c>
      <c r="LQ28" s="35">
        <v>0.01</v>
      </c>
    </row>
    <row r="29" spans="1:329" s="4" customFormat="1" x14ac:dyDescent="0.25">
      <c r="A29" s="14" t="s">
        <v>69</v>
      </c>
      <c r="B29" s="67">
        <f t="shared" si="171"/>
        <v>18.8</v>
      </c>
      <c r="C29" s="33">
        <v>15.8</v>
      </c>
      <c r="D29" s="33">
        <v>3</v>
      </c>
      <c r="E29" s="38">
        <f t="shared" si="172"/>
        <v>0.15957446808510636</v>
      </c>
      <c r="F29" s="108">
        <f>U29/B29</f>
        <v>17.106382978723406</v>
      </c>
      <c r="G29" s="32">
        <f>V29/B29</f>
        <v>3.5923404255319147</v>
      </c>
      <c r="H29" s="33">
        <v>15</v>
      </c>
      <c r="I29" s="32">
        <f>$LI29*H29</f>
        <v>3.15</v>
      </c>
      <c r="J29" s="33">
        <v>28.2</v>
      </c>
      <c r="K29" s="32">
        <f>$LI29*J29</f>
        <v>5.9219999999999997</v>
      </c>
      <c r="L29" s="32">
        <f>(F29/'Discounting metrics'!$D$4*(1-EXP(-'Discounting metrics'!$D$4*'Discounting metrics'!$E$4)))/'Discounting metrics'!$E$4</f>
        <v>4.1982671613481797</v>
      </c>
      <c r="M29" s="32">
        <f>(G29/'Discounting metrics'!$D$4*(1-EXP(-'Discounting metrics'!$D$4*'Discounting metrics'!$E$4)))/'Discounting metrics'!$E$4</f>
        <v>0.88163610388311753</v>
      </c>
      <c r="N29" s="32">
        <f>(H29/'Discounting metrics'!$D$4*(1-EXP(-'Discounting metrics'!$D$4*'Discounting metrics'!$E$4)))/'Discounting metrics'!$E$4</f>
        <v>3.6813163541672469</v>
      </c>
      <c r="O29" s="32">
        <f>(I29/'Discounting metrics'!$D$4*(1-EXP(-'Discounting metrics'!$D$4*'Discounting metrics'!$E$4)))/'Discounting metrics'!$E$4</f>
        <v>0.77307643437512186</v>
      </c>
      <c r="P29" s="32">
        <f>(J29/'Discounting metrics'!$D$4*(1-EXP(-'Discounting metrics'!$D$4*'Discounting metrics'!$E$4)))/'Discounting metrics'!$E$4</f>
        <v>6.920874745834424</v>
      </c>
      <c r="Q29" s="32">
        <f>(K29/'Discounting metrics'!$D$4*(1-EXP(-'Discounting metrics'!$D$4*'Discounting metrics'!$E$4)))/'Discounting metrics'!$E$4</f>
        <v>1.4533836966252289</v>
      </c>
      <c r="R29" s="32">
        <f>10/G29</f>
        <v>2.7837005448945749</v>
      </c>
      <c r="S29" s="32">
        <f>10/I29</f>
        <v>3.1746031746031749</v>
      </c>
      <c r="T29" s="32">
        <f>10/K29</f>
        <v>1.6886187098953058</v>
      </c>
      <c r="U29" s="107">
        <f t="shared" si="173"/>
        <v>321.60000000000002</v>
      </c>
      <c r="V29" s="68">
        <f t="shared" si="173"/>
        <v>67.536000000000001</v>
      </c>
      <c r="W29" s="68"/>
      <c r="X29" s="67">
        <f>C29*H29</f>
        <v>237</v>
      </c>
      <c r="Y29" s="67">
        <f t="shared" si="174"/>
        <v>49.77</v>
      </c>
      <c r="Z29" s="67">
        <f t="shared" si="174"/>
        <v>84.6</v>
      </c>
      <c r="AA29" s="67">
        <f>D29*K29</f>
        <v>17.765999999999998</v>
      </c>
      <c r="AB29" s="109">
        <f t="shared" si="175"/>
        <v>0.26305970149253727</v>
      </c>
      <c r="AC29" s="294">
        <f t="shared" si="176"/>
        <v>7.6882041814463301E-2</v>
      </c>
      <c r="AD29" s="294">
        <f t="shared" si="176"/>
        <v>0.26023214563421854</v>
      </c>
      <c r="AE29" s="294">
        <f t="shared" si="176"/>
        <v>0.38876338037486108</v>
      </c>
      <c r="AF29" s="294">
        <f t="shared" si="176"/>
        <v>4.5523400762217947E-2</v>
      </c>
      <c r="AG29" s="294">
        <f t="shared" si="176"/>
        <v>0.10550893633543264</v>
      </c>
      <c r="AH29" s="294">
        <f t="shared" si="176"/>
        <v>8.7127602045309629E-2</v>
      </c>
      <c r="AI29" s="294">
        <f t="shared" si="176"/>
        <v>8.5604857549355737E-3</v>
      </c>
      <c r="AJ29" s="294">
        <f t="shared" si="176"/>
        <v>1.4373332134517221E-2</v>
      </c>
      <c r="AK29" s="294">
        <f t="shared" si="176"/>
        <v>1.2287076706232121E-2</v>
      </c>
      <c r="AL29" s="433">
        <v>7.4642086313315675E-2</v>
      </c>
      <c r="AM29" s="433">
        <v>0.26356454395507228</v>
      </c>
      <c r="AN29" s="433">
        <v>0.43386387588561615</v>
      </c>
      <c r="AO29" s="433">
        <v>4.7010109468106992E-2</v>
      </c>
      <c r="AP29" s="433">
        <v>0.10139424115569777</v>
      </c>
      <c r="AQ29" s="433">
        <v>6.2601857776535749E-2</v>
      </c>
      <c r="AR29" s="433">
        <v>1.9556254830574763E-3</v>
      </c>
      <c r="AS29" s="433">
        <v>2.6463428907603061E-4</v>
      </c>
      <c r="AT29" s="433">
        <v>1.3989582973483981E-2</v>
      </c>
      <c r="AU29" s="433">
        <v>8.8679140787174177E-2</v>
      </c>
      <c r="AV29" s="433">
        <v>0.24268151447772224</v>
      </c>
      <c r="AW29" s="433">
        <v>0.1512341040182178</v>
      </c>
      <c r="AX29" s="433">
        <v>3.7693401577868962E-2</v>
      </c>
      <c r="AY29" s="433">
        <v>0.12717966428203631</v>
      </c>
      <c r="AZ29" s="433">
        <v>0.21629652186085208</v>
      </c>
      <c r="BA29" s="433">
        <v>4.3346083186826881E-2</v>
      </c>
      <c r="BB29" s="433">
        <v>8.8679140787174177E-2</v>
      </c>
      <c r="BC29" s="433">
        <v>3.3205436987056467E-3</v>
      </c>
      <c r="BD29" s="554">
        <f>BG29*$B29/10^3</f>
        <v>3.2197402458809985</v>
      </c>
      <c r="BE29" s="554">
        <f t="shared" si="177"/>
        <v>1.2385410512088526</v>
      </c>
      <c r="BF29" s="554">
        <f t="shared" si="177"/>
        <v>1.9811991946721459</v>
      </c>
      <c r="BG29" s="67">
        <f t="shared" si="178"/>
        <v>171.26277903622332</v>
      </c>
      <c r="BH29" s="67">
        <f>(BK29*$C29+CF29*$D29)/$B29</f>
        <v>65.879843149407051</v>
      </c>
      <c r="BI29" s="67">
        <f>(BU29*$C29+CP29*$D29)/$B29</f>
        <v>105.38293588681627</v>
      </c>
      <c r="BJ29" s="67">
        <f>BK29+BU29</f>
        <v>177.25327519583067</v>
      </c>
      <c r="BK29" s="68">
        <f t="shared" si="179"/>
        <v>68.555301639292466</v>
      </c>
      <c r="BL29" s="145">
        <v>130.41812556804189</v>
      </c>
      <c r="BM29" s="145">
        <v>141.61502672829639</v>
      </c>
      <c r="BN29" s="145">
        <v>43.460245826438431</v>
      </c>
      <c r="BO29" s="145">
        <v>36.480641252014514</v>
      </c>
      <c r="BP29" s="145">
        <v>5.7359462180312804</v>
      </c>
      <c r="BQ29" s="145">
        <v>1.5931322500114358</v>
      </c>
      <c r="BR29" s="145">
        <v>8.6277818480052726E-2</v>
      </c>
      <c r="BS29" s="145">
        <v>65.342442872224638</v>
      </c>
      <c r="BT29" s="145">
        <v>16.179577823001981</v>
      </c>
      <c r="BU29" s="68">
        <f t="shared" si="180"/>
        <v>108.69797355653822</v>
      </c>
      <c r="BV29" s="145">
        <v>121.64177279620158</v>
      </c>
      <c r="BW29" s="145">
        <v>106.07045794805376</v>
      </c>
      <c r="BX29" s="145">
        <v>120.95975230558584</v>
      </c>
      <c r="BY29" s="145">
        <v>155.58823237195548</v>
      </c>
      <c r="BZ29" s="145">
        <v>84.226189176181293</v>
      </c>
      <c r="CA29" s="145">
        <v>41.169241552252927</v>
      </c>
      <c r="CB29" s="145">
        <v>0.72716991442440282</v>
      </c>
      <c r="CC29" s="145">
        <v>50.580536368668682</v>
      </c>
      <c r="CD29" s="145">
        <v>52.578423709509373</v>
      </c>
      <c r="CE29" s="68">
        <f t="shared" si="181"/>
        <v>139.71283259562449</v>
      </c>
      <c r="CF29" s="68">
        <f t="shared" si="182"/>
        <v>51.789095102677194</v>
      </c>
      <c r="CG29" s="145">
        <v>132.6835279486294</v>
      </c>
      <c r="CH29" s="145">
        <v>123.20848193086483</v>
      </c>
      <c r="CI29" s="145">
        <v>51.323593880594139</v>
      </c>
      <c r="CJ29" s="145">
        <v>33.195215636780198</v>
      </c>
      <c r="CK29" s="145">
        <v>5.958641735990426</v>
      </c>
      <c r="CL29" s="145">
        <v>1.5990272418277818</v>
      </c>
      <c r="CM29" s="145">
        <v>4.4048229823750472E-2</v>
      </c>
      <c r="CN29" s="145">
        <v>1.0842495105268834E-2</v>
      </c>
      <c r="CO29" s="145">
        <v>0.82565376248315525</v>
      </c>
      <c r="CP29" s="68">
        <f t="shared" si="183"/>
        <v>87.923737492947311</v>
      </c>
      <c r="CQ29" s="145">
        <v>119.44966031180961</v>
      </c>
      <c r="CR29" s="145">
        <v>128.55467254870484</v>
      </c>
      <c r="CS29" s="145">
        <v>137.69353319068603</v>
      </c>
      <c r="CT29" s="145">
        <v>174.76082639130743</v>
      </c>
      <c r="CU29" s="145">
        <v>81.503109660791566</v>
      </c>
      <c r="CV29" s="145">
        <v>38.503680194551343</v>
      </c>
      <c r="CW29" s="145">
        <v>0.31406410970592086</v>
      </c>
      <c r="CX29" s="145">
        <v>9.7552337905460421E-3</v>
      </c>
      <c r="CY29" s="145">
        <v>4.1212308480497484</v>
      </c>
      <c r="CZ29" s="554">
        <f>DC29*$B29/10^3</f>
        <v>1.5070043960041091</v>
      </c>
      <c r="DA29" s="554">
        <f t="shared" si="184"/>
        <v>2.1104999999999999E-2</v>
      </c>
      <c r="DB29" s="554">
        <f t="shared" si="184"/>
        <v>1.4858993960041094</v>
      </c>
      <c r="DC29" s="32">
        <f t="shared" si="185"/>
        <v>80.159808298090908</v>
      </c>
      <c r="DD29" s="32">
        <f t="shared" si="186"/>
        <v>1.1226063829787234</v>
      </c>
      <c r="DE29" s="67">
        <f t="shared" si="186"/>
        <v>79.037201915112192</v>
      </c>
      <c r="DF29" s="270"/>
      <c r="DG29" s="67">
        <f t="shared" si="187"/>
        <v>82.507855167403662</v>
      </c>
      <c r="DH29" s="32">
        <f>I29*0.5*2.5*0.25</f>
        <v>0.984375</v>
      </c>
      <c r="DI29" s="67">
        <f>(1-DK29)*BU29</f>
        <v>81.523480167403662</v>
      </c>
      <c r="DJ29" s="67"/>
      <c r="DK29" s="34">
        <f t="shared" si="188"/>
        <v>0.25</v>
      </c>
      <c r="DL29" s="159"/>
      <c r="DM29" s="159"/>
      <c r="DN29" s="68">
        <f t="shared" si="189"/>
        <v>67.79342811971047</v>
      </c>
      <c r="DO29" s="32">
        <f>K29*0.5*2.5*0.25</f>
        <v>1.850625</v>
      </c>
      <c r="DP29" s="67">
        <f>(1-DR29)*CP29</f>
        <v>65.942803119710476</v>
      </c>
      <c r="DQ29" s="67"/>
      <c r="DR29" s="34">
        <f t="shared" si="190"/>
        <v>0.25</v>
      </c>
      <c r="DS29" s="294"/>
      <c r="DT29" s="294"/>
      <c r="DU29" s="294"/>
      <c r="DV29" s="67">
        <f t="shared" si="164"/>
        <v>91.102970738132413</v>
      </c>
      <c r="DW29" s="67">
        <f t="shared" si="164"/>
        <v>64.757236766428335</v>
      </c>
      <c r="DX29" s="67">
        <f t="shared" si="164"/>
        <v>26.345733971704078</v>
      </c>
      <c r="DY29" s="67">
        <f t="shared" si="165"/>
        <v>94.745420028427006</v>
      </c>
      <c r="DZ29" s="67">
        <f t="shared" si="165"/>
        <v>67.570926639292466</v>
      </c>
      <c r="EA29" s="67">
        <f>BU29-DI29</f>
        <v>27.174493389134554</v>
      </c>
      <c r="EB29" s="67">
        <f t="shared" si="166"/>
        <v>71.919404475914021</v>
      </c>
      <c r="EC29" s="67">
        <f t="shared" si="166"/>
        <v>49.938470102677194</v>
      </c>
      <c r="ED29" s="67">
        <f>CP29-DP29</f>
        <v>21.980934373236835</v>
      </c>
      <c r="EE29" s="68">
        <f>EF29+EG29</f>
        <v>67.607346871411252</v>
      </c>
      <c r="EF29" s="67">
        <f>(EJ29*$C29+FF29*$D29)/$B29</f>
        <v>47.140466447688766</v>
      </c>
      <c r="EG29" s="67">
        <f t="shared" si="191"/>
        <v>20.466880423722483</v>
      </c>
      <c r="EH29" s="261">
        <f t="shared" si="192"/>
        <v>69.366929674708629</v>
      </c>
      <c r="EI29" s="154">
        <f>EH29/($BJ29-$DG29)</f>
        <v>0.73214018845339512</v>
      </c>
      <c r="EJ29" s="108">
        <f>EK29+EL29-DH29</f>
        <v>48.275235516572195</v>
      </c>
      <c r="EK29" s="126">
        <f>'Allometrics &amp; Decay rates'!$H$5*$AL29*BL29+'Allometrics &amp; Decay rates'!$H$6*$AM29*BM29+'Allometrics &amp; Decay rates'!$H$7*$AN29*BN29+'Allometrics &amp; Decay rates'!$H$8*$AO29*BO29+'Allometrics &amp; Decay rates'!$H$9*$AP29*BP29+'Allometrics &amp; Decay rates'!$H$10*$AQ29*BQ29+'Allometrics &amp; Decay rates'!$H$11*$AR29*BR29+'Allometrics &amp; Decay rates'!$H$12*$AS29*BS29+'Allometrics &amp; Decay rates'!$H$13*$AT29*BT29</f>
        <v>30.902575181714003</v>
      </c>
      <c r="EL29" s="97">
        <f t="shared" si="193"/>
        <v>18.357035334858189</v>
      </c>
      <c r="EM29" s="550">
        <f>AL29*BL29*('Allometrics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3.8162633566350403</v>
      </c>
      <c r="EN29" s="550">
        <f>AM29*BM29*('Allometrics &amp; Decay rates'!$I$6*((EXP('Allometrics &amp; Decay rates'!$K$6)-1)/('Discounting metrics'!$D$4+'Allometrics &amp; Decay rates'!$K$6)*(1-EXP(-('Discounting metrics'!$D$4+'Allometrics &amp; Decay rates'!$K$6)*'Discounting metrics'!$E$4))-(1-EXP(-'Allometrics &amp; Decay rates'!$K$6))/1.55)+'Allometrics &amp; Decay rates'!$E$6*((EXP('Allometrics &amp; Decay rates'!$L$6)-1)/('Discounting metrics'!$D$4+'Allometrics &amp; Decay rates'!$L$6)*(1-EXP(-('Discounting metrics'!$D$4+'Allometrics &amp; Decay rates'!$L$6)*'Discounting metrics'!$E$4))-(1-EXP(-'Allometrics &amp; Decay rates'!$L$6))/1.55))</f>
        <v>9.1030391462777569</v>
      </c>
      <c r="EO29" s="550">
        <f>AN29*BN29*('Allometrics &amp; Decay rates'!$I$7*((EXP('Allometrics &amp; Decay rates'!$K$7)-1)/('Discounting metrics'!$D$4+'Allometrics &amp; Decay rates'!$K$7)*(1-EXP(-('Discounting metrics'!$D$4+'Allometrics &amp; Decay rates'!$K$7)*'Discounting metrics'!$E$4))-(1-EXP(-'Allometrics &amp; Decay rates'!$K$7))/1.55)+'Allometrics &amp; Decay rates'!$E$7*((EXP('Allometrics &amp; Decay rates'!$L$7)-1)/('Discounting metrics'!$D$4+'Allometrics &amp; Decay rates'!$L$7)*(1-EXP(-('Discounting metrics'!$D$4+'Allometrics &amp; Decay rates'!$L$7)*'Discounting metrics'!$E$4))-(1-EXP(-'Allometrics &amp; Decay rates'!$L$7))/1.55))</f>
        <v>4.0146225718257922</v>
      </c>
      <c r="EP29" s="550">
        <f>AO29*BO29*('Allometrics &amp; Decay rates'!$I$8*((EXP('Allometrics &amp; Decay rates'!$K$8)-1)/('Discounting metrics'!$D$4+'Allometrics &amp; Decay rates'!$K$8)*(1-EXP(-('Discounting metrics'!$D$4+'Allometrics &amp; Decay rates'!$K$8)*'Discounting metrics'!$E$4))-(1-EXP(-'Allometrics &amp; Decay rates'!$K$8))/1.55)+'Allometrics &amp; Decay rates'!$E$8*((EXP('Allometrics &amp; Decay rates'!$L$8)-1)/('Discounting metrics'!$D$4+'Allometrics &amp; Decay rates'!$L$8)*(1-EXP(-('Discounting metrics'!$D$4+'Allometrics &amp; Decay rates'!$L$8)*'Discounting metrics'!$E$4))-(1-EXP(-'Allometrics &amp; Decay rates'!$L$8))/1.55))</f>
        <v>0.970952143528514</v>
      </c>
      <c r="EQ29" s="550">
        <f>AP29*BP29*('Allometrics &amp; Decay rates'!$I$9*((EXP('Allometrics &amp; Decay rates'!$K$9)-1)/('Discounting metrics'!$D$4+'Allometrics &amp; Decay rates'!$K$9)*(1-EXP(-('Discounting metrics'!$D$4+'Allometrics &amp; Decay rates'!$K$9)*'Discounting metrics'!$E$4))-(1-EXP(-'Allometrics &amp; Decay rates'!$K$9))/1.55)+'Allometrics &amp; Decay rates'!$E$9*((EXP('Allometrics &amp; Decay rates'!$L$9)-1)/('Discounting metrics'!$D$4+'Allometrics &amp; Decay rates'!$L$9)*(1-EXP(-('Discounting metrics'!$D$4+'Allometrics &amp; Decay rates'!$L$9)*'Discounting metrics'!$E$4))-(1-EXP(-'Allometrics &amp; Decay rates'!$L$9))/1.55))</f>
        <v>0.30482722842025267</v>
      </c>
      <c r="ER29" s="550">
        <f>AQ29*BQ29*('Allometrics &amp; Decay rates'!$I$10*((EXP('Allometrics &amp; Decay rates'!$K$10)-1)/('Discounting metrics'!$D$4+'Allometrics &amp; Decay rates'!$K$10)*(1-EXP(-('Discounting metrics'!$D$4+'Allometrics &amp; Decay rates'!$K$10)*'Discounting metrics'!$E$4))-(1-EXP(-'Allometrics &amp; Decay rates'!$K$10))/1.55)+'Allometrics &amp; Decay rates'!$E$10*((EXP('Allometrics &amp; Decay rates'!$L$10)-1)/('Discounting metrics'!$D$4+'Allometrics &amp; Decay rates'!$L$10)*(1-EXP(-('Discounting metrics'!$D$4+'Allometrics &amp; Decay rates'!$L$10)*'Discounting metrics'!$E$4))-(1-EXP(-'Allometrics &amp; Decay rates'!$L$10))/1.55))</f>
        <v>6.3448288083585672E-2</v>
      </c>
      <c r="ES29" s="550">
        <f>AR29*BR29*('Allometrics &amp; Decay rates'!$I$11*((EXP('Allometrics &amp; Decay rates'!$K$11)-1)/('Discounting metrics'!$D$4+'Allometrics &amp; Decay rates'!$K$11)*(1-EXP(-('Discounting metrics'!$D$4+'Allometrics &amp; Decay rates'!$K$11)*'Discounting metrics'!$E$4))-(1-EXP(-'Allometrics &amp; Decay rates'!$K$11))/1.55)+'Allometrics &amp; Decay rates'!$E$11*((EXP('Allometrics &amp; Decay rates'!$L$11)-1)/('Discounting metrics'!$D$4+'Allometrics &amp; Decay rates'!$L$11)*(1-EXP(-('Discounting metrics'!$D$4+'Allometrics &amp; Decay rates'!$L$11)*'Discounting metrics'!$E$4))-(1-EXP(-'Allometrics &amp; Decay rates'!$L$11))/1.55))</f>
        <v>1.1976101486432745E-4</v>
      </c>
      <c r="ET29" s="550">
        <f>AS29*BS29*('Allometrics &amp; Decay rates'!$I$12*((EXP('Allometrics &amp; Decay rates'!$K$12)-1)/('Discounting metrics'!$D$4+'Allometrics &amp; Decay rates'!$K$12)*(1-EXP(-('Discounting metrics'!$D$4+'Allometrics &amp; Decay rates'!$K$12)*'Discounting metrics'!$E$4))-(1-EXP(-'Allometrics &amp; Decay rates'!$K$12))/1.55)+'Allometrics &amp; Decay rates'!$E$12*((EXP('Allometrics &amp; Decay rates'!$L$12)-1)/('Discounting metrics'!$D$4+'Allometrics &amp; Decay rates'!$L$12)*(1-EXP(-('Discounting metrics'!$D$4+'Allometrics &amp; Decay rates'!$L$12)*'Discounting metrics'!$E$4))-(1-EXP(-'Allometrics &amp; Decay rates'!$L$12))/1.55))</f>
        <v>7.0558474068862986E-3</v>
      </c>
      <c r="EU29" s="550">
        <f>AT29*BT29*('Allometrics &amp; Decay rates'!$I$13*((EXP('Allometrics &amp; Decay rates'!$K$13)-1)/('Discounting metrics'!$D$4+'Allometrics &amp; Decay rates'!$K$13)*(1-EXP(-('Discounting metrics'!$D$4+'Allometrics &amp; Decay rates'!$K$13)*'Discounting metrics'!$E$4))-(1-EXP(-'Allometrics &amp; Decay rates'!$K$13))/1.55)+'Allometrics &amp; Decay rates'!$E$13*((EXP('Allometrics &amp; Decay rates'!$L$13)-1)/('Discounting metrics'!$D$4+'Allometrics &amp; Decay rates'!$L$13)*(1-EXP(-('Discounting metrics'!$D$4+'Allometrics &amp; Decay rates'!$L$13)*'Discounting metrics'!$E$4))-(1-EXP(-'Allometrics &amp; Decay rates'!$L$13))/1.55))</f>
        <v>7.6706991665500629E-2</v>
      </c>
      <c r="EV29" s="108">
        <f t="shared" si="194"/>
        <v>21.091694158136438</v>
      </c>
      <c r="EW29" s="550">
        <f>AL29*BV29*$DK29*((EXP('Allometrics &amp; Decay rates'!$M$5)-1)/('Discounting metrics'!$D$4+'Allometrics &amp; Decay rates'!$M$5)*(1-EXP(-('Discounting metrics'!$D$4+'Allometrics &amp; Decay rates'!$M$5)*'Discounting metrics'!$E$4))-(1-EXP(-'Allometrics &amp; Decay rates'!$M$5))/1.55)</f>
        <v>1.7740228096479647</v>
      </c>
      <c r="EX29" s="550">
        <f>AM29*BW29*$DK29*((EXP('Allometrics &amp; Decay rates'!$M$5)-1)/('Discounting metrics'!$D$4+'Allometrics &amp; Decay rates'!$M$5)*(1-EXP(-('Discounting metrics'!$D$4+'Allometrics &amp; Decay rates'!$M$5)*'Discounting metrics'!$E$4))-(1-EXP(-'Allometrics &amp; Decay rates'!$M$5))/1.55)</f>
        <v>5.4622820177395583</v>
      </c>
      <c r="EY29" s="550">
        <f>AN29*BX29*$DK29*((EXP('Allometrics &amp; Decay rates'!$M$5)-1)/('Discounting metrics'!$D$4+'Allometrics &amp; Decay rates'!$M$5)*(1-EXP(-('Discounting metrics'!$D$4+'Allometrics &amp; Decay rates'!$M$5)*'Discounting metrics'!$E$4))-(1-EXP(-'Allometrics &amp; Decay rates'!$M$5))/1.55)</f>
        <v>10.253852580329964</v>
      </c>
      <c r="EZ29" s="550">
        <f>AO29*BY29*$DK29*((EXP('Allometrics &amp; Decay rates'!$M$5)-1)/('Discounting metrics'!$D$4+'Allometrics &amp; Decay rates'!$M$5)*(1-EXP(-('Discounting metrics'!$D$4+'Allometrics &amp; Decay rates'!$M$5)*'Discounting metrics'!$E$4))-(1-EXP(-'Allometrics &amp; Decay rates'!$M$5))/1.55)</f>
        <v>1.4290936783869816</v>
      </c>
      <c r="FA29" s="550">
        <f>AP29*BZ29*$DK29*((EXP('Allometrics &amp; Decay rates'!$M$5)-1)/('Discounting metrics'!$D$4+'Allometrics &amp; Decay rates'!$M$5)*(1-EXP(-('Discounting metrics'!$D$4+'Allometrics &amp; Decay rates'!$M$5)*'Discounting metrics'!$E$4))-(1-EXP(-'Allometrics &amp; Decay rates'!$M$5))/1.55)</f>
        <v>1.668603420395872</v>
      </c>
      <c r="FB29" s="550">
        <f>AQ29*CA29*$DK29*((EXP('Allometrics &amp; Decay rates'!$M$5)-1)/('Discounting metrics'!$D$4+'Allometrics &amp; Decay rates'!$M$5)*(1-EXP(-('Discounting metrics'!$D$4+'Allometrics &amp; Decay rates'!$M$5)*'Discounting metrics'!$E$4))-(1-EXP(-'Allometrics &amp; Decay rates'!$M$5))/1.55)</f>
        <v>0.50356179915521881</v>
      </c>
      <c r="FC29" s="550">
        <f>AR29*CB29*$DK29*((EXP('Allometrics &amp; Decay rates'!$M$5)-1)/('Discounting metrics'!$D$4+'Allometrics &amp; Decay rates'!$M$5)*(1-EXP(-('Discounting metrics'!$D$4+'Allometrics &amp; Decay rates'!$M$5)*'Discounting metrics'!$E$4))-(1-EXP(-'Allometrics &amp; Decay rates'!$M$5))/1.55)</f>
        <v>2.7785248088157787E-4</v>
      </c>
      <c r="FD29" s="261">
        <f t="shared" si="195"/>
        <v>58.340210774045019</v>
      </c>
      <c r="FE29" s="154">
        <f>FD29/($CE29-$DN29)</f>
        <v>0.81118873549047943</v>
      </c>
      <c r="FF29" s="108">
        <f t="shared" si="196"/>
        <v>41.164016018236033</v>
      </c>
      <c r="FG29" s="126">
        <f>'Allometrics &amp; Decay rates'!$H$5*$AU29*CG29+'Allometrics &amp; Decay rates'!$H$6*$AV29*CH29+'Allometrics &amp; Decay rates'!$H$7*$AW29*CI29+'Allometrics &amp; Decay rates'!$H$8*$AX29*CJ29+'Allometrics &amp; Decay rates'!$H$9*$AY29*CK29+'Allometrics &amp; Decay rates'!$H$10*$AZ29*CL29+'Allometrics &amp; Decay rates'!$H$11*$BA29*CM29+'Allometrics &amp; Decay rates'!$H$12*$BB29*CN29+'Allometrics &amp; Decay rates'!$H$13*$BC29*CO29</f>
        <v>22.711887778697889</v>
      </c>
      <c r="FH29" s="97">
        <f t="shared" si="197"/>
        <v>20.302753239538148</v>
      </c>
      <c r="FI29" s="550">
        <f>AU29*CG29*('Allometrics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4.6126988382500747</v>
      </c>
      <c r="FJ29" s="550">
        <f>AV29*CH29*('Allometrics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11.721789460596536</v>
      </c>
      <c r="FK29" s="550">
        <f>AW29*CI29*('Allometrics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3.0428700873693035</v>
      </c>
      <c r="FL29" s="550">
        <f>AX29*CJ29*('Allometrics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0.49052081257586971</v>
      </c>
      <c r="FM29" s="550">
        <f>AY29*CK29*('Allometrics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0.2970855727832527</v>
      </c>
      <c r="FN29" s="550">
        <f>AZ29*CL29*('Allometrics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0.13558823642689571</v>
      </c>
      <c r="FO29" s="550">
        <f>BA29*CM29*('Allometrics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7.4850539263730646E-4</v>
      </c>
      <c r="FP29" s="550">
        <f>BB29*CN29*('Allometrics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3.7693574589883598E-4</v>
      </c>
      <c r="FQ29" s="550">
        <f>BC29*CO29*('Allometrics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1.0747903976809864E-3</v>
      </c>
      <c r="FR29" s="108">
        <f t="shared" si="198"/>
        <v>17.176194755808986</v>
      </c>
      <c r="FS29" s="550">
        <f>AU29*CQ29*$DK29*((EXP('Allometrics &amp; Decay rates'!$M$5)-1)/('Discounting metrics'!$D$4+'Allometrics &amp; Decay rates'!$M$5)*(1-EXP(-('Discounting metrics'!$D$4+'Allometrics &amp; Decay rates'!$M$5)*'Discounting metrics'!$E$4))-(1-EXP(-'Allometrics &amp; Decay rates'!$M$5))/1.55)</f>
        <v>2.0696603727666587</v>
      </c>
      <c r="FT29" s="550">
        <f>AV29*CR29*$DK29*((EXP('Allometrics &amp; Decay rates'!$M$5)-1)/('Discounting metrics'!$D$4+'Allometrics &amp; Decay rates'!$M$5)*(1-EXP(-('Discounting metrics'!$D$4+'Allometrics &amp; Decay rates'!$M$5)*'Discounting metrics'!$E$4))-(1-EXP(-'Allometrics &amp; Decay rates'!$M$5))/1.55)</f>
        <v>6.0956111081114779</v>
      </c>
      <c r="FU29" s="550">
        <f>AW29*CS29*$DK29*((EXP('Allometrics &amp; Decay rates'!$M$5)-1)/('Discounting metrics'!$D$4+'Allometrics &amp; Decay rates'!$M$5)*(1-EXP(-('Discounting metrics'!$D$4+'Allometrics &amp; Decay rates'!$M$5)*'Discounting metrics'!$E$4))-(1-EXP(-'Allometrics &amp; Decay rates'!$M$5))/1.55)</f>
        <v>4.0687028252173389</v>
      </c>
      <c r="FV29" s="550">
        <f>AX29*CT29*$DK29*((EXP('Allometrics &amp; Decay rates'!$M$5)-1)/('Discounting metrics'!$D$4+'Allometrics &amp; Decay rates'!$M$5)*(1-EXP(-('Discounting metrics'!$D$4+'Allometrics &amp; Decay rates'!$M$5)*'Discounting metrics'!$E$4))-(1-EXP(-'Allometrics &amp; Decay rates'!$M$5))/1.55)</f>
        <v>1.2870698290535143</v>
      </c>
      <c r="FW29" s="550">
        <f>AY29*CU29*$DK29*((EXP('Allometrics &amp; Decay rates'!$M$5)-1)/('Discounting metrics'!$D$4+'Allometrics &amp; Decay rates'!$M$5)*(1-EXP(-('Discounting metrics'!$D$4+'Allometrics &amp; Decay rates'!$M$5)*'Discounting metrics'!$E$4))-(1-EXP(-'Allometrics &amp; Decay rates'!$M$5))/1.55)</f>
        <v>2.0252775196246646</v>
      </c>
      <c r="FX29" s="550">
        <f>AZ29*CV29*$DK29*((EXP('Allometrics &amp; Decay rates'!$M$5)-1)/('Discounting metrics'!$D$4+'Allometrics &amp; Decay rates'!$M$5)*(1-EXP(-('Discounting metrics'!$D$4+'Allometrics &amp; Decay rates'!$M$5)*'Discounting metrics'!$E$4))-(1-EXP(-'Allometrics &amp; Decay rates'!$M$5))/1.55)</f>
        <v>1.6272132282970266</v>
      </c>
      <c r="FY29" s="550">
        <f>BA29*CW29*$DK29*((EXP('Allometrics &amp; Decay rates'!$M$5)-1)/('Discounting metrics'!$D$4+'Allometrics &amp; Decay rates'!$M$5)*(1-EXP(-('Discounting metrics'!$D$4+'Allometrics &amp; Decay rates'!$M$5)*'Discounting metrics'!$E$4))-(1-EXP(-'Allometrics &amp; Decay rates'!$M$5))/1.55)</f>
        <v>2.6598727383076253E-3</v>
      </c>
      <c r="FZ29" s="68"/>
      <c r="GA29" s="293"/>
      <c r="GB29" s="293"/>
      <c r="GP29" s="32">
        <f t="shared" si="199"/>
        <v>5.5946808510638295</v>
      </c>
      <c r="GQ29" s="33">
        <v>5.7</v>
      </c>
      <c r="GR29" s="99">
        <v>5.04</v>
      </c>
      <c r="GS29" s="99"/>
      <c r="GT29" s="99"/>
      <c r="GU29" s="99"/>
      <c r="GV29" s="99"/>
      <c r="GW29" s="99"/>
      <c r="GX29" s="99"/>
      <c r="GY29" s="99"/>
      <c r="GZ29" s="99"/>
      <c r="HA29" s="99"/>
      <c r="HB29" s="99"/>
      <c r="HF29" s="97">
        <f>HG29*$LI29</f>
        <v>0.16103631396745291</v>
      </c>
      <c r="HG29" s="526">
        <f>EE29/'Discounting metrics'!E$4/M29</f>
        <v>0.7668395903212043</v>
      </c>
      <c r="HH29" s="527">
        <f>10^3*HG29/$LM29</f>
        <v>56.802932616385505</v>
      </c>
      <c r="HI29" s="528">
        <f>HG29/$LO29</f>
        <v>8.5204398924578264</v>
      </c>
      <c r="HJ29" s="97">
        <f>HK29*$LI29</f>
        <v>0.18842968927727533</v>
      </c>
      <c r="HK29" s="526">
        <f>EH29/'Discounting metrics'!E$4/O29</f>
        <v>0.897284234653692</v>
      </c>
      <c r="HL29" s="527">
        <f>10^3*HK29/$LM29</f>
        <v>66.465498863236448</v>
      </c>
      <c r="HM29" s="528">
        <f>HK29/$LO29</f>
        <v>9.9698248294854679</v>
      </c>
      <c r="HN29" s="97">
        <f>HO29*$LI29</f>
        <v>8.4296007248446686E-2</v>
      </c>
      <c r="HO29" s="526">
        <f>FD29/'Discounting metrics'!E$4/Q29</f>
        <v>0.40140955832593661</v>
      </c>
      <c r="HP29" s="527">
        <f>10^3*HO29/$LM29</f>
        <v>29.734041357476784</v>
      </c>
      <c r="HQ29" s="528">
        <f>HO29/$LO29</f>
        <v>4.4601062036215184</v>
      </c>
      <c r="HR29" s="97">
        <f>HS29*$LI29</f>
        <v>0.16314562530070725</v>
      </c>
      <c r="HS29" s="263">
        <f>$IM$11*IE29</f>
        <v>0.77688393000336786</v>
      </c>
      <c r="HT29" s="527">
        <f>10^3*HS29/$LM29</f>
        <v>57.546957778027249</v>
      </c>
      <c r="HU29" s="528">
        <f>HS29/$LO29</f>
        <v>8.632043666704087</v>
      </c>
      <c r="HV29" s="97">
        <f>HW29*$LI29</f>
        <v>0.18955790622503169</v>
      </c>
      <c r="HW29" s="263">
        <f>$IM$11*IH29</f>
        <v>0.90265669630967471</v>
      </c>
      <c r="HX29" s="527">
        <f>10^3*HW29/$LM29</f>
        <v>66.863458985901829</v>
      </c>
      <c r="HY29" s="528">
        <f>HW29/$LO29</f>
        <v>10.029518847885274</v>
      </c>
      <c r="HZ29" s="97">
        <f>I29*$LI29</f>
        <v>0.66149999999999998</v>
      </c>
      <c r="IA29" s="263">
        <f>$IM$11*IK29</f>
        <v>0.42454178325874958</v>
      </c>
      <c r="IB29" s="527">
        <f>10^3*I29/$LM29</f>
        <v>233.33333333333334</v>
      </c>
      <c r="IC29" s="528">
        <f>I29/$LO29</f>
        <v>35</v>
      </c>
      <c r="ID29" s="97">
        <f>IE29*$LI29</f>
        <v>0.32705223880597017</v>
      </c>
      <c r="IE29" s="263">
        <f>GP29/G29</f>
        <v>1.5573916133617627</v>
      </c>
      <c r="IF29" s="68">
        <f>10^3*IE29/$LM29</f>
        <v>115.36234173050094</v>
      </c>
      <c r="IG29" s="97">
        <f>IH29*$LI29</f>
        <v>0.38</v>
      </c>
      <c r="IH29" s="263">
        <f>GQ29/I29</f>
        <v>1.8095238095238095</v>
      </c>
      <c r="II29" s="68">
        <f>10^3*IH29/$LM29</f>
        <v>134.03880070546737</v>
      </c>
      <c r="IJ29" s="97">
        <f>IK29*$LI29</f>
        <v>0.17872340425531916</v>
      </c>
      <c r="IK29" s="263">
        <f>GR29/K29</f>
        <v>0.85106382978723405</v>
      </c>
      <c r="IL29" s="68">
        <f>10^3*IK29/$LM29</f>
        <v>63.041765169424743</v>
      </c>
      <c r="IM29" s="60"/>
      <c r="IN29" s="60"/>
      <c r="IO29" s="60"/>
      <c r="IP29" s="554">
        <f>IR29*$V29</f>
        <v>10.972614955368002</v>
      </c>
      <c r="IQ29" s="262">
        <f>IR29*$LI29</f>
        <v>3.4118827597537316E-2</v>
      </c>
      <c r="IR29" s="166">
        <f>(IW29*Y29+JD29*AA29)/V29</f>
        <v>0.16247060760732057</v>
      </c>
      <c r="IS29" s="68">
        <f>10^3*IR29/$LM29</f>
        <v>12.034859822764487</v>
      </c>
      <c r="IT29" s="97">
        <f>IR29/$LO29</f>
        <v>1.8052289734146731</v>
      </c>
      <c r="IU29" s="429">
        <f>(IX29*C29+JE29*D29)/B29</f>
        <v>1.6448936170212765E-2</v>
      </c>
      <c r="IV29" s="262">
        <f>IW29*$LI29</f>
        <v>4.3341794664000004E-2</v>
      </c>
      <c r="IW29" s="436">
        <f>IX29*JB29/I29</f>
        <v>0.20638949840000001</v>
      </c>
      <c r="IX29" s="101">
        <v>1.83E-2</v>
      </c>
      <c r="IY29" s="101">
        <v>3.4000000000000002E-2</v>
      </c>
      <c r="IZ29" s="101">
        <v>0.86199999999999999</v>
      </c>
      <c r="JA29" s="429">
        <f t="shared" ref="JA29" si="202">1-IY29-IZ29</f>
        <v>0.10399999999999998</v>
      </c>
      <c r="JB29" s="430">
        <f>IY29*$JJ29+IZ29*$JK29+JA29*$JL29+'Discounting metrics'!$B$6*(IY29*$JM29+IZ29*$JN29+JA29*$JO29)/10^3+'Discounting metrics'!$B$5*(IY29*$JP29+IZ29*$JQ29+JA29*$JR29)/10^3</f>
        <v>35.526061200000001</v>
      </c>
      <c r="JC29" s="262">
        <f>JD29*$LI29</f>
        <v>8.2814375886524818E-3</v>
      </c>
      <c r="JD29" s="436">
        <f>JE29*JI29/K29</f>
        <v>3.9435417088821346E-2</v>
      </c>
      <c r="JE29" s="101">
        <v>6.7000000000000002E-3</v>
      </c>
      <c r="JF29" s="101">
        <v>0</v>
      </c>
      <c r="JG29" s="101">
        <v>1</v>
      </c>
      <c r="JH29" s="429">
        <f t="shared" ref="JH29:JH31" si="203">1-JF29-JG29</f>
        <v>0</v>
      </c>
      <c r="JI29" s="430">
        <f>JF29*$JJ29+JG29*$JK29+JH29*$JL29+'Discounting metrics'!$B$6*(JF29*$JM29+JG29*$JN29+JH29*$JO29)/10^3+'Discounting metrics'!$B$5*(JF29*$JP29+JG29*$JQ29+JH29*$JR29)/10^3</f>
        <v>34.856200000000001</v>
      </c>
      <c r="JJ29" s="431">
        <v>51.3</v>
      </c>
      <c r="JK29" s="431">
        <v>29</v>
      </c>
      <c r="JL29" s="431">
        <v>29</v>
      </c>
      <c r="JM29" s="99">
        <v>5</v>
      </c>
      <c r="JN29" s="431">
        <v>13</v>
      </c>
      <c r="JO29" s="431">
        <v>13</v>
      </c>
      <c r="JP29" s="431">
        <v>52</v>
      </c>
      <c r="JQ29" s="431">
        <v>58.3</v>
      </c>
      <c r="JR29" s="431">
        <v>58.3</v>
      </c>
      <c r="JS29" s="554">
        <f>JV29+JW29+JT29+JU29+JX29</f>
        <v>28.640188635072001</v>
      </c>
      <c r="JT29" s="554">
        <f>KJ29*$V29</f>
        <v>5.2860419481600012</v>
      </c>
      <c r="JU29" s="554">
        <f>KL29*$V29</f>
        <v>2.2534220630399999</v>
      </c>
      <c r="JV29" s="554">
        <f>KN29*$V29</f>
        <v>11.597443749120002</v>
      </c>
      <c r="JW29" s="554">
        <f>KP29*$V29</f>
        <v>9.503280874751999</v>
      </c>
      <c r="JX29" s="554"/>
      <c r="JY29" s="167">
        <f>JZ29*LI29</f>
        <v>8.9055312920000004E-2</v>
      </c>
      <c r="JZ29" s="166">
        <f>KF29+KD29+KH29</f>
        <v>0.42407291866666669</v>
      </c>
      <c r="KA29" s="68">
        <f>10^3*JZ29/$LM29</f>
        <v>31.412808790123457</v>
      </c>
      <c r="KB29" s="97">
        <f>JZ29/$LO29</f>
        <v>4.7119213185185194</v>
      </c>
      <c r="KC29" s="473">
        <f>KD29*LI29</f>
        <v>2.3443607000000002E-2</v>
      </c>
      <c r="KD29" s="269">
        <f>KJ29+KL29</f>
        <v>0.11163622380952382</v>
      </c>
      <c r="KE29" s="473">
        <f>KF29*LI29</f>
        <v>6.5611705919999999E-2</v>
      </c>
      <c r="KF29" s="269">
        <f>KN29+KP29</f>
        <v>0.31243669485714287</v>
      </c>
      <c r="KG29" s="123"/>
      <c r="KH29" s="49"/>
      <c r="KI29" s="435">
        <v>1.6436697600000001E-2</v>
      </c>
      <c r="KJ29" s="522">
        <f>KI29/$LI29</f>
        <v>7.8269988571428584E-2</v>
      </c>
      <c r="KK29" s="435">
        <v>7.0069093999999997E-3</v>
      </c>
      <c r="KL29" s="522">
        <f>KK29/$LI29</f>
        <v>3.3366235238095239E-2</v>
      </c>
      <c r="KM29" s="435">
        <v>3.6061703200000003E-2</v>
      </c>
      <c r="KN29" s="522">
        <f>KM29/$LI29</f>
        <v>0.17172239619047622</v>
      </c>
      <c r="KO29" s="435">
        <v>2.9550002719999996E-2</v>
      </c>
      <c r="KP29" s="522">
        <f>KO29/$LI29</f>
        <v>0.14071429866666665</v>
      </c>
      <c r="KQ29" s="599">
        <f>44/12*HG29+$JZ29+$IR29</f>
        <v>3.3982886907850691</v>
      </c>
      <c r="KR29" s="527">
        <f>10^3*KQ29/$LM29</f>
        <v>251.72508820630142</v>
      </c>
      <c r="KS29" s="528">
        <f>KQ29/$LO29</f>
        <v>37.758763230945213</v>
      </c>
      <c r="KT29" s="599">
        <f>44/12*HK29+$JZ29+$IW29</f>
        <v>3.9205046107968706</v>
      </c>
      <c r="KU29" s="527">
        <f>10^3*KT29/$LM29</f>
        <v>290.40774894791633</v>
      </c>
      <c r="KV29" s="528">
        <f>KT29/$LO29</f>
        <v>43.561162342187451</v>
      </c>
      <c r="KW29" s="599">
        <f>44/12*HO29+$JZ29+$JD29</f>
        <v>1.9353433829505891</v>
      </c>
      <c r="KX29" s="527">
        <f>10^3*KW29/$LM29</f>
        <v>143.35876910745105</v>
      </c>
      <c r="KY29" s="528">
        <f>KW29/$LO29</f>
        <v>21.503815366117657</v>
      </c>
      <c r="KZ29" s="599">
        <f>44/12*HS29+$JZ29+$IR29</f>
        <v>3.4351179362863355</v>
      </c>
      <c r="LA29" s="527">
        <f>10^3*KZ29/$LM29</f>
        <v>254.45318046565447</v>
      </c>
      <c r="LB29" s="528">
        <f>KZ29/$LO29</f>
        <v>38.167977069848178</v>
      </c>
      <c r="LC29" s="599">
        <f>44/12*HW29+$JZ29+$IW29</f>
        <v>3.9402036368688069</v>
      </c>
      <c r="LD29" s="527">
        <f>10^3*LC29/$LM29</f>
        <v>291.86693606435608</v>
      </c>
      <c r="LE29" s="528">
        <f>LC29/$LO29</f>
        <v>43.780040409653409</v>
      </c>
      <c r="LF29" s="599">
        <f>44/12*I29+$JZ29+$JD29</f>
        <v>12.013508335755487</v>
      </c>
      <c r="LG29" s="527">
        <f>10^3*LF29/$LM29</f>
        <v>889.88950635225831</v>
      </c>
      <c r="LH29" s="528">
        <f>LF29/$LO29</f>
        <v>133.48342595283876</v>
      </c>
      <c r="LI29" s="31">
        <v>0.21</v>
      </c>
      <c r="LJ29" s="32">
        <f t="shared" ref="LJ29:LJ31" si="204">$LI29*LK29</f>
        <v>3.633</v>
      </c>
      <c r="LK29" s="27">
        <v>17.3</v>
      </c>
      <c r="LL29" s="32">
        <f t="shared" ref="LL29:LL31" si="205">$LI29*LM29</f>
        <v>2.835</v>
      </c>
      <c r="LM29" s="33">
        <v>13.5</v>
      </c>
      <c r="LN29" s="36">
        <f t="shared" si="200"/>
        <v>1.89E-2</v>
      </c>
      <c r="LO29" s="35">
        <v>0.09</v>
      </c>
      <c r="LP29" s="36">
        <f t="shared" si="201"/>
        <v>2.0999999999999999E-3</v>
      </c>
      <c r="LQ29" s="35">
        <v>0.01</v>
      </c>
    </row>
    <row r="30" spans="1:329" s="4" customFormat="1" x14ac:dyDescent="0.25">
      <c r="A30" s="14" t="s">
        <v>70</v>
      </c>
      <c r="B30" s="67">
        <f t="shared" si="171"/>
        <v>8.41</v>
      </c>
      <c r="C30" s="33">
        <v>8.1999999999999993</v>
      </c>
      <c r="D30" s="33">
        <v>0.21</v>
      </c>
      <c r="E30" s="38">
        <f t="shared" si="172"/>
        <v>2.4970273483947682E-2</v>
      </c>
      <c r="F30" s="108">
        <f>U30/B30</f>
        <v>14.344708680142686</v>
      </c>
      <c r="G30" s="32">
        <f>V30/B30</f>
        <v>4.1599655172413783</v>
      </c>
      <c r="H30" s="33">
        <v>14.1</v>
      </c>
      <c r="I30" s="32">
        <f>$LI30*H30</f>
        <v>4.0889999999999995</v>
      </c>
      <c r="J30" s="33">
        <v>23.9</v>
      </c>
      <c r="K30" s="32">
        <f>$LI30*J30</f>
        <v>6.9309999999999992</v>
      </c>
      <c r="L30" s="32">
        <f>(F30/'Discounting metrics'!$D$4*(1-EXP(-'Discounting metrics'!$D$4*'Discounting metrics'!$E$4)))/'Discounting metrics'!$E$4</f>
        <v>3.520494043998275</v>
      </c>
      <c r="M30" s="32">
        <f>(G30/'Discounting metrics'!$D$4*(1-EXP(-'Discounting metrics'!$D$4*'Discounting metrics'!$E$4)))/'Discounting metrics'!$E$4</f>
        <v>1.0209432727594996</v>
      </c>
      <c r="N30" s="32">
        <f>(H30/'Discounting metrics'!$D$4*(1-EXP(-'Discounting metrics'!$D$4*'Discounting metrics'!$E$4)))/'Discounting metrics'!$E$4</f>
        <v>3.460437372917212</v>
      </c>
      <c r="O30" s="32">
        <f>(I30/'Discounting metrics'!$D$4*(1-EXP(-'Discounting metrics'!$D$4*'Discounting metrics'!$E$4)))/'Discounting metrics'!$E$4</f>
        <v>1.0035268381459912</v>
      </c>
      <c r="P30" s="32">
        <f>(J30/'Discounting metrics'!$D$4*(1-EXP(-'Discounting metrics'!$D$4*'Discounting metrics'!$E$4)))/'Discounting metrics'!$E$4</f>
        <v>5.8655640576398129</v>
      </c>
      <c r="Q30" s="32">
        <f>(K30/'Discounting metrics'!$D$4*(1-EXP(-'Discounting metrics'!$D$4*'Discounting metrics'!$E$4)))/'Discounting metrics'!$E$4</f>
        <v>1.7010135767155454</v>
      </c>
      <c r="R30" s="32">
        <f>10/G30</f>
        <v>2.4038660797917761</v>
      </c>
      <c r="S30" s="32">
        <f>10/I30</f>
        <v>2.4455857177794083</v>
      </c>
      <c r="T30" s="32">
        <f>10/K30</f>
        <v>1.4427932477276009</v>
      </c>
      <c r="U30" s="107">
        <f t="shared" si="173"/>
        <v>120.639</v>
      </c>
      <c r="V30" s="68">
        <f t="shared" si="173"/>
        <v>34.985309999999991</v>
      </c>
      <c r="W30" s="68"/>
      <c r="X30" s="67">
        <f>C30*H30</f>
        <v>115.61999999999999</v>
      </c>
      <c r="Y30" s="67">
        <f t="shared" si="174"/>
        <v>33.529799999999994</v>
      </c>
      <c r="Z30" s="67">
        <f t="shared" si="174"/>
        <v>5.0189999999999992</v>
      </c>
      <c r="AA30" s="67">
        <f>D30*K30</f>
        <v>1.4555099999999999</v>
      </c>
      <c r="AB30" s="38">
        <f t="shared" si="175"/>
        <v>4.1603461567154908E-2</v>
      </c>
      <c r="AC30" s="294">
        <f t="shared" si="176"/>
        <v>0.34450014962569048</v>
      </c>
      <c r="AD30" s="294">
        <f t="shared" si="176"/>
        <v>0.51534198235231699</v>
      </c>
      <c r="AE30" s="294">
        <f t="shared" si="176"/>
        <v>7.1051656195266722E-3</v>
      </c>
      <c r="AF30" s="294">
        <f t="shared" si="176"/>
        <v>7.9328766745831003E-2</v>
      </c>
      <c r="AG30" s="294">
        <f t="shared" si="176"/>
        <v>2.4484689634681558E-2</v>
      </c>
      <c r="AH30" s="294">
        <f t="shared" si="176"/>
        <v>7.4841457792024727E-3</v>
      </c>
      <c r="AI30" s="294">
        <f t="shared" si="176"/>
        <v>2.5004834560040014E-3</v>
      </c>
      <c r="AJ30" s="294">
        <f t="shared" si="176"/>
        <v>1.894857325600283E-2</v>
      </c>
      <c r="AK30" s="294">
        <f t="shared" si="176"/>
        <v>4.5095709511061517E-5</v>
      </c>
      <c r="AL30" s="433">
        <v>0.34641534542926733</v>
      </c>
      <c r="AM30" s="433">
        <v>0.52050616326696109</v>
      </c>
      <c r="AN30" s="433">
        <v>5.6446961878352121E-3</v>
      </c>
      <c r="AO30" s="433">
        <v>8.1180803754938469E-2</v>
      </c>
      <c r="AP30" s="433">
        <v>2.4464252034819878E-2</v>
      </c>
      <c r="AQ30" s="433">
        <v>7.179129993987207E-3</v>
      </c>
      <c r="AR30" s="433">
        <v>1.7692662620359693E-3</v>
      </c>
      <c r="AS30" s="433">
        <v>1.2526472591575417E-2</v>
      </c>
      <c r="AT30" s="433">
        <v>4.6239847290703299E-5</v>
      </c>
      <c r="AU30" s="433">
        <v>0.26971631348602565</v>
      </c>
      <c r="AV30" s="433">
        <v>0.3136930133043131</v>
      </c>
      <c r="AW30" s="433">
        <v>6.4133019618907522E-2</v>
      </c>
      <c r="AX30" s="433">
        <v>7.011131152111192E-3</v>
      </c>
      <c r="AY30" s="433">
        <v>2.528272924832815E-2</v>
      </c>
      <c r="AZ30" s="433">
        <v>1.9394285963798569E-2</v>
      </c>
      <c r="BA30" s="433">
        <v>3.1052773887136707E-2</v>
      </c>
      <c r="BB30" s="433">
        <v>0.26971631348602565</v>
      </c>
      <c r="BC30" s="433">
        <v>4.1985335362064749E-7</v>
      </c>
      <c r="BD30" s="554">
        <f>BG30*$B30/10^3</f>
        <v>1.9566793146347472</v>
      </c>
      <c r="BE30" s="554">
        <f t="shared" si="177"/>
        <v>1.031950604181193</v>
      </c>
      <c r="BF30" s="554">
        <f t="shared" si="177"/>
        <v>0.92472871045355443</v>
      </c>
      <c r="BG30" s="67">
        <f t="shared" si="178"/>
        <v>232.66103622291882</v>
      </c>
      <c r="BH30" s="67">
        <f>(BK30*$C30+CF30*$D30)/$B30</f>
        <v>122.70518480156873</v>
      </c>
      <c r="BI30" s="67">
        <f>(BU30*$C30+CP30*$D30)/$B30</f>
        <v>109.9558514213501</v>
      </c>
      <c r="BJ30" s="67">
        <f>BK30+BU30</f>
        <v>232.48697911383113</v>
      </c>
      <c r="BK30" s="68">
        <f t="shared" si="179"/>
        <v>122.68353333659732</v>
      </c>
      <c r="BL30" s="145">
        <v>143.18355074802602</v>
      </c>
      <c r="BM30" s="145">
        <v>132.2105410565392</v>
      </c>
      <c r="BN30" s="145">
        <v>36.060974196047169</v>
      </c>
      <c r="BO30" s="145">
        <v>39.492516992119505</v>
      </c>
      <c r="BP30" s="145">
        <v>6.5181410035133975</v>
      </c>
      <c r="BQ30" s="145">
        <v>1.8873045087235809</v>
      </c>
      <c r="BR30" s="145">
        <v>4.4300532173325774E-2</v>
      </c>
      <c r="BS30" s="145">
        <v>54.559117703518346</v>
      </c>
      <c r="BT30" s="145">
        <v>0.92646623621862212</v>
      </c>
      <c r="BU30" s="68">
        <f t="shared" si="180"/>
        <v>109.8034457772338</v>
      </c>
      <c r="BV30" s="145">
        <v>132.88397394340416</v>
      </c>
      <c r="BW30" s="145">
        <v>94.687043490788597</v>
      </c>
      <c r="BX30" s="145">
        <v>123.69992055852769</v>
      </c>
      <c r="BY30" s="145">
        <v>138.1120110302607</v>
      </c>
      <c r="BZ30" s="145">
        <v>71.828633045011088</v>
      </c>
      <c r="CA30" s="145">
        <v>40.173226138968303</v>
      </c>
      <c r="CB30" s="145">
        <v>0.52037698014828604</v>
      </c>
      <c r="CC30" s="145">
        <v>42.170861598989653</v>
      </c>
      <c r="CD30" s="145">
        <v>2.1705780391407719</v>
      </c>
      <c r="CE30" s="68">
        <f t="shared" si="181"/>
        <v>239.45755191110675</v>
      </c>
      <c r="CF30" s="68">
        <f t="shared" si="182"/>
        <v>123.55062295759578</v>
      </c>
      <c r="CG30" s="145">
        <v>223.68917672436018</v>
      </c>
      <c r="CH30" s="145">
        <v>132.72078495457225</v>
      </c>
      <c r="CI30" s="145">
        <v>76.661807427465916</v>
      </c>
      <c r="CJ30" s="145">
        <v>38.881294164679403</v>
      </c>
      <c r="CK30" s="145">
        <v>7.9051528716234261</v>
      </c>
      <c r="CL30" s="145">
        <v>1.775233758711162</v>
      </c>
      <c r="CM30" s="145">
        <v>8.1745246324310596E-3</v>
      </c>
      <c r="CN30" s="145">
        <v>59.917464947955878</v>
      </c>
      <c r="CO30" s="145">
        <v>0</v>
      </c>
      <c r="CP30" s="68">
        <f t="shared" si="183"/>
        <v>115.90692895351097</v>
      </c>
      <c r="CQ30" s="145">
        <v>174.25391915105172</v>
      </c>
      <c r="CR30" s="145">
        <v>126.16607691730071</v>
      </c>
      <c r="CS30" s="145">
        <v>201.1606615473614</v>
      </c>
      <c r="CT30" s="145">
        <v>151.28066179049327</v>
      </c>
      <c r="CU30" s="145">
        <v>77.705152314741227</v>
      </c>
      <c r="CV30" s="145">
        <v>30.758422336620828</v>
      </c>
      <c r="CW30" s="145">
        <v>0.1455441224785714</v>
      </c>
      <c r="CX30" s="145">
        <v>47.468551421665822</v>
      </c>
      <c r="CY30" s="145">
        <v>0</v>
      </c>
      <c r="CZ30" s="554">
        <f>DC30*$B30/10^3</f>
        <v>0.70447944221516579</v>
      </c>
      <c r="DA30" s="554">
        <f t="shared" si="184"/>
        <v>1.0932909374999997E-2</v>
      </c>
      <c r="DB30" s="554">
        <f t="shared" si="184"/>
        <v>0.69354653284016576</v>
      </c>
      <c r="DC30" s="32">
        <f t="shared" si="185"/>
        <v>83.766877790150517</v>
      </c>
      <c r="DD30" s="32">
        <f t="shared" si="186"/>
        <v>1.2999892241379307</v>
      </c>
      <c r="DE30" s="67">
        <f t="shared" si="186"/>
        <v>82.466888566012585</v>
      </c>
      <c r="DF30" s="270"/>
      <c r="DG30" s="67">
        <f t="shared" si="187"/>
        <v>83.630396832925342</v>
      </c>
      <c r="DH30" s="32">
        <f>I30*0.5*2.5*0.25</f>
        <v>1.2778124999999998</v>
      </c>
      <c r="DI30" s="67">
        <f>(1-DK30)*BU30</f>
        <v>82.352584332925346</v>
      </c>
      <c r="DJ30" s="67"/>
      <c r="DK30" s="34">
        <f t="shared" si="188"/>
        <v>0.25</v>
      </c>
      <c r="DL30" s="159"/>
      <c r="DM30" s="159"/>
      <c r="DN30" s="68">
        <f t="shared" si="189"/>
        <v>89.096134215133233</v>
      </c>
      <c r="DO30" s="32">
        <f>K30*0.5*2.5*0.25</f>
        <v>2.1659374999999996</v>
      </c>
      <c r="DP30" s="67">
        <f>(1-DR30)*CP30</f>
        <v>86.930196715133235</v>
      </c>
      <c r="DQ30" s="67"/>
      <c r="DR30" s="34">
        <f t="shared" si="190"/>
        <v>0.25</v>
      </c>
      <c r="DS30" s="294"/>
      <c r="DT30" s="294"/>
      <c r="DU30" s="294"/>
      <c r="DV30" s="67">
        <f t="shared" si="164"/>
        <v>148.89415843276831</v>
      </c>
      <c r="DW30" s="67">
        <f t="shared" si="164"/>
        <v>121.4051955774308</v>
      </c>
      <c r="DX30" s="67">
        <f t="shared" si="164"/>
        <v>27.488962855337519</v>
      </c>
      <c r="DY30" s="67">
        <f t="shared" si="165"/>
        <v>148.8565822809058</v>
      </c>
      <c r="DZ30" s="67">
        <f t="shared" si="165"/>
        <v>121.40572083659733</v>
      </c>
      <c r="EA30" s="67">
        <f>BU30-DI30</f>
        <v>27.450861444308458</v>
      </c>
      <c r="EB30" s="67">
        <f t="shared" si="166"/>
        <v>150.3614176959735</v>
      </c>
      <c r="EC30" s="67">
        <f t="shared" si="166"/>
        <v>121.38468545759578</v>
      </c>
      <c r="ED30" s="67">
        <f>CP30-DP30</f>
        <v>28.976732238377735</v>
      </c>
      <c r="EE30" s="68">
        <f>EF30+EG30</f>
        <v>111.10399659735913</v>
      </c>
      <c r="EF30" s="67">
        <f>(EJ30*$C30+FF30*$D30)/$B30</f>
        <v>89.783318543070209</v>
      </c>
      <c r="EG30" s="67">
        <f t="shared" si="191"/>
        <v>21.320678054288923</v>
      </c>
      <c r="EH30" s="261">
        <f t="shared" si="192"/>
        <v>110.88756725198451</v>
      </c>
      <c r="EI30" s="154">
        <f>EH30/($BJ30-$DG30)</f>
        <v>0.74492888089241271</v>
      </c>
      <c r="EJ30" s="108">
        <f>EK30+EL30-DH30</f>
        <v>89.536780906853267</v>
      </c>
      <c r="EK30" s="126">
        <f>'Allometrics &amp; Decay rates'!$H$5*$AL30*BL30+'Allometrics &amp; Decay rates'!$H$6*$AM30*BM30+'Allometrics &amp; Decay rates'!$H$7*$AN30*BN30+'Allometrics &amp; Decay rates'!$H$8*$AO30*BO30+'Allometrics &amp; Decay rates'!$H$9*$AP30*BP30+'Allometrics &amp; Decay rates'!$H$10*$AQ30*BQ30+'Allometrics &amp; Decay rates'!$H$11*$AR30*BR30+'Allometrics &amp; Decay rates'!$H$12*$AS30*BS30+'Allometrics &amp; Decay rates'!$H$13*$AT30*BT30</f>
        <v>52.356534057153688</v>
      </c>
      <c r="EL30" s="97">
        <f t="shared" si="193"/>
        <v>38.458059349699575</v>
      </c>
      <c r="EM30" s="550">
        <f>AL30*BL30*('Allometrics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19.444951470603399</v>
      </c>
      <c r="EN30" s="550">
        <f>AM30*BM30*('Allometrics &amp; Decay rates'!$I$6*((EXP('Allometrics &amp; Decay rates'!$K$6)-1)/('Discounting metrics'!$D$4+'Allometrics &amp; Decay rates'!$K$6)*(1-EXP(-('Discounting metrics'!$D$4+'Allometrics &amp; Decay rates'!$K$6)*'Discounting metrics'!$E$4))-(1-EXP(-'Allometrics &amp; Decay rates'!$K$6))/1.55)+'Allometrics &amp; Decay rates'!$E$6*((EXP('Allometrics &amp; Decay rates'!$L$6)-1)/('Discounting metrics'!$D$4+'Allometrics &amp; Decay rates'!$L$6)*(1-EXP(-('Discounting metrics'!$D$4+'Allometrics &amp; Decay rates'!$L$6)*'Discounting metrics'!$E$4))-(1-EXP(-'Allometrics &amp; Decay rates'!$L$6))/1.55))</f>
        <v>16.783481114023104</v>
      </c>
      <c r="EO30" s="550">
        <f>AN30*BN30*('Allometrics &amp; Decay rates'!$I$7*((EXP('Allometrics &amp; Decay rates'!$K$7)-1)/('Discounting metrics'!$D$4+'Allometrics &amp; Decay rates'!$K$7)*(1-EXP(-('Discounting metrics'!$D$4+'Allometrics &amp; Decay rates'!$K$7)*'Discounting metrics'!$E$4))-(1-EXP(-'Allometrics &amp; Decay rates'!$K$7))/1.55)+'Allometrics &amp; Decay rates'!$E$7*((EXP('Allometrics &amp; Decay rates'!$L$7)-1)/('Discounting metrics'!$D$4+'Allometrics &amp; Decay rates'!$L$7)*(1-EXP(-('Discounting metrics'!$D$4+'Allometrics &amp; Decay rates'!$L$7)*'Discounting metrics'!$E$4))-(1-EXP(-'Allometrics &amp; Decay rates'!$L$7))/1.55))</f>
        <v>4.3338819655859694E-2</v>
      </c>
      <c r="EP30" s="550">
        <f>AO30*BO30*('Allometrics &amp; Decay rates'!$I$8*((EXP('Allometrics &amp; Decay rates'!$K$8)-1)/('Discounting metrics'!$D$4+'Allometrics &amp; Decay rates'!$K$8)*(1-EXP(-('Discounting metrics'!$D$4+'Allometrics &amp; Decay rates'!$K$8)*'Discounting metrics'!$E$4))-(1-EXP(-'Allometrics &amp; Decay rates'!$K$8))/1.55)+'Allometrics &amp; Decay rates'!$E$8*((EXP('Allometrics &amp; Decay rates'!$L$8)-1)/('Discounting metrics'!$D$4+'Allometrics &amp; Decay rates'!$L$8)*(1-EXP(-('Discounting metrics'!$D$4+'Allometrics &amp; Decay rates'!$L$8)*'Discounting metrics'!$E$4))-(1-EXP(-'Allometrics &amp; Decay rates'!$L$8))/1.55))</f>
        <v>1.8151489100224782</v>
      </c>
      <c r="EQ30" s="550">
        <f>AP30*BP30*('Allometrics &amp; Decay rates'!$I$9*((EXP('Allometrics &amp; Decay rates'!$K$9)-1)/('Discounting metrics'!$D$4+'Allometrics &amp; Decay rates'!$K$9)*(1-EXP(-('Discounting metrics'!$D$4+'Allometrics &amp; Decay rates'!$K$9)*'Discounting metrics'!$E$4))-(1-EXP(-'Allometrics &amp; Decay rates'!$K$9))/1.55)+'Allometrics &amp; Decay rates'!$E$9*((EXP('Allometrics &amp; Decay rates'!$L$9)-1)/('Discounting metrics'!$D$4+'Allometrics &amp; Decay rates'!$L$9)*(1-EXP(-('Discounting metrics'!$D$4+'Allometrics &amp; Decay rates'!$L$9)*'Discounting metrics'!$E$4))-(1-EXP(-'Allometrics &amp; Decay rates'!$L$9))/1.55))</f>
        <v>8.3577829971597434E-2</v>
      </c>
      <c r="ER30" s="550">
        <f>AQ30*BQ30*('Allometrics &amp; Decay rates'!$I$10*((EXP('Allometrics &amp; Decay rates'!$K$10)-1)/('Discounting metrics'!$D$4+'Allometrics &amp; Decay rates'!$K$10)*(1-EXP(-('Discounting metrics'!$D$4+'Allometrics &amp; Decay rates'!$K$10)*'Discounting metrics'!$E$4))-(1-EXP(-'Allometrics &amp; Decay rates'!$K$10))/1.55)+'Allometrics &amp; Decay rates'!$E$10*((EXP('Allometrics &amp; Decay rates'!$L$10)-1)/('Discounting metrics'!$D$4+'Allometrics &amp; Decay rates'!$L$10)*(1-EXP(-('Discounting metrics'!$D$4+'Allometrics &amp; Decay rates'!$L$10)*'Discounting metrics'!$E$4))-(1-EXP(-'Allometrics &amp; Decay rates'!$L$10))/1.55))</f>
        <v>8.6197496547912329E-3</v>
      </c>
      <c r="ES30" s="550">
        <f>AR30*BR30*('Allometrics &amp; Decay rates'!$I$11*((EXP('Allometrics &amp; Decay rates'!$K$11)-1)/('Discounting metrics'!$D$4+'Allometrics &amp; Decay rates'!$K$11)*(1-EXP(-('Discounting metrics'!$D$4+'Allometrics &amp; Decay rates'!$K$11)*'Discounting metrics'!$E$4))-(1-EXP(-'Allometrics &amp; Decay rates'!$K$11))/1.55)+'Allometrics &amp; Decay rates'!$E$11*((EXP('Allometrics &amp; Decay rates'!$L$11)-1)/('Discounting metrics'!$D$4+'Allometrics &amp; Decay rates'!$L$11)*(1-EXP(-('Discounting metrics'!$D$4+'Allometrics &amp; Decay rates'!$L$11)*'Discounting metrics'!$E$4))-(1-EXP(-'Allometrics &amp; Decay rates'!$L$11))/1.55))</f>
        <v>5.5633036369159292E-5</v>
      </c>
      <c r="ET30" s="550">
        <f>AS30*BS30*('Allometrics &amp; Decay rates'!$I$12*((EXP('Allometrics &amp; Decay rates'!$K$12)-1)/('Discounting metrics'!$D$4+'Allometrics &amp; Decay rates'!$K$12)*(1-EXP(-('Discounting metrics'!$D$4+'Allometrics &amp; Decay rates'!$K$12)*'Discounting metrics'!$E$4))-(1-EXP(-'Allometrics &amp; Decay rates'!$K$12))/1.55)+'Allometrics &amp; Decay rates'!$E$12*((EXP('Allometrics &amp; Decay rates'!$L$12)-1)/('Discounting metrics'!$D$4+'Allometrics &amp; Decay rates'!$L$12)*(1-EXP(-('Discounting metrics'!$D$4+'Allometrics &amp; Decay rates'!$L$12)*'Discounting metrics'!$E$4))-(1-EXP(-'Allometrics &amp; Decay rates'!$L$12))/1.55))</f>
        <v>0.2788713046586806</v>
      </c>
      <c r="EU30" s="550">
        <f>AT30*BT30*('Allometrics &amp; Decay rates'!$I$13*((EXP('Allometrics &amp; Decay rates'!$K$13)-1)/('Discounting metrics'!$D$4+'Allometrics &amp; Decay rates'!$K$13)*(1-EXP(-('Discounting metrics'!$D$4+'Allometrics &amp; Decay rates'!$K$13)*'Discounting metrics'!$E$4))-(1-EXP(-'Allometrics &amp; Decay rates'!$K$13))/1.55)+'Allometrics &amp; Decay rates'!$E$13*((EXP('Allometrics &amp; Decay rates'!$L$13)-1)/('Discounting metrics'!$D$4+'Allometrics &amp; Decay rates'!$L$13)*(1-EXP(-('Discounting metrics'!$D$4+'Allometrics &amp; Decay rates'!$L$13)*'Discounting metrics'!$E$4))-(1-EXP(-'Allometrics &amp; Decay rates'!$L$13))/1.55))</f>
        <v>1.4518073299685729E-5</v>
      </c>
      <c r="EV30" s="108">
        <f t="shared" si="194"/>
        <v>21.350786345131233</v>
      </c>
      <c r="EW30" s="550">
        <f>AL30*BV30*$DK30*((EXP('Allometrics &amp; Decay rates'!$M$5)-1)/('Discounting metrics'!$D$4+'Allometrics &amp; Decay rates'!$M$5)*(1-EXP(-('Discounting metrics'!$D$4+'Allometrics &amp; Decay rates'!$M$5)*'Discounting metrics'!$E$4))-(1-EXP(-'Allometrics &amp; Decay rates'!$M$5))/1.55)</f>
        <v>8.9941974664572442</v>
      </c>
      <c r="EX30" s="550">
        <f>AM30*BW30*$DK30*((EXP('Allometrics &amp; Decay rates'!$M$5)-1)/('Discounting metrics'!$D$4+'Allometrics &amp; Decay rates'!$M$5)*(1-EXP(-('Discounting metrics'!$D$4+'Allometrics &amp; Decay rates'!$M$5)*'Discounting metrics'!$E$4))-(1-EXP(-'Allometrics &amp; Decay rates'!$M$5))/1.55)</f>
        <v>9.629619377924632</v>
      </c>
      <c r="EY30" s="550">
        <f>AN30*BX30*$DK30*((EXP('Allometrics &amp; Decay rates'!$M$5)-1)/('Discounting metrics'!$D$4+'Allometrics &amp; Decay rates'!$M$5)*(1-EXP(-('Discounting metrics'!$D$4+'Allometrics &amp; Decay rates'!$M$5)*'Discounting metrics'!$E$4))-(1-EXP(-'Allometrics &amp; Decay rates'!$M$5))/1.55)</f>
        <v>0.13642773895855775</v>
      </c>
      <c r="EZ30" s="550">
        <f>AO30*BY30*$DK30*((EXP('Allometrics &amp; Decay rates'!$M$5)-1)/('Discounting metrics'!$D$4+'Allometrics &amp; Decay rates'!$M$5)*(1-EXP(-('Discounting metrics'!$D$4+'Allometrics &amp; Decay rates'!$M$5)*'Discounting metrics'!$E$4))-(1-EXP(-'Allometrics &amp; Decay rates'!$M$5))/1.55)</f>
        <v>2.1906726421904419</v>
      </c>
      <c r="FA30" s="550">
        <f>AP30*BZ30*$DK30*((EXP('Allometrics &amp; Decay rates'!$M$5)-1)/('Discounting metrics'!$D$4+'Allometrics &amp; Decay rates'!$M$5)*(1-EXP(-('Discounting metrics'!$D$4+'Allometrics &amp; Decay rates'!$M$5)*'Discounting metrics'!$E$4))-(1-EXP(-'Allometrics &amp; Decay rates'!$M$5))/1.55)</f>
        <v>0.34333828431210633</v>
      </c>
      <c r="FB30" s="550">
        <f>AQ30*CA30*$DK30*((EXP('Allometrics &amp; Decay rates'!$M$5)-1)/('Discounting metrics'!$D$4+'Allometrics &amp; Decay rates'!$M$5)*(1-EXP(-('Discounting metrics'!$D$4+'Allometrics &amp; Decay rates'!$M$5)*'Discounting metrics'!$E$4))-(1-EXP(-'Allometrics &amp; Decay rates'!$M$5))/1.55)</f>
        <v>5.6350946555912711E-2</v>
      </c>
      <c r="FC30" s="550">
        <f>AR30*CB30*$DK30*((EXP('Allometrics &amp; Decay rates'!$M$5)-1)/('Discounting metrics'!$D$4+'Allometrics &amp; Decay rates'!$M$5)*(1-EXP(-('Discounting metrics'!$D$4+'Allometrics &amp; Decay rates'!$M$5)*'Discounting metrics'!$E$4))-(1-EXP(-'Allometrics &amp; Decay rates'!$M$5))/1.55)</f>
        <v>1.7988873233186579E-4</v>
      </c>
      <c r="FD30" s="261">
        <f t="shared" si="195"/>
        <v>119.55504722627393</v>
      </c>
      <c r="FE30" s="154">
        <f>FD30/($CE30-$DN30)</f>
        <v>0.79511785043162353</v>
      </c>
      <c r="FF30" s="108">
        <f t="shared" si="196"/>
        <v>99.410026242970403</v>
      </c>
      <c r="FG30" s="126">
        <f>'Allometrics &amp; Decay rates'!$H$5*$AU30*CG30+'Allometrics &amp; Decay rates'!$H$6*$AV30*CH30+'Allometrics &amp; Decay rates'!$H$7*$AW30*CI30+'Allometrics &amp; Decay rates'!$H$8*$AX30*CJ30+'Allometrics &amp; Decay rates'!$H$9*$AY30*CK30+'Allometrics &amp; Decay rates'!$H$10*$AZ30*CL30+'Allometrics &amp; Decay rates'!$H$11*$BA30*CM30+'Allometrics &amp; Decay rates'!$H$12*$BB30*CN30+'Allometrics &amp; Decay rates'!$H$13*$BC30*CO30</f>
        <v>53.140712933391889</v>
      </c>
      <c r="FH30" s="97">
        <f t="shared" si="197"/>
        <v>48.43525080957852</v>
      </c>
      <c r="FI30" s="550">
        <f>AU30*CG30*('Allometrics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23.652050610593307</v>
      </c>
      <c r="FJ30" s="550">
        <f>AV30*CH30*('Allometrics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16.32151246607609</v>
      </c>
      <c r="FK30" s="550">
        <f>AW30*CI30*('Allometrics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1.9274244163953844</v>
      </c>
      <c r="FL30" s="550">
        <f>AX30*CJ30*('Allometrics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0.10686744261701608</v>
      </c>
      <c r="FM30" s="550">
        <f>AY30*CK30*('Allometrics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7.835213593314834E-2</v>
      </c>
      <c r="FN30" s="550">
        <f>AZ30*CL30*('Allometrics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1.3497270645616698E-2</v>
      </c>
      <c r="FO30" s="550">
        <f>BA30*CM30*('Allometrics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9.9512931769108124E-5</v>
      </c>
      <c r="FP30" s="550">
        <f>BB30*CN30*('Allometrics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6.3354469543861942</v>
      </c>
      <c r="FQ30" s="550">
        <f>BC30*CO30*('Allometrics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R30" s="108">
        <f t="shared" si="198"/>
        <v>20.145020983303521</v>
      </c>
      <c r="FS30" s="550">
        <f>AU30*CQ30*$DK30*((EXP('Allometrics &amp; Decay rates'!$M$5)-1)/('Discounting metrics'!$D$4+'Allometrics &amp; Decay rates'!$M$5)*(1-EXP(-('Discounting metrics'!$D$4+'Allometrics &amp; Decay rates'!$M$5)*'Discounting metrics'!$E$4))-(1-EXP(-'Allometrics &amp; Decay rates'!$M$5))/1.55)</f>
        <v>9.1829550497193058</v>
      </c>
      <c r="FT30" s="550">
        <f>AV30*CR30*$DK30*((EXP('Allometrics &amp; Decay rates'!$M$5)-1)/('Discounting metrics'!$D$4+'Allometrics &amp; Decay rates'!$M$5)*(1-EXP(-('Discounting metrics'!$D$4+'Allometrics &amp; Decay rates'!$M$5)*'Discounting metrics'!$E$4))-(1-EXP(-'Allometrics &amp; Decay rates'!$M$5))/1.55)</f>
        <v>7.7328597567642214</v>
      </c>
      <c r="FU30" s="550">
        <f>AW30*CS30*$DK30*((EXP('Allometrics &amp; Decay rates'!$M$5)-1)/('Discounting metrics'!$D$4+'Allometrics &amp; Decay rates'!$M$5)*(1-EXP(-('Discounting metrics'!$D$4+'Allometrics &amp; Decay rates'!$M$5)*'Discounting metrics'!$E$4))-(1-EXP(-'Allometrics &amp; Decay rates'!$M$5))/1.55)</f>
        <v>2.5206783575881619</v>
      </c>
      <c r="FV30" s="550">
        <f>AX30*CT30*$DK30*((EXP('Allometrics &amp; Decay rates'!$M$5)-1)/('Discounting metrics'!$D$4+'Allometrics &amp; Decay rates'!$M$5)*(1-EXP(-('Discounting metrics'!$D$4+'Allometrics &amp; Decay rates'!$M$5)*'Discounting metrics'!$E$4))-(1-EXP(-'Allometrics &amp; Decay rates'!$M$5))/1.55)</f>
        <v>0.20723552025625883</v>
      </c>
      <c r="FW30" s="550">
        <f>AY30*CU30*$DK30*((EXP('Allometrics &amp; Decay rates'!$M$5)-1)/('Discounting metrics'!$D$4+'Allometrics &amp; Decay rates'!$M$5)*(1-EXP(-('Discounting metrics'!$D$4+'Allometrics &amp; Decay rates'!$M$5)*'Discounting metrics'!$E$4))-(1-EXP(-'Allometrics &amp; Decay rates'!$M$5))/1.55)</f>
        <v>0.38385434304406668</v>
      </c>
      <c r="FX30" s="550">
        <f>AZ30*CV30*$DK30*((EXP('Allometrics &amp; Decay rates'!$M$5)-1)/('Discounting metrics'!$D$4+'Allometrics &amp; Decay rates'!$M$5)*(1-EXP(-('Discounting metrics'!$D$4+'Allometrics &amp; Decay rates'!$M$5)*'Discounting metrics'!$E$4))-(1-EXP(-'Allometrics &amp; Decay rates'!$M$5))/1.55)</f>
        <v>0.11655490091559838</v>
      </c>
      <c r="FY30" s="550">
        <f>BA30*CW30*$DK30*((EXP('Allometrics &amp; Decay rates'!$M$5)-1)/('Discounting metrics'!$D$4+'Allometrics &amp; Decay rates'!$M$5)*(1-EXP(-('Discounting metrics'!$D$4+'Allometrics &amp; Decay rates'!$M$5)*'Discounting metrics'!$E$4))-(1-EXP(-'Allometrics &amp; Decay rates'!$M$5))/1.55)</f>
        <v>8.8305501590385039E-4</v>
      </c>
      <c r="FZ30" s="68"/>
      <c r="GA30" s="293"/>
      <c r="GB30" s="293"/>
      <c r="GP30" s="32">
        <f t="shared" si="199"/>
        <v>7.2822473246135546</v>
      </c>
      <c r="GQ30" s="33">
        <v>7.28</v>
      </c>
      <c r="GR30" s="99">
        <v>7.37</v>
      </c>
      <c r="GS30" s="99"/>
      <c r="GT30" s="99"/>
      <c r="GU30" s="99"/>
      <c r="GV30" s="99"/>
      <c r="GW30" s="99"/>
      <c r="GX30" s="99"/>
      <c r="GY30" s="99"/>
      <c r="GZ30" s="99"/>
      <c r="HA30" s="99"/>
      <c r="HB30" s="99"/>
      <c r="HF30" s="97">
        <f>HG30*$LI30</f>
        <v>0.31559205954848529</v>
      </c>
      <c r="HG30" s="526">
        <f>EE30/'Discounting metrics'!E$4/M30</f>
        <v>1.0882484812016735</v>
      </c>
      <c r="HH30" s="527">
        <f>10^3*HG30/$LM30</f>
        <v>80.610998607531371</v>
      </c>
      <c r="HI30" s="528">
        <f>HG30/$LO30</f>
        <v>21.764969624033469</v>
      </c>
      <c r="HJ30" s="97">
        <f>HK30*$LI30</f>
        <v>0.32044379164274334</v>
      </c>
      <c r="HK30" s="526">
        <f>EH30/'Discounting metrics'!E$4/O30</f>
        <v>1.1049785918715289</v>
      </c>
      <c r="HL30" s="527">
        <f>10^3*HK30/$LM30</f>
        <v>81.850266064557687</v>
      </c>
      <c r="HM30" s="528">
        <f>HK30/$LO30</f>
        <v>22.099571837430577</v>
      </c>
      <c r="HN30" s="97">
        <f>HO30*$LI30</f>
        <v>0.20382532021034738</v>
      </c>
      <c r="HO30" s="526">
        <f>FD30/'Discounting metrics'!E$4/Q30</f>
        <v>0.70284593175981858</v>
      </c>
      <c r="HP30" s="527">
        <f>10^3*HO30/$LM30</f>
        <v>52.062661611838408</v>
      </c>
      <c r="HQ30" s="528">
        <f>HO30/$LO30</f>
        <v>14.056918635196372</v>
      </c>
      <c r="HR30" s="97">
        <f>HS30*$LI30</f>
        <v>0.25323982122988886</v>
      </c>
      <c r="HS30" s="263">
        <f>$IM$11*IE30</f>
        <v>0.87324076286168573</v>
      </c>
      <c r="HT30" s="527">
        <f>10^3*HS30/$LM30</f>
        <v>64.684500952717471</v>
      </c>
      <c r="HU30" s="528">
        <f>HS30/$LO30</f>
        <v>17.464815257233713</v>
      </c>
      <c r="HV30" s="97">
        <f>HW30*$LI30</f>
        <v>0.25755534851030815</v>
      </c>
      <c r="HW30" s="263">
        <f>$IM$11*IH30</f>
        <v>0.88812189141485565</v>
      </c>
      <c r="HX30" s="527">
        <f>10^3*HW30/$LM30</f>
        <v>65.786806771470793</v>
      </c>
      <c r="HY30" s="528">
        <f>HW30/$LO30</f>
        <v>17.762437828297113</v>
      </c>
      <c r="HZ30" s="97">
        <f>I30*$LI30</f>
        <v>1.1858099999999998</v>
      </c>
      <c r="IA30" s="263">
        <f>$IM$11*IK30</f>
        <v>0.53043221866613144</v>
      </c>
      <c r="IB30" s="527">
        <f>10^3*I30/$LM30</f>
        <v>302.88888888888886</v>
      </c>
      <c r="IC30" s="528">
        <f>I30/$LO30</f>
        <v>81.779999999999987</v>
      </c>
      <c r="ID30" s="97">
        <f>IE30*$LI30</f>
        <v>0.50766087252049508</v>
      </c>
      <c r="IE30" s="263">
        <f>GP30/G30</f>
        <v>1.7505547328292934</v>
      </c>
      <c r="IF30" s="68">
        <f>10^3*IE30/$LM30</f>
        <v>129.67072095031804</v>
      </c>
      <c r="IG30" s="97">
        <f>IH30*$LI30</f>
        <v>0.51631205673758873</v>
      </c>
      <c r="IH30" s="263">
        <f>GQ30/I30</f>
        <v>1.7803864025434095</v>
      </c>
      <c r="II30" s="68">
        <f>10^3*IH30/$LM30</f>
        <v>131.88047426247479</v>
      </c>
      <c r="IJ30" s="97">
        <f>IK30*$LI30</f>
        <v>0.30836820083682009</v>
      </c>
      <c r="IK30" s="263">
        <f>GR30/K30</f>
        <v>1.0633386235752418</v>
      </c>
      <c r="IL30" s="68">
        <f>10^3*IK30/$LM30</f>
        <v>78.765823968536438</v>
      </c>
      <c r="IM30" s="60"/>
      <c r="IN30" s="60"/>
      <c r="IO30" s="60"/>
      <c r="IP30" s="554">
        <f>IR30*$V30</f>
        <v>7.6768016219999993</v>
      </c>
      <c r="IQ30" s="262">
        <f>IR30*$LI30</f>
        <v>6.3634493173849255E-2</v>
      </c>
      <c r="IR30" s="166">
        <f>(IW30*Y30+JD30*AA30)/V30</f>
        <v>0.21942928680637677</v>
      </c>
      <c r="IS30" s="68">
        <f>10^3*IR30/$LM30</f>
        <v>16.2540212449168</v>
      </c>
      <c r="IT30" s="97">
        <f>IR30/$LO30</f>
        <v>4.3885857361275349</v>
      </c>
      <c r="IU30" s="429">
        <f>(IX30*C30+JE30*D30)/B30</f>
        <v>1.673115338882283E-2</v>
      </c>
      <c r="IV30" s="262">
        <f>IW30*$LI30</f>
        <v>5.2236382978723406E-2</v>
      </c>
      <c r="IW30" s="436">
        <f>IX30*JB30/I30</f>
        <v>0.18012545854732209</v>
      </c>
      <c r="IX30" s="101">
        <v>1.35E-2</v>
      </c>
      <c r="IY30" s="433">
        <v>1</v>
      </c>
      <c r="IZ30" s="433">
        <v>0</v>
      </c>
      <c r="JA30" s="434">
        <f>1-IY30-IZ30</f>
        <v>0</v>
      </c>
      <c r="JB30" s="430">
        <f>IY30*$JJ30+IZ30*$JK30+JA30*$JL30+'Discounting metrics'!$B$6*(IY30*$JM30+IZ30*$JN30+JA30*$JO30)/10^3+'Discounting metrics'!$B$5*(IY30*$JP30+IZ30*$JQ30+JA30*$JR30)/10^3</f>
        <v>54.558</v>
      </c>
      <c r="JC30" s="262">
        <f>JD30*$LI30</f>
        <v>0.32620661924686195</v>
      </c>
      <c r="JD30" s="436">
        <f>JE30*JI30/K30</f>
        <v>1.1248504111960758</v>
      </c>
      <c r="JE30" s="101">
        <v>0.1429</v>
      </c>
      <c r="JF30" s="433">
        <v>1</v>
      </c>
      <c r="JG30" s="433">
        <v>0</v>
      </c>
      <c r="JH30" s="434">
        <f t="shared" si="203"/>
        <v>0</v>
      </c>
      <c r="JI30" s="430">
        <f>JF30*$JJ30+JG30*$JK30+JH30*$JL30+'Discounting metrics'!$B$6*(JF30*$JM30+JG30*$JN30+JH30*$JO30)/10^3+'Discounting metrics'!$B$5*(JF30*$JP30+JG30*$JQ30+JH30*$JR30)/10^3</f>
        <v>54.558</v>
      </c>
      <c r="JJ30" s="431">
        <v>51.3</v>
      </c>
      <c r="JK30" s="431">
        <v>29</v>
      </c>
      <c r="JL30" s="431">
        <v>29</v>
      </c>
      <c r="JM30" s="99">
        <v>5</v>
      </c>
      <c r="JN30" s="431">
        <v>13</v>
      </c>
      <c r="JO30" s="431">
        <v>13</v>
      </c>
      <c r="JP30" s="431">
        <v>52</v>
      </c>
      <c r="JQ30" s="431">
        <v>58.3</v>
      </c>
      <c r="JR30" s="431">
        <v>58.3</v>
      </c>
      <c r="JS30" s="554">
        <f>JV30+JW30+JT30+JU30+JX30</f>
        <v>9.431198782489739</v>
      </c>
      <c r="JT30" s="554">
        <f>KJ30*$V30</f>
        <v>1.0451149616530211</v>
      </c>
      <c r="JU30" s="554">
        <f>KL30*$V30</f>
        <v>0.30324919267679995</v>
      </c>
      <c r="JV30" s="554">
        <f>KN30*$V30</f>
        <v>3.9737189489471989</v>
      </c>
      <c r="JW30" s="554">
        <f>KP30*$V30</f>
        <v>4.109115679212719</v>
      </c>
      <c r="JX30" s="554"/>
      <c r="JY30" s="167">
        <f>JZ30*LI30</f>
        <v>7.8177030500001979E-2</v>
      </c>
      <c r="JZ30" s="166">
        <f>KF30+KD30+KH30</f>
        <v>0.26957596724138616</v>
      </c>
      <c r="KA30" s="68">
        <f>10^3*JZ30/$LM30</f>
        <v>19.968590166028601</v>
      </c>
      <c r="KB30" s="97">
        <f>JZ30/$LO30</f>
        <v>5.3915193448277225</v>
      </c>
      <c r="KC30" s="473">
        <f>KD30*LI30</f>
        <v>1.1176851220001999E-2</v>
      </c>
      <c r="KD30" s="269">
        <f>KJ30+KL30</f>
        <v>3.8540866275868967E-2</v>
      </c>
      <c r="KE30" s="473">
        <f>KF30*LI30</f>
        <v>6.7000179279999988E-2</v>
      </c>
      <c r="KF30" s="269">
        <f>KN30+KP30</f>
        <v>0.23103510096551721</v>
      </c>
      <c r="KG30" s="123"/>
      <c r="KH30" s="49"/>
      <c r="KI30" s="435">
        <v>8.6631600200019997E-3</v>
      </c>
      <c r="KJ30" s="522">
        <f>KI30/$LI30</f>
        <v>2.9872965586213794E-2</v>
      </c>
      <c r="KK30" s="435">
        <v>2.5136911999999998E-3</v>
      </c>
      <c r="KL30" s="522">
        <f>KK30/$LI30</f>
        <v>8.6679006896551725E-3</v>
      </c>
      <c r="KM30" s="435">
        <v>3.2938924799999998E-2</v>
      </c>
      <c r="KN30" s="522">
        <f>KM30/$LI30</f>
        <v>0.11358249931034482</v>
      </c>
      <c r="KO30" s="435">
        <v>3.4061254479999997E-2</v>
      </c>
      <c r="KP30" s="522">
        <f>KO30/$LI30</f>
        <v>0.11745260165517241</v>
      </c>
      <c r="KQ30" s="599">
        <f>44/12*HG30+$JZ30+$IR30</f>
        <v>4.479249685120565</v>
      </c>
      <c r="KR30" s="527">
        <f>10^3*KQ30/$LM30</f>
        <v>331.7962729718937</v>
      </c>
      <c r="KS30" s="528">
        <f>KQ30/$LO30</f>
        <v>89.584993702411296</v>
      </c>
      <c r="KT30" s="599">
        <f>44/12*HK30+$JZ30+$IW30</f>
        <v>4.5012895959843142</v>
      </c>
      <c r="KU30" s="527">
        <f>10^3*KT30/$LM30</f>
        <v>333.4288589618011</v>
      </c>
      <c r="KV30" s="528">
        <f>KT30/$LO30</f>
        <v>90.025791919686284</v>
      </c>
      <c r="KW30" s="599">
        <f>44/12*HO30+$JZ30+$JD30</f>
        <v>3.9715281282234631</v>
      </c>
      <c r="KX30" s="527">
        <f>10^3*KW30/$LM30</f>
        <v>294.18726875729357</v>
      </c>
      <c r="KY30" s="528">
        <f>KW30/$LO30</f>
        <v>79.430562564469255</v>
      </c>
      <c r="KZ30" s="599">
        <f>44/12*HS30+$JZ30+$IR30</f>
        <v>3.6908880512072773</v>
      </c>
      <c r="LA30" s="527">
        <f>10^3*KZ30/$LM30</f>
        <v>273.39911490424277</v>
      </c>
      <c r="LB30" s="528">
        <f>KZ30/$LO30</f>
        <v>73.81776102414554</v>
      </c>
      <c r="LC30" s="599">
        <f>44/12*HW30+$JZ30+$IW30</f>
        <v>3.7061483609765125</v>
      </c>
      <c r="LD30" s="527">
        <f>10^3*LC30/$LM30</f>
        <v>274.5295082204824</v>
      </c>
      <c r="LE30" s="528">
        <f>LC30/$LO30</f>
        <v>74.122967219530238</v>
      </c>
      <c r="LF30" s="599">
        <f>44/12*I30+$JZ30+$JD30</f>
        <v>16.387426378437457</v>
      </c>
      <c r="LG30" s="527">
        <f>10^3*LF30/$LM30</f>
        <v>1213.8834354398116</v>
      </c>
      <c r="LH30" s="528">
        <f>LF30/$LO30</f>
        <v>327.74852756874913</v>
      </c>
      <c r="LI30" s="31">
        <v>0.28999999999999998</v>
      </c>
      <c r="LJ30" s="32">
        <f t="shared" si="204"/>
        <v>5.0169999999999995</v>
      </c>
      <c r="LK30" s="27">
        <v>17.3</v>
      </c>
      <c r="LL30" s="32">
        <f t="shared" si="205"/>
        <v>3.9149999999999996</v>
      </c>
      <c r="LM30" s="33">
        <v>13.5</v>
      </c>
      <c r="LN30" s="36">
        <f t="shared" si="200"/>
        <v>1.4499999999999999E-2</v>
      </c>
      <c r="LO30" s="35">
        <v>0.05</v>
      </c>
      <c r="LP30" s="36">
        <f t="shared" si="201"/>
        <v>2.8999999999999998E-3</v>
      </c>
      <c r="LQ30" s="35">
        <v>0.01</v>
      </c>
    </row>
    <row r="31" spans="1:329" s="4" customFormat="1" x14ac:dyDescent="0.25">
      <c r="A31" s="14" t="s">
        <v>311</v>
      </c>
      <c r="B31" s="67">
        <f t="shared" si="171"/>
        <v>4.4000000000000004</v>
      </c>
      <c r="C31" s="33">
        <v>4.4000000000000004</v>
      </c>
      <c r="D31" s="33">
        <v>0</v>
      </c>
      <c r="E31" s="38">
        <f t="shared" si="172"/>
        <v>0</v>
      </c>
      <c r="F31" s="108">
        <f>U31/B31</f>
        <v>11.4</v>
      </c>
      <c r="G31" s="32">
        <f>V31/B31</f>
        <v>3.42</v>
      </c>
      <c r="H31" s="33">
        <v>11.4</v>
      </c>
      <c r="I31" s="32">
        <f>$LI31*H31</f>
        <v>3.42</v>
      </c>
      <c r="J31" s="33">
        <v>12.5</v>
      </c>
      <c r="K31" s="32">
        <f>$LI31*J31</f>
        <v>3.75</v>
      </c>
      <c r="L31" s="32">
        <f>(F31/'Discounting metrics'!$D$4*(1-EXP(-'Discounting metrics'!$D$4*'Discounting metrics'!$E$4)))/'Discounting metrics'!$E$4</f>
        <v>2.7978004291671073</v>
      </c>
      <c r="M31" s="32">
        <f>(G31/'Discounting metrics'!$D$4*(1-EXP(-'Discounting metrics'!$D$4*'Discounting metrics'!$E$4)))/'Discounting metrics'!$E$4</f>
        <v>0.8393401287501322</v>
      </c>
      <c r="N31" s="32">
        <f>(H31/'Discounting metrics'!$D$4*(1-EXP(-'Discounting metrics'!$D$4*'Discounting metrics'!$E$4)))/'Discounting metrics'!$E$4</f>
        <v>2.7978004291671073</v>
      </c>
      <c r="O31" s="32">
        <f>(I31/'Discounting metrics'!$D$4*(1-EXP(-'Discounting metrics'!$D$4*'Discounting metrics'!$E$4)))/'Discounting metrics'!$E$4</f>
        <v>0.8393401287501322</v>
      </c>
      <c r="P31" s="32">
        <f>(J31/'Discounting metrics'!$D$4*(1-EXP(-'Discounting metrics'!$D$4*'Discounting metrics'!$E$4)))/'Discounting metrics'!$E$4</f>
        <v>3.0677636284727057</v>
      </c>
      <c r="Q31" s="32">
        <f>(K31/'Discounting metrics'!$D$4*(1-EXP(-'Discounting metrics'!$D$4*'Discounting metrics'!$E$4)))/'Discounting metrics'!$E$4</f>
        <v>0.92032908854181172</v>
      </c>
      <c r="R31" s="32">
        <f>10/G31</f>
        <v>2.9239766081871346</v>
      </c>
      <c r="S31" s="32">
        <f>10/I31</f>
        <v>2.9239766081871346</v>
      </c>
      <c r="T31" s="32">
        <f>10/K31</f>
        <v>2.6666666666666665</v>
      </c>
      <c r="U31" s="107">
        <f t="shared" si="173"/>
        <v>50.160000000000004</v>
      </c>
      <c r="V31" s="68">
        <f t="shared" si="173"/>
        <v>15.048</v>
      </c>
      <c r="W31" s="68"/>
      <c r="X31" s="67">
        <f>C31*H31</f>
        <v>50.160000000000004</v>
      </c>
      <c r="Y31" s="67">
        <f t="shared" si="174"/>
        <v>15.048</v>
      </c>
      <c r="Z31" s="67">
        <f t="shared" si="174"/>
        <v>0</v>
      </c>
      <c r="AA31" s="67">
        <f>D31*K31</f>
        <v>0</v>
      </c>
      <c r="AB31" s="38">
        <f t="shared" si="175"/>
        <v>0</v>
      </c>
      <c r="AC31" s="294">
        <f t="shared" si="176"/>
        <v>0.73796865340036055</v>
      </c>
      <c r="AD31" s="294">
        <f t="shared" si="176"/>
        <v>3.4430752680437858E-3</v>
      </c>
      <c r="AE31" s="294">
        <f t="shared" si="176"/>
        <v>1.4949114228821263E-3</v>
      </c>
      <c r="AF31" s="294">
        <f t="shared" si="176"/>
        <v>0.22387059378358459</v>
      </c>
      <c r="AG31" s="294">
        <f t="shared" si="176"/>
        <v>1.392504378277228E-4</v>
      </c>
      <c r="AH31" s="294">
        <f t="shared" si="176"/>
        <v>0</v>
      </c>
      <c r="AI31" s="294">
        <f t="shared" si="176"/>
        <v>2.5943117966574249E-5</v>
      </c>
      <c r="AJ31" s="294">
        <f t="shared" si="176"/>
        <v>3.3057572569334663E-2</v>
      </c>
      <c r="AK31" s="294">
        <f t="shared" si="176"/>
        <v>0</v>
      </c>
      <c r="AL31" s="433">
        <v>0.73796865340036055</v>
      </c>
      <c r="AM31" s="433">
        <v>3.4430752680437858E-3</v>
      </c>
      <c r="AN31" s="433">
        <v>1.4949114228821263E-3</v>
      </c>
      <c r="AO31" s="433">
        <v>0.22387059378358459</v>
      </c>
      <c r="AP31" s="433">
        <v>1.392504378277228E-4</v>
      </c>
      <c r="AQ31" s="433">
        <v>0</v>
      </c>
      <c r="AR31" s="433">
        <v>2.5943117966574249E-5</v>
      </c>
      <c r="AS31" s="433">
        <v>3.3057572569334663E-2</v>
      </c>
      <c r="AT31" s="433">
        <v>0</v>
      </c>
      <c r="AU31" s="433">
        <v>0.26910569105691057</v>
      </c>
      <c r="AV31" s="433">
        <v>0.41626016260162602</v>
      </c>
      <c r="AW31" s="433">
        <v>0</v>
      </c>
      <c r="AX31" s="433">
        <v>4.5528455284552842E-2</v>
      </c>
      <c r="AY31" s="433">
        <v>0</v>
      </c>
      <c r="AZ31" s="433">
        <v>0</v>
      </c>
      <c r="BA31" s="433">
        <v>0</v>
      </c>
      <c r="BB31" s="433">
        <v>0.26910569105691057</v>
      </c>
      <c r="BC31" s="433">
        <v>0</v>
      </c>
      <c r="BD31" s="554">
        <f>BG31*$B31/10^3</f>
        <v>0.91970780365321092</v>
      </c>
      <c r="BE31" s="554">
        <f t="shared" si="177"/>
        <v>0.43767084720366978</v>
      </c>
      <c r="BF31" s="554">
        <f t="shared" si="177"/>
        <v>0.4820369564495412</v>
      </c>
      <c r="BG31" s="67">
        <f t="shared" si="178"/>
        <v>209.0245008302752</v>
      </c>
      <c r="BH31" s="67">
        <f>(BK31*$C31+CF31*$D31)/$B31</f>
        <v>99.470647091743118</v>
      </c>
      <c r="BI31" s="67">
        <f>(BU31*$C31+CP31*$D31)/$B31</f>
        <v>109.55385373853208</v>
      </c>
      <c r="BJ31" s="67">
        <f>BK31+BU31</f>
        <v>209.0245008302752</v>
      </c>
      <c r="BK31" s="68">
        <f t="shared" si="179"/>
        <v>99.470647091743118</v>
      </c>
      <c r="BL31" s="145">
        <v>117.64876532002135</v>
      </c>
      <c r="BM31" s="145">
        <v>157.8757184591596</v>
      </c>
      <c r="BN31" s="145">
        <v>72.438399471797098</v>
      </c>
      <c r="BO31" s="145">
        <v>42.970331276653035</v>
      </c>
      <c r="BP31" s="145">
        <v>16.27323462117273</v>
      </c>
      <c r="BQ31" s="145">
        <v>0</v>
      </c>
      <c r="BR31" s="145">
        <v>0.10007780400854413</v>
      </c>
      <c r="BS31" s="145">
        <v>71.863019206702674</v>
      </c>
      <c r="BT31" s="145">
        <v>0</v>
      </c>
      <c r="BU31" s="68">
        <f t="shared" si="180"/>
        <v>109.55385373853208</v>
      </c>
      <c r="BV31" s="145">
        <v>108.16637553317224</v>
      </c>
      <c r="BW31" s="145">
        <v>113.24418623652795</v>
      </c>
      <c r="BX31" s="145">
        <v>118.34949926834169</v>
      </c>
      <c r="BY31" s="145">
        <v>122.18323756891654</v>
      </c>
      <c r="BZ31" s="145">
        <v>77.248451794838161</v>
      </c>
      <c r="CA31" s="145">
        <v>0</v>
      </c>
      <c r="CB31" s="145">
        <v>0.90441337014788559</v>
      </c>
      <c r="CC31" s="145">
        <v>54.43880294370031</v>
      </c>
      <c r="CD31" s="145">
        <v>0</v>
      </c>
      <c r="CE31" s="68">
        <f t="shared" si="181"/>
        <v>260.69539444444439</v>
      </c>
      <c r="CF31" s="68">
        <f t="shared" si="182"/>
        <v>141.87811666666664</v>
      </c>
      <c r="CG31" s="145">
        <v>154.83383685800604</v>
      </c>
      <c r="CH31" s="145">
        <v>234.36197916666663</v>
      </c>
      <c r="CI31" s="145">
        <v>0</v>
      </c>
      <c r="CJ31" s="145">
        <v>58.334824404761903</v>
      </c>
      <c r="CK31" s="145">
        <v>0</v>
      </c>
      <c r="CL31" s="145">
        <v>0</v>
      </c>
      <c r="CM31" s="145">
        <v>0</v>
      </c>
      <c r="CN31" s="145">
        <v>0</v>
      </c>
      <c r="CO31" s="145">
        <v>0</v>
      </c>
      <c r="CP31" s="68">
        <f t="shared" si="183"/>
        <v>118.81727777777776</v>
      </c>
      <c r="CQ31" s="145">
        <v>177.54279959718025</v>
      </c>
      <c r="CR31" s="145">
        <v>150.546875</v>
      </c>
      <c r="CS31" s="145">
        <v>0</v>
      </c>
      <c r="CT31" s="145">
        <v>183.90330357142858</v>
      </c>
      <c r="CU31" s="145">
        <v>0</v>
      </c>
      <c r="CV31" s="145">
        <v>0</v>
      </c>
      <c r="CW31" s="145">
        <v>0</v>
      </c>
      <c r="CX31" s="145">
        <v>0</v>
      </c>
      <c r="CY31" s="145">
        <v>0</v>
      </c>
      <c r="CZ31" s="554">
        <f>DC31*$B31/10^3</f>
        <v>0.36623021733715588</v>
      </c>
      <c r="DA31" s="554">
        <f t="shared" si="184"/>
        <v>4.702500000000001E-3</v>
      </c>
      <c r="DB31" s="554">
        <f t="shared" si="184"/>
        <v>0.36152771733715588</v>
      </c>
      <c r="DC31" s="32">
        <f t="shared" si="185"/>
        <v>83.234140303899053</v>
      </c>
      <c r="DD31" s="32">
        <f t="shared" si="186"/>
        <v>1.0687500000000001</v>
      </c>
      <c r="DE31" s="67">
        <f t="shared" si="186"/>
        <v>82.165390303899059</v>
      </c>
      <c r="DF31" s="270"/>
      <c r="DG31" s="67">
        <f t="shared" si="187"/>
        <v>83.234140303899053</v>
      </c>
      <c r="DH31" s="32">
        <f>I31*0.5*2.5*0.25</f>
        <v>1.0687500000000001</v>
      </c>
      <c r="DI31" s="67">
        <f>(1-DK31)*BU31</f>
        <v>82.165390303899059</v>
      </c>
      <c r="DJ31" s="67"/>
      <c r="DK31" s="34">
        <f t="shared" si="188"/>
        <v>0.25</v>
      </c>
      <c r="DL31" s="159"/>
      <c r="DM31" s="159"/>
      <c r="DN31" s="68">
        <f t="shared" si="189"/>
        <v>90.284833333333324</v>
      </c>
      <c r="DO31" s="32">
        <f>K31*0.5*2.5*0.25</f>
        <v>1.171875</v>
      </c>
      <c r="DP31" s="67">
        <f>(1-DR31)*CP31</f>
        <v>89.112958333333324</v>
      </c>
      <c r="DQ31" s="67"/>
      <c r="DR31" s="34">
        <f t="shared" si="190"/>
        <v>0.25</v>
      </c>
      <c r="DS31" s="294"/>
      <c r="DT31" s="294"/>
      <c r="DU31" s="294"/>
      <c r="DV31" s="67">
        <f t="shared" si="164"/>
        <v>125.79036052637615</v>
      </c>
      <c r="DW31" s="67">
        <f t="shared" si="164"/>
        <v>98.401897091743123</v>
      </c>
      <c r="DX31" s="67">
        <f t="shared" si="164"/>
        <v>27.388463434633024</v>
      </c>
      <c r="DY31" s="67">
        <f t="shared" si="165"/>
        <v>125.79036052637615</v>
      </c>
      <c r="DZ31" s="67">
        <f t="shared" si="165"/>
        <v>98.401897091743123</v>
      </c>
      <c r="EA31" s="67">
        <f>BU31-DI31</f>
        <v>27.388463434633024</v>
      </c>
      <c r="EB31" s="67">
        <f t="shared" si="166"/>
        <v>170.41056111111106</v>
      </c>
      <c r="EC31" s="67">
        <f t="shared" si="166"/>
        <v>140.70624166666664</v>
      </c>
      <c r="ED31" s="67">
        <f>CP31-DP31</f>
        <v>29.704319444444437</v>
      </c>
      <c r="EE31" s="68">
        <f>EF31+EG31</f>
        <v>103.04420898428623</v>
      </c>
      <c r="EF31" s="67">
        <f>(EJ31*$C31+FF31*$D31)/$B31</f>
        <v>81.990575744176226</v>
      </c>
      <c r="EG31" s="67">
        <f t="shared" si="191"/>
        <v>21.053633240109995</v>
      </c>
      <c r="EH31" s="261">
        <f t="shared" si="192"/>
        <v>103.04420898428623</v>
      </c>
      <c r="EI31" s="154">
        <f>EH31/($BJ31-$DG31)</f>
        <v>0.81917412870980344</v>
      </c>
      <c r="EJ31" s="108">
        <f>EK31+EL31-DH31</f>
        <v>81.990575744176226</v>
      </c>
      <c r="EK31" s="126">
        <f>'Allometrics &amp; Decay rates'!$H$5*$AL31*BL31+'Allometrics &amp; Decay rates'!$H$6*$AM31*BM31+'Allometrics &amp; Decay rates'!$H$7*$AN31*BN31+'Allometrics &amp; Decay rates'!$H$8*$AO31*BO31+'Allometrics &amp; Decay rates'!$H$9*$AP31*BP31+'Allometrics &amp; Decay rates'!$H$10*$AQ31*BQ31+'Allometrics &amp; Decay rates'!$H$11*$AR31*BR31+'Allometrics &amp; Decay rates'!$H$12*$AS31*BS31+'Allometrics &amp; Decay rates'!$H$13*$AT31*BT31</f>
        <v>42.450480952990624</v>
      </c>
      <c r="EL31" s="97">
        <f t="shared" si="193"/>
        <v>40.608844791185597</v>
      </c>
      <c r="EM31" s="550">
        <f>AL31*BL31*('Allometrics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34.036265441921643</v>
      </c>
      <c r="EN31" s="550">
        <f>AM31*BM31*('Allometrics &amp; Decay rates'!$I$6*((EXP('Allometrics &amp; Decay rates'!$K$6)-1)/('Discounting metrics'!$D$4+'Allometrics &amp; Decay rates'!$K$6)*(1-EXP(-('Discounting metrics'!$D$4+'Allometrics &amp; Decay rates'!$K$6)*'Discounting metrics'!$E$4))-(1-EXP(-'Allometrics &amp; Decay rates'!$K$6))/1.55)+'Allometrics &amp; Decay rates'!$E$6*((EXP('Allometrics &amp; Decay rates'!$L$6)-1)/('Discounting metrics'!$D$4+'Allometrics &amp; Decay rates'!$L$6)*(1-EXP(-('Discounting metrics'!$D$4+'Allometrics &amp; Decay rates'!$L$6)*'Discounting metrics'!$E$4))-(1-EXP(-'Allometrics &amp; Decay rates'!$L$6))/1.55))</f>
        <v>0.13257204088450444</v>
      </c>
      <c r="EO31" s="550">
        <f>AN31*BN31*('Allometrics &amp; Decay rates'!$I$7*((EXP('Allometrics &amp; Decay rates'!$K$7)-1)/('Discounting metrics'!$D$4+'Allometrics &amp; Decay rates'!$K$7)*(1-EXP(-('Discounting metrics'!$D$4+'Allometrics &amp; Decay rates'!$K$7)*'Discounting metrics'!$E$4))-(1-EXP(-'Allometrics &amp; Decay rates'!$K$7))/1.55)+'Allometrics &amp; Decay rates'!$E$7*((EXP('Allometrics &amp; Decay rates'!$L$7)-1)/('Discounting metrics'!$D$4+'Allometrics &amp; Decay rates'!$L$7)*(1-EXP(-('Discounting metrics'!$D$4+'Allometrics &amp; Decay rates'!$L$7)*'Discounting metrics'!$E$4))-(1-EXP(-'Allometrics &amp; Decay rates'!$L$7))/1.55))</f>
        <v>2.3055967872121934E-2</v>
      </c>
      <c r="EP31" s="550">
        <f>AO31*BO31*('Allometrics &amp; Decay rates'!$I$8*((EXP('Allometrics &amp; Decay rates'!$K$8)-1)/('Discounting metrics'!$D$4+'Allometrics &amp; Decay rates'!$K$8)*(1-EXP(-('Discounting metrics'!$D$4+'Allometrics &amp; Decay rates'!$K$8)*'Discounting metrics'!$E$4))-(1-EXP(-'Allometrics &amp; Decay rates'!$K$8))/1.55)+'Allometrics &amp; Decay rates'!$E$8*((EXP('Allometrics &amp; Decay rates'!$L$8)-1)/('Discounting metrics'!$D$4+'Allometrics &amp; Decay rates'!$L$8)*(1-EXP(-('Discounting metrics'!$D$4+'Allometrics &amp; Decay rates'!$L$8)*'Discounting metrics'!$E$4))-(1-EXP(-'Allometrics &amp; Decay rates'!$L$8))/1.55))</f>
        <v>5.4464039831723579</v>
      </c>
      <c r="EQ31" s="550">
        <f>AP31*BP31*('Allometrics &amp; Decay rates'!$I$9*((EXP('Allometrics &amp; Decay rates'!$K$9)-1)/('Discounting metrics'!$D$4+'Allometrics &amp; Decay rates'!$K$9)*(1-EXP(-('Discounting metrics'!$D$4+'Allometrics &amp; Decay rates'!$K$9)*'Discounting metrics'!$E$4))-(1-EXP(-'Allometrics &amp; Decay rates'!$K$9))/1.55)+'Allometrics &amp; Decay rates'!$E$9*((EXP('Allometrics &amp; Decay rates'!$L$9)-1)/('Discounting metrics'!$D$4+'Allometrics &amp; Decay rates'!$L$9)*(1-EXP(-('Discounting metrics'!$D$4+'Allometrics &amp; Decay rates'!$L$9)*'Discounting metrics'!$E$4))-(1-EXP(-'Allometrics &amp; Decay rates'!$L$9))/1.55))</f>
        <v>1.1876975287129197E-3</v>
      </c>
      <c r="ER31" s="550">
        <f>AQ31*BQ31*('Allometrics &amp; Decay rates'!$I$10*((EXP('Allometrics &amp; Decay rates'!$K$10)-1)/('Discounting metrics'!$D$4+'Allometrics &amp; Decay rates'!$K$10)*(1-EXP(-('Discounting metrics'!$D$4+'Allometrics &amp; Decay rates'!$K$10)*'Discounting metrics'!$E$4))-(1-EXP(-'Allometrics &amp; Decay rates'!$K$10))/1.55)+'Allometrics &amp; Decay rates'!$E$10*((EXP('Allometrics &amp; Decay rates'!$L$10)-1)/('Discounting metrics'!$D$4+'Allometrics &amp; Decay rates'!$L$10)*(1-EXP(-('Discounting metrics'!$D$4+'Allometrics &amp; Decay rates'!$L$10)*'Discounting metrics'!$E$4))-(1-EXP(-'Allometrics &amp; Decay rates'!$L$10))/1.55))</f>
        <v>0</v>
      </c>
      <c r="ES31" s="550">
        <f>AR31*BR31*('Allometrics &amp; Decay rates'!$I$11*((EXP('Allometrics &amp; Decay rates'!$K$11)-1)/('Discounting metrics'!$D$4+'Allometrics &amp; Decay rates'!$K$11)*(1-EXP(-('Discounting metrics'!$D$4+'Allometrics &amp; Decay rates'!$K$11)*'Discounting metrics'!$E$4))-(1-EXP(-'Allometrics &amp; Decay rates'!$K$11))/1.55)+'Allometrics &amp; Decay rates'!$E$11*((EXP('Allometrics &amp; Decay rates'!$L$11)-1)/('Discounting metrics'!$D$4+'Allometrics &amp; Decay rates'!$L$11)*(1-EXP(-('Discounting metrics'!$D$4+'Allometrics &amp; Decay rates'!$L$11)*'Discounting metrics'!$E$4))-(1-EXP(-'Allometrics &amp; Decay rates'!$L$11))/1.55))</f>
        <v>1.8428524396468627E-6</v>
      </c>
      <c r="ET31" s="550">
        <f>AS31*BS31*('Allometrics &amp; Decay rates'!$I$12*((EXP('Allometrics &amp; Decay rates'!$K$12)-1)/('Discounting metrics'!$D$4+'Allometrics &amp; Decay rates'!$K$12)*(1-EXP(-('Discounting metrics'!$D$4+'Allometrics &amp; Decay rates'!$K$12)*'Discounting metrics'!$E$4))-(1-EXP(-'Allometrics &amp; Decay rates'!$K$12))/1.55)+'Allometrics &amp; Decay rates'!$E$12*((EXP('Allometrics &amp; Decay rates'!$L$12)-1)/('Discounting metrics'!$D$4+'Allometrics &amp; Decay rates'!$L$12)*(1-EXP(-('Discounting metrics'!$D$4+'Allometrics &amp; Decay rates'!$L$12)*'Discounting metrics'!$E$4))-(1-EXP(-'Allometrics &amp; Decay rates'!$L$12))/1.55))</f>
        <v>0.96935781695381118</v>
      </c>
      <c r="EU31" s="550">
        <f>AT31*BT31*('Allometrics &amp; Decay rates'!$I$13*((EXP('Allometrics &amp; Decay rates'!$K$13)-1)/('Discounting metrics'!$D$4+'Allometrics &amp; Decay rates'!$K$13)*(1-EXP(-('Discounting metrics'!$D$4+'Allometrics &amp; Decay rates'!$K$13)*'Discounting metrics'!$E$4))-(1-EXP(-'Allometrics &amp; Decay rates'!$K$13))/1.55)+'Allometrics &amp; Decay rates'!$E$13*((EXP('Allometrics &amp; Decay rates'!$L$13)-1)/('Discounting metrics'!$D$4+'Allometrics &amp; Decay rates'!$L$13)*(1-EXP(-('Discounting metrics'!$D$4+'Allometrics &amp; Decay rates'!$L$13)*'Discounting metrics'!$E$4))-(1-EXP(-'Allometrics &amp; Decay rates'!$L$13))/1.55))</f>
        <v>0</v>
      </c>
      <c r="EV31" s="108">
        <f t="shared" si="194"/>
        <v>21.053633240109995</v>
      </c>
      <c r="EW31" s="550">
        <f>AL31*BV31*$DK31*((EXP('Allometrics &amp; Decay rates'!$M$5)-1)/('Discounting metrics'!$D$4+'Allometrics &amp; Decay rates'!$M$5)*(1-EXP(-('Discounting metrics'!$D$4+'Allometrics &amp; Decay rates'!$M$5)*'Discounting metrics'!$E$4))-(1-EXP(-'Allometrics &amp; Decay rates'!$M$5))/1.55)</f>
        <v>15.596346708522338</v>
      </c>
      <c r="EX31" s="550">
        <f>AM31*BW31*$DK31*((EXP('Allometrics &amp; Decay rates'!$M$5)-1)/('Discounting metrics'!$D$4+'Allometrics &amp; Decay rates'!$M$5)*(1-EXP(-('Discounting metrics'!$D$4+'Allometrics &amp; Decay rates'!$M$5)*'Discounting metrics'!$E$4))-(1-EXP(-'Allometrics &amp; Decay rates'!$M$5))/1.55)</f>
        <v>7.6182482557503595E-2</v>
      </c>
      <c r="EY31" s="550">
        <f>AN31*BX31*$DK31*((EXP('Allometrics &amp; Decay rates'!$M$5)-1)/('Discounting metrics'!$D$4+'Allometrics &amp; Decay rates'!$M$5)*(1-EXP(-('Discounting metrics'!$D$4+'Allometrics &amp; Decay rates'!$M$5)*'Discounting metrics'!$E$4))-(1-EXP(-'Allometrics &amp; Decay rates'!$M$5))/1.55)</f>
        <v>3.4568025526592432E-2</v>
      </c>
      <c r="EZ31" s="550">
        <f>AO31*BY31*$DK31*((EXP('Allometrics &amp; Decay rates'!$M$5)-1)/('Discounting metrics'!$D$4+'Allometrics &amp; Decay rates'!$M$5)*(1-EXP(-('Discounting metrics'!$D$4+'Allometrics &amp; Decay rates'!$M$5)*'Discounting metrics'!$E$4))-(1-EXP(-'Allometrics &amp; Decay rates'!$M$5))/1.55)</f>
        <v>5.3444296988565503</v>
      </c>
      <c r="FA31" s="550">
        <f>AP31*BZ31*$DK31*((EXP('Allometrics &amp; Decay rates'!$M$5)-1)/('Discounting metrics'!$D$4+'Allometrics &amp; Decay rates'!$M$5)*(1-EXP(-('Discounting metrics'!$D$4+'Allometrics &amp; Decay rates'!$M$5)*'Discounting metrics'!$E$4))-(1-EXP(-'Allometrics &amp; Decay rates'!$M$5))/1.55)</f>
        <v>2.1017402540864229E-3</v>
      </c>
      <c r="FB31" s="550">
        <f>AQ31*CA31*$DK31*((EXP('Allometrics &amp; Decay rates'!$M$5)-1)/('Discounting metrics'!$D$4+'Allometrics &amp; Decay rates'!$M$5)*(1-EXP(-('Discounting metrics'!$D$4+'Allometrics &amp; Decay rates'!$M$5)*'Discounting metrics'!$E$4))-(1-EXP(-'Allometrics &amp; Decay rates'!$M$5))/1.55)</f>
        <v>0</v>
      </c>
      <c r="FC31" s="550">
        <f>AR31*CB31*$DK31*((EXP('Allometrics &amp; Decay rates'!$M$5)-1)/('Discounting metrics'!$D$4+'Allometrics &amp; Decay rates'!$M$5)*(1-EXP(-('Discounting metrics'!$D$4+'Allometrics &amp; Decay rates'!$M$5)*'Discounting metrics'!$E$4))-(1-EXP(-'Allometrics &amp; Decay rates'!$M$5))/1.55)</f>
        <v>4.5843929209603645E-6</v>
      </c>
      <c r="FD31" s="261">
        <f t="shared" si="195"/>
        <v>138.11588928888506</v>
      </c>
      <c r="FE31" s="154">
        <f>FD31/($CE31-$DN31)</f>
        <v>0.81048902361650432</v>
      </c>
      <c r="FF31" s="108">
        <f t="shared" si="196"/>
        <v>114.90069691453019</v>
      </c>
      <c r="FG31" s="126">
        <f>'Allometrics &amp; Decay rates'!$H$5*$AU31*CG31+'Allometrics &amp; Decay rates'!$H$6*$AV31*CH31+'Allometrics &amp; Decay rates'!$H$7*$AW31*CI31+'Allometrics &amp; Decay rates'!$H$8*$AX31*CJ31+'Allometrics &amp; Decay rates'!$H$9*$AY31*CK31+'Allometrics &amp; Decay rates'!$H$10*$AZ31*CL31+'Allometrics &amp; Decay rates'!$H$11*$BA31*CM31+'Allometrics &amp; Decay rates'!$H$12*$BB31*CN31+'Allometrics &amp; Decay rates'!$H$13*$BC31*CO31</f>
        <v>60.452438234595853</v>
      </c>
      <c r="FH31" s="97">
        <f t="shared" si="197"/>
        <v>55.620133679934334</v>
      </c>
      <c r="FI31" s="550">
        <f>AU31*CG31*('Allometrics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16.334482191091467</v>
      </c>
      <c r="FJ31" s="550">
        <f>AV31*CH31*('Allometrics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38.244467636742151</v>
      </c>
      <c r="FK31" s="550">
        <f>AW31*CI31*('Allometrics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L31" s="550">
        <f>AX31*CJ31*('Allometrics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1.0411838521007171</v>
      </c>
      <c r="FM31" s="550">
        <f>AY31*CK31*('Allometrics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N31" s="550">
        <f>AZ31*CL31*('Allometrics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O31" s="550">
        <f>BA31*CM31*('Allometrics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P31" s="550">
        <f>BB31*CN31*('Allometrics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Q31" s="550">
        <f>BC31*CO31*('Allometrics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R31" s="108">
        <f t="shared" si="198"/>
        <v>23.215192374354878</v>
      </c>
      <c r="FS31" s="550">
        <f>AU31*CQ31*$DK31*((EXP('Allometrics &amp; Decay rates'!$M$5)-1)/('Discounting metrics'!$D$4+'Allometrics &amp; Decay rates'!$M$5)*(1-EXP(-('Discounting metrics'!$D$4+'Allometrics &amp; Decay rates'!$M$5)*'Discounting metrics'!$E$4))-(1-EXP(-'Allometrics &amp; Decay rates'!$M$5))/1.55)</f>
        <v>9.3350926992684808</v>
      </c>
      <c r="FT31" s="550">
        <f>AV31*CR31*$DK31*((EXP('Allometrics &amp; Decay rates'!$M$5)-1)/('Discounting metrics'!$D$4+'Allometrics &amp; Decay rates'!$M$5)*(1-EXP(-('Discounting metrics'!$D$4+'Allometrics &amp; Decay rates'!$M$5)*'Discounting metrics'!$E$4))-(1-EXP(-'Allometrics &amp; Decay rates'!$M$5))/1.55)</f>
        <v>12.244168098575404</v>
      </c>
      <c r="FU31" s="550">
        <f>AW31*CS31*$DK31*((EXP('Allometrics &amp; Decay rates'!$M$5)-1)/('Discounting metrics'!$D$4+'Allometrics &amp; Decay rates'!$M$5)*(1-EXP(-('Discounting metrics'!$D$4+'Allometrics &amp; Decay rates'!$M$5)*'Discounting metrics'!$E$4))-(1-EXP(-'Allometrics &amp; Decay rates'!$M$5))/1.55)</f>
        <v>0</v>
      </c>
      <c r="FV31" s="550">
        <f>AX31*CT31*$DK31*((EXP('Allometrics &amp; Decay rates'!$M$5)-1)/('Discounting metrics'!$D$4+'Allometrics &amp; Decay rates'!$M$5)*(1-EXP(-('Discounting metrics'!$D$4+'Allometrics &amp; Decay rates'!$M$5)*'Discounting metrics'!$E$4))-(1-EXP(-'Allometrics &amp; Decay rates'!$M$5))/1.55)</f>
        <v>1.6359315765109907</v>
      </c>
      <c r="FW31" s="550">
        <f>AY31*CU31*$DK31*((EXP('Allometrics &amp; Decay rates'!$M$5)-1)/('Discounting metrics'!$D$4+'Allometrics &amp; Decay rates'!$M$5)*(1-EXP(-('Discounting metrics'!$D$4+'Allometrics &amp; Decay rates'!$M$5)*'Discounting metrics'!$E$4))-(1-EXP(-'Allometrics &amp; Decay rates'!$M$5))/1.55)</f>
        <v>0</v>
      </c>
      <c r="FX31" s="550">
        <f>AZ31*CV31*$DK31*((EXP('Allometrics &amp; Decay rates'!$M$5)-1)/('Discounting metrics'!$D$4+'Allometrics &amp; Decay rates'!$M$5)*(1-EXP(-('Discounting metrics'!$D$4+'Allometrics &amp; Decay rates'!$M$5)*'Discounting metrics'!$E$4))-(1-EXP(-'Allometrics &amp; Decay rates'!$M$5))/1.55)</f>
        <v>0</v>
      </c>
      <c r="FY31" s="550">
        <f>BA31*CW31*$DK31*((EXP('Allometrics &amp; Decay rates'!$M$5)-1)/('Discounting metrics'!$D$4+'Allometrics &amp; Decay rates'!$M$5)*(1-EXP(-('Discounting metrics'!$D$4+'Allometrics &amp; Decay rates'!$M$5)*'Discounting metrics'!$E$4))-(1-EXP(-'Allometrics &amp; Decay rates'!$M$5))/1.55)</f>
        <v>0</v>
      </c>
      <c r="FZ31" s="68"/>
      <c r="GA31" s="293"/>
      <c r="GB31" s="293"/>
      <c r="GP31" s="32">
        <f t="shared" si="199"/>
        <v>7.63</v>
      </c>
      <c r="GQ31" s="33">
        <v>7.63</v>
      </c>
      <c r="GR31" s="99">
        <v>8.0399999999999991</v>
      </c>
      <c r="GS31" s="99"/>
      <c r="GT31" s="99"/>
      <c r="GU31" s="99"/>
      <c r="GV31" s="99"/>
      <c r="GW31" s="99"/>
      <c r="GX31" s="99"/>
      <c r="GY31" s="99"/>
      <c r="GZ31" s="99"/>
      <c r="HA31" s="99"/>
      <c r="HB31" s="99"/>
      <c r="HF31" s="97">
        <f>HG31*$LI31</f>
        <v>0.36830435763054775</v>
      </c>
      <c r="HG31" s="526">
        <f>EE31/'Discounting metrics'!E$4/M31</f>
        <v>1.2276811921018258</v>
      </c>
      <c r="HH31" s="527">
        <f>10^3*HG31/$LM31</f>
        <v>81.845412806788389</v>
      </c>
      <c r="HI31" s="528">
        <f>HG31/$LO31</f>
        <v>24.553623842036515</v>
      </c>
      <c r="HJ31" s="97">
        <f>HK31*$LI31</f>
        <v>0.36830435763054775</v>
      </c>
      <c r="HK31" s="526">
        <f>EH31/'Discounting metrics'!E$4/O31</f>
        <v>1.2276811921018258</v>
      </c>
      <c r="HL31" s="527">
        <f>10^3*HK31/$LM31</f>
        <v>81.845412806788389</v>
      </c>
      <c r="HM31" s="528">
        <f>HK31/$LO31</f>
        <v>24.553623842036515</v>
      </c>
      <c r="HN31" s="97">
        <f>HO31*$LI31</f>
        <v>0.45021685506339487</v>
      </c>
      <c r="HO31" s="526">
        <f>FD31/'Discounting metrics'!E$4/Q31</f>
        <v>1.5007228502113164</v>
      </c>
      <c r="HP31" s="527">
        <f>10^3*HO31/$LM31</f>
        <v>100.04819001408777</v>
      </c>
      <c r="HQ31" s="528">
        <f>HO31/$LO31</f>
        <v>30.014457004226326</v>
      </c>
      <c r="HR31" s="97">
        <f>HS31*$LI31</f>
        <v>0.33387045810179861</v>
      </c>
      <c r="HS31" s="263">
        <f>$IM$11*IE31</f>
        <v>1.1129015270059954</v>
      </c>
      <c r="HT31" s="527">
        <f>10^3*HS31/$LM31</f>
        <v>74.193435133733018</v>
      </c>
      <c r="HU31" s="528">
        <f>HS31/$LO31</f>
        <v>22.258030540119908</v>
      </c>
      <c r="HV31" s="97">
        <f>HW31*$LI31</f>
        <v>0.33387045810179861</v>
      </c>
      <c r="HW31" s="263">
        <f>$IM$11*IH31</f>
        <v>1.1129015270059954</v>
      </c>
      <c r="HX31" s="527">
        <f>10^3*HW31/$LM31</f>
        <v>74.193435133733018</v>
      </c>
      <c r="HY31" s="528">
        <f>HW31/$LO31</f>
        <v>22.258030540119908</v>
      </c>
      <c r="HZ31" s="97">
        <f>I31*$LI31</f>
        <v>1.026</v>
      </c>
      <c r="IA31" s="263">
        <f>$IM$11*IK31</f>
        <v>1.0695056603854418</v>
      </c>
      <c r="IB31" s="527">
        <f>10^3*I31/$LM31</f>
        <v>228</v>
      </c>
      <c r="IC31" s="528">
        <f>I31/$LO31</f>
        <v>68.399999999999991</v>
      </c>
      <c r="ID31" s="97">
        <f>IE31*$LI31</f>
        <v>0.66929824561403506</v>
      </c>
      <c r="IE31" s="263">
        <f>GP31/G31</f>
        <v>2.2309941520467835</v>
      </c>
      <c r="IF31" s="68">
        <f>10^3*IE31/$LM31</f>
        <v>148.73294346978557</v>
      </c>
      <c r="IG31" s="97">
        <f>IH31*$LI31</f>
        <v>0.66929824561403506</v>
      </c>
      <c r="IH31" s="263">
        <f>GQ31/I31</f>
        <v>2.2309941520467835</v>
      </c>
      <c r="II31" s="68">
        <f>10^3*IH31/$LM31</f>
        <v>148.73294346978557</v>
      </c>
      <c r="IJ31" s="97">
        <f>IK31*$LI31</f>
        <v>0.64319999999999988</v>
      </c>
      <c r="IK31" s="263">
        <f>GR31/K31</f>
        <v>2.1439999999999997</v>
      </c>
      <c r="IL31" s="68">
        <f>10^3*IK31/$LM31</f>
        <v>142.93333333333331</v>
      </c>
      <c r="IM31" s="60"/>
      <c r="IN31" s="60"/>
      <c r="IO31" s="60"/>
      <c r="IP31" s="554">
        <f>IR31*$V31</f>
        <v>8.2578988800000008</v>
      </c>
      <c r="IQ31" s="262">
        <f>IR31*$LI31</f>
        <v>0.16463115789473684</v>
      </c>
      <c r="IR31" s="166">
        <f>(IW31*Y31+JD31*AA31)/V31</f>
        <v>0.54877052631578949</v>
      </c>
      <c r="IS31" s="68">
        <f>10^3*IR31/$LM31</f>
        <v>36.584701754385968</v>
      </c>
      <c r="IT31" s="97">
        <f>IR31/$LO31</f>
        <v>10.975410526315789</v>
      </c>
      <c r="IU31" s="429">
        <f>(IX31*C31+JE31*D31)/B31</f>
        <v>3.44E-2</v>
      </c>
      <c r="IV31" s="262">
        <f>IW31*$LI31</f>
        <v>0.16463115789473684</v>
      </c>
      <c r="IW31" s="436">
        <f>IX31*JB31/I31</f>
        <v>0.54877052631578949</v>
      </c>
      <c r="IX31" s="101">
        <v>3.44E-2</v>
      </c>
      <c r="IY31" s="433">
        <v>1</v>
      </c>
      <c r="IZ31" s="433">
        <v>0</v>
      </c>
      <c r="JA31" s="434">
        <f>1-IY31-IZ31</f>
        <v>0</v>
      </c>
      <c r="JB31" s="430">
        <f>IY31*$JJ31+IZ31*$JK31+JA31*$JL31+'Discounting metrics'!$B$6*(IY31*$JM31+IZ31*$JN31+JA31*$JO31)/10^3+'Discounting metrics'!$B$5*(IY31*$JP31+IZ31*$JQ31+JA31*$JR31)/10^3</f>
        <v>54.558</v>
      </c>
      <c r="JC31" s="262">
        <f>JD31*$LI31</f>
        <v>0</v>
      </c>
      <c r="JD31" s="436">
        <f>JE31*JI31/K31</f>
        <v>0</v>
      </c>
      <c r="JE31" s="101">
        <v>0</v>
      </c>
      <c r="JF31" s="433">
        <v>1</v>
      </c>
      <c r="JG31" s="433">
        <v>0</v>
      </c>
      <c r="JH31" s="434">
        <f t="shared" si="203"/>
        <v>0</v>
      </c>
      <c r="JI31" s="430">
        <f>JF31*$JJ31+JG31*$JK31+JH31*$JL31+'Discounting metrics'!$B$6*(JF31*$JM31+JG31*$JN31+JH31*$JO31)/10^3+'Discounting metrics'!$B$5*(JF31*$JP31+JG31*$JQ31+JH31*$JR31)/10^3</f>
        <v>54.558</v>
      </c>
      <c r="JJ31" s="431">
        <v>51.3</v>
      </c>
      <c r="JK31" s="431">
        <v>29</v>
      </c>
      <c r="JL31" s="431">
        <v>29</v>
      </c>
      <c r="JM31" s="99">
        <v>5</v>
      </c>
      <c r="JN31" s="431">
        <v>13</v>
      </c>
      <c r="JO31" s="431">
        <v>13</v>
      </c>
      <c r="JP31" s="431">
        <v>52</v>
      </c>
      <c r="JQ31" s="431">
        <v>58.3</v>
      </c>
      <c r="JR31" s="431">
        <v>58.3</v>
      </c>
      <c r="JS31" s="554">
        <f>JV31+JW31+JT31+JU31+JX31</f>
        <v>1.0739954778969731</v>
      </c>
      <c r="JT31" s="554">
        <f>KJ31*$V31</f>
        <v>0.20986737942727027</v>
      </c>
      <c r="JU31" s="554">
        <f>KL31*$V31</f>
        <v>0.26505766900799999</v>
      </c>
      <c r="JV31" s="554">
        <f>KN31*$V31</f>
        <v>0.30487758628900319</v>
      </c>
      <c r="JW31" s="554">
        <f>KP31*$V31</f>
        <v>0.29419284317269973</v>
      </c>
      <c r="JX31" s="554"/>
      <c r="JY31" s="167">
        <f>JZ31*LI31</f>
        <v>2.14113931000194E-2</v>
      </c>
      <c r="JZ31" s="166">
        <f>KF31+KD31+KH31</f>
        <v>7.1371310333397997E-2</v>
      </c>
      <c r="KA31" s="68">
        <f>10^3*JZ31/$LM31</f>
        <v>4.7580873555598666</v>
      </c>
      <c r="KB31" s="97">
        <f>JZ31/$LO31</f>
        <v>1.4274262066679599</v>
      </c>
      <c r="KC31" s="473">
        <f>KD31*LI31</f>
        <v>9.4682027200014007E-3</v>
      </c>
      <c r="KD31" s="269">
        <f>KJ31+KL31</f>
        <v>3.1560675733338005E-2</v>
      </c>
      <c r="KE31" s="473">
        <f>KF31*LI31</f>
        <v>1.1943190380017999E-2</v>
      </c>
      <c r="KF31" s="269">
        <f>KN31+KP31</f>
        <v>3.9810634600059999E-2</v>
      </c>
      <c r="KG31" s="123"/>
      <c r="KH31" s="49"/>
      <c r="KI31" s="435">
        <v>4.1839589200014004E-3</v>
      </c>
      <c r="KJ31" s="522">
        <f>KI31/$LI31</f>
        <v>1.3946529733338002E-2</v>
      </c>
      <c r="KK31" s="435">
        <v>5.2842438000000004E-3</v>
      </c>
      <c r="KL31" s="522">
        <f>KK31/$LI31</f>
        <v>1.7614146000000001E-2</v>
      </c>
      <c r="KM31" s="435">
        <v>6.0781018000199997E-3</v>
      </c>
      <c r="KN31" s="522">
        <f>KM31/$LI31</f>
        <v>2.0260339333400001E-2</v>
      </c>
      <c r="KO31" s="435">
        <v>5.8650885799980002E-3</v>
      </c>
      <c r="KP31" s="522">
        <f>KO31/$LI31</f>
        <v>1.9550295266660002E-2</v>
      </c>
      <c r="KQ31" s="599">
        <f>44/12*HG31+$JZ31+$IR31</f>
        <v>5.1216395410225486</v>
      </c>
      <c r="KR31" s="527">
        <f>10^3*KQ31/$LM31</f>
        <v>341.44263606816992</v>
      </c>
      <c r="KS31" s="528">
        <f>KQ31/$LO31</f>
        <v>102.43279082045096</v>
      </c>
      <c r="KT31" s="599">
        <f>44/12*HK31+$JZ31+$IW31</f>
        <v>5.1216395410225486</v>
      </c>
      <c r="KU31" s="527">
        <f>10^3*KT31/$LM31</f>
        <v>341.44263606816992</v>
      </c>
      <c r="KV31" s="528">
        <f>KT31/$LO31</f>
        <v>102.43279082045096</v>
      </c>
      <c r="KW31" s="599">
        <f>44/12*HO31+$JZ31+$JD31</f>
        <v>5.5740217611082246</v>
      </c>
      <c r="KX31" s="527">
        <f>10^3*KW31/$LM31</f>
        <v>371.60145074054827</v>
      </c>
      <c r="KY31" s="528">
        <f>KW31/$LO31</f>
        <v>111.48043522216449</v>
      </c>
      <c r="KZ31" s="599">
        <f>44/12*HS31+$JZ31+$IR31</f>
        <v>4.7007807690045036</v>
      </c>
      <c r="LA31" s="527">
        <f>10^3*KZ31/$LM31</f>
        <v>313.38538460030026</v>
      </c>
      <c r="LB31" s="528">
        <f>KZ31/$LO31</f>
        <v>94.015615380090068</v>
      </c>
      <c r="LC31" s="599">
        <f>44/12*HW31+$JZ31+$IW31</f>
        <v>4.7007807690045036</v>
      </c>
      <c r="LD31" s="527">
        <f>10^3*LC31/$LM31</f>
        <v>313.38538460030026</v>
      </c>
      <c r="LE31" s="528">
        <f>LC31/$LO31</f>
        <v>94.015615380090068</v>
      </c>
      <c r="LF31" s="599">
        <f>44/12*I31+$JZ31+$JD31</f>
        <v>12.611371310333396</v>
      </c>
      <c r="LG31" s="527">
        <f>10^3*LF31/$LM31</f>
        <v>840.75808735555972</v>
      </c>
      <c r="LH31" s="528">
        <f>LF31/$LO31</f>
        <v>252.22742620666793</v>
      </c>
      <c r="LI31" s="31">
        <v>0.3</v>
      </c>
      <c r="LJ31" s="32">
        <f t="shared" si="204"/>
        <v>5.19</v>
      </c>
      <c r="LK31" s="27">
        <v>17.3</v>
      </c>
      <c r="LL31" s="32">
        <f t="shared" si="205"/>
        <v>4.5</v>
      </c>
      <c r="LM31" s="33">
        <v>15</v>
      </c>
      <c r="LN31" s="36">
        <f t="shared" si="200"/>
        <v>1.4999999999999999E-2</v>
      </c>
      <c r="LO31" s="35">
        <v>0.05</v>
      </c>
      <c r="LP31" s="36">
        <f t="shared" si="201"/>
        <v>1.5E-3</v>
      </c>
      <c r="LQ31" s="35">
        <v>5.0000000000000001E-3</v>
      </c>
    </row>
    <row r="32" spans="1:329" s="4" customFormat="1" x14ac:dyDescent="0.25">
      <c r="A32" s="14"/>
      <c r="C32" s="33"/>
      <c r="D32" s="33"/>
      <c r="E32" s="33"/>
      <c r="H32" s="33"/>
      <c r="J32" s="33"/>
      <c r="M32" s="32"/>
      <c r="N32" s="32"/>
      <c r="O32" s="32"/>
      <c r="P32" s="32"/>
      <c r="Q32" s="32"/>
      <c r="U32" s="60"/>
      <c r="AC32" s="60"/>
      <c r="AD32" s="60"/>
      <c r="AE32" s="60"/>
      <c r="AF32" s="60"/>
      <c r="AG32" s="60"/>
      <c r="AH32" s="60"/>
      <c r="AI32" s="60"/>
      <c r="AJ32" s="60"/>
      <c r="AK32" s="60"/>
      <c r="AL32" s="602"/>
      <c r="AM32" s="602"/>
      <c r="AN32" s="602"/>
      <c r="AO32" s="602"/>
      <c r="AP32" s="602"/>
      <c r="AQ32" s="602"/>
      <c r="AR32" s="602"/>
      <c r="AS32" s="602"/>
      <c r="AT32" s="602"/>
      <c r="AU32" s="602"/>
      <c r="AV32" s="602"/>
      <c r="AW32" s="602"/>
      <c r="AX32" s="602"/>
      <c r="AY32" s="602"/>
      <c r="AZ32" s="602"/>
      <c r="BA32" s="602"/>
      <c r="BB32" s="602"/>
      <c r="BC32" s="602"/>
      <c r="BD32" s="60"/>
      <c r="BE32" s="60"/>
      <c r="BF32" s="60"/>
      <c r="BJ32" s="67"/>
      <c r="BK32" s="106"/>
      <c r="BL32" s="145"/>
      <c r="BM32" s="145"/>
      <c r="BN32" s="145"/>
      <c r="BO32" s="145"/>
      <c r="BP32" s="145"/>
      <c r="BQ32" s="145"/>
      <c r="BR32" s="145"/>
      <c r="BS32" s="145"/>
      <c r="BT32" s="145"/>
      <c r="BU32" s="106"/>
      <c r="BV32" s="145"/>
      <c r="BW32" s="145"/>
      <c r="BX32" s="145"/>
      <c r="BY32" s="145"/>
      <c r="BZ32" s="145"/>
      <c r="CA32" s="145"/>
      <c r="CB32" s="145"/>
      <c r="CC32" s="145"/>
      <c r="CD32" s="145"/>
      <c r="CE32" s="60"/>
      <c r="CF32" s="106"/>
      <c r="CG32" s="145"/>
      <c r="CH32" s="145"/>
      <c r="CI32" s="145"/>
      <c r="CJ32" s="145"/>
      <c r="CK32" s="145"/>
      <c r="CL32" s="145"/>
      <c r="CM32" s="145"/>
      <c r="CN32" s="145"/>
      <c r="CO32" s="145"/>
      <c r="CP32" s="106"/>
      <c r="CQ32" s="145"/>
      <c r="CR32" s="145"/>
      <c r="CS32" s="145"/>
      <c r="CT32" s="145"/>
      <c r="CU32" s="145"/>
      <c r="CV32" s="145"/>
      <c r="CW32" s="145"/>
      <c r="CX32" s="145"/>
      <c r="CY32" s="145"/>
      <c r="CZ32" s="60"/>
      <c r="DA32" s="60"/>
      <c r="DB32" s="60"/>
      <c r="DC32" s="32"/>
      <c r="DD32" s="32"/>
      <c r="DE32" s="67"/>
      <c r="DF32" s="270"/>
      <c r="DL32" s="123"/>
      <c r="DM32" s="123"/>
      <c r="DN32" s="60"/>
      <c r="DS32" s="60"/>
      <c r="DT32" s="60"/>
      <c r="DU32" s="60"/>
      <c r="EE32" s="60"/>
      <c r="EF32" s="60"/>
      <c r="EG32" s="60"/>
      <c r="EH32" s="60"/>
      <c r="EI32" s="123"/>
      <c r="EJ32" s="60"/>
      <c r="EK32" s="60"/>
      <c r="EL32" s="60"/>
      <c r="EM32" s="126"/>
      <c r="EN32" s="126"/>
      <c r="EO32" s="126"/>
      <c r="EP32" s="126"/>
      <c r="EQ32" s="126"/>
      <c r="ER32" s="126"/>
      <c r="ES32" s="126"/>
      <c r="ET32" s="126"/>
      <c r="EU32" s="126"/>
      <c r="EV32" s="60"/>
      <c r="EW32" s="542"/>
      <c r="EX32" s="542"/>
      <c r="EY32" s="542"/>
      <c r="EZ32" s="542"/>
      <c r="FA32" s="542"/>
      <c r="FB32" s="542"/>
      <c r="FC32" s="542"/>
      <c r="FD32" s="60"/>
      <c r="FE32" s="60"/>
      <c r="FF32" s="60"/>
      <c r="FG32" s="60"/>
      <c r="FH32" s="60"/>
      <c r="FI32" s="542"/>
      <c r="FJ32" s="542"/>
      <c r="FK32" s="542"/>
      <c r="FL32" s="542"/>
      <c r="FM32" s="542"/>
      <c r="FN32" s="542"/>
      <c r="FO32" s="542"/>
      <c r="FP32" s="542"/>
      <c r="FQ32" s="542"/>
      <c r="FR32" s="60"/>
      <c r="FS32" s="542"/>
      <c r="FT32" s="542"/>
      <c r="FU32" s="542"/>
      <c r="FV32" s="542"/>
      <c r="FW32" s="542"/>
      <c r="FX32" s="542"/>
      <c r="FY32" s="542"/>
      <c r="FZ32" s="60"/>
      <c r="GA32" s="60"/>
      <c r="GB32" s="60"/>
      <c r="GQ32" s="33"/>
      <c r="GR32" s="99"/>
      <c r="GS32" s="99"/>
      <c r="GT32" s="99"/>
      <c r="GU32" s="99"/>
      <c r="GV32" s="99"/>
      <c r="GW32" s="99"/>
      <c r="GX32" s="99"/>
      <c r="GY32" s="99"/>
      <c r="GZ32" s="99"/>
      <c r="HA32" s="99"/>
      <c r="HB32" s="99"/>
      <c r="HF32" s="97"/>
      <c r="HG32" s="264"/>
      <c r="HI32" s="67"/>
      <c r="HJ32" s="97"/>
      <c r="HK32" s="264"/>
      <c r="HM32" s="67"/>
      <c r="HN32" s="97"/>
      <c r="HO32" s="264"/>
      <c r="HQ32" s="67"/>
      <c r="HR32" s="97"/>
      <c r="HS32" s="32"/>
      <c r="HU32" s="67"/>
      <c r="HV32" s="97"/>
      <c r="HW32" s="32"/>
      <c r="HY32" s="67"/>
      <c r="HZ32" s="97"/>
      <c r="IA32" s="32"/>
      <c r="IC32" s="67"/>
      <c r="ID32" s="97"/>
      <c r="IF32" s="60"/>
      <c r="IG32" s="97"/>
      <c r="II32" s="60"/>
      <c r="IJ32" s="97"/>
      <c r="IL32" s="60"/>
      <c r="IM32" s="60"/>
      <c r="IN32" s="60"/>
      <c r="IO32" s="60"/>
      <c r="IP32" s="97"/>
      <c r="IQ32" s="49"/>
      <c r="IR32" s="60"/>
      <c r="IS32" s="60"/>
      <c r="IT32" s="97"/>
      <c r="IU32" s="601"/>
      <c r="IV32" s="49"/>
      <c r="IW32" s="60"/>
      <c r="IX32" s="100"/>
      <c r="IY32" s="100"/>
      <c r="IZ32" s="100"/>
      <c r="JA32" s="100"/>
      <c r="JB32" s="100"/>
      <c r="JC32" s="49"/>
      <c r="JD32" s="60"/>
      <c r="JE32" s="100"/>
      <c r="JF32" s="100"/>
      <c r="JG32" s="100"/>
      <c r="JH32" s="100"/>
      <c r="JI32" s="100"/>
      <c r="JJ32" s="97"/>
      <c r="JK32" s="97"/>
      <c r="JL32" s="97"/>
      <c r="JM32" s="97"/>
      <c r="JN32" s="97"/>
      <c r="JO32" s="97"/>
      <c r="JP32" s="97"/>
      <c r="JQ32" s="97"/>
      <c r="JR32" s="97"/>
      <c r="JS32" s="97"/>
      <c r="JT32" s="97"/>
      <c r="JU32" s="97"/>
      <c r="JV32" s="97"/>
      <c r="JW32" s="97"/>
      <c r="JX32" s="97"/>
      <c r="JY32" s="522"/>
      <c r="JZ32" s="60"/>
      <c r="KA32" s="60"/>
      <c r="KB32" s="97"/>
      <c r="KC32" s="123"/>
      <c r="KD32" s="123"/>
      <c r="KE32" s="123"/>
      <c r="KF32" s="123"/>
      <c r="KG32" s="123"/>
      <c r="KH32" s="49"/>
      <c r="KI32" s="60"/>
      <c r="KJ32" s="60"/>
      <c r="KK32" s="60"/>
      <c r="KL32" s="60"/>
      <c r="KM32" s="60"/>
      <c r="KN32" s="60"/>
      <c r="KO32" s="60"/>
      <c r="KP32" s="60"/>
    </row>
    <row r="33" spans="1:329" s="4" customFormat="1" ht="13.8" x14ac:dyDescent="0.3">
      <c r="A33" s="15" t="s">
        <v>76</v>
      </c>
      <c r="B33" s="152">
        <f>B34+B35</f>
        <v>25.5</v>
      </c>
      <c r="C33" s="152">
        <f t="shared" ref="C33:D33" si="206">C34+C35</f>
        <v>15.8</v>
      </c>
      <c r="D33" s="152">
        <f t="shared" si="206"/>
        <v>9.7000000000000011</v>
      </c>
      <c r="E33" s="33"/>
      <c r="F33" s="153">
        <f>U33/B33</f>
        <v>63.074509803921565</v>
      </c>
      <c r="G33" s="153">
        <f>V33/B33</f>
        <v>16.728611764705885</v>
      </c>
      <c r="I33" s="153">
        <f>Y33/C33</f>
        <v>14.986025316455695</v>
      </c>
      <c r="K33" s="153">
        <f>AA33/D33</f>
        <v>19.567051546391752</v>
      </c>
      <c r="L33" s="153">
        <f>($B34*L34+$B35*L35)/$B33</f>
        <v>15.479814964817251</v>
      </c>
      <c r="M33" s="153">
        <f>($B34*M34+$B35*M35)/$B33</f>
        <v>4.1055541381284248</v>
      </c>
      <c r="N33" s="153"/>
      <c r="O33" s="153">
        <f t="shared" ref="O33" si="207">($C34*O34+$C35*O35)/$C33</f>
        <v>3.6778866720955161</v>
      </c>
      <c r="P33" s="153"/>
      <c r="Q33" s="153">
        <f>($D34*Q34+$D35*Q35)/$D33</f>
        <v>4.8021671240376991</v>
      </c>
      <c r="U33" s="152">
        <f>U34+U35</f>
        <v>1608.3999999999999</v>
      </c>
      <c r="V33" s="152">
        <f>V34+V35</f>
        <v>426.57960000000003</v>
      </c>
      <c r="W33" s="265">
        <f>V33/V$17</f>
        <v>0.1124983478173124</v>
      </c>
      <c r="Y33" s="152">
        <f>Y34+Y35</f>
        <v>236.7792</v>
      </c>
      <c r="AA33" s="152">
        <f>AA34+AA35</f>
        <v>189.80040000000002</v>
      </c>
      <c r="AB33" s="154"/>
      <c r="AC33" s="265">
        <f t="shared" ref="AC33:AK33" si="208">($B34*AC34+$B35*AC35)/$B33</f>
        <v>0.40572649079476014</v>
      </c>
      <c r="AD33" s="265">
        <f t="shared" si="208"/>
        <v>0.15858240078281421</v>
      </c>
      <c r="AE33" s="265">
        <f t="shared" si="208"/>
        <v>0.10735642279680457</v>
      </c>
      <c r="AF33" s="265">
        <f t="shared" si="208"/>
        <v>8.5007810867061967E-2</v>
      </c>
      <c r="AG33" s="265">
        <f t="shared" si="208"/>
        <v>6.6650713201964876E-2</v>
      </c>
      <c r="AH33" s="265">
        <f t="shared" si="208"/>
        <v>6.2633227955993978E-2</v>
      </c>
      <c r="AI33" s="265">
        <f t="shared" si="208"/>
        <v>2.5633274797698627E-2</v>
      </c>
      <c r="AJ33" s="265">
        <f t="shared" si="208"/>
        <v>8.6275243780349023E-2</v>
      </c>
      <c r="AK33" s="265">
        <f t="shared" si="208"/>
        <v>2.0815454744106537E-3</v>
      </c>
      <c r="AL33" s="603"/>
      <c r="AM33" s="603"/>
      <c r="AN33" s="603"/>
      <c r="AO33" s="603"/>
      <c r="AP33" s="603"/>
      <c r="AQ33" s="603"/>
      <c r="AR33" s="603"/>
      <c r="AS33" s="603"/>
      <c r="AT33" s="603"/>
      <c r="AU33" s="603"/>
      <c r="AV33" s="603"/>
      <c r="AW33" s="603"/>
      <c r="AX33" s="603"/>
      <c r="AY33" s="603"/>
      <c r="AZ33" s="603"/>
      <c r="BA33" s="603"/>
      <c r="BB33" s="603"/>
      <c r="BC33" s="603"/>
      <c r="BD33" s="152">
        <f>BD34+BD35</f>
        <v>4.8477702357542762</v>
      </c>
      <c r="BE33" s="152">
        <f t="shared" ref="BE33:BF33" si="209">BE34+BE35</f>
        <v>2.1710203978280713</v>
      </c>
      <c r="BF33" s="152">
        <f t="shared" si="209"/>
        <v>2.676749837926204</v>
      </c>
      <c r="BG33" s="152">
        <f>($B34*BG34+$B35*BG35)/$B33</f>
        <v>190.10863669624609</v>
      </c>
      <c r="BH33" s="152">
        <f>($B34*BH34+$B35*BH35)/$B33</f>
        <v>85.138054816787118</v>
      </c>
      <c r="BI33" s="152">
        <f>($B34*BI34+$B35*BI35)/$B33</f>
        <v>104.97058187945899</v>
      </c>
      <c r="BJ33" s="152">
        <f>($C34*BJ34+$C35*BJ35)/$C33</f>
        <v>224.53716852837621</v>
      </c>
      <c r="BK33" s="144">
        <f t="shared" ref="BK33:BU33" si="210">($C34*BK34+$C35*BK35)/$C33</f>
        <v>103.9381484636942</v>
      </c>
      <c r="BL33" s="144"/>
      <c r="BM33" s="144"/>
      <c r="BN33" s="144"/>
      <c r="BO33" s="144"/>
      <c r="BP33" s="144"/>
      <c r="BQ33" s="144"/>
      <c r="BR33" s="144"/>
      <c r="BS33" s="144"/>
      <c r="BT33" s="144"/>
      <c r="BU33" s="144">
        <f t="shared" si="210"/>
        <v>120.59902006468204</v>
      </c>
      <c r="BV33" s="144"/>
      <c r="BW33" s="144"/>
      <c r="BX33" s="144"/>
      <c r="BY33" s="144"/>
      <c r="BZ33" s="144"/>
      <c r="CA33" s="144"/>
      <c r="CB33" s="144"/>
      <c r="CC33" s="144"/>
      <c r="CD33" s="144"/>
      <c r="CE33" s="144">
        <f>($D34*CE34+$D35*CE35)/$D33</f>
        <v>134.02917247483825</v>
      </c>
      <c r="CF33" s="144">
        <f>($D34*CF34+$D35*CF35)/$D33</f>
        <v>54.51522186615496</v>
      </c>
      <c r="CG33" s="144"/>
      <c r="CH33" s="144"/>
      <c r="CI33" s="144"/>
      <c r="CJ33" s="144"/>
      <c r="CK33" s="144"/>
      <c r="CL33" s="144"/>
      <c r="CM33" s="144"/>
      <c r="CN33" s="144"/>
      <c r="CO33" s="144"/>
      <c r="CP33" s="144">
        <f>($D34*CP34+$D35*CP35)/$D33</f>
        <v>79.513950608683288</v>
      </c>
      <c r="CQ33" s="144"/>
      <c r="CR33" s="144"/>
      <c r="CS33" s="144"/>
      <c r="CT33" s="144"/>
      <c r="CU33" s="144"/>
      <c r="CV33" s="144"/>
      <c r="CW33" s="144"/>
      <c r="CX33" s="144"/>
      <c r="CY33" s="144"/>
      <c r="CZ33" s="152">
        <f>CZ34+CZ35</f>
        <v>2.2667833784446532</v>
      </c>
      <c r="DA33" s="152">
        <f t="shared" ref="DA33:DB33" si="211">DA34+DA35</f>
        <v>0.25922099999999998</v>
      </c>
      <c r="DB33" s="152">
        <f t="shared" si="211"/>
        <v>2.007562378444653</v>
      </c>
      <c r="DC33" s="153">
        <f>($B34*DC34+$B35*DC35)/$B33</f>
        <v>88.893465821358944</v>
      </c>
      <c r="DD33" s="153">
        <f>($B34*DD34+$B35*DD35)/$B33</f>
        <v>10.165529411764705</v>
      </c>
      <c r="DE33" s="152">
        <f>($B34*DE34+$B35*DE35)/$B33</f>
        <v>78.727936409594236</v>
      </c>
      <c r="DF33" s="270"/>
      <c r="DG33" s="152">
        <f>($C34*DG34+$C35*DG35)/$C33</f>
        <v>100.12663846623303</v>
      </c>
      <c r="DH33" s="152">
        <f t="shared" ref="DH33:DI33" si="212">($C34*DH34+$C35*DH35)/$C33</f>
        <v>9.6773734177215172</v>
      </c>
      <c r="DI33" s="152">
        <f t="shared" si="212"/>
        <v>90.449265048511521</v>
      </c>
      <c r="DJ33" s="152"/>
      <c r="DL33" s="123"/>
      <c r="DM33" s="123"/>
      <c r="DN33" s="152">
        <f>($D34*DN34+$D35*DN35)/$D33</f>
        <v>70.596133059605236</v>
      </c>
      <c r="DO33" s="152">
        <f>($D34*DO34+$D35*DO35)/$D33</f>
        <v>10.960670103092784</v>
      </c>
      <c r="DP33" s="152">
        <f>($D34*DP34+$D35*DP35)/$D33</f>
        <v>59.635462956512463</v>
      </c>
      <c r="DQ33" s="152"/>
      <c r="DS33" s="154"/>
      <c r="DT33" s="154"/>
      <c r="DU33" s="154"/>
      <c r="DV33" s="152">
        <f t="shared" ref="DV33:DX35" si="213">BG33-DC33</f>
        <v>101.21517087488715</v>
      </c>
      <c r="DW33" s="152">
        <f t="shared" si="213"/>
        <v>74.972525405022409</v>
      </c>
      <c r="DX33" s="152">
        <f t="shared" si="213"/>
        <v>26.242645469864755</v>
      </c>
      <c r="DY33" s="152">
        <f t="shared" ref="DY33:DZ35" si="214">BJ33-DG33</f>
        <v>124.41053006214318</v>
      </c>
      <c r="DZ33" s="152">
        <f t="shared" si="214"/>
        <v>94.260775045972693</v>
      </c>
      <c r="EA33" s="152">
        <f>BU33-DI33</f>
        <v>30.149755016170516</v>
      </c>
      <c r="EB33" s="152">
        <f t="shared" ref="EB33:EC35" si="215">CE33-DN33</f>
        <v>63.433039415233011</v>
      </c>
      <c r="EC33" s="152">
        <f t="shared" si="215"/>
        <v>43.554551763062179</v>
      </c>
      <c r="ED33" s="152">
        <f>CP33-DP33</f>
        <v>19.878487652170826</v>
      </c>
      <c r="EE33" s="152">
        <f>($B34*EE34+$B35*EE35)/$B33</f>
        <v>77.577422916658236</v>
      </c>
      <c r="EF33" s="144"/>
      <c r="EG33" s="144"/>
      <c r="EH33" s="152">
        <f t="shared" ref="EH33" si="216">($C34*EH34+$C35*EH35)/$C33</f>
        <v>95.371356019241304</v>
      </c>
      <c r="EI33" s="144"/>
      <c r="EJ33" s="144"/>
      <c r="EK33" s="144"/>
      <c r="EL33" s="144"/>
      <c r="EM33" s="126"/>
      <c r="EN33" s="126"/>
      <c r="EO33" s="126"/>
      <c r="EP33" s="126"/>
      <c r="EQ33" s="126"/>
      <c r="ER33" s="126"/>
      <c r="ES33" s="126"/>
      <c r="ET33" s="126"/>
      <c r="EU33" s="126"/>
      <c r="EW33" s="555"/>
      <c r="EX33" s="555"/>
      <c r="EY33" s="555"/>
      <c r="EZ33" s="555"/>
      <c r="FA33" s="555"/>
      <c r="FB33" s="555"/>
      <c r="FC33" s="555"/>
      <c r="FD33" s="152">
        <f>($D34*FD34+$D35*FD35)/$D33</f>
        <v>48.593490646471395</v>
      </c>
      <c r="FE33" s="144"/>
      <c r="FF33" s="144"/>
      <c r="FG33" s="144"/>
      <c r="FH33" s="144"/>
      <c r="FI33" s="555"/>
      <c r="FJ33" s="555"/>
      <c r="FK33" s="555"/>
      <c r="FL33" s="555"/>
      <c r="FM33" s="555"/>
      <c r="FN33" s="555"/>
      <c r="FO33" s="555"/>
      <c r="FP33" s="555"/>
      <c r="FQ33" s="555"/>
      <c r="FR33" s="144"/>
      <c r="FS33" s="555"/>
      <c r="FT33" s="555"/>
      <c r="FU33" s="555"/>
      <c r="FV33" s="555"/>
      <c r="FW33" s="555"/>
      <c r="FX33" s="555"/>
      <c r="FY33" s="555"/>
      <c r="FZ33" s="60"/>
      <c r="GA33" s="60"/>
      <c r="GB33" s="60"/>
      <c r="GP33" s="153">
        <f>($B34*GP34+$B35*GP35)/$B33</f>
        <v>6.9030980392156875</v>
      </c>
      <c r="GQ33" s="153">
        <f t="shared" ref="GQ33" si="217">($C34*GQ34+$C35*GQ35)/$C33</f>
        <v>7.843291139240506</v>
      </c>
      <c r="GR33" s="152">
        <f>($D34*GR34+$D35*GR35)/$D33</f>
        <v>5.371649484536082</v>
      </c>
      <c r="GS33" s="152"/>
      <c r="GT33" s="152"/>
      <c r="GU33" s="152"/>
      <c r="GV33" s="152"/>
      <c r="GW33" s="152"/>
      <c r="GX33" s="152"/>
      <c r="GY33" s="152"/>
      <c r="GZ33" s="152"/>
      <c r="HA33" s="152"/>
      <c r="HB33" s="152"/>
      <c r="HF33" s="269"/>
      <c r="HG33" s="524">
        <f>EE33/'Discounting metrics'!E$4/M33</f>
        <v>0.18895725231386915</v>
      </c>
      <c r="HH33" s="49"/>
      <c r="HI33" s="152"/>
      <c r="HJ33" s="97"/>
      <c r="HK33" s="524">
        <f>EH33/'Discounting metrics'!E$4/O33</f>
        <v>0.25931020861200826</v>
      </c>
      <c r="HL33" s="49"/>
      <c r="HM33" s="152"/>
      <c r="HN33" s="97"/>
      <c r="HO33" s="524">
        <f>FD33/'Discounting metrics'!E$4/Q33</f>
        <v>0.10119075282330785</v>
      </c>
      <c r="HP33" s="49"/>
      <c r="HQ33" s="152"/>
      <c r="HR33" s="269">
        <f>$IM$11*ID33</f>
        <v>5.4594446057680913E-2</v>
      </c>
      <c r="HS33" s="525">
        <f>$IM$11*IE33</f>
        <v>0.20584600632372937</v>
      </c>
      <c r="HT33" s="49"/>
      <c r="HU33" s="152"/>
      <c r="HV33" s="97"/>
      <c r="HW33" s="525">
        <f>$IM$11*IH33</f>
        <v>0.26107794197951006</v>
      </c>
      <c r="HX33" s="49"/>
      <c r="HY33" s="152"/>
      <c r="HZ33" s="97"/>
      <c r="IA33" s="525">
        <f>$IM$11*IK33</f>
        <v>0.13694323510181824</v>
      </c>
      <c r="IB33" s="49"/>
      <c r="IC33" s="152"/>
      <c r="ID33" s="149">
        <f>GP33/F33</f>
        <v>0.10944354638149717</v>
      </c>
      <c r="IE33" s="525">
        <f>GP33/G33</f>
        <v>0.41265217558458023</v>
      </c>
      <c r="IF33" s="123"/>
      <c r="IG33" s="97"/>
      <c r="IH33" s="525">
        <f>GQ33/I33</f>
        <v>0.52337367471467089</v>
      </c>
      <c r="II33" s="123"/>
      <c r="IJ33" s="97"/>
      <c r="IK33" s="525">
        <f>GR33/K33</f>
        <v>0.2745252380922274</v>
      </c>
      <c r="IL33" s="123"/>
      <c r="IM33" s="60"/>
      <c r="IN33" s="60"/>
      <c r="IO33" s="60"/>
      <c r="IP33" s="152">
        <f t="shared" ref="IP33" si="218">IP34+IP35</f>
        <v>27.446160857968</v>
      </c>
      <c r="IQ33" s="269">
        <f>($U34*IQ34+$U35*IQ35)/$U33</f>
        <v>1.7064263154667997E-2</v>
      </c>
      <c r="IR33" s="473">
        <f>($V34*IR34+$V35*IR35)/$V33</f>
        <v>6.4340068906173664E-2</v>
      </c>
      <c r="IS33" s="123"/>
      <c r="IT33" s="149"/>
      <c r="IU33" s="594">
        <f>($B34*IU34+$B35*IU35)/$B33</f>
        <v>2.116470588235294E-2</v>
      </c>
      <c r="IV33" s="269"/>
      <c r="IW33" s="473">
        <f>($Y34*IW34+$Y35*IW35)/$Y33</f>
        <v>5.0124847697635602E-2</v>
      </c>
      <c r="IX33" s="594">
        <f>($C34*IX34+$C35*IX35)/$C33</f>
        <v>1.5849367088607593E-2</v>
      </c>
      <c r="IY33" s="594"/>
      <c r="IZ33" s="594"/>
      <c r="JA33" s="594"/>
      <c r="JB33" s="594"/>
      <c r="JC33" s="269"/>
      <c r="JD33" s="473">
        <f>($AA34*JD34+$AA35*JD35)/$AA33</f>
        <v>8.2073797104747936E-2</v>
      </c>
      <c r="JE33" s="594">
        <f>($D34*JE34+$D35*JE35)/$D33</f>
        <v>2.9822680412371134E-2</v>
      </c>
      <c r="JF33" s="594"/>
      <c r="JG33" s="594"/>
      <c r="JH33" s="594"/>
      <c r="JI33" s="594"/>
      <c r="JJ33" s="595"/>
      <c r="JK33" s="595"/>
      <c r="JL33" s="595"/>
      <c r="JM33" s="595"/>
      <c r="JN33" s="595"/>
      <c r="JO33" s="595"/>
      <c r="JP33" s="595"/>
      <c r="JQ33" s="595"/>
      <c r="JR33" s="595"/>
      <c r="JS33" s="152">
        <f>JS34+JS35</f>
        <v>63.93485731603279</v>
      </c>
      <c r="JT33" s="152">
        <f>JT34+JT35</f>
        <v>22.025221086735215</v>
      </c>
      <c r="JU33" s="152">
        <f>JU34+JU35</f>
        <v>2.0554089639732958</v>
      </c>
      <c r="JV33" s="152">
        <f t="shared" ref="JV33:JX33" si="219">JV34+JV35</f>
        <v>11.356244999391999</v>
      </c>
      <c r="JW33" s="152">
        <f t="shared" si="219"/>
        <v>19.736244665932286</v>
      </c>
      <c r="JX33" s="152">
        <f t="shared" si="219"/>
        <v>8.7617376</v>
      </c>
      <c r="JY33" s="269">
        <f>($V34*JY34+$V35*JY35)/$V33</f>
        <v>3.9396429857948757E-2</v>
      </c>
      <c r="JZ33" s="473">
        <f>($V34*JZ34+$V35*JZ35)/$V33</f>
        <v>0.14987790629470513</v>
      </c>
      <c r="KA33" s="123"/>
      <c r="KB33" s="149"/>
      <c r="KC33" s="123"/>
      <c r="KD33" s="269">
        <f>($V34*KD34+$V35*KD35)/$V33</f>
        <v>5.6450496110710659E-2</v>
      </c>
      <c r="KE33" s="123"/>
      <c r="KF33" s="269">
        <f>($V34*KF34+$V35*KF35)/$V33</f>
        <v>7.2887896339450559E-2</v>
      </c>
      <c r="KG33" s="123"/>
      <c r="KH33" s="269">
        <f>($V34*KH34+$V35*KH35)/$V33</f>
        <v>2.0539513844543902E-2</v>
      </c>
      <c r="KI33" s="269">
        <f>($U34*KI34+$U35*KI35)/$U33</f>
        <v>1.3693870359820453E-2</v>
      </c>
      <c r="KJ33" s="269">
        <f>($V34*KJ34+$V35*KJ35)/$V33</f>
        <v>5.1632148107258795E-2</v>
      </c>
      <c r="KK33" s="269">
        <f>($U34*KK34+$U35*KK35)/$U33</f>
        <v>1.2779215145320168E-3</v>
      </c>
      <c r="KL33" s="269">
        <f>($V34*KL34+$V35*KL35)/$V33</f>
        <v>4.8183480034518656E-3</v>
      </c>
      <c r="KM33" s="269">
        <f>($U34*KM34+$U35*KM35)/$U33</f>
        <v>7.0605850530912721E-3</v>
      </c>
      <c r="KN33" s="269">
        <f>($V34*KN34+$V35*KN35)/$V33</f>
        <v>2.6621631694042559E-2</v>
      </c>
      <c r="KO33" s="269">
        <f>($U34*KO34+$U35*KO35)/$U33</f>
        <v>1.2270731575436638E-2</v>
      </c>
      <c r="KP33" s="269">
        <f>($V34*KP34+$V35*KP35)/$V33</f>
        <v>4.6266264645407999E-2</v>
      </c>
      <c r="KQ33" s="269">
        <f>($V34*KQ34+$V35*KQ35)/$V33</f>
        <v>0.90706123368506564</v>
      </c>
      <c r="KT33" s="269">
        <f>($Y34*KT34+$Y35*KT35)/$Y33</f>
        <v>1.1554836874228043</v>
      </c>
      <c r="KW33" s="269">
        <f>($AA34*KW34+$AA35*KW35)/$AA33</f>
        <v>0.59715003298128022</v>
      </c>
      <c r="KZ33" s="269">
        <f>($V34*KZ34+$V35*KZ35)/$V33</f>
        <v>0.968986665054553</v>
      </c>
      <c r="LC33" s="269">
        <f>($Y34*LC34+$Y35*LC35)/$Y33</f>
        <v>1.1619653764369777</v>
      </c>
      <c r="LF33" s="269">
        <f>($AA34*LF34+$AA35*LF35)/$AA33</f>
        <v>59.09771668337855</v>
      </c>
      <c r="LM33" s="16"/>
    </row>
    <row r="34" spans="1:329" s="4" customFormat="1" x14ac:dyDescent="0.25">
      <c r="A34" s="14" t="s">
        <v>72</v>
      </c>
      <c r="B34" s="67">
        <f t="shared" ref="B34:B35" si="220">C34+D34</f>
        <v>20</v>
      </c>
      <c r="C34" s="33">
        <v>11.6</v>
      </c>
      <c r="D34" s="33">
        <v>8.4</v>
      </c>
      <c r="E34" s="38">
        <f t="shared" ref="E34:E35" si="221">D34/B34</f>
        <v>0.42000000000000004</v>
      </c>
      <c r="F34" s="108">
        <f>U34/B34</f>
        <v>67.605999999999995</v>
      </c>
      <c r="G34" s="32">
        <f>V34/B34</f>
        <v>18.253620000000002</v>
      </c>
      <c r="H34" s="33">
        <v>61.6</v>
      </c>
      <c r="I34" s="32">
        <f>$LI34*H34</f>
        <v>16.632000000000001</v>
      </c>
      <c r="J34" s="33">
        <v>75.900000000000006</v>
      </c>
      <c r="K34" s="32">
        <f>$LI34*J34</f>
        <v>20.493000000000002</v>
      </c>
      <c r="L34" s="32">
        <f>(F34/'Discounting metrics'!$D$4*(1-EXP(-'Discounting metrics'!$D$4*'Discounting metrics'!$E$4)))/'Discounting metrics'!$E$4</f>
        <v>16.591938229322057</v>
      </c>
      <c r="M34" s="32">
        <f>(G34/'Discounting metrics'!$D$4*(1-EXP(-'Discounting metrics'!$D$4*'Discounting metrics'!$E$4)))/'Discounting metrics'!$E$4</f>
        <v>4.4798233219169559</v>
      </c>
      <c r="N34" s="32">
        <f>(H34/'Discounting metrics'!$D$4*(1-EXP(-'Discounting metrics'!$D$4*'Discounting metrics'!$E$4)))/'Discounting metrics'!$E$4</f>
        <v>15.117939161113492</v>
      </c>
      <c r="O34" s="32">
        <f>(I34/'Discounting metrics'!$D$4*(1-EXP(-'Discounting metrics'!$D$4*'Discounting metrics'!$E$4)))/'Discounting metrics'!$E$4</f>
        <v>4.0818435735006435</v>
      </c>
      <c r="P34" s="32">
        <f>(J34/'Discounting metrics'!$D$4*(1-EXP(-'Discounting metrics'!$D$4*'Discounting metrics'!$E$4)))/'Discounting metrics'!$E$4</f>
        <v>18.627460752086268</v>
      </c>
      <c r="Q34" s="32">
        <f>(K34/'Discounting metrics'!$D$4*(1-EXP(-'Discounting metrics'!$D$4*'Discounting metrics'!$E$4)))/'Discounting metrics'!$E$4</f>
        <v>5.029414403063293</v>
      </c>
      <c r="R34" s="32">
        <f>10/G34</f>
        <v>0.54783653872492133</v>
      </c>
      <c r="S34" s="32">
        <f>10/I34</f>
        <v>0.60125060125060115</v>
      </c>
      <c r="T34" s="32">
        <f>10/K34</f>
        <v>0.48797150246425602</v>
      </c>
      <c r="U34" s="107">
        <f t="shared" ref="U34:V35" si="222">X34+Z34</f>
        <v>1352.12</v>
      </c>
      <c r="V34" s="68">
        <f t="shared" si="222"/>
        <v>365.07240000000002</v>
      </c>
      <c r="W34" s="68"/>
      <c r="X34" s="67">
        <f>C34*H34</f>
        <v>714.56</v>
      </c>
      <c r="Y34" s="67">
        <f>C34*I34</f>
        <v>192.93120000000002</v>
      </c>
      <c r="Z34" s="67">
        <f>D34*J34</f>
        <v>637.56000000000006</v>
      </c>
      <c r="AA34" s="67">
        <f>D34*K34</f>
        <v>172.14120000000003</v>
      </c>
      <c r="AB34" s="600">
        <f t="shared" ref="AB34:AB35" si="223">AA34/V34</f>
        <v>0.47152619589977224</v>
      </c>
      <c r="AC34" s="294">
        <f t="shared" ref="AC34:AK35" si="224">($C34*AL34+$D34*AU34)/$B34</f>
        <v>0.51723286728248008</v>
      </c>
      <c r="AD34" s="294">
        <f t="shared" si="224"/>
        <v>0.12312672962201147</v>
      </c>
      <c r="AE34" s="294">
        <f t="shared" si="224"/>
        <v>4.4614144210153844E-3</v>
      </c>
      <c r="AF34" s="294">
        <f t="shared" si="224"/>
        <v>0.10838141405704942</v>
      </c>
      <c r="AG34" s="294">
        <f t="shared" si="224"/>
        <v>6.0138118534440989E-2</v>
      </c>
      <c r="AH34" s="294">
        <f t="shared" si="224"/>
        <v>4.8408892291828785E-2</v>
      </c>
      <c r="AI34" s="294">
        <f t="shared" si="224"/>
        <v>2.7996932745068065E-2</v>
      </c>
      <c r="AJ34" s="294">
        <f t="shared" si="224"/>
        <v>0.1100005987065473</v>
      </c>
      <c r="AK34" s="294">
        <f t="shared" si="224"/>
        <v>2.1204993403145666E-4</v>
      </c>
      <c r="AL34" s="433">
        <v>0.71511060573821572</v>
      </c>
      <c r="AM34" s="433">
        <v>0.16678621526948259</v>
      </c>
      <c r="AN34" s="433">
        <v>7.6901189321109138E-3</v>
      </c>
      <c r="AO34" s="433">
        <v>7.3232573782964758E-2</v>
      </c>
      <c r="AP34" s="433">
        <v>1.309016326479184E-2</v>
      </c>
      <c r="AQ34" s="433">
        <v>8.9053046222622254E-3</v>
      </c>
      <c r="AR34" s="433">
        <v>1.7627509905322376E-3</v>
      </c>
      <c r="AS34" s="433">
        <v>1.2986004745228279E-2</v>
      </c>
      <c r="AT34" s="433">
        <v>3.6560333453699423E-4</v>
      </c>
      <c r="AU34" s="433">
        <v>0.24397313322455927</v>
      </c>
      <c r="AV34" s="433">
        <v>6.2835058965979934E-2</v>
      </c>
      <c r="AW34" s="433">
        <v>2.7272390263204764E-6</v>
      </c>
      <c r="AX34" s="433">
        <v>0.15692028872126157</v>
      </c>
      <c r="AY34" s="433">
        <v>0.12510910438300407</v>
      </c>
      <c r="AZ34" s="433">
        <v>0.10296146574027784</v>
      </c>
      <c r="BA34" s="433">
        <v>6.4225088501331823E-2</v>
      </c>
      <c r="BB34" s="433">
        <v>0.24397313322455927</v>
      </c>
      <c r="BC34" s="433">
        <v>0</v>
      </c>
      <c r="BD34" s="554">
        <f>BG34*$B34/10^3</f>
        <v>4.030533132106032</v>
      </c>
      <c r="BE34" s="554">
        <f t="shared" ref="BE34:BF35" si="225">BH34*$B34/10^3</f>
        <v>1.8684666824719263</v>
      </c>
      <c r="BF34" s="554">
        <f t="shared" si="225"/>
        <v>2.1620664496341053</v>
      </c>
      <c r="BG34" s="67">
        <f t="shared" ref="BG34:BG35" si="226">BH34+BI34</f>
        <v>201.52665660530158</v>
      </c>
      <c r="BH34" s="67">
        <f>(BK34*$C34+CF34*$D34)/$B34</f>
        <v>93.42333412359632</v>
      </c>
      <c r="BI34" s="67">
        <f>(BU34*$C34+CP34*$D34)/$B34</f>
        <v>108.10332248170528</v>
      </c>
      <c r="BJ34" s="67">
        <f>BK34+BU34</f>
        <v>247.0295837776824</v>
      </c>
      <c r="BK34" s="68">
        <f t="shared" ref="BK34:BK35" si="227">$AL34*BL34+$AM34*BM34+$AN34*BN34+$AO34*BO34+$AP34*BP34+$AQ34*BQ34+$AR34*BR34+$AS34*BS34+$AT34*BT34</f>
        <v>119.46214286781115</v>
      </c>
      <c r="BL34" s="145">
        <v>131.07729517133163</v>
      </c>
      <c r="BM34" s="145">
        <v>125.50825724103241</v>
      </c>
      <c r="BN34" s="145">
        <v>34.282887859859478</v>
      </c>
      <c r="BO34" s="145">
        <v>45.856139101175842</v>
      </c>
      <c r="BP34" s="145">
        <v>8.4820104258126108</v>
      </c>
      <c r="BQ34" s="145">
        <v>1.3657578023756154</v>
      </c>
      <c r="BR34" s="145">
        <v>1.2729322933278872E-2</v>
      </c>
      <c r="BS34" s="145">
        <v>80.803397604378773</v>
      </c>
      <c r="BT34" s="145">
        <v>0</v>
      </c>
      <c r="BU34" s="68">
        <f t="shared" ref="BU34:BU35" si="228">$AL34*BV34+$AM34*BW34+$AN34*BX34+$AO34*BY34+$AP34*BZ34+$AQ34*CA34+$AR34*CB34+$AS34*CC34+$AT34*CD34</f>
        <v>127.56744090987125</v>
      </c>
      <c r="BV34" s="145">
        <v>134.09612647650189</v>
      </c>
      <c r="BW34" s="145">
        <v>94.068148023602348</v>
      </c>
      <c r="BX34" s="145">
        <v>165.88546695036766</v>
      </c>
      <c r="BY34" s="145">
        <v>168.49534301572422</v>
      </c>
      <c r="BZ34" s="145">
        <v>79.306676170192333</v>
      </c>
      <c r="CA34" s="145">
        <v>42.113106606249438</v>
      </c>
      <c r="CB34" s="145">
        <v>0.18633574513784831</v>
      </c>
      <c r="CC34" s="145">
        <v>73.624325238382966</v>
      </c>
      <c r="CD34" s="145">
        <v>0</v>
      </c>
      <c r="CE34" s="68">
        <f t="shared" ref="CE34:CE35" si="229">CF34+CP34</f>
        <v>138.68928098629954</v>
      </c>
      <c r="CF34" s="68">
        <f t="shared" ref="CF34:CF35" si="230">$AU34*CG34+$AV34*CH34+$AW34*CI34+$AX34*CJ34+$AY34*CK34+$AZ34*CL34+$BA34*CM34+$BB34*CN34+$BC34*CO34</f>
        <v>57.464979191109173</v>
      </c>
      <c r="CG34" s="145">
        <v>153.42535155255524</v>
      </c>
      <c r="CH34" s="145">
        <v>168.12041191243469</v>
      </c>
      <c r="CI34" s="145">
        <v>118.67704232553048</v>
      </c>
      <c r="CJ34" s="145">
        <v>36.884186163146168</v>
      </c>
      <c r="CK34" s="145">
        <v>4.1718420269629606</v>
      </c>
      <c r="CL34" s="145">
        <v>0.79488998172349012</v>
      </c>
      <c r="CM34" s="145">
        <v>8.3930131424265503E-2</v>
      </c>
      <c r="CN34" s="145">
        <v>12.591918381568574</v>
      </c>
      <c r="CO34" s="145">
        <v>0</v>
      </c>
      <c r="CP34" s="68">
        <f t="shared" ref="CP34:CP35" si="231">$AU34*CQ34+$AV34*CR34+$AW34*CS34+$AX34*CT34+$AY34*CU34+$AZ34*CV34+$BA34*CW34+$BB34*CX34+$BC34*CY34</f>
        <v>81.224301795190371</v>
      </c>
      <c r="CQ34" s="145">
        <v>153.66978084554572</v>
      </c>
      <c r="CR34" s="145">
        <v>112.92683652589039</v>
      </c>
      <c r="CS34" s="145">
        <v>149.10705317823061</v>
      </c>
      <c r="CT34" s="145">
        <v>187.7896481900745</v>
      </c>
      <c r="CU34" s="145">
        <v>24.120949244574597</v>
      </c>
      <c r="CV34" s="145">
        <v>9.7718540741814</v>
      </c>
      <c r="CW34" s="145">
        <v>0.42905490624631565</v>
      </c>
      <c r="CX34" s="145">
        <v>12.777620548369081</v>
      </c>
      <c r="CY34" s="145">
        <v>0</v>
      </c>
      <c r="CZ34" s="554">
        <f>DC34*$B34/10^3</f>
        <v>1.8615498372255792</v>
      </c>
      <c r="DA34" s="554">
        <f t="shared" ref="DA34:DB35" si="232">DD34*$B34/10^3</f>
        <v>0.24</v>
      </c>
      <c r="DB34" s="554">
        <f t="shared" si="232"/>
        <v>1.6215498372255792</v>
      </c>
      <c r="DC34" s="32">
        <f t="shared" ref="DC34:DC35" si="233">DD34+DE34</f>
        <v>93.077491861278958</v>
      </c>
      <c r="DD34" s="32">
        <f>(DH34*$C34+DO34*$D34)/$B34</f>
        <v>12</v>
      </c>
      <c r="DE34" s="67">
        <f>(DI34*$C34+DP34*$D34)/$B34</f>
        <v>81.077491861278958</v>
      </c>
      <c r="DF34" s="270"/>
      <c r="DG34" s="67">
        <f t="shared" ref="DG34:DG35" si="234">DH34+DI34</f>
        <v>107.67558068240344</v>
      </c>
      <c r="DH34" s="105">
        <v>12</v>
      </c>
      <c r="DI34" s="67">
        <f>(1-DK34)*BU34</f>
        <v>95.675580682403435</v>
      </c>
      <c r="DJ34" s="67"/>
      <c r="DK34" s="34">
        <f t="shared" ref="DK34:DK35" si="235">DK$17</f>
        <v>0.25</v>
      </c>
      <c r="DL34" s="159"/>
      <c r="DM34" s="159"/>
      <c r="DN34" s="68">
        <f t="shared" ref="DN34:DN35" si="236">DO34+DP34</f>
        <v>72.918226346392771</v>
      </c>
      <c r="DO34" s="105">
        <v>12</v>
      </c>
      <c r="DP34" s="67">
        <f>(1-DR34)*CP34</f>
        <v>60.918226346392778</v>
      </c>
      <c r="DQ34" s="67"/>
      <c r="DR34" s="34">
        <f t="shared" ref="DR34:DR35" si="237">DR$17</f>
        <v>0.25</v>
      </c>
      <c r="DS34" s="294"/>
      <c r="DT34" s="294"/>
      <c r="DU34" s="294"/>
      <c r="DV34" s="32">
        <f t="shared" si="213"/>
        <v>108.44916474402262</v>
      </c>
      <c r="DW34" s="67">
        <f t="shared" si="213"/>
        <v>81.42333412359632</v>
      </c>
      <c r="DX34" s="67">
        <f t="shared" si="213"/>
        <v>27.025830620426319</v>
      </c>
      <c r="DY34" s="32">
        <f t="shared" si="214"/>
        <v>139.35400309527898</v>
      </c>
      <c r="DZ34" s="67">
        <f t="shared" si="214"/>
        <v>107.46214286781115</v>
      </c>
      <c r="EA34" s="67">
        <f>BU34-DI34</f>
        <v>31.891860227467816</v>
      </c>
      <c r="EB34" s="67">
        <f t="shared" si="215"/>
        <v>65.771054639906765</v>
      </c>
      <c r="EC34" s="67">
        <f t="shared" si="215"/>
        <v>45.464979191109173</v>
      </c>
      <c r="ED34" s="67">
        <f>CP34-DP34</f>
        <v>20.306075448797593</v>
      </c>
      <c r="EE34" s="68">
        <f>EF34+EG34</f>
        <v>83.959335959805742</v>
      </c>
      <c r="EF34" s="67">
        <f>(EJ34*$C34+FF34*$D34)/$B34</f>
        <v>63.20166368407952</v>
      </c>
      <c r="EG34" s="67">
        <f t="shared" ref="EG34:EG35" si="238">(EV34*$C34+FR34*$D34)/$B34</f>
        <v>20.757672275726229</v>
      </c>
      <c r="EH34" s="261">
        <f t="shared" ref="EH34:EH35" si="239">EJ34+EV34</f>
        <v>108.48080279132506</v>
      </c>
      <c r="EI34" s="154">
        <f>EH34/($BJ34-$DG34)</f>
        <v>0.77845487306995176</v>
      </c>
      <c r="EJ34" s="108">
        <f>EK34+EL34-DH34</f>
        <v>83.742759471616168</v>
      </c>
      <c r="EK34" s="126">
        <f>'Allometrics &amp; Decay rates'!$H$5*$AL34*BL34+'Allometrics &amp; Decay rates'!$H$6*$AM34*BM34+'Allometrics &amp; Decay rates'!$H$7*$AN34*BN34+'Allometrics &amp; Decay rates'!$H$8*$AO34*BO34+'Allometrics &amp; Decay rates'!$H$9*$AP34*BP34+'Allometrics &amp; Decay rates'!$H$10*$AQ34*BQ34+'Allometrics &amp; Decay rates'!$H$11*$AR34*BR34+'Allometrics &amp; Decay rates'!$H$12*$AS34*BS34+'Allometrics &amp; Decay rates'!$H$13*$AT34*BT34</f>
        <v>51.439307243293733</v>
      </c>
      <c r="EL34" s="97">
        <f t="shared" ref="EL34:EL35" si="240">SUM(EM34:EU34)</f>
        <v>44.303452228322435</v>
      </c>
      <c r="EM34" s="550">
        <f>AL34*BL34*('Allometrics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36.746611977669623</v>
      </c>
      <c r="EN34" s="550">
        <f>AM34*BM34*('Allometrics &amp; Decay rates'!$I$6*((EXP('Allometrics &amp; Decay rates'!$K$6)-1)/('Discounting metrics'!$D$4+'Allometrics &amp; Decay rates'!$K$6)*(1-EXP(-('Discounting metrics'!$D$4+'Allometrics &amp; Decay rates'!$K$6)*'Discounting metrics'!$E$4))-(1-EXP(-'Allometrics &amp; Decay rates'!$K$6))/1.55)+'Allometrics &amp; Decay rates'!$E$6*((EXP('Allometrics &amp; Decay rates'!$L$6)-1)/('Discounting metrics'!$D$4+'Allometrics &amp; Decay rates'!$L$6)*(1-EXP(-('Discounting metrics'!$D$4+'Allometrics &amp; Decay rates'!$L$6)*'Discounting metrics'!$E$4))-(1-EXP(-'Allometrics &amp; Decay rates'!$L$6))/1.55))</f>
        <v>5.105314939671425</v>
      </c>
      <c r="EO34" s="550">
        <f>AN34*BN34*('Allometrics &amp; Decay rates'!$I$7*((EXP('Allometrics &amp; Decay rates'!$K$7)-1)/('Discounting metrics'!$D$4+'Allometrics &amp; Decay rates'!$K$7)*(1-EXP(-('Discounting metrics'!$D$4+'Allometrics &amp; Decay rates'!$K$7)*'Discounting metrics'!$E$4))-(1-EXP(-'Allometrics &amp; Decay rates'!$K$7))/1.55)+'Allometrics &amp; Decay rates'!$E$7*((EXP('Allometrics &amp; Decay rates'!$L$7)-1)/('Discounting metrics'!$D$4+'Allometrics &amp; Decay rates'!$L$7)*(1-EXP(-('Discounting metrics'!$D$4+'Allometrics &amp; Decay rates'!$L$7)*'Discounting metrics'!$E$4))-(1-EXP(-'Allometrics &amp; Decay rates'!$L$7))/1.55))</f>
        <v>5.613186944619758E-2</v>
      </c>
      <c r="EP34" s="550">
        <f>AO34*BO34*('Allometrics &amp; Decay rates'!$I$8*((EXP('Allometrics &amp; Decay rates'!$K$8)-1)/('Discounting metrics'!$D$4+'Allometrics &amp; Decay rates'!$K$8)*(1-EXP(-('Discounting metrics'!$D$4+'Allometrics &amp; Decay rates'!$K$8)*'Discounting metrics'!$E$4))-(1-EXP(-'Allometrics &amp; Decay rates'!$K$8))/1.55)+'Allometrics &amp; Decay rates'!$E$8*((EXP('Allometrics &amp; Decay rates'!$L$8)-1)/('Discounting metrics'!$D$4+'Allometrics &amp; Decay rates'!$L$8)*(1-EXP(-('Discounting metrics'!$D$4+'Allometrics &amp; Decay rates'!$L$8)*'Discounting metrics'!$E$4))-(1-EXP(-'Allometrics &amp; Decay rates'!$L$8))/1.55))</f>
        <v>1.9012791368083688</v>
      </c>
      <c r="EQ34" s="550">
        <f>AP34*BP34*('Allometrics &amp; Decay rates'!$I$9*((EXP('Allometrics &amp; Decay rates'!$K$9)-1)/('Discounting metrics'!$D$4+'Allometrics &amp; Decay rates'!$K$9)*(1-EXP(-('Discounting metrics'!$D$4+'Allometrics &amp; Decay rates'!$K$9)*'Discounting metrics'!$E$4))-(1-EXP(-'Allometrics &amp; Decay rates'!$K$9))/1.55)+'Allometrics &amp; Decay rates'!$E$9*((EXP('Allometrics &amp; Decay rates'!$L$9)-1)/('Discounting metrics'!$D$4+'Allometrics &amp; Decay rates'!$L$9)*(1-EXP(-('Discounting metrics'!$D$4+'Allometrics &amp; Decay rates'!$L$9)*'Discounting metrics'!$E$4))-(1-EXP(-'Allometrics &amp; Decay rates'!$L$9))/1.55))</f>
        <v>5.8194141095666063E-2</v>
      </c>
      <c r="ER34" s="550">
        <f>AQ34*BQ34*('Allometrics &amp; Decay rates'!$I$10*((EXP('Allometrics &amp; Decay rates'!$K$10)-1)/('Discounting metrics'!$D$4+'Allometrics &amp; Decay rates'!$K$10)*(1-EXP(-('Discounting metrics'!$D$4+'Allometrics &amp; Decay rates'!$K$10)*'Discounting metrics'!$E$4))-(1-EXP(-'Allometrics &amp; Decay rates'!$K$10))/1.55)+'Allometrics &amp; Decay rates'!$E$10*((EXP('Allometrics &amp; Decay rates'!$L$10)-1)/('Discounting metrics'!$D$4+'Allometrics &amp; Decay rates'!$L$10)*(1-EXP(-('Discounting metrics'!$D$4+'Allometrics &amp; Decay rates'!$L$10)*'Discounting metrics'!$E$4))-(1-EXP(-'Allometrics &amp; Decay rates'!$L$10))/1.55))</f>
        <v>7.7375475006168301E-3</v>
      </c>
      <c r="ES34" s="550">
        <f>AR34*BR34*('Allometrics &amp; Decay rates'!$I$11*((EXP('Allometrics &amp; Decay rates'!$K$11)-1)/('Discounting metrics'!$D$4+'Allometrics &amp; Decay rates'!$K$11)*(1-EXP(-('Discounting metrics'!$D$4+'Allometrics &amp; Decay rates'!$K$11)*'Discounting metrics'!$E$4))-(1-EXP(-'Allometrics &amp; Decay rates'!$K$11))/1.55)+'Allometrics &amp; Decay rates'!$E$11*((EXP('Allometrics &amp; Decay rates'!$L$11)-1)/('Discounting metrics'!$D$4+'Allometrics &amp; Decay rates'!$L$11)*(1-EXP(-('Discounting metrics'!$D$4+'Allometrics &amp; Decay rates'!$L$11)*'Discounting metrics'!$E$4))-(1-EXP(-'Allometrics &amp; Decay rates'!$L$11))/1.55))</f>
        <v>1.5926740208690281E-5</v>
      </c>
      <c r="ET34" s="550">
        <f>AS34*BS34*('Allometrics &amp; Decay rates'!$I$12*((EXP('Allometrics &amp; Decay rates'!$K$12)-1)/('Discounting metrics'!$D$4+'Allometrics &amp; Decay rates'!$K$12)*(1-EXP(-('Discounting metrics'!$D$4+'Allometrics &amp; Decay rates'!$K$12)*'Discounting metrics'!$E$4))-(1-EXP(-'Allometrics &amp; Decay rates'!$K$12))/1.55)+'Allometrics &amp; Decay rates'!$E$12*((EXP('Allometrics &amp; Decay rates'!$L$12)-1)/('Discounting metrics'!$D$4+'Allometrics &amp; Decay rates'!$L$12)*(1-EXP(-('Discounting metrics'!$D$4+'Allometrics &amp; Decay rates'!$L$12)*'Discounting metrics'!$E$4))-(1-EXP(-'Allometrics &amp; Decay rates'!$L$12))/1.55))</f>
        <v>0.42816668939032315</v>
      </c>
      <c r="EU34" s="550">
        <f>AT34*BT34*('Allometrics &amp; Decay rates'!$I$13*((EXP('Allometrics &amp; Decay rates'!$K$13)-1)/('Discounting metrics'!$D$4+'Allometrics &amp; Decay rates'!$K$13)*(1-EXP(-('Discounting metrics'!$D$4+'Allometrics &amp; Decay rates'!$K$13)*'Discounting metrics'!$E$4))-(1-EXP(-'Allometrics &amp; Decay rates'!$K$13))/1.55)+'Allometrics &amp; Decay rates'!$E$13*((EXP('Allometrics &amp; Decay rates'!$L$13)-1)/('Discounting metrics'!$D$4+'Allometrics &amp; Decay rates'!$L$13)*(1-EXP(-('Discounting metrics'!$D$4+'Allometrics &amp; Decay rates'!$L$13)*'Discounting metrics'!$E$4))-(1-EXP(-'Allometrics &amp; Decay rates'!$L$13))/1.55))</f>
        <v>0</v>
      </c>
      <c r="EV34" s="108">
        <f t="shared" ref="EV34:EV35" si="241">SUM(EW34:FC34)</f>
        <v>24.738043319708886</v>
      </c>
      <c r="EW34" s="550">
        <f>AL34*BV34*$DK34*((EXP('Allometrics &amp; Decay rates'!$M$5)-1)/('Discounting metrics'!$D$4+'Allometrics &amp; Decay rates'!$M$5)*(1-EXP(-('Discounting metrics'!$D$4+'Allometrics &amp; Decay rates'!$M$5)*'Discounting metrics'!$E$4))-(1-EXP(-'Allometrics &amp; Decay rates'!$M$5))/1.55)</f>
        <v>18.736227056439365</v>
      </c>
      <c r="EX34" s="550">
        <f>AM34*BW34*$DK34*((EXP('Allometrics &amp; Decay rates'!$M$5)-1)/('Discounting metrics'!$D$4+'Allometrics &amp; Decay rates'!$M$5)*(1-EXP(-('Discounting metrics'!$D$4+'Allometrics &amp; Decay rates'!$M$5)*'Discounting metrics'!$E$4))-(1-EXP(-'Allometrics &amp; Decay rates'!$M$5))/1.55)</f>
        <v>3.0654584673421774</v>
      </c>
      <c r="EY34" s="550">
        <f>AN34*BX34*$DK34*((EXP('Allometrics &amp; Decay rates'!$M$5)-1)/('Discounting metrics'!$D$4+'Allometrics &amp; Decay rates'!$M$5)*(1-EXP(-('Discounting metrics'!$D$4+'Allometrics &amp; Decay rates'!$M$5)*'Discounting metrics'!$E$4))-(1-EXP(-'Allometrics &amp; Decay rates'!$M$5))/1.55)</f>
        <v>0.24924937895700047</v>
      </c>
      <c r="EZ34" s="550">
        <f>AO34*BY34*$DK34*((EXP('Allometrics &amp; Decay rates'!$M$5)-1)/('Discounting metrics'!$D$4+'Allometrics &amp; Decay rates'!$M$5)*(1-EXP(-('Discounting metrics'!$D$4+'Allometrics &amp; Decay rates'!$M$5)*'Discounting metrics'!$E$4))-(1-EXP(-'Allometrics &amp; Decay rates'!$M$5))/1.55)</f>
        <v>2.4109315966693674</v>
      </c>
      <c r="FA34" s="550">
        <f>AP34*BZ34*$DK34*((EXP('Allometrics &amp; Decay rates'!$M$5)-1)/('Discounting metrics'!$D$4+'Allometrics &amp; Decay rates'!$M$5)*(1-EXP(-('Discounting metrics'!$D$4+'Allometrics &amp; Decay rates'!$M$5)*'Discounting metrics'!$E$4))-(1-EXP(-'Allometrics &amp; Decay rates'!$M$5))/1.55)</f>
        <v>0.20283715035330177</v>
      </c>
      <c r="FB34" s="550">
        <f>AQ34*CA34*$DK34*((EXP('Allometrics &amp; Decay rates'!$M$5)-1)/('Discounting metrics'!$D$4+'Allometrics &amp; Decay rates'!$M$5)*(1-EXP(-('Discounting metrics'!$D$4+'Allometrics &amp; Decay rates'!$M$5)*'Discounting metrics'!$E$4))-(1-EXP(-'Allometrics &amp; Decay rates'!$M$5))/1.55)</f>
        <v>7.3275492885790078E-2</v>
      </c>
      <c r="FC34" s="550">
        <f>AR34*CB34*$DK34*((EXP('Allometrics &amp; Decay rates'!$M$5)-1)/('Discounting metrics'!$D$4+'Allometrics &amp; Decay rates'!$M$5)*(1-EXP(-('Discounting metrics'!$D$4+'Allometrics &amp; Decay rates'!$M$5)*'Discounting metrics'!$E$4))-(1-EXP(-'Allometrics &amp; Decay rates'!$M$5))/1.55)</f>
        <v>6.4177061883858056E-5</v>
      </c>
      <c r="FD34" s="261">
        <f t="shared" ref="FD34:FD35" si="242">FF34+FR34</f>
        <v>50.096357954374326</v>
      </c>
      <c r="FE34" s="154">
        <f>FD34/($CE34-$DN34)</f>
        <v>0.76167788746355647</v>
      </c>
      <c r="FF34" s="108">
        <f t="shared" ref="FF34:FF35" si="243">FG34+FH34-$DO34</f>
        <v>34.835388548909862</v>
      </c>
      <c r="FG34" s="126">
        <f>'Allometrics &amp; Decay rates'!$H$5*$AU34*CG34+'Allometrics &amp; Decay rates'!$H$6*$AV34*CH34+'Allometrics &amp; Decay rates'!$H$7*$AW34*CI34+'Allometrics &amp; Decay rates'!$H$8*$AX34*CJ34+'Allometrics &amp; Decay rates'!$H$9*$AY34*CK34+'Allometrics &amp; Decay rates'!$H$10*$AZ34*CL34+'Allometrics &amp; Decay rates'!$H$11*$BA34*CM34+'Allometrics &amp; Decay rates'!$H$12*$BB34*CN34+'Allometrics &amp; Decay rates'!$H$13*$BC34*CO34</f>
        <v>24.307532247903112</v>
      </c>
      <c r="FH34" s="97">
        <f t="shared" ref="FH34:FH35" si="244">SUM(FI34:FQ34)</f>
        <v>22.52785630100675</v>
      </c>
      <c r="FI34" s="550">
        <f>AU34*CG34*('Allometrics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14.674244271642456</v>
      </c>
      <c r="FJ34" s="550">
        <f>AV34*CH34*('Allometrics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4.141322823223847</v>
      </c>
      <c r="FK34" s="550">
        <f>AW34*CI34*('Allometrics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1.2688390341400501E-4</v>
      </c>
      <c r="FL34" s="550">
        <f>AX34*CJ34*('Allometrics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2.2690074263934901</v>
      </c>
      <c r="FM34" s="550">
        <f>AY34*CK34*('Allometrics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0.20461307560066508</v>
      </c>
      <c r="FN34" s="550">
        <f>AZ34*CL34*('Allometrics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3.2084727371450447E-2</v>
      </c>
      <c r="FO34" s="550">
        <f>BA34*CM34*('Allometrics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2.1131933143348808E-3</v>
      </c>
      <c r="FP34" s="550">
        <f>BB34*CN34*('Allometrics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1.2043438995570912</v>
      </c>
      <c r="FQ34" s="550">
        <f>BC34*CO34*('Allometrics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R34" s="108">
        <f t="shared" ref="FR34:FR35" si="245">SUM(FS34:FY34)</f>
        <v>15.260969405464461</v>
      </c>
      <c r="FS34" s="550">
        <f>AU34*CQ34*$DK34*((EXP('Allometrics &amp; Decay rates'!$M$5)-1)/('Discounting metrics'!$D$4+'Allometrics &amp; Decay rates'!$M$5)*(1-EXP(-('Discounting metrics'!$D$4+'Allometrics &amp; Decay rates'!$M$5)*'Discounting metrics'!$E$4))-(1-EXP(-'Allometrics &amp; Decay rates'!$M$5))/1.55)</f>
        <v>7.3252620303640725</v>
      </c>
      <c r="FT34" s="550">
        <f>AV34*CR34*$DK34*((EXP('Allometrics &amp; Decay rates'!$M$5)-1)/('Discounting metrics'!$D$4+'Allometrics &amp; Decay rates'!$M$5)*(1-EXP(-('Discounting metrics'!$D$4+'Allometrics &amp; Decay rates'!$M$5)*'Discounting metrics'!$E$4))-(1-EXP(-'Allometrics &amp; Decay rates'!$M$5))/1.55)</f>
        <v>1.3864106248825214</v>
      </c>
      <c r="FU34" s="550">
        <f>AW34*CS34*$DK34*((EXP('Allometrics &amp; Decay rates'!$M$5)-1)/('Discounting metrics'!$D$4+'Allometrics &amp; Decay rates'!$M$5)*(1-EXP(-('Discounting metrics'!$D$4+'Allometrics &amp; Decay rates'!$M$5)*'Discounting metrics'!$E$4))-(1-EXP(-'Allometrics &amp; Decay rates'!$M$5))/1.55)</f>
        <v>7.94536913600216E-5</v>
      </c>
      <c r="FV34" s="550">
        <f>AX34*CT34*$DK34*((EXP('Allometrics &amp; Decay rates'!$M$5)-1)/('Discounting metrics'!$D$4+'Allometrics &amp; Decay rates'!$M$5)*(1-EXP(-('Discounting metrics'!$D$4+'Allometrics &amp; Decay rates'!$M$5)*'Discounting metrics'!$E$4))-(1-EXP(-'Allometrics &amp; Decay rates'!$M$5))/1.55)</f>
        <v>5.7576257984415991</v>
      </c>
      <c r="FW34" s="550">
        <f>AY34*CU34*$DK34*((EXP('Allometrics &amp; Decay rates'!$M$5)-1)/('Discounting metrics'!$D$4+'Allometrics &amp; Decay rates'!$M$5)*(1-EXP(-('Discounting metrics'!$D$4+'Allometrics &amp; Decay rates'!$M$5)*'Discounting metrics'!$E$4))-(1-EXP(-'Allometrics &amp; Decay rates'!$M$5))/1.55)</f>
        <v>0.58962514865247517</v>
      </c>
      <c r="FX34" s="550">
        <f>AZ34*CV34*$DK34*((EXP('Allometrics &amp; Decay rates'!$M$5)-1)/('Discounting metrics'!$D$4+'Allometrics &amp; Decay rates'!$M$5)*(1-EXP(-('Discounting metrics'!$D$4+'Allometrics &amp; Decay rates'!$M$5)*'Discounting metrics'!$E$4))-(1-EXP(-'Allometrics &amp; Decay rates'!$M$5))/1.55)</f>
        <v>0.19658228470091307</v>
      </c>
      <c r="FY34" s="550">
        <f>BA34*CW34*$DK34*((EXP('Allometrics &amp; Decay rates'!$M$5)-1)/('Discounting metrics'!$D$4+'Allometrics &amp; Decay rates'!$M$5)*(1-EXP(-('Discounting metrics'!$D$4+'Allometrics &amp; Decay rates'!$M$5)*'Discounting metrics'!$E$4))-(1-EXP(-'Allometrics &amp; Decay rates'!$M$5))/1.55)</f>
        <v>5.3840647315214173E-3</v>
      </c>
      <c r="FZ34" s="68"/>
      <c r="GA34" s="293"/>
      <c r="GB34" s="293"/>
      <c r="GP34" s="32">
        <f t="shared" ref="GP34:GP35" si="246">(GQ34*$C34+GR34*$D34)/$B34</f>
        <v>7.3680000000000003</v>
      </c>
      <c r="GQ34" s="33">
        <v>8.67</v>
      </c>
      <c r="GR34" s="99">
        <v>5.57</v>
      </c>
      <c r="GS34" s="99"/>
      <c r="GT34" s="99"/>
      <c r="GU34" s="99"/>
      <c r="GV34" s="99"/>
      <c r="GW34" s="99"/>
      <c r="GX34" s="99"/>
      <c r="GY34" s="99"/>
      <c r="GZ34" s="99"/>
      <c r="HA34" s="99"/>
      <c r="HB34" s="99"/>
      <c r="HF34" s="97">
        <f>HG34*$LI34</f>
        <v>5.060248826832589E-2</v>
      </c>
      <c r="HG34" s="526">
        <f>EE34/'Discounting metrics'!E$4/M34</f>
        <v>0.18741662321602182</v>
      </c>
      <c r="HH34" s="527">
        <f>10^3*HG34/$LM34</f>
        <v>33.054078168610552</v>
      </c>
      <c r="HI34" s="528">
        <f>HG34/$LO34</f>
        <v>12.494441547734787</v>
      </c>
      <c r="HJ34" s="97">
        <f>HK34*$LI34</f>
        <v>7.175634300100929E-2</v>
      </c>
      <c r="HK34" s="526">
        <f>EH34/'Discounting metrics'!E$4/O34</f>
        <v>0.26576423333707144</v>
      </c>
      <c r="HL34" s="527">
        <f>10^3*HK34/$LM34</f>
        <v>46.871998824880336</v>
      </c>
      <c r="HM34" s="528">
        <f>HK34/$LO34</f>
        <v>17.717615555804763</v>
      </c>
      <c r="HN34" s="97">
        <f>HO34*$LI34</f>
        <v>2.6893820162130017E-2</v>
      </c>
      <c r="HO34" s="526">
        <f>FD34/'Discounting metrics'!E$4/Q34</f>
        <v>9.9606741341222271E-2</v>
      </c>
      <c r="HP34" s="527">
        <f>10^3*HO34/$LM34</f>
        <v>17.567326515206755</v>
      </c>
      <c r="HQ34" s="528">
        <f>HO34/$LO34</f>
        <v>6.6404494227481514</v>
      </c>
      <c r="HR34" s="97">
        <f>HS34*$LI34</f>
        <v>5.4365411862620158E-2</v>
      </c>
      <c r="HS34" s="263">
        <f>$IM$11*IE34</f>
        <v>0.20135337726896355</v>
      </c>
      <c r="HT34" s="527">
        <f>10^3*HS34/$LM34</f>
        <v>35.512059483062359</v>
      </c>
      <c r="HU34" s="528">
        <f>HS34/$LO34</f>
        <v>13.423558484597571</v>
      </c>
      <c r="HV34" s="97">
        <f>HW34*$LI34</f>
        <v>7.0209631193225597E-2</v>
      </c>
      <c r="HW34" s="263">
        <f>$IM$11*IH34</f>
        <v>0.26003567108602071</v>
      </c>
      <c r="HX34" s="527">
        <f>10^3*HW34/$LM34</f>
        <v>45.861670385541579</v>
      </c>
      <c r="HY34" s="528">
        <f>HW34/$LO34</f>
        <v>17.335711405734713</v>
      </c>
      <c r="HZ34" s="97">
        <f>I34*$LI34</f>
        <v>4.4906400000000009</v>
      </c>
      <c r="IA34" s="263">
        <f>$IM$11*IK34</f>
        <v>0.1355838498991217</v>
      </c>
      <c r="IB34" s="527">
        <f>10^3*I34/$LM34</f>
        <v>2933.3333333333339</v>
      </c>
      <c r="IC34" s="528">
        <f>I34/$LO34</f>
        <v>1108.8000000000002</v>
      </c>
      <c r="ID34" s="97">
        <f>IE34*$LI34</f>
        <v>0.10898440966778097</v>
      </c>
      <c r="IE34" s="263">
        <f>GP34/G34</f>
        <v>0.4036459617325221</v>
      </c>
      <c r="IF34" s="68">
        <f>10^3*IE34/$LM34</f>
        <v>71.189763973989798</v>
      </c>
      <c r="IG34" s="97">
        <f>IH34*$LI34</f>
        <v>0.14074675324675323</v>
      </c>
      <c r="IH34" s="263">
        <f>GQ34/I34</f>
        <v>0.52128427128427124</v>
      </c>
      <c r="II34" s="68">
        <f>10^3*IH34/$LM34</f>
        <v>91.937261249430563</v>
      </c>
      <c r="IJ34" s="97">
        <f>IK34*$LI34</f>
        <v>7.3386034255599475E-2</v>
      </c>
      <c r="IK34" s="263">
        <f>GR34/K34</f>
        <v>0.27180012687259064</v>
      </c>
      <c r="IL34" s="68">
        <f>10^3*IK34/$LM34</f>
        <v>47.936530312626218</v>
      </c>
      <c r="IM34" s="60"/>
      <c r="IN34" s="60"/>
      <c r="IO34" s="60"/>
      <c r="IP34" s="554">
        <f>IR34*$V34</f>
        <v>24.258212805968</v>
      </c>
      <c r="IQ34" s="262">
        <f>IR34*$LI34</f>
        <v>1.794087270802E-2</v>
      </c>
      <c r="IR34" s="166">
        <f>(IW34*Y34+JD34*AA34)/V34</f>
        <v>6.6447676696370361E-2</v>
      </c>
      <c r="IS34" s="68">
        <f>10^3*IR34/$LM34</f>
        <v>11.719166965850155</v>
      </c>
      <c r="IT34" s="97">
        <f>IR34/$LO34</f>
        <v>4.4298451130913579</v>
      </c>
      <c r="IU34" s="429">
        <f>(IX34*C34+JE34*D34)/B34</f>
        <v>2.2411999999999998E-2</v>
      </c>
      <c r="IV34" s="262">
        <f>IW34*$LI34</f>
        <v>1.2655449179870128E-2</v>
      </c>
      <c r="IW34" s="436">
        <f>IX34*JB34/I34</f>
        <v>4.6872033999518989E-2</v>
      </c>
      <c r="IX34" s="101">
        <v>1.46E-2</v>
      </c>
      <c r="IY34" s="101">
        <v>0.94099999999999995</v>
      </c>
      <c r="IZ34" s="101">
        <v>5.8999999999999997E-2</v>
      </c>
      <c r="JA34" s="429">
        <f t="shared" ref="JA34:JA35" si="247">1-IY34-IZ34</f>
        <v>5.5511151231257827E-17</v>
      </c>
      <c r="JB34" s="430">
        <f>IY34*$JJ34+IZ34*$JK34+JA34*$JL34+'Discounting metrics'!$B$6*(IY34*$JM34+IZ34*$JN34+JA34*$JO34)/10^3+'Discounting metrics'!$B$5*(IY34*$JP34+IZ34*$JQ34+JA34*$JR34)/10^3</f>
        <v>53.395593799999993</v>
      </c>
      <c r="JC34" s="262">
        <f>JD34*$LI34</f>
        <v>2.3864632411067194E-2</v>
      </c>
      <c r="JD34" s="436">
        <f>JE34*JI34/K34</f>
        <v>8.8387527448397007E-2</v>
      </c>
      <c r="JE34" s="101">
        <v>3.32E-2</v>
      </c>
      <c r="JF34" s="433">
        <v>1</v>
      </c>
      <c r="JG34" s="433">
        <v>0</v>
      </c>
      <c r="JH34" s="434">
        <f t="shared" ref="JH34:JH35" si="248">1-JF34-JG34</f>
        <v>0</v>
      </c>
      <c r="JI34" s="430">
        <f>JF34*$JJ34+JG34*$JK34+JH34*$JL34+'Discounting metrics'!$B$6*(JF34*$JM34+JG34*$JN34+JH34*$JO34)/10^3+'Discounting metrics'!$B$5*(JF34*$JP34+JG34*$JQ34+JH34*$JR34)/10^3</f>
        <v>54.558</v>
      </c>
      <c r="JJ34" s="431">
        <v>51.3</v>
      </c>
      <c r="JK34" s="431">
        <v>29</v>
      </c>
      <c r="JL34" s="431">
        <v>29</v>
      </c>
      <c r="JM34" s="99">
        <v>5</v>
      </c>
      <c r="JN34" s="431">
        <v>13</v>
      </c>
      <c r="JO34" s="431">
        <v>13</v>
      </c>
      <c r="JP34" s="431">
        <v>52</v>
      </c>
      <c r="JQ34" s="431">
        <v>58.3</v>
      </c>
      <c r="JR34" s="431">
        <v>58.3</v>
      </c>
      <c r="JS34" s="554">
        <f>JV34+JW34+JT34+JU34+JX34</f>
        <v>48.711584479465586</v>
      </c>
      <c r="JT34" s="554">
        <f>KJ34*$V34</f>
        <v>16.177054926650701</v>
      </c>
      <c r="JU34" s="554">
        <f>KL34*$V34</f>
        <v>0.85198676701329568</v>
      </c>
      <c r="JV34" s="554">
        <f>KN34*$V34</f>
        <v>8.2033723445519993</v>
      </c>
      <c r="JW34" s="554">
        <f>KP34*$V34</f>
        <v>14.717432841249598</v>
      </c>
      <c r="JX34" s="554">
        <f>KH34*$V34</f>
        <v>8.7617376</v>
      </c>
      <c r="JY34" s="167">
        <f>JZ34*LI34</f>
        <v>3.6026080879999998E-2</v>
      </c>
      <c r="JZ34" s="166">
        <f>KF34+KD34+KH34</f>
        <v>0.13342992918518518</v>
      </c>
      <c r="KA34" s="68">
        <f>10^3*JZ34/$LM34</f>
        <v>23.532615376575876</v>
      </c>
      <c r="KB34" s="97">
        <f>JZ34/$LO34</f>
        <v>8.8953286123456792</v>
      </c>
      <c r="KC34" s="473">
        <f>KD34*LI34</f>
        <v>1.2594327199999998E-2</v>
      </c>
      <c r="KD34" s="269">
        <f>KJ34+KL34</f>
        <v>4.6645656296296287E-2</v>
      </c>
      <c r="KE34" s="473">
        <f>KF34*LI34</f>
        <v>1.6951753680000001E-2</v>
      </c>
      <c r="KF34" s="269">
        <f>KN34+KP34</f>
        <v>6.2784272888888881E-2</v>
      </c>
      <c r="KG34" s="473">
        <f>KH34*LI34</f>
        <v>6.4800000000000005E-3</v>
      </c>
      <c r="KH34" s="604">
        <v>2.4E-2</v>
      </c>
      <c r="KI34" s="435">
        <v>1.1964215400001999E-2</v>
      </c>
      <c r="KJ34" s="522">
        <f>KI34/$LI34</f>
        <v>4.4311908888896287E-2</v>
      </c>
      <c r="KK34" s="435">
        <v>6.3011179999799996E-4</v>
      </c>
      <c r="KL34" s="522">
        <f>KK34/$LI34</f>
        <v>2.3337474073999998E-3</v>
      </c>
      <c r="KM34" s="435">
        <v>6.0670445999999999E-3</v>
      </c>
      <c r="KN34" s="522">
        <f>KM34/$LI34</f>
        <v>2.2470535555555553E-2</v>
      </c>
      <c r="KO34" s="435">
        <v>1.0884709079999999E-2</v>
      </c>
      <c r="KP34" s="522">
        <f>KO34/$LI34</f>
        <v>4.0313737333333328E-2</v>
      </c>
      <c r="KQ34" s="599">
        <f>44/12*HG34+$JZ34+$IR34</f>
        <v>0.88707189100696882</v>
      </c>
      <c r="KR34" s="527">
        <f>10^3*KQ34/$LM34</f>
        <v>156.45006896066471</v>
      </c>
      <c r="KT34" s="599">
        <f>44/12*HK34+$JZ34+$IW34</f>
        <v>1.154770818753966</v>
      </c>
      <c r="KU34" s="527">
        <f>10^3*KT34/$LM34</f>
        <v>203.66328373085824</v>
      </c>
      <c r="KW34" s="599">
        <f>44/12*HO34+$JZ34+$JD34</f>
        <v>0.58704217488473054</v>
      </c>
      <c r="KX34" s="527">
        <f>10^3*KW34/$LM34</f>
        <v>103.53477511194545</v>
      </c>
      <c r="KZ34" s="599">
        <f>44/12*HS34+$JZ34+$IR34</f>
        <v>0.93817332253442176</v>
      </c>
      <c r="LA34" s="527">
        <f>10^3*KZ34/$LM34</f>
        <v>165.46266711365467</v>
      </c>
      <c r="LC34" s="599">
        <f>44/12*HW34+$JZ34+$IW34</f>
        <v>1.1337660905001135</v>
      </c>
      <c r="LD34" s="527">
        <f>10^3*LC34/$LM34</f>
        <v>199.9587461199495</v>
      </c>
      <c r="LF34" s="599">
        <f>44/12*I34+$JZ34+$JD34</f>
        <v>61.205817456633582</v>
      </c>
      <c r="LG34" s="527">
        <f>10^3*LF34/$LM34</f>
        <v>10794.676800111745</v>
      </c>
      <c r="LI34" s="31">
        <v>0.27</v>
      </c>
      <c r="LJ34" s="32">
        <f t="shared" ref="LJ34:LJ35" si="249">$LI34*LK34</f>
        <v>4.59</v>
      </c>
      <c r="LK34" s="33">
        <v>17</v>
      </c>
      <c r="LL34" s="32">
        <f t="shared" ref="LL34:LL35" si="250">$LI34*LM34</f>
        <v>1.5308999999999999</v>
      </c>
      <c r="LM34" s="41">
        <f>'Crops proc. &amp; prod. DISCOUNTED'!OB63*'Crops proc. &amp; prod. DISCOUNTED'!C63</f>
        <v>5.669999999999999</v>
      </c>
      <c r="LN34" s="36">
        <f t="shared" ref="LN34:LN35" si="251">$LI34*LO34</f>
        <v>4.0499999999999998E-3</v>
      </c>
      <c r="LO34" s="35">
        <v>1.4999999999999999E-2</v>
      </c>
      <c r="LP34" s="36">
        <f t="shared" ref="LP34:LP35" si="252">$LI34*LQ34</f>
        <v>0</v>
      </c>
      <c r="LQ34" s="35">
        <v>0</v>
      </c>
    </row>
    <row r="35" spans="1:329" s="4" customFormat="1" x14ac:dyDescent="0.25">
      <c r="A35" s="14" t="s">
        <v>73</v>
      </c>
      <c r="B35" s="67">
        <f t="shared" si="220"/>
        <v>5.5</v>
      </c>
      <c r="C35" s="33">
        <v>4.2</v>
      </c>
      <c r="D35" s="33">
        <v>1.3</v>
      </c>
      <c r="E35" s="38">
        <f t="shared" si="221"/>
        <v>0.23636363636363636</v>
      </c>
      <c r="F35" s="108">
        <f>U35/B35</f>
        <v>46.596363636363641</v>
      </c>
      <c r="G35" s="32">
        <f>V35/B35</f>
        <v>11.183127272727273</v>
      </c>
      <c r="H35" s="33">
        <v>43.5</v>
      </c>
      <c r="I35" s="32">
        <f>$LI35*H35</f>
        <v>10.44</v>
      </c>
      <c r="J35" s="33">
        <v>56.6</v>
      </c>
      <c r="K35" s="32">
        <f>$LI35*J35</f>
        <v>13.584</v>
      </c>
      <c r="L35" s="32">
        <f>(F35/'Discounting metrics'!$D$4*(1-EXP(-'Discounting metrics'!$D$4*'Discounting metrics'!$E$4)))/'Discounting metrics'!$E$4</f>
        <v>11.435730366617964</v>
      </c>
      <c r="M35" s="32">
        <f>(G35/'Discounting metrics'!$D$4*(1-EXP(-'Discounting metrics'!$D$4*'Discounting metrics'!$E$4)))/'Discounting metrics'!$E$4</f>
        <v>2.7445752879883112</v>
      </c>
      <c r="N35" s="32">
        <f>(H35/'Discounting metrics'!$D$4*(1-EXP(-'Discounting metrics'!$D$4*'Discounting metrics'!$E$4)))/'Discounting metrics'!$E$4</f>
        <v>10.675817427085015</v>
      </c>
      <c r="O35" s="32">
        <f>(I35/'Discounting metrics'!$D$4*(1-EXP(-'Discounting metrics'!$D$4*'Discounting metrics'!$E$4)))/'Discounting metrics'!$E$4</f>
        <v>2.5621961825004034</v>
      </c>
      <c r="P35" s="32">
        <f>(J35/'Discounting metrics'!$D$4*(1-EXP(-'Discounting metrics'!$D$4*'Discounting metrics'!$E$4)))/'Discounting metrics'!$E$4</f>
        <v>13.890833709724411</v>
      </c>
      <c r="Q35" s="32">
        <f>(K35/'Discounting metrics'!$D$4*(1-EXP(-'Discounting metrics'!$D$4*'Discounting metrics'!$E$4)))/'Discounting metrics'!$E$4</f>
        <v>3.3338000903338583</v>
      </c>
      <c r="R35" s="32">
        <f>10/G35</f>
        <v>0.89420425576192708</v>
      </c>
      <c r="S35" s="32">
        <f>10/I35</f>
        <v>0.95785440613026829</v>
      </c>
      <c r="T35" s="32">
        <f>10/K35</f>
        <v>0.73616018845700826</v>
      </c>
      <c r="U35" s="107">
        <f t="shared" si="222"/>
        <v>256.28000000000003</v>
      </c>
      <c r="V35" s="68">
        <f t="shared" si="222"/>
        <v>61.507199999999997</v>
      </c>
      <c r="W35" s="68"/>
      <c r="X35" s="67">
        <f>C35*H35</f>
        <v>182.70000000000002</v>
      </c>
      <c r="Y35" s="67">
        <f>C35*I35</f>
        <v>43.847999999999999</v>
      </c>
      <c r="Z35" s="67">
        <f>D35*J35</f>
        <v>73.58</v>
      </c>
      <c r="AA35" s="67">
        <f>D35*K35</f>
        <v>17.659199999999998</v>
      </c>
      <c r="AB35" s="109">
        <f t="shared" si="223"/>
        <v>0.28710785078820039</v>
      </c>
      <c r="AC35" s="294">
        <f t="shared" si="224"/>
        <v>2.4875811214215366E-4</v>
      </c>
      <c r="AD35" s="294">
        <f t="shared" si="224"/>
        <v>0.2875121140948243</v>
      </c>
      <c r="AE35" s="294">
        <f t="shared" si="224"/>
        <v>0.4815200896178562</v>
      </c>
      <c r="AF35" s="294">
        <f t="shared" si="224"/>
        <v>1.2890176198510767E-5</v>
      </c>
      <c r="AG35" s="294">
        <f t="shared" si="224"/>
        <v>9.0332875629324502E-2</v>
      </c>
      <c r="AH35" s="294">
        <f t="shared" si="224"/>
        <v>0.11435808491659466</v>
      </c>
      <c r="AI35" s="294">
        <f t="shared" si="224"/>
        <v>1.7038154989082489E-2</v>
      </c>
      <c r="AJ35" s="294">
        <f t="shared" si="224"/>
        <v>1.2258669007229257E-6</v>
      </c>
      <c r="AK35" s="294">
        <f t="shared" si="224"/>
        <v>8.8797110757895519E-3</v>
      </c>
      <c r="AL35" s="433">
        <v>3.2575467066234411E-4</v>
      </c>
      <c r="AM35" s="433">
        <v>0.299529558983194</v>
      </c>
      <c r="AN35" s="433">
        <v>0.56778868837154817</v>
      </c>
      <c r="AO35" s="433">
        <v>1.6879992640906957E-5</v>
      </c>
      <c r="AP35" s="433">
        <v>7.2181451067406574E-2</v>
      </c>
      <c r="AQ35" s="433">
        <v>4.6198764296976759E-2</v>
      </c>
      <c r="AR35" s="433">
        <v>3.0396148131615879E-3</v>
      </c>
      <c r="AS35" s="433">
        <v>1.6053018938038312E-6</v>
      </c>
      <c r="AT35" s="433">
        <v>1.0880590299666568E-2</v>
      </c>
      <c r="AU35" s="433">
        <v>0</v>
      </c>
      <c r="AV35" s="433">
        <v>0.24868652291701446</v>
      </c>
      <c r="AW35" s="433">
        <v>0.20280615518285142</v>
      </c>
      <c r="AX35" s="433">
        <v>0</v>
      </c>
      <c r="AY35" s="433">
        <v>0.14897593959859778</v>
      </c>
      <c r="AZ35" s="433">
        <v>0.334565120764591</v>
      </c>
      <c r="BA35" s="433">
        <v>6.226420786513464E-2</v>
      </c>
      <c r="BB35" s="433">
        <v>0</v>
      </c>
      <c r="BC35" s="433">
        <v>2.4153320448022657E-3</v>
      </c>
      <c r="BD35" s="554">
        <f>BG35*$B35/10^3</f>
        <v>0.81723710364824387</v>
      </c>
      <c r="BE35" s="554">
        <f t="shared" si="225"/>
        <v>0.30255371535614517</v>
      </c>
      <c r="BF35" s="554">
        <f t="shared" si="225"/>
        <v>0.5146833882920987</v>
      </c>
      <c r="BG35" s="67">
        <f t="shared" si="226"/>
        <v>148.58856429968071</v>
      </c>
      <c r="BH35" s="67">
        <f>(BK35*$C35+CF35*$D35)/$B35</f>
        <v>55.00976642839003</v>
      </c>
      <c r="BI35" s="67">
        <f>(BU35*$C35+CP35*$D35)/$B35</f>
        <v>93.578797871290675</v>
      </c>
      <c r="BJ35" s="67">
        <f>BK35+BU35</f>
        <v>162.41525974457829</v>
      </c>
      <c r="BK35" s="68">
        <f t="shared" si="227"/>
        <v>61.062354395180719</v>
      </c>
      <c r="BL35" s="145">
        <v>170.13320679117575</v>
      </c>
      <c r="BM35" s="145">
        <v>117.40499061134086</v>
      </c>
      <c r="BN35" s="145">
        <v>44.331272700965968</v>
      </c>
      <c r="BO35" s="145">
        <v>29.97774389778132</v>
      </c>
      <c r="BP35" s="145">
        <v>7.2833182784974397</v>
      </c>
      <c r="BQ35" s="145">
        <v>2.0126966121391914</v>
      </c>
      <c r="BR35" s="145">
        <v>9.254501708612476E-3</v>
      </c>
      <c r="BS35" s="145">
        <v>0</v>
      </c>
      <c r="BT35" s="145">
        <v>4.6535834495404798</v>
      </c>
      <c r="BU35" s="68">
        <f t="shared" si="228"/>
        <v>101.35290534939757</v>
      </c>
      <c r="BV35" s="145">
        <v>155.33901489629091</v>
      </c>
      <c r="BW35" s="145">
        <v>108.65230938719816</v>
      </c>
      <c r="BX35" s="145">
        <v>107.26749851927585</v>
      </c>
      <c r="BY35" s="145">
        <v>134.18609173292592</v>
      </c>
      <c r="BZ35" s="145">
        <v>77.767534608494643</v>
      </c>
      <c r="CA35" s="145">
        <v>43.834688320169256</v>
      </c>
      <c r="CB35" s="145">
        <v>0.17418186700499683</v>
      </c>
      <c r="CC35" s="145">
        <v>0</v>
      </c>
      <c r="CD35" s="145">
        <v>19.4084969471674</v>
      </c>
      <c r="CE35" s="68">
        <f t="shared" si="229"/>
        <v>103.91770209308841</v>
      </c>
      <c r="CF35" s="68">
        <f t="shared" si="230"/>
        <v>35.455251458758553</v>
      </c>
      <c r="CG35" s="145">
        <v>0</v>
      </c>
      <c r="CH35" s="145">
        <v>100.17154766176077</v>
      </c>
      <c r="CI35" s="145">
        <v>44.914261176495593</v>
      </c>
      <c r="CJ35" s="145">
        <v>0</v>
      </c>
      <c r="CK35" s="145">
        <v>6.7476850887879536</v>
      </c>
      <c r="CL35" s="145">
        <v>1.258735740762946</v>
      </c>
      <c r="CM35" s="145">
        <v>2.7481756311681208E-2</v>
      </c>
      <c r="CN35" s="145">
        <v>0</v>
      </c>
      <c r="CO35" s="145">
        <v>2.8840847562152563</v>
      </c>
      <c r="CP35" s="68">
        <f t="shared" si="231"/>
        <v>68.462450634329855</v>
      </c>
      <c r="CQ35" s="145">
        <v>0</v>
      </c>
      <c r="CR35" s="145">
        <v>105.92616658208705</v>
      </c>
      <c r="CS35" s="145">
        <v>104.92743449619083</v>
      </c>
      <c r="CT35" s="145">
        <v>0</v>
      </c>
      <c r="CU35" s="145">
        <v>75.133074513584489</v>
      </c>
      <c r="CV35" s="145">
        <v>28.699740674709023</v>
      </c>
      <c r="CW35" s="145">
        <v>0.38149866102295338</v>
      </c>
      <c r="CX35" s="145">
        <v>0</v>
      </c>
      <c r="CY35" s="145">
        <v>8.8620239630826578</v>
      </c>
      <c r="CZ35" s="554">
        <f>DC35*$B35/10^3</f>
        <v>0.4052335412190739</v>
      </c>
      <c r="DA35" s="554">
        <f t="shared" si="232"/>
        <v>1.9220999999999999E-2</v>
      </c>
      <c r="DB35" s="554">
        <f t="shared" si="232"/>
        <v>0.38601254121907391</v>
      </c>
      <c r="DC35" s="32">
        <f t="shared" si="233"/>
        <v>73.67882567619526</v>
      </c>
      <c r="DD35" s="32">
        <f>(DH35*$C35+DO35*$D35)/$B35</f>
        <v>3.4947272727272729</v>
      </c>
      <c r="DE35" s="67">
        <f>(DI35*$C35+DP35*$D35)/$B35</f>
        <v>70.184098403467985</v>
      </c>
      <c r="DF35" s="270"/>
      <c r="DG35" s="67">
        <f t="shared" si="234"/>
        <v>79.27717901204818</v>
      </c>
      <c r="DH35" s="32">
        <f>I35*0.5*2.5*0.25</f>
        <v>3.2624999999999997</v>
      </c>
      <c r="DI35" s="67">
        <f>(1-DK35)*BU35</f>
        <v>76.014679012048177</v>
      </c>
      <c r="DJ35" s="67"/>
      <c r="DK35" s="34">
        <f t="shared" si="235"/>
        <v>0.25</v>
      </c>
      <c r="DL35" s="159"/>
      <c r="DM35" s="159"/>
      <c r="DN35" s="68">
        <f t="shared" si="236"/>
        <v>55.591837975747389</v>
      </c>
      <c r="DO35" s="32">
        <f>K35*0.5*2.5*0.25</f>
        <v>4.2450000000000001</v>
      </c>
      <c r="DP35" s="67">
        <f>(1-DR35)*CP35</f>
        <v>51.346837975747391</v>
      </c>
      <c r="DQ35" s="67"/>
      <c r="DR35" s="34">
        <f t="shared" si="237"/>
        <v>0.25</v>
      </c>
      <c r="DS35" s="294"/>
      <c r="DT35" s="294"/>
      <c r="DU35" s="294"/>
      <c r="DV35" s="67">
        <f t="shared" si="213"/>
        <v>74.909738623485453</v>
      </c>
      <c r="DW35" s="67">
        <f t="shared" si="213"/>
        <v>51.515039155662755</v>
      </c>
      <c r="DX35" s="67">
        <f t="shared" si="213"/>
        <v>23.39469946782269</v>
      </c>
      <c r="DY35" s="67">
        <f t="shared" si="214"/>
        <v>83.138080732530113</v>
      </c>
      <c r="DZ35" s="67">
        <f t="shared" si="214"/>
        <v>57.799854395180716</v>
      </c>
      <c r="EA35" s="67">
        <f>BU35-DI35</f>
        <v>25.338226337349397</v>
      </c>
      <c r="EB35" s="67">
        <f t="shared" si="215"/>
        <v>48.32586411734102</v>
      </c>
      <c r="EC35" s="67">
        <f t="shared" si="215"/>
        <v>31.210251458758552</v>
      </c>
      <c r="ED35" s="67">
        <f>CP35-DP35</f>
        <v>17.115612658582464</v>
      </c>
      <c r="EE35" s="68">
        <f>EF35+EG35</f>
        <v>54.370466396121856</v>
      </c>
      <c r="EF35" s="67">
        <f>(EJ35*$C35+FF35*$D35)/$B35</f>
        <v>36.119007823477006</v>
      </c>
      <c r="EG35" s="67">
        <f t="shared" si="238"/>
        <v>18.251458572644854</v>
      </c>
      <c r="EH35" s="261">
        <f t="shared" si="239"/>
        <v>59.164312553486184</v>
      </c>
      <c r="EI35" s="154">
        <f>EH35/($BJ35-$DG35)</f>
        <v>0.71163914336473832</v>
      </c>
      <c r="EJ35" s="108">
        <f>EK35+EL35-DH35</f>
        <v>39.40266887612232</v>
      </c>
      <c r="EK35" s="126">
        <f>'Allometrics &amp; Decay rates'!$H$5*$AL35*BL35+'Allometrics &amp; Decay rates'!$H$6*$AM35*BM35+'Allometrics &amp; Decay rates'!$H$7*$AN35*BN35+'Allometrics &amp; Decay rates'!$H$8*$AO35*BO35+'Allometrics &amp; Decay rates'!$H$9*$AP35*BP35+'Allometrics &amp; Decay rates'!$H$10*$AQ35*BQ35+'Allometrics &amp; Decay rates'!$H$11*$AR35*BR35+'Allometrics &amp; Decay rates'!$H$12*$AS35*BS35+'Allometrics &amp; Decay rates'!$H$13*$AT35*BT35</f>
        <v>28.355503712414659</v>
      </c>
      <c r="EL35" s="97">
        <f t="shared" si="240"/>
        <v>14.309665163707663</v>
      </c>
      <c r="EM35" s="550">
        <f>AL35*BL35*('Allometrics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2.1726829324054189E-2</v>
      </c>
      <c r="EN35" s="550">
        <f>AM35*BM35*('Allometrics &amp; Decay rates'!$I$6*((EXP('Allometrics &amp; Decay rates'!$K$6)-1)/('Discounting metrics'!$D$4+'Allometrics &amp; Decay rates'!$K$6)*(1-EXP(-('Discounting metrics'!$D$4+'Allometrics &amp; Decay rates'!$K$6)*'Discounting metrics'!$E$4))-(1-EXP(-'Allometrics &amp; Decay rates'!$K$6))/1.55)+'Allometrics &amp; Decay rates'!$E$6*((EXP('Allometrics &amp; Decay rates'!$L$6)-1)/('Discounting metrics'!$D$4+'Allometrics &amp; Decay rates'!$L$6)*(1-EXP(-('Discounting metrics'!$D$4+'Allometrics &amp; Decay rates'!$L$6)*'Discounting metrics'!$E$4))-(1-EXP(-'Allometrics &amp; Decay rates'!$L$6))/1.55))</f>
        <v>8.5766232016211426</v>
      </c>
      <c r="EO35" s="550">
        <f>AN35*BN35*('Allometrics &amp; Decay rates'!$I$7*((EXP('Allometrics &amp; Decay rates'!$K$7)-1)/('Discounting metrics'!$D$4+'Allometrics &amp; Decay rates'!$K$7)*(1-EXP(-('Discounting metrics'!$D$4+'Allometrics &amp; Decay rates'!$K$7)*'Discounting metrics'!$E$4))-(1-EXP(-'Allometrics &amp; Decay rates'!$K$7))/1.55)+'Allometrics &amp; Decay rates'!$E$7*((EXP('Allometrics &amp; Decay rates'!$L$7)-1)/('Discounting metrics'!$D$4+'Allometrics &amp; Decay rates'!$L$7)*(1-EXP(-('Discounting metrics'!$D$4+'Allometrics &amp; Decay rates'!$L$7)*'Discounting metrics'!$E$4))-(1-EXP(-'Allometrics &amp; Decay rates'!$L$7))/1.55))</f>
        <v>5.3591509217836606</v>
      </c>
      <c r="EP35" s="550">
        <f>AO35*BO35*('Allometrics &amp; Decay rates'!$I$8*((EXP('Allometrics &amp; Decay rates'!$K$8)-1)/('Discounting metrics'!$D$4+'Allometrics &amp; Decay rates'!$K$8)*(1-EXP(-('Discounting metrics'!$D$4+'Allometrics &amp; Decay rates'!$K$8)*'Discounting metrics'!$E$4))-(1-EXP(-'Allometrics &amp; Decay rates'!$K$8))/1.55)+'Allometrics &amp; Decay rates'!$E$8*((EXP('Allometrics &amp; Decay rates'!$L$8)-1)/('Discounting metrics'!$D$4+'Allometrics &amp; Decay rates'!$L$8)*(1-EXP(-('Discounting metrics'!$D$4+'Allometrics &amp; Decay rates'!$L$8)*'Discounting metrics'!$E$4))-(1-EXP(-'Allometrics &amp; Decay rates'!$L$8))/1.55))</f>
        <v>2.8649384540262185E-4</v>
      </c>
      <c r="EQ35" s="550">
        <f>AP35*BP35*('Allometrics &amp; Decay rates'!$I$9*((EXP('Allometrics &amp; Decay rates'!$K$9)-1)/('Discounting metrics'!$D$4+'Allometrics &amp; Decay rates'!$K$9)*(1-EXP(-('Discounting metrics'!$D$4+'Allometrics &amp; Decay rates'!$K$9)*'Discounting metrics'!$E$4))-(1-EXP(-'Allometrics &amp; Decay rates'!$K$9))/1.55)+'Allometrics &amp; Decay rates'!$E$9*((EXP('Allometrics &amp; Decay rates'!$L$9)-1)/('Discounting metrics'!$D$4+'Allometrics &amp; Decay rates'!$L$9)*(1-EXP(-('Discounting metrics'!$D$4+'Allometrics &amp; Decay rates'!$L$9)*'Discounting metrics'!$E$4))-(1-EXP(-'Allometrics &amp; Decay rates'!$L$9))/1.55))</f>
        <v>0.27554357883621255</v>
      </c>
      <c r="ER35" s="550">
        <f>AQ35*BQ35*('Allometrics &amp; Decay rates'!$I$10*((EXP('Allometrics &amp; Decay rates'!$K$10)-1)/('Discounting metrics'!$D$4+'Allometrics &amp; Decay rates'!$K$10)*(1-EXP(-('Discounting metrics'!$D$4+'Allometrics &amp; Decay rates'!$K$10)*'Discounting metrics'!$E$4))-(1-EXP(-'Allometrics &amp; Decay rates'!$K$10))/1.55)+'Allometrics &amp; Decay rates'!$E$10*((EXP('Allometrics &amp; Decay rates'!$L$10)-1)/('Discounting metrics'!$D$4+'Allometrics &amp; Decay rates'!$L$10)*(1-EXP(-('Discounting metrics'!$D$4+'Allometrics &amp; Decay rates'!$L$10)*'Discounting metrics'!$E$4))-(1-EXP(-'Allometrics &amp; Decay rates'!$L$10))/1.55))</f>
        <v>5.915473770134036E-2</v>
      </c>
      <c r="ES35" s="550">
        <f>AR35*BR35*('Allometrics &amp; Decay rates'!$I$11*((EXP('Allometrics &amp; Decay rates'!$K$11)-1)/('Discounting metrics'!$D$4+'Allometrics &amp; Decay rates'!$K$11)*(1-EXP(-('Discounting metrics'!$D$4+'Allometrics &amp; Decay rates'!$K$11)*'Discounting metrics'!$E$4))-(1-EXP(-'Allometrics &amp; Decay rates'!$K$11))/1.55)+'Allometrics &amp; Decay rates'!$E$11*((EXP('Allometrics &amp; Decay rates'!$L$11)-1)/('Discounting metrics'!$D$4+'Allometrics &amp; Decay rates'!$L$11)*(1-EXP(-('Discounting metrics'!$D$4+'Allometrics &amp; Decay rates'!$L$11)*'Discounting metrics'!$E$4))-(1-EXP(-'Allometrics &amp; Decay rates'!$L$11))/1.55))</f>
        <v>1.996651260136817E-5</v>
      </c>
      <c r="ET35" s="550">
        <f>AS35*BS35*('Allometrics &amp; Decay rates'!$I$12*((EXP('Allometrics &amp; Decay rates'!$K$12)-1)/('Discounting metrics'!$D$4+'Allometrics &amp; Decay rates'!$K$12)*(1-EXP(-('Discounting metrics'!$D$4+'Allometrics &amp; Decay rates'!$K$12)*'Discounting metrics'!$E$4))-(1-EXP(-'Allometrics &amp; Decay rates'!$K$12))/1.55)+'Allometrics &amp; Decay rates'!$E$12*((EXP('Allometrics &amp; Decay rates'!$L$12)-1)/('Discounting metrics'!$D$4+'Allometrics &amp; Decay rates'!$L$12)*(1-EXP(-('Discounting metrics'!$D$4+'Allometrics &amp; Decay rates'!$L$12)*'Discounting metrics'!$E$4))-(1-EXP(-'Allometrics &amp; Decay rates'!$L$12))/1.55))</f>
        <v>0</v>
      </c>
      <c r="EU35" s="550">
        <f>AT35*BT35*('Allometrics &amp; Decay rates'!$I$13*((EXP('Allometrics &amp; Decay rates'!$K$13)-1)/('Discounting metrics'!$D$4+'Allometrics &amp; Decay rates'!$K$13)*(1-EXP(-('Discounting metrics'!$D$4+'Allometrics &amp; Decay rates'!$K$13)*'Discounting metrics'!$E$4))-(1-EXP(-'Allometrics &amp; Decay rates'!$K$13))/1.55)+'Allometrics &amp; Decay rates'!$E$13*((EXP('Allometrics &amp; Decay rates'!$L$13)-1)/('Discounting metrics'!$D$4+'Allometrics &amp; Decay rates'!$L$13)*(1-EXP(-('Discounting metrics'!$D$4+'Allometrics &amp; Decay rates'!$L$13)*'Discounting metrics'!$E$4))-(1-EXP(-'Allometrics &amp; Decay rates'!$L$13))/1.55))</f>
        <v>1.7159434083251223E-2</v>
      </c>
      <c r="EV35" s="108">
        <f t="shared" si="241"/>
        <v>19.761643677363868</v>
      </c>
      <c r="EW35" s="550">
        <f>AL35*BV35*$DK35*((EXP('Allometrics &amp; Decay rates'!$M$5)-1)/('Discounting metrics'!$D$4+'Allometrics &amp; Decay rates'!$M$5)*(1-EXP(-('Discounting metrics'!$D$4+'Allometrics &amp; Decay rates'!$M$5)*'Discounting metrics'!$E$4))-(1-EXP(-'Allometrics &amp; Decay rates'!$M$5))/1.55)</f>
        <v>9.8869852628845206E-3</v>
      </c>
      <c r="EX35" s="550">
        <f>AM35*BW35*$DK35*((EXP('Allometrics &amp; Decay rates'!$M$5)-1)/('Discounting metrics'!$D$4+'Allometrics &amp; Decay rates'!$M$5)*(1-EXP(-('Discounting metrics'!$D$4+'Allometrics &amp; Decay rates'!$M$5)*'Discounting metrics'!$E$4))-(1-EXP(-'Allometrics &amp; Decay rates'!$M$5))/1.55)</f>
        <v>6.358743950500874</v>
      </c>
      <c r="EY35" s="550">
        <f>AN35*BX35*$DK35*((EXP('Allometrics &amp; Decay rates'!$M$5)-1)/('Discounting metrics'!$D$4+'Allometrics &amp; Decay rates'!$M$5)*(1-EXP(-('Discounting metrics'!$D$4+'Allometrics &amp; Decay rates'!$M$5)*'Discounting metrics'!$E$4))-(1-EXP(-'Allometrics &amp; Decay rates'!$M$5))/1.55)</f>
        <v>11.90001689358415</v>
      </c>
      <c r="EZ35" s="550">
        <f>AO35*BY35*$DK35*((EXP('Allometrics &amp; Decay rates'!$M$5)-1)/('Discounting metrics'!$D$4+'Allometrics &amp; Decay rates'!$M$5)*(1-EXP(-('Discounting metrics'!$D$4+'Allometrics &amp; Decay rates'!$M$5)*'Discounting metrics'!$E$4))-(1-EXP(-'Allometrics &amp; Decay rates'!$M$5))/1.55)</f>
        <v>4.4256029271959291E-4</v>
      </c>
      <c r="FA35" s="550">
        <f>AP35*BZ35*$DK35*((EXP('Allometrics &amp; Decay rates'!$M$5)-1)/('Discounting metrics'!$D$4+'Allometrics &amp; Decay rates'!$M$5)*(1-EXP(-('Discounting metrics'!$D$4+'Allometrics &amp; Decay rates'!$M$5)*'Discounting metrics'!$E$4))-(1-EXP(-'Allometrics &amp; Decay rates'!$M$5))/1.55)</f>
        <v>1.0967726913882208</v>
      </c>
      <c r="FB35" s="550">
        <f>AQ35*CA35*$DK35*((EXP('Allometrics &amp; Decay rates'!$M$5)-1)/('Discounting metrics'!$D$4+'Allometrics &amp; Decay rates'!$M$5)*(1-EXP(-('Discounting metrics'!$D$4+'Allometrics &amp; Decay rates'!$M$5)*'Discounting metrics'!$E$4))-(1-EXP(-'Allometrics &amp; Decay rates'!$M$5))/1.55)</f>
        <v>0.39567715022063854</v>
      </c>
      <c r="FC35" s="550">
        <f>AR35*CB35*$DK35*((EXP('Allometrics &amp; Decay rates'!$M$5)-1)/('Discounting metrics'!$D$4+'Allometrics &amp; Decay rates'!$M$5)*(1-EXP(-('Discounting metrics'!$D$4+'Allometrics &amp; Decay rates'!$M$5)*'Discounting metrics'!$E$4))-(1-EXP(-'Allometrics &amp; Decay rates'!$M$5))/1.55)</f>
        <v>1.034461143790946E-4</v>
      </c>
      <c r="FD35" s="261">
        <f t="shared" si="242"/>
        <v>38.882655733867871</v>
      </c>
      <c r="FE35" s="154">
        <f>FD35/($CE35-$DN35)</f>
        <v>0.80459307751758147</v>
      </c>
      <c r="FF35" s="108">
        <f t="shared" si="243"/>
        <v>25.510256730315209</v>
      </c>
      <c r="FG35" s="126">
        <f>'Allometrics &amp; Decay rates'!$H$5*$AU35*CG35+'Allometrics &amp; Decay rates'!$H$6*$AV35*CH35+'Allometrics &amp; Decay rates'!$H$7*$AW35*CI35+'Allometrics &amp; Decay rates'!$H$8*$AX35*CJ35+'Allometrics &amp; Decay rates'!$H$9*$AY35*CK35+'Allometrics &amp; Decay rates'!$H$10*$AZ35*CL35+'Allometrics &amp; Decay rates'!$H$11*$BA35*CM35+'Allometrics &amp; Decay rates'!$H$12*$BB35*CN35+'Allometrics &amp; Decay rates'!$H$13*$BC35*CO35</f>
        <v>15.855820565504935</v>
      </c>
      <c r="FH35" s="97">
        <f t="shared" si="244"/>
        <v>13.899436164810275</v>
      </c>
      <c r="FI35" s="550">
        <f>AU35*CG35*('Allometrics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J35" s="550">
        <f>AV35*CH35*('Allometrics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9.7659219115712386</v>
      </c>
      <c r="FK35" s="550">
        <f>AW35*CI35*('Allometrics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3.5709354954734009</v>
      </c>
      <c r="FL35" s="550">
        <f>AX35*CJ35*('Allometrics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M35" s="550">
        <f>AY35*CK35*('Allometrics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0.39408286581902796</v>
      </c>
      <c r="FN35" s="550">
        <f>AZ35*CL35*('Allometrics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0.16509420906439534</v>
      </c>
      <c r="FO35" s="550">
        <f>BA35*CM35*('Allometrics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6.708100569694387E-4</v>
      </c>
      <c r="FP35" s="550">
        <f>BB35*CN35*('Allometrics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Q35" s="550">
        <f>BC35*CO35*('Allometrics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2.7308728252432523E-3</v>
      </c>
      <c r="FR35" s="108">
        <f t="shared" si="245"/>
        <v>13.37239900355266</v>
      </c>
      <c r="FS35" s="550">
        <f>AU35*CQ35*$DK35*((EXP('Allometrics &amp; Decay rates'!$M$5)-1)/('Discounting metrics'!$D$4+'Allometrics &amp; Decay rates'!$M$5)*(1-EXP(-('Discounting metrics'!$D$4+'Allometrics &amp; Decay rates'!$M$5)*'Discounting metrics'!$E$4))-(1-EXP(-'Allometrics &amp; Decay rates'!$M$5))/1.55)</f>
        <v>0</v>
      </c>
      <c r="FT35" s="550">
        <f>AV35*CR35*$DK35*((EXP('Allometrics &amp; Decay rates'!$M$5)-1)/('Discounting metrics'!$D$4+'Allometrics &amp; Decay rates'!$M$5)*(1-EXP(-('Discounting metrics'!$D$4+'Allometrics &amp; Decay rates'!$M$5)*'Discounting metrics'!$E$4))-(1-EXP(-'Allometrics &amp; Decay rates'!$M$5))/1.55)</f>
        <v>5.1469292044679102</v>
      </c>
      <c r="FU35" s="550">
        <f>AW35*CS35*$DK35*((EXP('Allometrics &amp; Decay rates'!$M$5)-1)/('Discounting metrics'!$D$4+'Allometrics &amp; Decay rates'!$M$5)*(1-EXP(-('Discounting metrics'!$D$4+'Allometrics &amp; Decay rates'!$M$5)*'Discounting metrics'!$E$4))-(1-EXP(-'Allometrics &amp; Decay rates'!$M$5))/1.55)</f>
        <v>4.1577931069114262</v>
      </c>
      <c r="FV35" s="550">
        <f>AX35*CT35*$DK35*((EXP('Allometrics &amp; Decay rates'!$M$5)-1)/('Discounting metrics'!$D$4+'Allometrics &amp; Decay rates'!$M$5)*(1-EXP(-('Discounting metrics'!$D$4+'Allometrics &amp; Decay rates'!$M$5)*'Discounting metrics'!$E$4))-(1-EXP(-'Allometrics &amp; Decay rates'!$M$5))/1.55)</f>
        <v>0</v>
      </c>
      <c r="FW35" s="550">
        <f>AY35*CU35*$DK35*((EXP('Allometrics &amp; Decay rates'!$M$5)-1)/('Discounting metrics'!$D$4+'Allometrics &amp; Decay rates'!$M$5)*(1-EXP(-('Discounting metrics'!$D$4+'Allometrics &amp; Decay rates'!$M$5)*'Discounting metrics'!$E$4))-(1-EXP(-'Allometrics &amp; Decay rates'!$M$5))/1.55)</f>
        <v>2.1869556853454664</v>
      </c>
      <c r="FX35" s="550">
        <f>AZ35*CV35*$DK35*((EXP('Allometrics &amp; Decay rates'!$M$5)-1)/('Discounting metrics'!$D$4+'Allometrics &amp; Decay rates'!$M$5)*(1-EXP(-('Discounting metrics'!$D$4+'Allometrics &amp; Decay rates'!$M$5)*'Discounting metrics'!$E$4))-(1-EXP(-'Allometrics &amp; Decay rates'!$M$5))/1.55)</f>
        <v>1.8760798721176675</v>
      </c>
      <c r="FY35" s="550">
        <f>BA35*CW35*$DK35*((EXP('Allometrics &amp; Decay rates'!$M$5)-1)/('Discounting metrics'!$D$4+'Allometrics &amp; Decay rates'!$M$5)*(1-EXP(-('Discounting metrics'!$D$4+'Allometrics &amp; Decay rates'!$M$5)*'Discounting metrics'!$E$4))-(1-EXP(-'Allometrics &amp; Decay rates'!$M$5))/1.55)</f>
        <v>4.6411347101896309E-3</v>
      </c>
      <c r="FZ35" s="68"/>
      <c r="GA35" s="293"/>
      <c r="GB35" s="293"/>
      <c r="GP35" s="32">
        <f t="shared" si="246"/>
        <v>5.212545454545455</v>
      </c>
      <c r="GQ35" s="33">
        <v>5.56</v>
      </c>
      <c r="GR35" s="99">
        <v>4.09</v>
      </c>
      <c r="GS35" s="99"/>
      <c r="GT35" s="99"/>
      <c r="GU35" s="99"/>
      <c r="GV35" s="99"/>
      <c r="GW35" s="99"/>
      <c r="GX35" s="99"/>
      <c r="GY35" s="99"/>
      <c r="GZ35" s="99"/>
      <c r="HA35" s="99"/>
      <c r="HB35" s="99"/>
      <c r="HF35" s="97">
        <f>HG35*$LI35</f>
        <v>4.7544375962933393E-2</v>
      </c>
      <c r="HG35" s="526">
        <f>EE35/'Discounting metrics'!E$4/M35</f>
        <v>0.19810156651222247</v>
      </c>
      <c r="HH35" s="527">
        <f>10^3*HG35/$LM35</f>
        <v>22.23362138184315</v>
      </c>
      <c r="HI35" s="528">
        <f>HG35/$LO35</f>
        <v>5.66004475749207</v>
      </c>
      <c r="HJ35" s="97">
        <f>HK35*$LI35</f>
        <v>5.5418999957215213E-2</v>
      </c>
      <c r="HK35" s="526">
        <f>EH35/'Discounting metrics'!E$4/O35</f>
        <v>0.23091249982173007</v>
      </c>
      <c r="HL35" s="527">
        <f>10^3*HK35/$LM35</f>
        <v>25.916105479430986</v>
      </c>
      <c r="HM35" s="528">
        <f>HK35/$LO35</f>
        <v>6.5974999949065731</v>
      </c>
      <c r="HN35" s="97">
        <f>HO35*$LI35</f>
        <v>2.7991592546851744E-2</v>
      </c>
      <c r="HO35" s="526">
        <f>FD35/'Discounting metrics'!E$4/Q35</f>
        <v>0.11663163561188226</v>
      </c>
      <c r="HP35" s="527">
        <f>10^3*HO35/$LM35</f>
        <v>13.08997032681058</v>
      </c>
      <c r="HQ35" s="528">
        <f>HO35/$LO35</f>
        <v>3.3323324460537789</v>
      </c>
      <c r="HR35" s="97">
        <f>HS35*$LI35</f>
        <v>5.5802818602653285E-2</v>
      </c>
      <c r="HS35" s="263">
        <f>$IM$11*IE35</f>
        <v>0.23251174417772202</v>
      </c>
      <c r="HT35" s="527">
        <f>10^3*HS35/$LM35</f>
        <v>26.095594183807187</v>
      </c>
      <c r="HU35" s="528">
        <f>HS35/$LO35</f>
        <v>6.6431926907920573</v>
      </c>
      <c r="HV35" s="97">
        <f>HW35*$LI35</f>
        <v>6.3759344138607135E-2</v>
      </c>
      <c r="HW35" s="263">
        <f>$IM$11*IH35</f>
        <v>0.26566393391086307</v>
      </c>
      <c r="HX35" s="527">
        <f>10^3*HW35/$LM35</f>
        <v>29.816378665641199</v>
      </c>
      <c r="HY35" s="528">
        <f>HW35/$LO35</f>
        <v>7.5903981117389439</v>
      </c>
      <c r="HZ35" s="97">
        <f>I35*$LI35</f>
        <v>2.5055999999999998</v>
      </c>
      <c r="IA35" s="263">
        <f>$IM$11*IK35</f>
        <v>0.1501944695889087</v>
      </c>
      <c r="IB35" s="527">
        <f>10^3*I35/$LM35</f>
        <v>1171.7171717171716</v>
      </c>
      <c r="IC35" s="528">
        <f>I35/$LO35</f>
        <v>298.28571428571422</v>
      </c>
      <c r="ID35" s="97">
        <f>IE35*$LI35</f>
        <v>0.11186592789136883</v>
      </c>
      <c r="IE35" s="263">
        <f>GP35/G35</f>
        <v>0.46610803288070346</v>
      </c>
      <c r="IF35" s="68">
        <f>10^3*IE35/$LM35</f>
        <v>52.312910536554817</v>
      </c>
      <c r="IG35" s="97">
        <f>IH35*$LI35</f>
        <v>0.12781609195402296</v>
      </c>
      <c r="IH35" s="263">
        <f>GQ35/I35</f>
        <v>0.53256704980842906</v>
      </c>
      <c r="II35" s="68">
        <f>10^3*IH35/$LM35</f>
        <v>59.771834995334345</v>
      </c>
      <c r="IJ35" s="97">
        <f>IK35*$LI35</f>
        <v>7.2261484098939927E-2</v>
      </c>
      <c r="IK35" s="263">
        <f>GR35/K35</f>
        <v>0.30108951707891635</v>
      </c>
      <c r="IL35" s="68">
        <f>10^3*IK35/$LM35</f>
        <v>33.792313925804301</v>
      </c>
      <c r="IM35" s="60"/>
      <c r="IN35" s="60"/>
      <c r="IO35" s="60"/>
      <c r="IP35" s="554">
        <f>IR35*$V35</f>
        <v>3.1879480520000008</v>
      </c>
      <c r="IQ35" s="262">
        <f>IR35*$LI35</f>
        <v>1.2439316575620418E-2</v>
      </c>
      <c r="IR35" s="166">
        <f>(IW35*Y35+JD35*AA35)/V35</f>
        <v>5.1830485731751745E-2</v>
      </c>
      <c r="IS35" s="68">
        <f>10^3*IR35/$LM35</f>
        <v>5.8171139990742695</v>
      </c>
      <c r="IT35" s="97">
        <f>IR35/$LO35</f>
        <v>1.4808710209071925</v>
      </c>
      <c r="IU35" s="429">
        <f>(IX35*C35+JE35*D35)/B35</f>
        <v>1.6629090909090913E-2</v>
      </c>
      <c r="IV35" s="262">
        <f>IW35*$LI35</f>
        <v>1.546493471264368E-2</v>
      </c>
      <c r="IW35" s="436">
        <f>IX35*JB35/I35</f>
        <v>6.443722796934867E-2</v>
      </c>
      <c r="IX35" s="101">
        <v>1.9300000000000001E-2</v>
      </c>
      <c r="IY35" s="433">
        <v>0</v>
      </c>
      <c r="IZ35" s="433">
        <v>1</v>
      </c>
      <c r="JA35" s="434">
        <f t="shared" si="247"/>
        <v>0</v>
      </c>
      <c r="JB35" s="430">
        <f>IY35*$JJ35+IZ35*$JK35+JA35*$JL35+'Discounting metrics'!$B$6*(IY35*$JM35+IZ35*$JN35+JA35*$JO35)/10^3+'Discounting metrics'!$B$5*(IY35*$JP35+IZ35*$JQ35+JA35*$JR35)/10^3</f>
        <v>34.856200000000001</v>
      </c>
      <c r="JC35" s="262">
        <f>JD35*$LI35</f>
        <v>4.9266713780918726E-3</v>
      </c>
      <c r="JD35" s="436">
        <f>JE35*JI35/K35</f>
        <v>2.0527797408716138E-2</v>
      </c>
      <c r="JE35" s="101">
        <v>8.0000000000000002E-3</v>
      </c>
      <c r="JF35" s="433">
        <v>0</v>
      </c>
      <c r="JG35" s="433">
        <v>1</v>
      </c>
      <c r="JH35" s="434">
        <f t="shared" si="248"/>
        <v>0</v>
      </c>
      <c r="JI35" s="430">
        <f>JF35*$JJ35+JG35*$JK35+JH35*$JL35+'Discounting metrics'!$B$6*(JF35*$JM35+JG35*$JN35+JH35*$JO35)/10^3+'Discounting metrics'!$B$5*(JF35*$JP35+JG35*$JQ35+JH35*$JR35)/10^3</f>
        <v>34.856200000000001</v>
      </c>
      <c r="JJ35" s="431">
        <v>51.3</v>
      </c>
      <c r="JK35" s="431">
        <v>29</v>
      </c>
      <c r="JL35" s="431">
        <v>29</v>
      </c>
      <c r="JM35" s="99">
        <v>5</v>
      </c>
      <c r="JN35" s="431">
        <v>13</v>
      </c>
      <c r="JO35" s="431">
        <v>13</v>
      </c>
      <c r="JP35" s="431">
        <v>52</v>
      </c>
      <c r="JQ35" s="431">
        <v>58.3</v>
      </c>
      <c r="JR35" s="431">
        <v>58.3</v>
      </c>
      <c r="JS35" s="554">
        <f>JV35+JW35+JT35+JU35+JX35</f>
        <v>15.223272836567203</v>
      </c>
      <c r="JT35" s="554">
        <f>KJ35*$V35</f>
        <v>5.8481661600845127</v>
      </c>
      <c r="JU35" s="554">
        <f>KL35*$V35</f>
        <v>1.2034221969600001</v>
      </c>
      <c r="JV35" s="554">
        <f>KN35*$V35</f>
        <v>3.1528726548399999</v>
      </c>
      <c r="JW35" s="554">
        <f>KP35*$V35</f>
        <v>5.0188118246826887</v>
      </c>
      <c r="JX35" s="554"/>
      <c r="JY35" s="167">
        <f>JZ35*LI35</f>
        <v>5.9400939739999999E-2</v>
      </c>
      <c r="JZ35" s="166">
        <f>KF35+KD35+KH35</f>
        <v>0.24750391558333334</v>
      </c>
      <c r="KA35" s="68">
        <f>10^3*JZ35/$LM35</f>
        <v>27.778217237186681</v>
      </c>
      <c r="KB35" s="97">
        <f>JZ35/$LO35</f>
        <v>7.071540445238095</v>
      </c>
      <c r="KC35" s="473">
        <f>KD35*LI35</f>
        <v>2.7515172300002003E-2</v>
      </c>
      <c r="KD35" s="269">
        <f>KJ35+KL35</f>
        <v>0.11464655125000835</v>
      </c>
      <c r="KE35" s="473">
        <f>KF35*LI35</f>
        <v>3.1885767439997999E-2</v>
      </c>
      <c r="KF35" s="269">
        <f>KN35+KP35</f>
        <v>0.13285736433332501</v>
      </c>
      <c r="KG35" s="123"/>
      <c r="KH35" s="49"/>
      <c r="KI35" s="435">
        <v>2.2819440300002002E-2</v>
      </c>
      <c r="KJ35" s="522">
        <f>KI35/$LI35</f>
        <v>9.5081001250008346E-2</v>
      </c>
      <c r="KK35" s="435">
        <v>4.6957320000000002E-3</v>
      </c>
      <c r="KL35" s="522">
        <f>KK35/$LI35</f>
        <v>1.9565550000000001E-2</v>
      </c>
      <c r="KM35" s="435">
        <v>1.2302453E-2</v>
      </c>
      <c r="KN35" s="522">
        <f>KM35/$LI35</f>
        <v>5.1260220833333335E-2</v>
      </c>
      <c r="KO35" s="435">
        <v>1.9583314439998004E-2</v>
      </c>
      <c r="KP35" s="522">
        <f>KO35/$LI35</f>
        <v>8.1597143499991684E-2</v>
      </c>
      <c r="KQ35" s="599">
        <f>44/12*HG35+$JZ35+$IR35</f>
        <v>1.0257068118599009</v>
      </c>
      <c r="KR35" s="527">
        <f>10^3*KQ35/$LM35</f>
        <v>115.11860963635252</v>
      </c>
      <c r="KT35" s="599">
        <f>44/12*HK35+$JZ35+$IW35</f>
        <v>1.1586203095656922</v>
      </c>
      <c r="KU35" s="527">
        <f>10^3*KT35/$LM35</f>
        <v>130.03594944620562</v>
      </c>
      <c r="KW35" s="599">
        <f>44/12*HO35+$JZ35+$JD35</f>
        <v>0.69568104356895111</v>
      </c>
      <c r="KX35" s="527">
        <f>10^3*KW35/$LM35</f>
        <v>78.078680535235804</v>
      </c>
      <c r="KZ35" s="599">
        <f>44/12*HS35+$JZ35+$IR35</f>
        <v>1.1518774633000659</v>
      </c>
      <c r="LA35" s="527">
        <f>10^3*KZ35/$LM35</f>
        <v>129.27917657688732</v>
      </c>
      <c r="LC35" s="599">
        <f>44/12*HW35+$JZ35+$IW35</f>
        <v>1.2860422345591798</v>
      </c>
      <c r="LD35" s="527">
        <f>10^3*LC35/$LM35</f>
        <v>144.33695112897641</v>
      </c>
      <c r="LF35" s="599">
        <f>44/12*I35+$JZ35+$JD35</f>
        <v>38.548031712992042</v>
      </c>
      <c r="LG35" s="527">
        <f>10^3*LF35/$LM35</f>
        <v>4326.3784189665594</v>
      </c>
      <c r="LI35" s="31">
        <v>0.24</v>
      </c>
      <c r="LJ35" s="32">
        <f t="shared" si="249"/>
        <v>4.08</v>
      </c>
      <c r="LK35" s="33">
        <v>17</v>
      </c>
      <c r="LL35" s="32">
        <f t="shared" si="250"/>
        <v>2.1383999999999999</v>
      </c>
      <c r="LM35" s="41">
        <f>'Crops proc. &amp; prod. DISCOUNTED'!OB68*'Crops proc. &amp; prod. DISCOUNTED'!C68</f>
        <v>8.91</v>
      </c>
      <c r="LN35" s="36">
        <f t="shared" si="251"/>
        <v>8.4000000000000012E-3</v>
      </c>
      <c r="LO35" s="35">
        <v>3.5000000000000003E-2</v>
      </c>
      <c r="LP35" s="36">
        <f t="shared" si="252"/>
        <v>0</v>
      </c>
      <c r="LQ35" s="35">
        <v>0</v>
      </c>
    </row>
    <row r="36" spans="1:329" s="4" customFormat="1" x14ac:dyDescent="0.25">
      <c r="A36" s="14"/>
      <c r="C36" s="33"/>
      <c r="D36" s="33"/>
      <c r="E36" s="33"/>
      <c r="H36" s="33"/>
      <c r="J36" s="33"/>
      <c r="M36" s="32"/>
      <c r="N36" s="32"/>
      <c r="O36" s="32"/>
      <c r="P36" s="32"/>
      <c r="Q36" s="32"/>
      <c r="U36" s="60"/>
      <c r="AC36" s="60"/>
      <c r="AD36" s="60"/>
      <c r="AE36" s="60"/>
      <c r="AF36" s="60"/>
      <c r="AG36" s="60"/>
      <c r="AH36" s="60"/>
      <c r="AI36" s="60"/>
      <c r="AJ36" s="60"/>
      <c r="AK36" s="60"/>
      <c r="AL36" s="602"/>
      <c r="AM36" s="602"/>
      <c r="AN36" s="602"/>
      <c r="AO36" s="602"/>
      <c r="AP36" s="602"/>
      <c r="AQ36" s="602"/>
      <c r="AR36" s="602"/>
      <c r="AS36" s="602"/>
      <c r="AT36" s="602"/>
      <c r="AU36" s="602"/>
      <c r="AV36" s="602"/>
      <c r="AW36" s="602"/>
      <c r="AX36" s="602"/>
      <c r="AY36" s="602"/>
      <c r="AZ36" s="602"/>
      <c r="BA36" s="602"/>
      <c r="BB36" s="602"/>
      <c r="BC36" s="602"/>
      <c r="BD36" s="60"/>
      <c r="BE36" s="60"/>
      <c r="BF36" s="60"/>
      <c r="BJ36" s="67"/>
      <c r="BK36" s="106"/>
      <c r="BL36" s="145"/>
      <c r="BM36" s="145"/>
      <c r="BN36" s="145"/>
      <c r="BO36" s="145"/>
      <c r="BP36" s="145"/>
      <c r="BQ36" s="145"/>
      <c r="BR36" s="145"/>
      <c r="BS36" s="145"/>
      <c r="BT36" s="145"/>
      <c r="BU36" s="106"/>
      <c r="BV36" s="145"/>
      <c r="BW36" s="145"/>
      <c r="BX36" s="145"/>
      <c r="BY36" s="145"/>
      <c r="BZ36" s="145"/>
      <c r="CA36" s="145"/>
      <c r="CB36" s="145"/>
      <c r="CC36" s="145"/>
      <c r="CD36" s="145"/>
      <c r="CE36" s="60"/>
      <c r="CF36" s="106"/>
      <c r="CG36" s="145"/>
      <c r="CH36" s="145"/>
      <c r="CI36" s="145"/>
      <c r="CJ36" s="145"/>
      <c r="CK36" s="145"/>
      <c r="CL36" s="145"/>
      <c r="CM36" s="145"/>
      <c r="CN36" s="145"/>
      <c r="CO36" s="145"/>
      <c r="CP36" s="106"/>
      <c r="CQ36" s="145"/>
      <c r="CR36" s="145"/>
      <c r="CS36" s="145"/>
      <c r="CT36" s="145"/>
      <c r="CU36" s="145"/>
      <c r="CV36" s="145"/>
      <c r="CW36" s="145"/>
      <c r="CX36" s="145"/>
      <c r="CY36" s="145"/>
      <c r="CZ36" s="60"/>
      <c r="DA36" s="60"/>
      <c r="DB36" s="60"/>
      <c r="DC36" s="32"/>
      <c r="DD36" s="32"/>
      <c r="DE36" s="67"/>
      <c r="DF36" s="270"/>
      <c r="DL36" s="123"/>
      <c r="DM36" s="123"/>
      <c r="DN36" s="60"/>
      <c r="DS36" s="60"/>
      <c r="DT36" s="60"/>
      <c r="DU36" s="60"/>
      <c r="EE36" s="60"/>
      <c r="EF36" s="60"/>
      <c r="EG36" s="60"/>
      <c r="EH36" s="60"/>
      <c r="EI36" s="123"/>
      <c r="EJ36" s="60"/>
      <c r="EK36" s="60"/>
      <c r="EL36" s="60"/>
      <c r="EM36" s="126"/>
      <c r="EN36" s="126"/>
      <c r="EO36" s="126"/>
      <c r="EP36" s="126"/>
      <c r="EQ36" s="126"/>
      <c r="ER36" s="126"/>
      <c r="ES36" s="126"/>
      <c r="ET36" s="126"/>
      <c r="EU36" s="126"/>
      <c r="EW36" s="542"/>
      <c r="EX36" s="542"/>
      <c r="EY36" s="542"/>
      <c r="EZ36" s="542"/>
      <c r="FA36" s="542"/>
      <c r="FB36" s="542"/>
      <c r="FC36" s="542"/>
      <c r="FD36" s="60"/>
      <c r="FE36" s="60"/>
      <c r="FF36" s="60"/>
      <c r="FG36" s="60"/>
      <c r="FH36" s="60"/>
      <c r="FI36" s="542"/>
      <c r="FJ36" s="542"/>
      <c r="FK36" s="542"/>
      <c r="FL36" s="542"/>
      <c r="FM36" s="542"/>
      <c r="FN36" s="542"/>
      <c r="FO36" s="542"/>
      <c r="FP36" s="542"/>
      <c r="FQ36" s="542"/>
      <c r="FR36" s="60"/>
      <c r="FS36" s="542"/>
      <c r="FT36" s="542"/>
      <c r="FU36" s="542"/>
      <c r="FV36" s="542"/>
      <c r="FW36" s="542"/>
      <c r="FX36" s="542"/>
      <c r="FY36" s="542"/>
      <c r="FZ36" s="60"/>
      <c r="GA36" s="60"/>
      <c r="GB36" s="60"/>
      <c r="GQ36" s="33"/>
      <c r="GR36" s="99"/>
      <c r="GS36" s="99"/>
      <c r="GT36" s="99"/>
      <c r="GU36" s="99"/>
      <c r="GV36" s="99"/>
      <c r="GW36" s="99"/>
      <c r="GX36" s="99"/>
      <c r="GY36" s="99"/>
      <c r="GZ36" s="99"/>
      <c r="HA36" s="99"/>
      <c r="HB36" s="99"/>
      <c r="HE36" s="605"/>
      <c r="HF36" s="97"/>
      <c r="HG36" s="264"/>
      <c r="HI36" s="67"/>
      <c r="HJ36" s="97"/>
      <c r="HK36" s="264"/>
      <c r="HM36" s="67"/>
      <c r="HN36" s="97"/>
      <c r="HO36" s="264"/>
      <c r="HQ36" s="67"/>
      <c r="HR36" s="97"/>
      <c r="HS36" s="32"/>
      <c r="HU36" s="67"/>
      <c r="HV36" s="97"/>
      <c r="HW36" s="32"/>
      <c r="HY36" s="67"/>
      <c r="HZ36" s="97"/>
      <c r="IA36" s="32"/>
      <c r="IC36" s="67"/>
      <c r="ID36" s="97"/>
      <c r="IF36" s="60"/>
      <c r="IG36" s="97"/>
      <c r="II36" s="60"/>
      <c r="IJ36" s="97"/>
      <c r="IL36" s="60"/>
      <c r="IM36" s="60"/>
      <c r="IN36" s="60"/>
      <c r="IO36" s="60"/>
      <c r="IP36" s="97"/>
      <c r="IQ36" s="97"/>
      <c r="IR36" s="60"/>
      <c r="IS36" s="60"/>
      <c r="IT36" s="97"/>
      <c r="IU36" s="601"/>
      <c r="IV36" s="97"/>
      <c r="IW36" s="522"/>
      <c r="IX36" s="100"/>
      <c r="IY36" s="100"/>
      <c r="IZ36" s="100"/>
      <c r="JA36" s="100"/>
      <c r="JB36" s="100"/>
      <c r="JC36" s="97"/>
      <c r="JD36" s="522"/>
      <c r="JE36" s="100"/>
      <c r="JF36" s="100"/>
      <c r="JG36" s="100"/>
      <c r="JH36" s="100"/>
      <c r="JI36" s="100"/>
      <c r="JJ36" s="97"/>
      <c r="JK36" s="97"/>
      <c r="JL36" s="97"/>
      <c r="JM36" s="97"/>
      <c r="JN36" s="97"/>
      <c r="JO36" s="97"/>
      <c r="JP36" s="97"/>
      <c r="JQ36" s="97"/>
      <c r="JR36" s="97"/>
      <c r="JS36" s="97"/>
      <c r="JT36" s="97"/>
      <c r="JU36" s="97"/>
      <c r="JV36" s="97"/>
      <c r="JW36" s="97"/>
      <c r="JX36" s="97"/>
      <c r="JY36" s="522"/>
      <c r="JZ36" s="60"/>
      <c r="KA36" s="60"/>
      <c r="KB36" s="97"/>
      <c r="KC36" s="123"/>
      <c r="KD36" s="123"/>
      <c r="KE36" s="123"/>
      <c r="KF36" s="123"/>
      <c r="KG36" s="123"/>
      <c r="KH36" s="49"/>
      <c r="KI36" s="60"/>
      <c r="KJ36" s="60"/>
      <c r="KK36" s="60"/>
      <c r="KL36" s="60"/>
      <c r="KM36" s="60"/>
      <c r="KN36" s="60"/>
      <c r="KO36" s="60"/>
      <c r="KP36" s="60"/>
    </row>
    <row r="37" spans="1:329" s="4" customFormat="1" ht="13.8" x14ac:dyDescent="0.3">
      <c r="A37" s="15" t="s">
        <v>78</v>
      </c>
      <c r="B37" s="152">
        <f>B38+B39+B40+B41+B42+B43</f>
        <v>185.29999999999998</v>
      </c>
      <c r="C37" s="152">
        <f t="shared" ref="C37:D37" si="253">C38+C39+C40+C41+C42+C43</f>
        <v>172.6</v>
      </c>
      <c r="D37" s="152">
        <f t="shared" si="253"/>
        <v>12.7</v>
      </c>
      <c r="E37" s="33"/>
      <c r="F37" s="153">
        <f t="shared" ref="F37:F43" si="254">U37/B37</f>
        <v>3.0423961144090672</v>
      </c>
      <c r="G37" s="153">
        <f t="shared" ref="G37:G43" si="255">V37/B37</f>
        <v>2.2605430113329739</v>
      </c>
      <c r="I37" s="153">
        <f>Y37/C37</f>
        <v>2.2733873696407878</v>
      </c>
      <c r="K37" s="153">
        <f>AA37/D37</f>
        <v>2.0859811023622048</v>
      </c>
      <c r="L37" s="153">
        <f>($B38*L38+$B39*L39+$B40*L40+$B41*L41+$B42*L42+$B43*L43)/$B37</f>
        <v>0.74666817145526554</v>
      </c>
      <c r="M37" s="153">
        <f>($B38*M38+$B39*M39+$B40*M40+$B41*M41+$B42*M42+$B43*M43)/$B37</f>
        <v>0.55478493046123678</v>
      </c>
      <c r="N37" s="153"/>
      <c r="O37" s="153">
        <f t="shared" ref="O37" si="256">($C38*O38+$C39*O39+$C40*O40+$C41*O41+$C42*O42+$C43*O43)/$C37</f>
        <v>0.55793720688105952</v>
      </c>
      <c r="P37" s="153"/>
      <c r="Q37" s="153">
        <f>($D38*Q38+$D39*Q39+$D40*Q40+$D41*Q41+$D42*Q42+$D43*Q43)/$D37</f>
        <v>0.5119437564406536</v>
      </c>
      <c r="U37" s="152">
        <f>U38+U39+U40+U41+U42+U43</f>
        <v>563.75600000000009</v>
      </c>
      <c r="V37" s="152">
        <f>V38+V39+V40+V41+V42+V43</f>
        <v>418.87862000000001</v>
      </c>
      <c r="W37" s="265">
        <f>V37/V$17</f>
        <v>0.11046743136801626</v>
      </c>
      <c r="Y37" s="152">
        <f>Y38+Y39+Y40+Y41+Y42+Y43</f>
        <v>392.38665999999995</v>
      </c>
      <c r="AA37" s="152">
        <f>AA38+AA39+AA40+AA41+AA42+AA43</f>
        <v>26.491959999999999</v>
      </c>
      <c r="AB37" s="154"/>
      <c r="AC37" s="265">
        <f t="shared" ref="AC37:AK37" si="257">($B38*AC38+$B39*AC39+$B40*AC40+$B41*AC41+$B42*AC42+$B43*AC43)/$B37</f>
        <v>0.24024175138628373</v>
      </c>
      <c r="AD37" s="265">
        <f t="shared" si="257"/>
        <v>0.38200889094762047</v>
      </c>
      <c r="AE37" s="265">
        <f t="shared" si="257"/>
        <v>0.14375158833105511</v>
      </c>
      <c r="AF37" s="265">
        <f t="shared" si="257"/>
        <v>8.3988796532109722E-2</v>
      </c>
      <c r="AG37" s="265">
        <f t="shared" si="257"/>
        <v>7.3572647690752807E-2</v>
      </c>
      <c r="AH37" s="265">
        <f t="shared" si="257"/>
        <v>4.6774478078847791E-2</v>
      </c>
      <c r="AI37" s="265">
        <f t="shared" si="257"/>
        <v>6.0194544556169275E-3</v>
      </c>
      <c r="AJ37" s="265">
        <f t="shared" si="257"/>
        <v>1.6641433344570428E-2</v>
      </c>
      <c r="AK37" s="265">
        <f t="shared" si="257"/>
        <v>6.5637681840621191E-3</v>
      </c>
      <c r="AL37" s="603"/>
      <c r="AM37" s="603"/>
      <c r="AN37" s="603"/>
      <c r="AO37" s="603"/>
      <c r="AP37" s="603"/>
      <c r="AQ37" s="603"/>
      <c r="AR37" s="603"/>
      <c r="AS37" s="603"/>
      <c r="AT37" s="603"/>
      <c r="AU37" s="603"/>
      <c r="AV37" s="603"/>
      <c r="AW37" s="603"/>
      <c r="AX37" s="603"/>
      <c r="AY37" s="603"/>
      <c r="AZ37" s="603"/>
      <c r="BA37" s="603"/>
      <c r="BB37" s="603"/>
      <c r="BC37" s="603"/>
      <c r="BD37" s="152">
        <f>BD38+BD39+BD40+BD41+BD42+BD43</f>
        <v>37.031583294885948</v>
      </c>
      <c r="BE37" s="152">
        <f t="shared" ref="BE37:BF37" si="258">BE38+BE39+BE40+BE41+BE42+BE43</f>
        <v>16.085769724549152</v>
      </c>
      <c r="BF37" s="152">
        <f t="shared" si="258"/>
        <v>20.945813570336796</v>
      </c>
      <c r="BG37" s="152">
        <f>($B38*BG38+$B39*BG39+$B40*BG40+$B41*BG41+$B42*BG42+$B43*BG43)/$B37</f>
        <v>199.84664487256319</v>
      </c>
      <c r="BH37" s="152">
        <f>($B38*BH38+$B39*BH39+$B40*BH40+$B41*BH41+$B42*BH42+$B43*BH43)/$B37</f>
        <v>86.809334725035924</v>
      </c>
      <c r="BI37" s="152">
        <f>($B38*BI38+$B39*BI39+$B40*BI40+$B41*BI41+$B42*BI42+$B43*BI43)/$B37</f>
        <v>113.03731014752725</v>
      </c>
      <c r="BJ37" s="152">
        <f>($C38*BJ38+$C39*BJ39+$C40*BJ40+$C41*BJ41+$C42*BJ42+$C43*BJ43)/$C37</f>
        <v>204.41321519759489</v>
      </c>
      <c r="BK37" s="144">
        <f t="shared" ref="BK37:BU37" si="259">($C38*BK38+$C39*BK39+$C40*BK40+$C41*BK41+$C42*BK42+$C43*BK43)/$C37</f>
        <v>89.096892921911916</v>
      </c>
      <c r="BL37" s="144"/>
      <c r="BM37" s="144"/>
      <c r="BN37" s="144"/>
      <c r="BO37" s="144"/>
      <c r="BP37" s="144"/>
      <c r="BQ37" s="144"/>
      <c r="BR37" s="144"/>
      <c r="BS37" s="144"/>
      <c r="BT37" s="144"/>
      <c r="BU37" s="144">
        <f t="shared" si="259"/>
        <v>115.31632227568296</v>
      </c>
      <c r="BV37" s="144"/>
      <c r="BW37" s="144"/>
      <c r="BX37" s="144"/>
      <c r="BY37" s="144"/>
      <c r="BZ37" s="144"/>
      <c r="CA37" s="144"/>
      <c r="CB37" s="144"/>
      <c r="CC37" s="144"/>
      <c r="CD37" s="144"/>
      <c r="CE37" s="144">
        <f>($D38*CE38+$D39*CE39+$D40*CE40+$D41*CE41+$D42*CE42+$D43*CE43)/$D37</f>
        <v>137.78443714811613</v>
      </c>
      <c r="CF37" s="144">
        <f>($D38*CF38+$D39*CF39+$D40*CF40+$D41*CF41+$D42*CF42+$D43*CF43)/$D37</f>
        <v>55.72015797064229</v>
      </c>
      <c r="CG37" s="144"/>
      <c r="CH37" s="144"/>
      <c r="CI37" s="144"/>
      <c r="CJ37" s="144"/>
      <c r="CK37" s="144"/>
      <c r="CL37" s="144"/>
      <c r="CM37" s="144"/>
      <c r="CN37" s="144"/>
      <c r="CO37" s="144"/>
      <c r="CP37" s="144">
        <f>($D38*CP38+$D39*CP39+$D40*CP40+$D41*CP41+$D42*CP42+$D43*CP43)/$D37</f>
        <v>82.06427917747385</v>
      </c>
      <c r="CQ37" s="144"/>
      <c r="CR37" s="144"/>
      <c r="CS37" s="144"/>
      <c r="CT37" s="144"/>
      <c r="CU37" s="144"/>
      <c r="CV37" s="144"/>
      <c r="CW37" s="144"/>
      <c r="CX37" s="144"/>
      <c r="CY37" s="144"/>
      <c r="CZ37" s="152">
        <f>CZ38+CZ39+CZ40+CZ41+CZ42+CZ43</f>
        <v>16.8488136215026</v>
      </c>
      <c r="DA37" s="152">
        <f t="shared" ref="DA37:DB37" si="260">DA38+DA39+DA40+DA41+DA42+DA43</f>
        <v>1.1394534437499999</v>
      </c>
      <c r="DB37" s="152">
        <f t="shared" si="260"/>
        <v>15.7093601777526</v>
      </c>
      <c r="DC37" s="153">
        <f>($B38*DC38+$B39*DC39+$B40*DC40+$B41*DC41+$B42*DC42+$B43*DC43)/$B37</f>
        <v>90.927218680532107</v>
      </c>
      <c r="DD37" s="153">
        <f>($B38*DD38+$B39*DD39+$B40*DD40+$B41*DD41+$B42*DD42+$B43*DD43)/$B37</f>
        <v>6.1492360698866699</v>
      </c>
      <c r="DE37" s="152">
        <f>($B38*DE38+$B39*DE39+$B40*DE40+$B41*DE41+$B42*DE42+$B43*DE43)/$B37</f>
        <v>84.777982610645452</v>
      </c>
      <c r="DF37" s="270"/>
      <c r="DG37" s="152">
        <f>($C38*DG38+$C39*DG39+$C40*DG40+$C41*DG41+$C42*DG42+$C43*DG43)/$C37</f>
        <v>93.040976968929087</v>
      </c>
      <c r="DH37" s="153">
        <f t="shared" ref="DH37:DI37" si="261">($C38*DH38+$C39*DH39+$C40*DH40+$C41*DH41+$C42*DH42+$C43*DH43)/$C37</f>
        <v>6.5537352621668603</v>
      </c>
      <c r="DI37" s="152">
        <f t="shared" si="261"/>
        <v>86.487241706762234</v>
      </c>
      <c r="DJ37" s="152"/>
      <c r="DL37" s="123"/>
      <c r="DM37" s="123"/>
      <c r="DN37" s="152">
        <f>($D38*DN38+$D39*DN39+$D40*DN40+$D41*DN41+$D42*DN42+$D43*DN43)/$D37</f>
        <v>62.200078477593571</v>
      </c>
      <c r="DO37" s="153">
        <f>($D38*DO38+$D39*DO39+$D40*DO40+$D41*DO41+$D42*DO42+$D43*DO43)/$D37</f>
        <v>0.65186909448818897</v>
      </c>
      <c r="DP37" s="152">
        <f>($D38*DP38+$D39*DP39+$D40*DP40+$D41*DP41+$D42*DP42+$D43*DP43)/$D37</f>
        <v>61.54820938310538</v>
      </c>
      <c r="DQ37" s="152"/>
      <c r="DS37" s="154"/>
      <c r="DT37" s="154"/>
      <c r="DU37" s="154"/>
      <c r="DV37" s="152">
        <f t="shared" ref="DV37:DX43" si="262">BG37-DC37</f>
        <v>108.91942619203108</v>
      </c>
      <c r="DW37" s="152">
        <f t="shared" si="262"/>
        <v>80.660098655149255</v>
      </c>
      <c r="DX37" s="152">
        <f t="shared" si="262"/>
        <v>28.259327536881798</v>
      </c>
      <c r="DY37" s="152">
        <f t="shared" ref="DY37:DZ43" si="263">BJ37-DG37</f>
        <v>111.37223822866581</v>
      </c>
      <c r="DZ37" s="152">
        <f t="shared" si="263"/>
        <v>82.543157659745049</v>
      </c>
      <c r="EA37" s="152">
        <f t="shared" ref="EA37:EA43" si="264">BU37-DI37</f>
        <v>28.82908056892073</v>
      </c>
      <c r="EB37" s="152">
        <f t="shared" ref="EB37:EC43" si="265">CE37-DN37</f>
        <v>75.584358670522562</v>
      </c>
      <c r="EC37" s="152">
        <f t="shared" si="265"/>
        <v>55.068288876154099</v>
      </c>
      <c r="ED37" s="152">
        <f t="shared" ref="ED37:ED43" si="266">CP37-DP37</f>
        <v>20.51606979436847</v>
      </c>
      <c r="EE37" s="152">
        <f>($B38*EE38+$B39*EE39+$B40*EE40+$B41*EE41+$B42*EE42+$B43*EE43)/$B37</f>
        <v>80.817092702699995</v>
      </c>
      <c r="EF37" s="144"/>
      <c r="EG37" s="144"/>
      <c r="EH37" s="152">
        <f t="shared" ref="EH37" si="267">($C38*EH38+$C39*EH39+$C40*EH40+$C41*EH41+$C42*EH42+$C43*EH43)/$C37</f>
        <v>82.290006278657359</v>
      </c>
      <c r="EI37" s="144"/>
      <c r="EJ37" s="144"/>
      <c r="EK37" s="144"/>
      <c r="EL37" s="144"/>
      <c r="EM37" s="126"/>
      <c r="EN37" s="126"/>
      <c r="EO37" s="126"/>
      <c r="EP37" s="126"/>
      <c r="EQ37" s="126"/>
      <c r="ER37" s="126"/>
      <c r="ES37" s="126"/>
      <c r="ET37" s="126"/>
      <c r="EU37" s="126"/>
      <c r="EW37" s="555"/>
      <c r="EX37" s="555"/>
      <c r="EY37" s="555"/>
      <c r="EZ37" s="555"/>
      <c r="FA37" s="555"/>
      <c r="FB37" s="555"/>
      <c r="FC37" s="555"/>
      <c r="FD37" s="152">
        <f>($D38*FD38+$D39*FD39+$D40*FD40+$D41*FD41+$D42*FD42+$D43*FD43)/$D37</f>
        <v>60.799385363310847</v>
      </c>
      <c r="FE37" s="144"/>
      <c r="FF37" s="144"/>
      <c r="FG37" s="144"/>
      <c r="FH37" s="144"/>
      <c r="FI37" s="555"/>
      <c r="FJ37" s="555"/>
      <c r="FK37" s="555"/>
      <c r="FL37" s="555"/>
      <c r="FM37" s="555"/>
      <c r="FN37" s="555"/>
      <c r="FO37" s="555"/>
      <c r="FP37" s="555"/>
      <c r="FQ37" s="555"/>
      <c r="FR37" s="144"/>
      <c r="FS37" s="555"/>
      <c r="FT37" s="555"/>
      <c r="FU37" s="555"/>
      <c r="FV37" s="555"/>
      <c r="FW37" s="555"/>
      <c r="FX37" s="555"/>
      <c r="FY37" s="555"/>
      <c r="FZ37" s="60"/>
      <c r="GA37" s="60"/>
      <c r="GB37" s="60"/>
      <c r="GP37" s="153">
        <f>($B38*GP38+$B39*GP39+$B40*GP40+$B41*GP41+$B42*GP42+$B43*GP43)/$B37</f>
        <v>6.6702320561252026</v>
      </c>
      <c r="GQ37" s="153">
        <f t="shared" ref="GQ37" si="268">($C38*GQ38+$C39*GQ39+$C40*GQ40+$C41*GQ41+$C42*GQ42+$C43*GQ43)/$C37</f>
        <v>6.8037601390498263</v>
      </c>
      <c r="GR37" s="153">
        <f>($D38*GR38+$D39*GR39+$D40*GR40+$D41*GR41+$D42*GR42+$D43*GR43)/$D37</f>
        <v>4.8555118110236215</v>
      </c>
      <c r="GS37" s="153"/>
      <c r="GT37" s="153"/>
      <c r="GU37" s="153"/>
      <c r="GV37" s="153"/>
      <c r="GW37" s="153"/>
      <c r="GX37" s="153"/>
      <c r="GY37" s="153"/>
      <c r="GZ37" s="153"/>
      <c r="HA37" s="153"/>
      <c r="HB37" s="153"/>
      <c r="HF37" s="269"/>
      <c r="HG37" s="524">
        <f>EE37/'Discounting metrics'!E$4/M37</f>
        <v>1.4567283331850835</v>
      </c>
      <c r="HH37" s="49"/>
      <c r="HI37" s="525">
        <f>HG37/(($V38*$LO38+$V39*$LO39+$V40*$LO40+$V41*$LO41+$V42*$LO42+$V43*$LO43)/$V37)</f>
        <v>5.8411432904418668</v>
      </c>
      <c r="HJ37" s="97"/>
      <c r="HK37" s="524">
        <f>EH37/'Discounting metrics'!E$4/O37</f>
        <v>1.4748972691509326</v>
      </c>
      <c r="HL37" s="49"/>
      <c r="HM37" s="525">
        <f>HK37/(($Y38*$LO38+$Y39*$LO39+$Y40*$LO40+$Y41*$LO41+$Y42*$LO42+$Y43*$LO43)/$Y37)</f>
        <v>5.9679326484219475</v>
      </c>
      <c r="HN37" s="97"/>
      <c r="HO37" s="524">
        <f>FD37/'Discounting metrics'!E$4/Q37</f>
        <v>1.1876184560980954</v>
      </c>
      <c r="HP37" s="49"/>
      <c r="HQ37" s="525">
        <f>HO37/(($AA38*$LO38+$AA39*$LO39+$AA40*$LO40+$AA41*$LO41+$AA42*$LO42+$AA43*$LO43)/$AA37)</f>
        <v>4.1998732274893387</v>
      </c>
      <c r="HR37" s="269">
        <f>$IM$11*ID37</f>
        <v>1.0936629300745533</v>
      </c>
      <c r="HS37" s="525">
        <f>$IM$11*IE37</f>
        <v>1.4719276882814165</v>
      </c>
      <c r="HT37" s="49"/>
      <c r="HU37" s="525">
        <f>HS37/(($V38*$LO38+$V39*$LO39+$V40*$LO40+$V41*$LO41+$V42*$LO42+$V43*$LO43)/$V37)</f>
        <v>5.9020891847568837</v>
      </c>
      <c r="HV37" s="97"/>
      <c r="HW37" s="525">
        <f t="shared" ref="HW37:HW43" si="269">$IM$11*IH37</f>
        <v>1.4929107940523396</v>
      </c>
      <c r="HX37" s="49"/>
      <c r="HY37" s="525">
        <f>HW37/(($Y38*$LO38+$Y39*$LO39+$Y40*$LO40+$Y41*$LO41+$Y42*$LO42+$Y43*$LO43)/$Y37)</f>
        <v>6.0408214560838918</v>
      </c>
      <c r="HZ37" s="97"/>
      <c r="IA37" s="525">
        <f t="shared" ref="IA37:IA43" si="270">$IM$11*IK37</f>
        <v>1.1611356294877644</v>
      </c>
      <c r="IB37" s="49"/>
      <c r="IC37" s="525">
        <f>I37/(($AA38*$LO38+$AA39*$LO39+$AA40*$LO40+$AA41*$LO41+$AA42*$LO42+$AA43*$LO43)/$AA37)</f>
        <v>8.0395675062480763</v>
      </c>
      <c r="ID37" s="149">
        <f>GP37/F37</f>
        <v>2.19242722028679</v>
      </c>
      <c r="IE37" s="525">
        <f t="shared" ref="IE37:IE43" si="271">GP37/G37</f>
        <v>2.9507211420816843</v>
      </c>
      <c r="IF37" s="123"/>
      <c r="IG37" s="97"/>
      <c r="IH37" s="525">
        <f t="shared" ref="IH37:IH43" si="272">GQ37/I37</f>
        <v>2.9927852287333114</v>
      </c>
      <c r="II37" s="123"/>
      <c r="IJ37" s="97"/>
      <c r="IK37" s="525">
        <f t="shared" ref="IK37:IK43" si="273">GR37/K37</f>
        <v>2.3276873436318035</v>
      </c>
      <c r="IL37" s="123"/>
      <c r="IM37" s="60"/>
      <c r="IN37" s="60"/>
      <c r="IO37" s="60"/>
      <c r="IP37" s="152">
        <f t="shared" ref="IP37" si="274">IP38+IP39+IP40+IP41+IP42+IP43</f>
        <v>206.27549954781</v>
      </c>
      <c r="IQ37" s="269">
        <f>($U38*IQ38+$U39*IQ39+$U40*IQ40+$U41*IQ41+$U42*IQ42+$U43*IQ43)/$U37</f>
        <v>0.36589499632431394</v>
      </c>
      <c r="IR37" s="473">
        <f>($V38*IR38+$V39*IR39+$V40*IR40+$V41*IR41+$V42*IR42+$V43*IR43)/$V37</f>
        <v>0.49244695169166186</v>
      </c>
      <c r="IS37" s="123"/>
      <c r="IT37" s="149"/>
      <c r="IU37" s="594">
        <f>($B38*IU38+$B39*IU39+$B40*IU40+$B41*IU41+$B42*IU42+$B43*IU43)/$B37</f>
        <v>2.2412682137075014E-2</v>
      </c>
      <c r="IV37" s="269"/>
      <c r="IW37" s="473">
        <f>($Y38*IW38+$Y39*IW39+$Y40*IW40+$Y41*IW41+$Y42*IW42+$Y43*IW43)/$Y37</f>
        <v>0.51321411759464508</v>
      </c>
      <c r="IX37" s="594">
        <f>($C38*IX38+$C39*IX39+$C40*IX40+$C41*IX41+$C42*IX42+$C43*IX43)/$C37</f>
        <v>2.354177288528389E-2</v>
      </c>
      <c r="IY37" s="594"/>
      <c r="IZ37" s="594"/>
      <c r="JA37" s="594"/>
      <c r="JB37" s="594"/>
      <c r="JC37" s="269"/>
      <c r="JD37" s="473">
        <f>($AA38*JD38+$AA39*JD39+$AA40*JD40+$AA41*JD41+$AA42*JD42+$AA43*JD43)/$AA37</f>
        <v>0.18485329435798634</v>
      </c>
      <c r="JE37" s="594">
        <f>($D38*JE38+$D39*JE39+$D40*JE40+$D41*JE41+$D42*JE42+$D43*JE43)/$D37</f>
        <v>7.0677165354330711E-3</v>
      </c>
      <c r="JF37" s="594"/>
      <c r="JG37" s="594"/>
      <c r="JH37" s="594"/>
      <c r="JI37" s="594"/>
      <c r="JJ37" s="595"/>
      <c r="JK37" s="595"/>
      <c r="JL37" s="595"/>
      <c r="JM37" s="595"/>
      <c r="JN37" s="595"/>
      <c r="JO37" s="595"/>
      <c r="JP37" s="595"/>
      <c r="JQ37" s="595"/>
      <c r="JR37" s="595"/>
      <c r="JS37" s="152">
        <f>JS38+JS39+JS40+JS41+JS42+JS43</f>
        <v>159.61094203779243</v>
      </c>
      <c r="JT37" s="152">
        <f>JT38+JT39+JT40+JT41+JT42+JT43</f>
        <v>6.8683460843088788</v>
      </c>
      <c r="JU37" s="152">
        <f>JU38+JU39+JU40+JU41+JU42+JU43</f>
        <v>32.287792388347192</v>
      </c>
      <c r="JV37" s="152">
        <f t="shared" ref="JV37:JW37" si="275">JV38+JV39+JV40+JV41+JV42+JV43</f>
        <v>81.403956653549599</v>
      </c>
      <c r="JW37" s="152">
        <f t="shared" si="275"/>
        <v>39.050846911586753</v>
      </c>
      <c r="JX37" s="152"/>
      <c r="JY37" s="269">
        <f>($V38*JY38+$V39*JY39+$V40*JY40+$V41*JY41+$V42*JY42+$V43*JY43)/$V37</f>
        <v>0.32796564764976682</v>
      </c>
      <c r="JZ37" s="473">
        <f>($V38*JZ38+$V39*JZ39+$V40*JZ40+$V41*JZ41+$V42*JZ42+$V43*JZ43)/$V37</f>
        <v>0.38104342025809868</v>
      </c>
      <c r="KA37" s="123"/>
      <c r="KB37" s="149">
        <f>JZ37/(($Y38*$LO38+$Y39*$LO39+$Y40*$LO40+$Y41*$LO41+$Y42*$LO42+$Y43*$LO43)/$Y37)</f>
        <v>1.5418304147608803</v>
      </c>
      <c r="KC37" s="123"/>
      <c r="KD37" s="269">
        <f>($V38*KD38+$V39*KD39+$V40*KD40+$V41*KD41+$V42*KD42+$V43*KD43)/$V37</f>
        <v>9.3478484226901054E-2</v>
      </c>
      <c r="KE37" s="123"/>
      <c r="KF37" s="269">
        <f>($V38*KF38+$V39*KF39+$V40*KF40+$V41*KF41+$V42*KF42+$V43*KF43)/$V37</f>
        <v>0.28756493603119765</v>
      </c>
      <c r="KG37" s="123"/>
      <c r="KH37" s="269">
        <f>($V38*KH38+$V39*KH39+$V40*KH40+$V41*KH41+$V42*KH42+$V43*KH43)/$V37</f>
        <v>0</v>
      </c>
      <c r="KI37" s="269">
        <f>($U38*KI38+$U39*KI39+$U40*KI40+$U41*KI41+$U42*KI42+$U43*KI43)/$U37</f>
        <v>1.2183189330683625E-2</v>
      </c>
      <c r="KJ37" s="269">
        <f>($V38*KJ38+$V39*KJ39+$V40*KJ40+$V41*KJ41+$V42*KJ42+$V43*KJ43)/$V37</f>
        <v>1.639698412945707E-2</v>
      </c>
      <c r="KK37" s="269">
        <f>($U38*KK38+$U39*KK39+$U40*KK40+$U41*KK41+$U42*KK42+$U43*KK43)/$U37</f>
        <v>5.7272636368122354E-2</v>
      </c>
      <c r="KL37" s="269">
        <f>($V38*KL38+$V39*KL39+$V40*KL40+$V41*KL41+$V42*KL42+$V43*KL43)/$V37</f>
        <v>7.7081500097443953E-2</v>
      </c>
      <c r="KM37" s="269">
        <f>($U38*KM38+$U39*KM39+$U40*KM40+$U41*KM41+$U42*KM42+$U43*KM43)/$U37</f>
        <v>0.14439572555068078</v>
      </c>
      <c r="KN37" s="269">
        <f>($V38*KN38+$V39*KN39+$V40*KN40+$V41*KN41+$V42*KN42+$V43*KN43)/$V37</f>
        <v>0.19433781713077072</v>
      </c>
      <c r="KO37" s="269">
        <f>($U38*KO38+$U39*KO39+$U40*KO40+$U41*KO41+$U42*KO42+$U43*KO43)/$U37</f>
        <v>6.9269057733464034E-2</v>
      </c>
      <c r="KP37" s="269">
        <f>($V38*KP38+$V39*KP39+$V40*KP40+$V41*KP41+$V42*KP42+$V43*KP43)/$V37</f>
        <v>9.3227118900426939E-2</v>
      </c>
      <c r="KQ37" s="149">
        <f>($V38*KQ38+$V39*KQ39+$V40*KQ40+$V41*KQ41+$V42*KQ42+$V43*KQ43)/$V37</f>
        <v>6.2148275936284003</v>
      </c>
      <c r="KS37" s="149"/>
      <c r="KT37" s="149">
        <f>($Y38*KT38+$Y39*KT39+$Y40*KT40+$Y41*KT41+$Y42*KT42+$Y43*KT43)/$Y37</f>
        <v>6.2927936882383388</v>
      </c>
      <c r="KV37" s="149"/>
      <c r="KW37" s="149">
        <f>($AA38*KW38+$AA39*KW39+$AA40*KW40+$AA41*KW41+$AA42*KW42+$AA43*KW43)/$AA37</f>
        <v>5.0600298566078949</v>
      </c>
      <c r="KY37" s="149"/>
      <c r="KZ37" s="149">
        <f>($V38*KZ38+$V39*KZ39+$V40*KZ40+$V41*KZ41+$V42*KZ42+$V43*KZ43)/$V37</f>
        <v>6.2705585623149558</v>
      </c>
      <c r="LB37" s="149"/>
      <c r="LC37" s="149">
        <f>($Y38*LC38+$Y39*LC39+$Y40*LC40+$Y41*LC41+$Y42*LC42+$Y43*LC43)/$Y37</f>
        <v>6.3588432795434979</v>
      </c>
      <c r="LE37" s="149"/>
      <c r="LF37" s="149">
        <f>($AA38*LF38+$AA39*LF39+$AA40*LF40+$AA41*LF41+$AA42*LF42+$AA43*LF43)/$AA37</f>
        <v>6.9677025973647462</v>
      </c>
      <c r="LM37" s="16"/>
      <c r="LO37" s="154"/>
    </row>
    <row r="38" spans="1:329" s="4" customFormat="1" x14ac:dyDescent="0.25">
      <c r="A38" s="14" t="s">
        <v>77</v>
      </c>
      <c r="B38" s="67">
        <f t="shared" ref="B38:B43" si="276">C38+D38</f>
        <v>89.399999999999991</v>
      </c>
      <c r="C38" s="33">
        <v>85.1</v>
      </c>
      <c r="D38" s="33">
        <v>4.3</v>
      </c>
      <c r="E38" s="38">
        <f t="shared" ref="E38:E43" si="277">D38/B38</f>
        <v>4.8098434004474278E-2</v>
      </c>
      <c r="F38" s="108">
        <f t="shared" si="254"/>
        <v>2.3925055928411636</v>
      </c>
      <c r="G38" s="32">
        <f t="shared" si="255"/>
        <v>2.1771800894854585</v>
      </c>
      <c r="H38" s="33">
        <v>2.38</v>
      </c>
      <c r="I38" s="32">
        <f t="shared" ref="I38:I43" si="278">$LI38*H38</f>
        <v>2.1657999999999999</v>
      </c>
      <c r="J38" s="33">
        <v>2.64</v>
      </c>
      <c r="K38" s="32">
        <f t="shared" ref="K38:K43" si="279">$LI38*J38</f>
        <v>2.4024000000000001</v>
      </c>
      <c r="L38" s="32">
        <f>(F38/'Discounting metrics'!$D$4*(1-EXP(-'Discounting metrics'!$D$4*'Discounting metrics'!$E$4)))/'Discounting metrics'!$E$4</f>
        <v>0.58717133109085196</v>
      </c>
      <c r="M38" s="32">
        <f>(G38/'Discounting metrics'!$D$4*(1-EXP(-'Discounting metrics'!$D$4*'Discounting metrics'!$E$4)))/'Discounting metrics'!$E$4</f>
        <v>0.53432591129267526</v>
      </c>
      <c r="N38" s="32">
        <f>(H38/'Discounting metrics'!$D$4*(1-EXP(-'Discounting metrics'!$D$4*'Discounting metrics'!$E$4)))/'Discounting metrics'!$E$4</f>
        <v>0.58410219486120307</v>
      </c>
      <c r="O38" s="32">
        <f>(I38/'Discounting metrics'!$D$4*(1-EXP(-'Discounting metrics'!$D$4*'Discounting metrics'!$E$4)))/'Discounting metrics'!$E$4</f>
        <v>0.53153299732369486</v>
      </c>
      <c r="P38" s="32">
        <f>(J38/'Discounting metrics'!$D$4*(1-EXP(-'Discounting metrics'!$D$4*'Discounting metrics'!$E$4)))/'Discounting metrics'!$E$4</f>
        <v>0.64791167833343533</v>
      </c>
      <c r="Q38" s="32">
        <f>(K38/'Discounting metrics'!$D$4*(1-EXP(-'Discounting metrics'!$D$4*'Discounting metrics'!$E$4)))/'Discounting metrics'!$E$4</f>
        <v>0.5895996272834263</v>
      </c>
      <c r="R38" s="32">
        <f t="shared" ref="R38:R43" si="280">10/G38</f>
        <v>4.593097304304</v>
      </c>
      <c r="S38" s="32">
        <f t="shared" ref="S38:S43" si="281">10/I38</f>
        <v>4.6172315079878103</v>
      </c>
      <c r="T38" s="32">
        <f t="shared" ref="T38:T43" si="282">10/K38</f>
        <v>4.1625041625041623</v>
      </c>
      <c r="U38" s="107">
        <f t="shared" ref="U38:V43" si="283">X38+Z38</f>
        <v>213.89</v>
      </c>
      <c r="V38" s="68">
        <f t="shared" si="283"/>
        <v>194.63989999999998</v>
      </c>
      <c r="W38" s="68"/>
      <c r="X38" s="67">
        <f t="shared" ref="X38:X43" si="284">C38*H38</f>
        <v>202.53799999999998</v>
      </c>
      <c r="Y38" s="67">
        <f t="shared" ref="Y38:Z43" si="285">C38*I38</f>
        <v>184.30957999999998</v>
      </c>
      <c r="Z38" s="67">
        <f t="shared" si="285"/>
        <v>11.352</v>
      </c>
      <c r="AA38" s="67">
        <f t="shared" ref="AA38:AA43" si="286">D38*K38</f>
        <v>10.33032</v>
      </c>
      <c r="AB38" s="38">
        <f t="shared" ref="AB38:AB43" si="287">AA38/V38</f>
        <v>5.3074010005142835E-2</v>
      </c>
      <c r="AC38" s="294">
        <f t="shared" ref="AC38:AK43" si="288">($C38*AL38+$D38*AU38)/$B38</f>
        <v>0.19988434811488784</v>
      </c>
      <c r="AD38" s="294">
        <f t="shared" si="288"/>
        <v>0.55581893043676966</v>
      </c>
      <c r="AE38" s="294">
        <f t="shared" si="288"/>
        <v>0.1258549554786437</v>
      </c>
      <c r="AF38" s="294">
        <f t="shared" si="288"/>
        <v>3.622323138494208E-2</v>
      </c>
      <c r="AG38" s="294">
        <f t="shared" si="288"/>
        <v>5.6976235105576617E-2</v>
      </c>
      <c r="AH38" s="294">
        <f t="shared" si="288"/>
        <v>1.5494523396672523E-2</v>
      </c>
      <c r="AI38" s="294">
        <f t="shared" si="288"/>
        <v>1.3475536005855764E-4</v>
      </c>
      <c r="AJ38" s="294">
        <f t="shared" si="288"/>
        <v>5.18064623055351E-3</v>
      </c>
      <c r="AK38" s="294">
        <f t="shared" si="288"/>
        <v>4.3995925098253745E-3</v>
      </c>
      <c r="AL38" s="433">
        <v>0.20772112034852472</v>
      </c>
      <c r="AM38" s="433">
        <v>0.55129741539265842</v>
      </c>
      <c r="AN38" s="433">
        <v>0.12888279976474731</v>
      </c>
      <c r="AO38" s="433">
        <v>3.7652179613802413E-2</v>
      </c>
      <c r="AP38" s="433">
        <v>5.2434214172636155E-2</v>
      </c>
      <c r="AQ38" s="433">
        <v>1.4093973749008148E-2</v>
      </c>
      <c r="AR38" s="433">
        <v>1.3578121413959006E-4</v>
      </c>
      <c r="AS38" s="433">
        <v>3.1792760658044972E-3</v>
      </c>
      <c r="AT38" s="433">
        <v>4.5688012627319976E-3</v>
      </c>
      <c r="AU38" s="433">
        <v>4.478915809570256E-2</v>
      </c>
      <c r="AV38" s="433">
        <v>0.64530286770511081</v>
      </c>
      <c r="AW38" s="433">
        <v>6.5931804607151451E-2</v>
      </c>
      <c r="AX38" s="433">
        <v>7.9433489951713163E-3</v>
      </c>
      <c r="AY38" s="433">
        <v>0.14686599822028193</v>
      </c>
      <c r="AZ38" s="433">
        <v>4.3212378051611648E-2</v>
      </c>
      <c r="BA38" s="433">
        <v>1.144529920827769E-4</v>
      </c>
      <c r="BB38" s="433">
        <v>4.478915809570256E-2</v>
      </c>
      <c r="BC38" s="433">
        <v>1.0508332371849988E-3</v>
      </c>
      <c r="BD38" s="554">
        <f t="shared" ref="BD38:BF43" si="289">BG38*$B38/10^3</f>
        <v>19.16019235248471</v>
      </c>
      <c r="BE38" s="554">
        <f t="shared" si="289"/>
        <v>8.4962800103856893</v>
      </c>
      <c r="BF38" s="554">
        <f t="shared" si="289"/>
        <v>10.663912342099021</v>
      </c>
      <c r="BG38" s="67">
        <f t="shared" ref="BG38:BG43" si="290">BH38+BI38</f>
        <v>214.31982497186479</v>
      </c>
      <c r="BH38" s="67">
        <f t="shared" ref="BH38:BH43" si="291">(BK38*$C38+CF38*$D38)/$B38</f>
        <v>95.03668915420235</v>
      </c>
      <c r="BI38" s="67">
        <f t="shared" ref="BI38:BI43" si="292">(BU38*$C38+CP38*$D38)/$B38</f>
        <v>119.28313581766244</v>
      </c>
      <c r="BJ38" s="67">
        <f t="shared" ref="BJ38:BJ43" si="293">BK38+BU38</f>
        <v>215.8024121570287</v>
      </c>
      <c r="BK38" s="68">
        <f t="shared" ref="BK38:BK43" si="294">$AL38*BL38+$AM38*BM38+$AN38*BN38+$AO38*BO38+$AP38*BP38+$AQ38*BQ38+$AR38*BR38+$AS38*BS38+$AT38*BT38</f>
        <v>95.943348146685466</v>
      </c>
      <c r="BL38" s="145">
        <v>119.49925910059471</v>
      </c>
      <c r="BM38" s="145">
        <v>116.2356164445013</v>
      </c>
      <c r="BN38" s="145">
        <v>39.663878067857439</v>
      </c>
      <c r="BO38" s="145">
        <v>29.686049712185987</v>
      </c>
      <c r="BP38" s="145">
        <v>7.1010421443362031</v>
      </c>
      <c r="BQ38" s="145">
        <v>1.9362633651764021</v>
      </c>
      <c r="BR38" s="145">
        <v>1.015558359345846E-2</v>
      </c>
      <c r="BS38" s="145">
        <v>102.8758222401961</v>
      </c>
      <c r="BT38" s="145">
        <v>18.38510355644549</v>
      </c>
      <c r="BU38" s="68">
        <f t="shared" ref="BU38:BU43" si="295">$AL38*BV38+$AM38*BW38+$AN38*BX38+$AO38*BY38+$AP38*BZ38+$AQ38*CA38+$AR38*CB38+$AS38*CC38+$AT38*CD38</f>
        <v>119.85906401034323</v>
      </c>
      <c r="BV38" s="145">
        <v>124.12045541232612</v>
      </c>
      <c r="BW38" s="145">
        <v>109.26611868301599</v>
      </c>
      <c r="BX38" s="145">
        <v>137.72671754833223</v>
      </c>
      <c r="BY38" s="145">
        <v>276.04407942908364</v>
      </c>
      <c r="BZ38" s="145">
        <v>84.372991367794654</v>
      </c>
      <c r="CA38" s="145">
        <v>52.794006305528001</v>
      </c>
      <c r="CB38" s="145">
        <v>0.13902034820230388</v>
      </c>
      <c r="CC38" s="145">
        <v>91.801294877683603</v>
      </c>
      <c r="CD38" s="145">
        <v>51.269364935585294</v>
      </c>
      <c r="CE38" s="68">
        <f t="shared" ref="CE38:CE43" si="296">CF38+CP38</f>
        <v>184.97839021431881</v>
      </c>
      <c r="CF38" s="68">
        <f t="shared" ref="CF38:CF43" si="297">$AU38*CG38+$AV38*CH38+$AW38*CI38+$AX38*CJ38+$AY38*CK38+$AZ38*CL38+$BA38*CM38+$BB38*CN38+$BC38*CO38</f>
        <v>77.09327514017609</v>
      </c>
      <c r="CG38" s="145">
        <v>155.36857386994856</v>
      </c>
      <c r="CH38" s="145">
        <v>100.48769489224182</v>
      </c>
      <c r="CI38" s="145">
        <v>41.899213112995348</v>
      </c>
      <c r="CJ38" s="145">
        <v>57.576580725645456</v>
      </c>
      <c r="CK38" s="145">
        <v>7.9438544469480785</v>
      </c>
      <c r="CL38" s="145">
        <v>1.9611445700439862</v>
      </c>
      <c r="CM38" s="145">
        <v>6.1945938893635762E-2</v>
      </c>
      <c r="CN38" s="145">
        <v>18.188556643036637</v>
      </c>
      <c r="CO38" s="145">
        <v>3.352739023482755</v>
      </c>
      <c r="CP38" s="68">
        <f t="shared" ref="CP38:CP43" si="298">$AU38*CQ38+$AV38*CR38+$AW38*CS38+$AX38*CT38+$AY38*CU38+$AZ38*CV38+$BA38*CW38+$BB38*CX38+$BC38*CY38</f>
        <v>107.88511507414272</v>
      </c>
      <c r="CQ38" s="145">
        <v>154.70952883440481</v>
      </c>
      <c r="CR38" s="145">
        <v>109.49044356631524</v>
      </c>
      <c r="CS38" s="145">
        <v>145.6285036265752</v>
      </c>
      <c r="CT38" s="145">
        <v>267.15433058531983</v>
      </c>
      <c r="CU38" s="145">
        <v>106.41395202168424</v>
      </c>
      <c r="CV38" s="145">
        <v>53.924791793657739</v>
      </c>
      <c r="CW38" s="145">
        <v>0.96583030869783082</v>
      </c>
      <c r="CX38" s="145">
        <v>13.617446141695011</v>
      </c>
      <c r="CY38" s="145">
        <v>8.3970612238798648</v>
      </c>
      <c r="CZ38" s="554">
        <f t="shared" ref="CZ38:DB43" si="299">DC38*$B38/10^3</f>
        <v>8.0587592253242679</v>
      </c>
      <c r="DA38" s="554">
        <f t="shared" si="299"/>
        <v>6.0824968750000007E-2</v>
      </c>
      <c r="DB38" s="554">
        <f t="shared" si="299"/>
        <v>7.9979342565742684</v>
      </c>
      <c r="DC38" s="32">
        <f t="shared" ref="DC38:DC43" si="300">DD38+DE38</f>
        <v>90.142720641211056</v>
      </c>
      <c r="DD38" s="32">
        <f t="shared" ref="DD38:DE43" si="301">(DH38*$C38+DO38*$D38)/$B38</f>
        <v>0.68036877796420592</v>
      </c>
      <c r="DE38" s="67">
        <f t="shared" si="301"/>
        <v>89.462351863246852</v>
      </c>
      <c r="DF38" s="270"/>
      <c r="DG38" s="67">
        <f t="shared" ref="DG38:DG43" si="302">DH38+DI38</f>
        <v>90.571110507757425</v>
      </c>
      <c r="DH38" s="32">
        <f>I38*0.5*2.5*0.25</f>
        <v>0.67681250000000004</v>
      </c>
      <c r="DI38" s="67">
        <f t="shared" ref="DI38:DI43" si="303">(1-DK38)*BU38</f>
        <v>89.894298007757428</v>
      </c>
      <c r="DJ38" s="67"/>
      <c r="DK38" s="34">
        <f t="shared" ref="DK38:DK43" si="304">DK$17</f>
        <v>0.25</v>
      </c>
      <c r="DL38" s="159"/>
      <c r="DM38" s="159"/>
      <c r="DN38" s="68">
        <f t="shared" ref="DN38:DN43" si="305">DO38+DP38</f>
        <v>81.664586305607031</v>
      </c>
      <c r="DO38" s="32">
        <f>K38*0.5*2.5*0.25</f>
        <v>0.75075000000000003</v>
      </c>
      <c r="DP38" s="67">
        <f t="shared" ref="DP38:DP43" si="306">(1-DR38)*CP38</f>
        <v>80.913836305607035</v>
      </c>
      <c r="DQ38" s="67"/>
      <c r="DR38" s="34">
        <f t="shared" ref="DR38:DR43" si="307">DR$17</f>
        <v>0.25</v>
      </c>
      <c r="DS38" s="294"/>
      <c r="DT38" s="294"/>
      <c r="DU38" s="294"/>
      <c r="DV38" s="67">
        <f t="shared" si="262"/>
        <v>124.17710433065373</v>
      </c>
      <c r="DW38" s="67">
        <f t="shared" si="262"/>
        <v>94.356320376238145</v>
      </c>
      <c r="DX38" s="67">
        <f t="shared" si="262"/>
        <v>29.820783954415589</v>
      </c>
      <c r="DY38" s="67">
        <f t="shared" si="263"/>
        <v>125.23130164927127</v>
      </c>
      <c r="DZ38" s="67">
        <f t="shared" si="263"/>
        <v>95.266535646685469</v>
      </c>
      <c r="EA38" s="67">
        <f t="shared" si="264"/>
        <v>29.964766002585804</v>
      </c>
      <c r="EB38" s="67">
        <f t="shared" si="265"/>
        <v>103.31380390871178</v>
      </c>
      <c r="EC38" s="67">
        <f t="shared" si="265"/>
        <v>76.342525140176093</v>
      </c>
      <c r="ED38" s="67">
        <f t="shared" si="266"/>
        <v>26.971278768535683</v>
      </c>
      <c r="EE38" s="68">
        <f t="shared" ref="EE38:EE43" si="308">EF38+EG38</f>
        <v>91.07667296423854</v>
      </c>
      <c r="EF38" s="67">
        <f t="shared" ref="EF38:EF43" si="309">(EJ38*$C38+FF38*$D38)/$B38</f>
        <v>67.874121814980455</v>
      </c>
      <c r="EG38" s="67">
        <f t="shared" ref="EG38:EG43" si="310">(EV38*$C38+FR38*$D38)/$B38</f>
        <v>23.202551149258081</v>
      </c>
      <c r="EH38" s="261">
        <f t="shared" ref="EH38:EH43" si="311">EJ38+EV38</f>
        <v>91.465118526584206</v>
      </c>
      <c r="EI38" s="154">
        <f t="shared" ref="EI38:EI43" si="312">EH38/($BJ38-$DG38)</f>
        <v>0.730369462921864</v>
      </c>
      <c r="EJ38" s="108">
        <f t="shared" ref="EJ38:EJ43" si="313">EK38+EL38-DH38</f>
        <v>68.149168690977206</v>
      </c>
      <c r="EK38" s="126">
        <f>'Allometrics &amp; Decay rates'!$H$5*$AL38*BL38+'Allometrics &amp; Decay rates'!$H$6*$AM38*BM38+'Allometrics &amp; Decay rates'!$H$7*$AN38*BN38+'Allometrics &amp; Decay rates'!$H$8*$AO38*BO38+'Allometrics &amp; Decay rates'!$H$9*$AP38*BP38+'Allometrics &amp; Decay rates'!$H$10*$AQ38*BQ38+'Allometrics &amp; Decay rates'!$H$11*$AR38*BR38+'Allometrics &amp; Decay rates'!$H$12*$AS38*BS38+'Allometrics &amp; Decay rates'!$H$13*$AT38*BT38</f>
        <v>41.370771499723894</v>
      </c>
      <c r="EL38" s="97">
        <f t="shared" ref="EL38:EL43" si="314">SUM(EM38:EU38)</f>
        <v>27.455209691253309</v>
      </c>
      <c r="EM38" s="550">
        <f>AL38*BL38*('Allometrics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9.7311122536998802</v>
      </c>
      <c r="EN38" s="550">
        <f>AM38*BM38*('Allometrics &amp; Decay rates'!$I$6*((EXP('Allometrics &amp; Decay rates'!$K$6)-1)/('Discounting metrics'!$D$4+'Allometrics &amp; Decay rates'!$K$6)*(1-EXP(-('Discounting metrics'!$D$4+'Allometrics &amp; Decay rates'!$K$6)*'Discounting metrics'!$E$4))-(1-EXP(-'Allometrics &amp; Decay rates'!$K$6))/1.55)+'Allometrics &amp; Decay rates'!$E$6*((EXP('Allometrics &amp; Decay rates'!$L$6)-1)/('Discounting metrics'!$D$4+'Allometrics &amp; Decay rates'!$L$6)*(1-EXP(-('Discounting metrics'!$D$4+'Allometrics &amp; Decay rates'!$L$6)*'Discounting metrics'!$E$4))-(1-EXP(-'Allometrics &amp; Decay rates'!$L$6))/1.55))</f>
        <v>15.628426872152977</v>
      </c>
      <c r="EO38" s="550">
        <f>AN38*BN38*('Allometrics &amp; Decay rates'!$I$7*((EXP('Allometrics &amp; Decay rates'!$K$7)-1)/('Discounting metrics'!$D$4+'Allometrics &amp; Decay rates'!$K$7)*(1-EXP(-('Discounting metrics'!$D$4+'Allometrics &amp; Decay rates'!$K$7)*'Discounting metrics'!$E$4))-(1-EXP(-'Allometrics &amp; Decay rates'!$K$7))/1.55)+'Allometrics &amp; Decay rates'!$E$7*((EXP('Allometrics &amp; Decay rates'!$L$7)-1)/('Discounting metrics'!$D$4+'Allometrics &amp; Decay rates'!$L$7)*(1-EXP(-('Discounting metrics'!$D$4+'Allometrics &amp; Decay rates'!$L$7)*'Discounting metrics'!$E$4))-(1-EXP(-'Allometrics &amp; Decay rates'!$L$7))/1.55))</f>
        <v>1.0884016413815463</v>
      </c>
      <c r="EP38" s="550">
        <f>AO38*BO38*('Allometrics &amp; Decay rates'!$I$8*((EXP('Allometrics &amp; Decay rates'!$K$8)-1)/('Discounting metrics'!$D$4+'Allometrics &amp; Decay rates'!$K$8)*(1-EXP(-('Discounting metrics'!$D$4+'Allometrics &amp; Decay rates'!$K$8)*'Discounting metrics'!$E$4))-(1-EXP(-'Allometrics &amp; Decay rates'!$K$8))/1.55)+'Allometrics &amp; Decay rates'!$E$8*((EXP('Allometrics &amp; Decay rates'!$L$8)-1)/('Discounting metrics'!$D$4+'Allometrics &amp; Decay rates'!$L$8)*(1-EXP(-('Discounting metrics'!$D$4+'Allometrics &amp; Decay rates'!$L$8)*'Discounting metrics'!$E$4))-(1-EXP(-'Allometrics &amp; Decay rates'!$L$8))/1.55))</f>
        <v>0.63282937578117737</v>
      </c>
      <c r="EQ38" s="550">
        <f>AP38*BP38*('Allometrics &amp; Decay rates'!$I$9*((EXP('Allometrics &amp; Decay rates'!$K$9)-1)/('Discounting metrics'!$D$4+'Allometrics &amp; Decay rates'!$K$9)*(1-EXP(-('Discounting metrics'!$D$4+'Allometrics &amp; Decay rates'!$K$9)*'Discounting metrics'!$E$4))-(1-EXP(-'Allometrics &amp; Decay rates'!$K$9))/1.55)+'Allometrics &amp; Decay rates'!$E$9*((EXP('Allometrics &amp; Decay rates'!$L$9)-1)/('Discounting metrics'!$D$4+'Allometrics &amp; Decay rates'!$L$9)*(1-EXP(-('Discounting metrics'!$D$4+'Allometrics &amp; Decay rates'!$L$9)*'Discounting metrics'!$E$4))-(1-EXP(-'Allometrics &amp; Decay rates'!$L$9))/1.55))</f>
        <v>0.1951516606719563</v>
      </c>
      <c r="ER38" s="550">
        <f>AQ38*BQ38*('Allometrics &amp; Decay rates'!$I$10*((EXP('Allometrics &amp; Decay rates'!$K$10)-1)/('Discounting metrics'!$D$4+'Allometrics &amp; Decay rates'!$K$10)*(1-EXP(-('Discounting metrics'!$D$4+'Allometrics &amp; Decay rates'!$K$10)*'Discounting metrics'!$E$4))-(1-EXP(-'Allometrics &amp; Decay rates'!$K$10))/1.55)+'Allometrics &amp; Decay rates'!$E$10*((EXP('Allometrics &amp; Decay rates'!$L$10)-1)/('Discounting metrics'!$D$4+'Allometrics &amp; Decay rates'!$L$10)*(1-EXP(-('Discounting metrics'!$D$4+'Allometrics &amp; Decay rates'!$L$10)*'Discounting metrics'!$E$4))-(1-EXP(-'Allometrics &amp; Decay rates'!$L$10))/1.55))</f>
        <v>1.7361160209679295E-2</v>
      </c>
      <c r="ES38" s="550">
        <f>AR38*BR38*('Allometrics &amp; Decay rates'!$I$11*((EXP('Allometrics &amp; Decay rates'!$K$11)-1)/('Discounting metrics'!$D$4+'Allometrics &amp; Decay rates'!$K$11)*(1-EXP(-('Discounting metrics'!$D$4+'Allometrics &amp; Decay rates'!$K$11)*'Discounting metrics'!$E$4))-(1-EXP(-'Allometrics &amp; Decay rates'!$K$11))/1.55)+'Allometrics &amp; Decay rates'!$E$11*((EXP('Allometrics &amp; Decay rates'!$L$11)-1)/('Discounting metrics'!$D$4+'Allometrics &amp; Decay rates'!$L$11)*(1-EXP(-('Discounting metrics'!$D$4+'Allometrics &amp; Decay rates'!$L$11)*'Discounting metrics'!$E$4))-(1-EXP(-'Allometrics &amp; Decay rates'!$L$11))/1.55))</f>
        <v>9.7875771279541198E-7</v>
      </c>
      <c r="ET38" s="550">
        <f>AS38*BS38*('Allometrics &amp; Decay rates'!$I$12*((EXP('Allometrics &amp; Decay rates'!$K$12)-1)/('Discounting metrics'!$D$4+'Allometrics &amp; Decay rates'!$K$12)*(1-EXP(-('Discounting metrics'!$D$4+'Allometrics &amp; Decay rates'!$K$12)*'Discounting metrics'!$E$4))-(1-EXP(-'Allometrics &amp; Decay rates'!$K$12))/1.55)+'Allometrics &amp; Decay rates'!$E$12*((EXP('Allometrics &amp; Decay rates'!$L$12)-1)/('Discounting metrics'!$D$4+'Allometrics &amp; Decay rates'!$L$12)*(1-EXP(-('Discounting metrics'!$D$4+'Allometrics &amp; Decay rates'!$L$12)*'Discounting metrics'!$E$4))-(1-EXP(-'Allometrics &amp; Decay rates'!$L$12))/1.55))</f>
        <v>0.13345942745397707</v>
      </c>
      <c r="EU38" s="550">
        <f>AT38*BT38*('Allometrics &amp; Decay rates'!$I$13*((EXP('Allometrics &amp; Decay rates'!$K$13)-1)/('Discounting metrics'!$D$4+'Allometrics &amp; Decay rates'!$K$13)*(1-EXP(-('Discounting metrics'!$D$4+'Allometrics &amp; Decay rates'!$K$13)*'Discounting metrics'!$E$4))-(1-EXP(-'Allometrics &amp; Decay rates'!$K$13))/1.55)+'Allometrics &amp; Decay rates'!$E$13*((EXP('Allometrics &amp; Decay rates'!$L$13)-1)/('Discounting metrics'!$D$4+'Allometrics &amp; Decay rates'!$L$13)*(1-EXP(-('Discounting metrics'!$D$4+'Allometrics &amp; Decay rates'!$L$13)*'Discounting metrics'!$E$4))-(1-EXP(-'Allometrics &amp; Decay rates'!$L$13))/1.55))</f>
        <v>2.8466321144406663E-2</v>
      </c>
      <c r="EV38" s="108">
        <f t="shared" ref="EV38:EV43" si="315">SUM(EW38:FC38)</f>
        <v>23.315949835606997</v>
      </c>
      <c r="EW38" s="550">
        <f>AL38*BV38*$DK38*((EXP('Allometrics &amp; Decay rates'!$M$5)-1)/('Discounting metrics'!$D$4+'Allometrics &amp; Decay rates'!$M$5)*(1-EXP(-('Discounting metrics'!$D$4+'Allometrics &amp; Decay rates'!$M$5)*'Discounting metrics'!$E$4))-(1-EXP(-'Allometrics &amp; Decay rates'!$M$5))/1.55)</f>
        <v>5.0375190964183991</v>
      </c>
      <c r="EX38" s="550">
        <f>AM38*BW38*$DK38*((EXP('Allometrics &amp; Decay rates'!$M$5)-1)/('Discounting metrics'!$D$4+'Allometrics &amp; Decay rates'!$M$5)*(1-EXP(-('Discounting metrics'!$D$4+'Allometrics &amp; Decay rates'!$M$5)*'Discounting metrics'!$E$4))-(1-EXP(-'Allometrics &amp; Decay rates'!$M$5))/1.55)</f>
        <v>11.769666625769901</v>
      </c>
      <c r="EY38" s="550">
        <f>AN38*BX38*$DK38*((EXP('Allometrics &amp; Decay rates'!$M$5)-1)/('Discounting metrics'!$D$4+'Allometrics &amp; Decay rates'!$M$5)*(1-EXP(-('Discounting metrics'!$D$4+'Allometrics &amp; Decay rates'!$M$5)*'Discounting metrics'!$E$4))-(1-EXP(-'Allometrics &amp; Decay rates'!$M$5))/1.55)</f>
        <v>3.4682136858846841</v>
      </c>
      <c r="EZ38" s="550">
        <f>AO38*BY38*$DK38*((EXP('Allometrics &amp; Decay rates'!$M$5)-1)/('Discounting metrics'!$D$4+'Allometrics &amp; Decay rates'!$M$5)*(1-EXP(-('Discounting metrics'!$D$4+'Allometrics &amp; Decay rates'!$M$5)*'Discounting metrics'!$E$4))-(1-EXP(-'Allometrics &amp; Decay rates'!$M$5))/1.55)</f>
        <v>2.0307723770262114</v>
      </c>
      <c r="FA38" s="550">
        <f>AP38*BZ38*$DK38*((EXP('Allometrics &amp; Decay rates'!$M$5)-1)/('Discounting metrics'!$D$4+'Allometrics &amp; Decay rates'!$M$5)*(1-EXP(-('Discounting metrics'!$D$4+'Allometrics &amp; Decay rates'!$M$5)*'Discounting metrics'!$E$4))-(1-EXP(-'Allometrics &amp; Decay rates'!$M$5))/1.55)</f>
        <v>0.86439231951884699</v>
      </c>
      <c r="FB38" s="550">
        <f>AQ38*CA38*$DK38*((EXP('Allometrics &amp; Decay rates'!$M$5)-1)/('Discounting metrics'!$D$4+'Allometrics &amp; Decay rates'!$M$5)*(1-EXP(-('Discounting metrics'!$D$4+'Allometrics &amp; Decay rates'!$M$5)*'Discounting metrics'!$E$4))-(1-EXP(-'Allometrics &amp; Decay rates'!$M$5))/1.55)</f>
        <v>0.14538204282050393</v>
      </c>
      <c r="FC38" s="550">
        <f>AR38*CB38*$DK38*((EXP('Allometrics &amp; Decay rates'!$M$5)-1)/('Discounting metrics'!$D$4+'Allometrics &amp; Decay rates'!$M$5)*(1-EXP(-('Discounting metrics'!$D$4+'Allometrics &amp; Decay rates'!$M$5)*'Discounting metrics'!$E$4))-(1-EXP(-'Allometrics &amp; Decay rates'!$M$5))/1.55)</f>
        <v>3.6881684509032986E-6</v>
      </c>
      <c r="FD38" s="261">
        <f t="shared" ref="FD38:FD43" si="316">FF38+FR38</f>
        <v>83.389064276885904</v>
      </c>
      <c r="FE38" s="154">
        <f t="shared" ref="FE38:FE43" si="317">FD38/($CE38-$DN38)</f>
        <v>0.80714349024036125</v>
      </c>
      <c r="FF38" s="108">
        <f t="shared" ref="FF38:FF43" si="318">FG38+FH38-$DO38</f>
        <v>62.43075224583545</v>
      </c>
      <c r="FG38" s="126">
        <f>'Allometrics &amp; Decay rates'!$H$5*$AU38*CG38+'Allometrics &amp; Decay rates'!$H$6*$AV38*CH38+'Allometrics &amp; Decay rates'!$H$7*$AW38*CI38+'Allometrics &amp; Decay rates'!$H$8*$AX38*CJ38+'Allometrics &amp; Decay rates'!$H$9*$AY38*CK38+'Allometrics &amp; Decay rates'!$H$10*$AZ38*CL38+'Allometrics &amp; Decay rates'!$H$11*$BA38*CM38+'Allometrics &amp; Decay rates'!$H$12*$BB38*CN38+'Allometrics &amp; Decay rates'!$H$13*$BC38*CO38</f>
        <v>32.958812729912545</v>
      </c>
      <c r="FH38" s="97">
        <f t="shared" ref="FH38:FH43" si="319">SUM(FI38:FQ38)</f>
        <v>30.222689515922909</v>
      </c>
      <c r="FI38" s="550">
        <f>AU38*CG38*('Allometrics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2.7280522991949869</v>
      </c>
      <c r="FJ38" s="550">
        <f>AV38*CH38*('Allometrics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25.421027036039572</v>
      </c>
      <c r="FK38" s="550">
        <f>AW38*CI38*('Allometrics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1.0829725360203135</v>
      </c>
      <c r="FL38" s="550">
        <f>AX38*CJ38*('Allometrics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0.17929415321017558</v>
      </c>
      <c r="FM38" s="550">
        <f>AY38*CK38*('Allometrics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0.45737155676564589</v>
      </c>
      <c r="FN38" s="550">
        <f>AZ38*CL38*('Allometrics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3.3222659123930819E-2</v>
      </c>
      <c r="FO38" s="550">
        <f>BA38*CM38*('Allometrics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2.7794355238965651E-6</v>
      </c>
      <c r="FP38" s="550">
        <f>BB38*CN38*('Allometrics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0.31936531650607974</v>
      </c>
      <c r="FQ38" s="550">
        <f>BC38*CO38*('Allometrics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1.3811796266787965E-3</v>
      </c>
      <c r="FR38" s="108">
        <f t="shared" ref="FR38:FR43" si="320">SUM(FS38:FY38)</f>
        <v>20.958312031050454</v>
      </c>
      <c r="FS38" s="550">
        <f>AU38*CQ38*$DK38*((EXP('Allometrics &amp; Decay rates'!$M$5)-1)/('Discounting metrics'!$D$4+'Allometrics &amp; Decay rates'!$M$5)*(1-EXP(-('Discounting metrics'!$D$4+'Allometrics &amp; Decay rates'!$M$5)*'Discounting metrics'!$E$4))-(1-EXP(-'Allometrics &amp; Decay rates'!$M$5))/1.55)</f>
        <v>1.3538877269164886</v>
      </c>
      <c r="FT38" s="550">
        <f>AV38*CR38*$DK38*((EXP('Allometrics &amp; Decay rates'!$M$5)-1)/('Discounting metrics'!$D$4+'Allometrics &amp; Decay rates'!$M$5)*(1-EXP(-('Discounting metrics'!$D$4+'Allometrics &amp; Decay rates'!$M$5)*'Discounting metrics'!$E$4))-(1-EXP(-'Allometrics &amp; Decay rates'!$M$5))/1.55)</f>
        <v>13.804875652303666</v>
      </c>
      <c r="FU38" s="550">
        <f>AW38*CS38*$DK38*((EXP('Allometrics &amp; Decay rates'!$M$5)-1)/('Discounting metrics'!$D$4+'Allometrics &amp; Decay rates'!$M$5)*(1-EXP(-('Discounting metrics'!$D$4+'Allometrics &amp; Decay rates'!$M$5)*'Discounting metrics'!$E$4))-(1-EXP(-'Allometrics &amp; Decay rates'!$M$5))/1.55)</f>
        <v>1.8760052038446009</v>
      </c>
      <c r="FV38" s="550">
        <f>AX38*CT38*$DK38*((EXP('Allometrics &amp; Decay rates'!$M$5)-1)/('Discounting metrics'!$D$4+'Allometrics &amp; Decay rates'!$M$5)*(1-EXP(-('Discounting metrics'!$D$4+'Allometrics &amp; Decay rates'!$M$5)*'Discounting metrics'!$E$4))-(1-EXP(-'Allometrics &amp; Decay rates'!$M$5))/1.55)</f>
        <v>0.41462792781829561</v>
      </c>
      <c r="FW38" s="550">
        <f>AY38*CU38*$DK38*((EXP('Allometrics &amp; Decay rates'!$M$5)-1)/('Discounting metrics'!$D$4+'Allometrics &amp; Decay rates'!$M$5)*(1-EXP(-('Discounting metrics'!$D$4+'Allometrics &amp; Decay rates'!$M$5)*'Discounting metrics'!$E$4))-(1-EXP(-'Allometrics &amp; Decay rates'!$M$5))/1.55)</f>
        <v>3.0536026416545319</v>
      </c>
      <c r="FX38" s="550">
        <f>AZ38*CV38*$DK38*((EXP('Allometrics &amp; Decay rates'!$M$5)-1)/('Discounting metrics'!$D$4+'Allometrics &amp; Decay rates'!$M$5)*(1-EXP(-('Discounting metrics'!$D$4+'Allometrics &amp; Decay rates'!$M$5)*'Discounting metrics'!$E$4))-(1-EXP(-'Allometrics &amp; Decay rates'!$M$5))/1.55)</f>
        <v>0.45529128015816522</v>
      </c>
      <c r="FY38" s="550">
        <f>BA38*CW38*$DK38*((EXP('Allometrics &amp; Decay rates'!$M$5)-1)/('Discounting metrics'!$D$4+'Allometrics &amp; Decay rates'!$M$5)*(1-EXP(-('Discounting metrics'!$D$4+'Allometrics &amp; Decay rates'!$M$5)*'Discounting metrics'!$E$4))-(1-EXP(-'Allometrics &amp; Decay rates'!$M$5))/1.55)</f>
        <v>2.1598354711182263E-5</v>
      </c>
      <c r="FZ38" s="68"/>
      <c r="GA38" s="293"/>
      <c r="GB38" s="293"/>
      <c r="GP38" s="32">
        <f t="shared" ref="GP38:GP43" si="321">(GQ38*$C38+GR38*$D38)/$B38</f>
        <v>6.9329642058165541</v>
      </c>
      <c r="GQ38" s="33">
        <v>6.97</v>
      </c>
      <c r="GR38" s="99">
        <v>6.2</v>
      </c>
      <c r="GS38" s="99"/>
      <c r="GT38" s="99"/>
      <c r="GU38" s="99"/>
      <c r="GV38" s="99"/>
      <c r="GW38" s="99"/>
      <c r="GX38" s="99"/>
      <c r="GY38" s="99"/>
      <c r="GZ38" s="99"/>
      <c r="HA38" s="99"/>
      <c r="HB38" s="99"/>
      <c r="HF38" s="97">
        <f t="shared" ref="HF38:HF43" si="322">HG38*$LI38</f>
        <v>1.5511089888369638</v>
      </c>
      <c r="HG38" s="526">
        <f>EE38/'Discounting metrics'!E$4/M38</f>
        <v>1.7045153723483117</v>
      </c>
      <c r="HH38" s="527">
        <f t="shared" ref="HH38:HH43" si="323">10^3*HG38/$LM38</f>
        <v>89.711335386753248</v>
      </c>
      <c r="HI38" s="528">
        <f t="shared" ref="HI38:HI43" si="324">HG38/$LO38</f>
        <v>4.2612884308707795</v>
      </c>
      <c r="HJ38" s="97">
        <f t="shared" ref="HJ38:HJ43" si="325">HK38*$LI38</f>
        <v>1.5659095160277312</v>
      </c>
      <c r="HK38" s="526">
        <f>EH38/'Discounting metrics'!E$4/O38</f>
        <v>1.7207796879425616</v>
      </c>
      <c r="HL38" s="527">
        <f t="shared" ref="HL38:HL43" si="326">10^3*HK38/$LM38</f>
        <v>90.567351996976925</v>
      </c>
      <c r="HM38" s="528">
        <f t="shared" ref="HM38:HM43" si="327">HK38/$LO38</f>
        <v>4.3019492198564038</v>
      </c>
      <c r="HN38" s="97">
        <f t="shared" ref="HN38:HN43" si="328">HO38*$LI38</f>
        <v>1.2870436984772375</v>
      </c>
      <c r="HO38" s="526">
        <f>FD38/'Discounting metrics'!E$4/Q38</f>
        <v>1.4143337345903708</v>
      </c>
      <c r="HP38" s="527">
        <f t="shared" ref="HP38:HP43" si="329">10^3*HO38/$LM38</f>
        <v>74.43861761001952</v>
      </c>
      <c r="HQ38" s="528">
        <f t="shared" ref="HQ38:HQ43" si="330">HO38/$LO38</f>
        <v>3.535834336475927</v>
      </c>
      <c r="HR38" s="97">
        <f t="shared" ref="HR38:HR43" si="331">HS38*$LI38</f>
        <v>1.4455206584744522</v>
      </c>
      <c r="HS38" s="263">
        <f t="shared" ref="HS38:HS43" si="332">$IM$11*IE38</f>
        <v>1.5884842400818155</v>
      </c>
      <c r="HT38" s="527">
        <f t="shared" ref="HT38:HT43" si="333">10^3*HS38/$LM38</f>
        <v>83.604433688516608</v>
      </c>
      <c r="HU38" s="528">
        <f t="shared" ref="HU38:HU43" si="334">HS38/$LO38</f>
        <v>3.9712106002045386</v>
      </c>
      <c r="HV38" s="97">
        <f t="shared" ref="HV38:HV43" si="335">HW38*$LI38</f>
        <v>1.4608786006064471</v>
      </c>
      <c r="HW38" s="263">
        <f t="shared" si="269"/>
        <v>1.6053610995675243</v>
      </c>
      <c r="HX38" s="527">
        <f t="shared" ref="HX38:HX43" si="336">10^3*HW38/$LM38</f>
        <v>84.492689450922327</v>
      </c>
      <c r="HY38" s="528">
        <f t="shared" ref="HY38:HY43" si="337">HW38/$LO38</f>
        <v>4.0134027489188107</v>
      </c>
      <c r="HZ38" s="97">
        <f t="shared" ref="HZ38:HZ43" si="338">I38*$LI38</f>
        <v>1.9708780000000001</v>
      </c>
      <c r="IA38" s="263">
        <f t="shared" si="270"/>
        <v>1.2873738307692268</v>
      </c>
      <c r="IB38" s="527">
        <f t="shared" ref="IB38:IB43" si="339">10^3*I38/$LM38</f>
        <v>113.98947368421051</v>
      </c>
      <c r="IC38" s="528">
        <f t="shared" ref="IC38:IC43" si="340">I38/$LO38</f>
        <v>5.4144999999999994</v>
      </c>
      <c r="ID38" s="97">
        <f t="shared" ref="ID38:ID43" si="341">IE38*$LI38</f>
        <v>2.8977839076160645</v>
      </c>
      <c r="IE38" s="263">
        <f t="shared" si="271"/>
        <v>3.1843779204572136</v>
      </c>
      <c r="IF38" s="68">
        <f t="shared" ref="IF38:IF43" si="342">10^3*IE38/$LM38</f>
        <v>167.59883791880071</v>
      </c>
      <c r="IG38" s="97">
        <f t="shared" ref="IG38:IG43" si="343">IH38*$LI38</f>
        <v>2.9285714285714288</v>
      </c>
      <c r="IH38" s="263">
        <f t="shared" si="272"/>
        <v>3.2182103610675039</v>
      </c>
      <c r="II38" s="68">
        <f t="shared" ref="II38:II43" si="344">10^3*IH38/$LM38</f>
        <v>169.37949268776336</v>
      </c>
      <c r="IJ38" s="97">
        <f t="shared" ref="IJ38:IJ43" si="345">IK38*$LI38</f>
        <v>2.3484848484848486</v>
      </c>
      <c r="IK38" s="263">
        <f t="shared" si="273"/>
        <v>2.5807525807525806</v>
      </c>
      <c r="IL38" s="68">
        <f t="shared" ref="IL38:IL43" si="346">10^3*IK38/$LM38</f>
        <v>135.82908319750425</v>
      </c>
      <c r="IM38" s="60"/>
      <c r="IN38" s="60"/>
      <c r="IO38" s="60"/>
      <c r="IP38" s="554">
        <f t="shared" ref="IP38:IP43" si="347">IR38*$V38</f>
        <v>35.485782750323992</v>
      </c>
      <c r="IQ38" s="262">
        <f t="shared" ref="IQ38:IQ43" si="348">IR38*$LI38</f>
        <v>0.16590669386284537</v>
      </c>
      <c r="IR38" s="166">
        <f t="shared" ref="IR38:IR43" si="349">(IW38*Y38+JD38*AA38)/V38</f>
        <v>0.18231504820092898</v>
      </c>
      <c r="IS38" s="68">
        <f t="shared" ref="IS38:IS43" si="350">10^3*IR38/$LM38</f>
        <v>9.5955288526804718</v>
      </c>
      <c r="IT38" s="97">
        <f t="shared" ref="IT38:IT43" si="351">IR38/$LO38</f>
        <v>0.45578762050232241</v>
      </c>
      <c r="IU38" s="429">
        <f t="shared" ref="IU38:IU43" si="352">(IX38*C38+JE38*D38)/B38</f>
        <v>8.7288590604026831E-3</v>
      </c>
      <c r="IV38" s="262">
        <f t="shared" ref="IV38:IV43" si="353">IW38*$LI38</f>
        <v>0.16443338203361341</v>
      </c>
      <c r="IW38" s="436">
        <f t="shared" ref="IW38:IW43" si="354">IX38*JB38/I38</f>
        <v>0.18069602421276199</v>
      </c>
      <c r="IX38" s="101">
        <v>8.6999999999999994E-3</v>
      </c>
      <c r="IY38" s="101">
        <v>0.51400000000000001</v>
      </c>
      <c r="IZ38" s="101">
        <v>0.44600000000000001</v>
      </c>
      <c r="JA38" s="429">
        <f>1-IY38-IZ38</f>
        <v>3.999999999999998E-2</v>
      </c>
      <c r="JB38" s="430">
        <f>IY38*$JJ38+IZ38*$JK38+JA38*$JL38+'Discounting metrics'!$B$6*(IY38*$JM38+IZ38*$JN38+JA38*$JO38)/10^3+'Discounting metrics'!$B$5*(IY38*$JP38+IZ38*$JQ38+JA38*$JR38)/10^3</f>
        <v>44.982925199999997</v>
      </c>
      <c r="JC38" s="262">
        <f t="shared" ref="JC38:JC43" si="355">JD38*$LI38</f>
        <v>0.19219295454545454</v>
      </c>
      <c r="JD38" s="436">
        <f t="shared" ref="JD38:JD43" si="356">JE38*JI38/K38</f>
        <v>0.21120104895104894</v>
      </c>
      <c r="JE38" s="101">
        <v>9.2999999999999992E-3</v>
      </c>
      <c r="JF38" s="433">
        <v>1</v>
      </c>
      <c r="JG38" s="433">
        <v>0</v>
      </c>
      <c r="JH38" s="434">
        <f t="shared" ref="JH38" si="357">1-JF38-JG38</f>
        <v>0</v>
      </c>
      <c r="JI38" s="430">
        <f>JF38*$JJ38+JG38*$JK38+JH38*$JL38+'Discounting metrics'!$B$6*(JF38*$JM38+JG38*$JN38+JH38*$JO38)/10^3+'Discounting metrics'!$B$5*(JF38*$JP38+JG38*$JQ38+JH38*$JR38)/10^3</f>
        <v>54.558</v>
      </c>
      <c r="JJ38" s="431">
        <v>51.3</v>
      </c>
      <c r="JK38" s="431">
        <v>29</v>
      </c>
      <c r="JL38" s="431">
        <v>29</v>
      </c>
      <c r="JM38" s="99">
        <v>5</v>
      </c>
      <c r="JN38" s="431">
        <v>13</v>
      </c>
      <c r="JO38" s="431">
        <v>13</v>
      </c>
      <c r="JP38" s="431">
        <v>52</v>
      </c>
      <c r="JQ38" s="431">
        <v>58.3</v>
      </c>
      <c r="JR38" s="431">
        <v>58.3</v>
      </c>
      <c r="JS38" s="554">
        <f t="shared" ref="JS38:JS43" si="358">JV38+JW38+JT38+JU38+JX38</f>
        <v>55.774445053093991</v>
      </c>
      <c r="JT38" s="554">
        <f t="shared" ref="JT38:JT43" si="359">KJ38*$V38</f>
        <v>-20.958233826098599</v>
      </c>
      <c r="JU38" s="554">
        <f t="shared" ref="JU38:JU43" si="360">KL38*$V38</f>
        <v>23.117703554675998</v>
      </c>
      <c r="JV38" s="554">
        <f t="shared" ref="JV38:JV43" si="361">KN38*$V38</f>
        <v>45.020115699515998</v>
      </c>
      <c r="JW38" s="554">
        <f t="shared" ref="JW38:JW43" si="362">KP38*$V38</f>
        <v>8.5948596250005966</v>
      </c>
      <c r="JX38" s="554"/>
      <c r="JY38" s="167">
        <f t="shared" ref="JY38:JY43" si="363">JZ38*LI38</f>
        <v>0.2607622846</v>
      </c>
      <c r="JZ38" s="166">
        <f t="shared" ref="JZ38:JZ43" si="364">KF38+KD38+KH38</f>
        <v>0.28655196109890108</v>
      </c>
      <c r="KA38" s="68">
        <f t="shared" ref="KA38:KA43" si="365">10^3*JZ38/$LM38</f>
        <v>15.081682163100057</v>
      </c>
      <c r="KB38" s="97">
        <f t="shared" ref="KB38:KB43" si="366">JZ38/$LO38</f>
        <v>0.71637990274725261</v>
      </c>
      <c r="KC38" s="473">
        <f t="shared" ref="KC38:KC43" si="367">KD38*LI38</f>
        <v>1.0096169660000005E-2</v>
      </c>
      <c r="KD38" s="269">
        <f t="shared" ref="KD38:KD43" si="368">KJ38+KL38</f>
        <v>1.1094691934065939E-2</v>
      </c>
      <c r="KE38" s="473">
        <f t="shared" ref="KE38:KE43" si="369">KF38*LI38</f>
        <v>0.25066611494000002</v>
      </c>
      <c r="KF38" s="269">
        <f t="shared" ref="KF38:KF43" si="370">KN38+KP38</f>
        <v>0.27545726916483515</v>
      </c>
      <c r="KG38" s="123"/>
      <c r="KH38" s="49"/>
      <c r="KI38" s="435">
        <v>-9.7986038740000003E-2</v>
      </c>
      <c r="KJ38" s="522">
        <f t="shared" ref="KJ38:KJ43" si="371">KI38/$LI38</f>
        <v>-0.10767696564835165</v>
      </c>
      <c r="KK38" s="435">
        <v>0.1080822084</v>
      </c>
      <c r="KL38" s="522">
        <f t="shared" ref="KL38:KL43" si="372">KK38/$LI38</f>
        <v>0.11877165758241759</v>
      </c>
      <c r="KM38" s="435">
        <v>0.21048256439999999</v>
      </c>
      <c r="KN38" s="522">
        <f t="shared" ref="KN38:KN43" si="373">KM38/$LI38</f>
        <v>0.23129952131868131</v>
      </c>
      <c r="KO38" s="435">
        <v>4.0183550539999988E-2</v>
      </c>
      <c r="KP38" s="522">
        <f t="shared" ref="KP38:KP43" si="374">KO38/$LI38</f>
        <v>4.4157747846153832E-2</v>
      </c>
      <c r="KQ38" s="599">
        <f t="shared" ref="KQ38:KQ43" si="375">44/12*HG38+$JZ38+$IR38</f>
        <v>6.7187567079103054</v>
      </c>
      <c r="KR38" s="527">
        <f t="shared" ref="KR38:KR43" si="376">10^3*KQ38/$LM38</f>
        <v>353.6187741005424</v>
      </c>
      <c r="KS38" s="528">
        <f t="shared" ref="KS38:KS43" si="377">KQ38/$LO38</f>
        <v>16.796891769775762</v>
      </c>
      <c r="KT38" s="599">
        <f t="shared" ref="KT38:KT43" si="378">44/12*HK38+$JZ38+$IW38</f>
        <v>6.7767735077677216</v>
      </c>
      <c r="KU38" s="527">
        <f t="shared" ref="KU38:KU43" si="379">10^3*KT38/$LM38</f>
        <v>356.67228988251168</v>
      </c>
      <c r="KV38" s="528">
        <f t="shared" ref="KV38:KV43" si="380">KT38/$LO38</f>
        <v>16.941933769419304</v>
      </c>
      <c r="KW38" s="599">
        <f t="shared" ref="KW38:KW43" si="381">44/12*HO38+$JZ38+$JD38</f>
        <v>5.6836433702146421</v>
      </c>
      <c r="KX38" s="527">
        <f t="shared" ref="KX38:KX43" si="382">10^3*KW38/$LM38</f>
        <v>299.13912474813907</v>
      </c>
      <c r="KY38" s="528">
        <f t="shared" ref="KY38:KY43" si="383">KW38/$LO38</f>
        <v>14.209108425536604</v>
      </c>
      <c r="KZ38" s="599">
        <f t="shared" ref="KZ38:KZ43" si="384">44/12*HS38+$JZ38+$IR38</f>
        <v>6.2933092229331535</v>
      </c>
      <c r="LA38" s="527">
        <f t="shared" ref="LA38:LA43" si="385">10^3*KZ38/$LM38</f>
        <v>331.22680120700807</v>
      </c>
      <c r="LB38" s="528">
        <f t="shared" ref="LB38:LB43" si="386">KZ38/$LO38</f>
        <v>15.733273057332884</v>
      </c>
      <c r="LC38" s="599">
        <f t="shared" ref="LC38:LC43" si="387">44/12*HW38+$JZ38+$IW38</f>
        <v>6.3535720170592516</v>
      </c>
      <c r="LD38" s="527">
        <f t="shared" ref="LD38:LD43" si="388">10^3*LC38/$LM38</f>
        <v>334.3985272136448</v>
      </c>
      <c r="LE38" s="528">
        <f t="shared" ref="LE38:LE43" si="389">LC38/$LO38</f>
        <v>15.883930042648128</v>
      </c>
      <c r="LF38" s="599">
        <f t="shared" ref="LF38:LF43" si="390">44/12*I38+$JZ38+$JD38</f>
        <v>8.4390196767166152</v>
      </c>
      <c r="LG38" s="527">
        <f t="shared" ref="LG38:LG43" si="391">10^3*LF38/$LM38</f>
        <v>444.15893035350604</v>
      </c>
      <c r="LH38" s="528">
        <f t="shared" ref="LH38:LH43" si="392">LF38/$LO38</f>
        <v>21.097549191791536</v>
      </c>
      <c r="LI38" s="31">
        <v>0.91</v>
      </c>
      <c r="LJ38" s="32">
        <f t="shared" ref="LJ38:LJ43" si="393">$LI38*LK38</f>
        <v>21.385000000000002</v>
      </c>
      <c r="LK38" s="27">
        <v>23.5</v>
      </c>
      <c r="LL38" s="32">
        <f t="shared" ref="LL38:LL43" si="394">$LI38*LM38</f>
        <v>17.29</v>
      </c>
      <c r="LM38" s="33">
        <v>19</v>
      </c>
      <c r="LN38" s="34">
        <f t="shared" ref="LN38:LN43" si="395">$LI38*LO38</f>
        <v>0.36400000000000005</v>
      </c>
      <c r="LO38" s="35">
        <v>0.4</v>
      </c>
      <c r="LP38" s="34">
        <f t="shared" ref="LP38:LP43" si="396">$LI38*LQ38</f>
        <v>0.19109999999999999</v>
      </c>
      <c r="LQ38" s="31">
        <v>0.21</v>
      </c>
    </row>
    <row r="39" spans="1:329" s="4" customFormat="1" x14ac:dyDescent="0.25">
      <c r="A39" s="14" t="s">
        <v>134</v>
      </c>
      <c r="B39" s="67">
        <f t="shared" si="276"/>
        <v>12.3</v>
      </c>
      <c r="C39" s="33">
        <v>12.3</v>
      </c>
      <c r="D39" s="33">
        <v>0</v>
      </c>
      <c r="E39" s="38">
        <f t="shared" si="277"/>
        <v>0</v>
      </c>
      <c r="F39" s="108">
        <f t="shared" si="254"/>
        <v>14.6</v>
      </c>
      <c r="G39" s="264">
        <f t="shared" si="255"/>
        <v>7.5919999999999996</v>
      </c>
      <c r="H39" s="33">
        <v>14.6</v>
      </c>
      <c r="I39" s="32">
        <f t="shared" si="278"/>
        <v>7.5919999999999996</v>
      </c>
      <c r="J39" s="33">
        <v>11.4</v>
      </c>
      <c r="K39" s="32">
        <f t="shared" si="279"/>
        <v>5.9280000000000008</v>
      </c>
      <c r="L39" s="32">
        <f>(F39/'Discounting metrics'!$D$4*(1-EXP(-'Discounting metrics'!$D$4*'Discounting metrics'!$E$4)))/'Discounting metrics'!$E$4</f>
        <v>3.5831479180561199</v>
      </c>
      <c r="M39" s="32">
        <f>(G39/'Discounting metrics'!$D$4*(1-EXP(-'Discounting metrics'!$D$4*'Discounting metrics'!$E$4)))/'Discounting metrics'!$E$4</f>
        <v>1.8632369173891823</v>
      </c>
      <c r="N39" s="32">
        <f>(H39/'Discounting metrics'!$D$4*(1-EXP(-'Discounting metrics'!$D$4*'Discounting metrics'!$E$4)))/'Discounting metrics'!$E$4</f>
        <v>3.5831479180561199</v>
      </c>
      <c r="O39" s="32">
        <f>(I39/'Discounting metrics'!$D$4*(1-EXP(-'Discounting metrics'!$D$4*'Discounting metrics'!$E$4)))/'Discounting metrics'!$E$4</f>
        <v>1.8632369173891823</v>
      </c>
      <c r="P39" s="32">
        <f>(J39/'Discounting metrics'!$D$4*(1-EXP(-'Discounting metrics'!$D$4*'Discounting metrics'!$E$4)))/'Discounting metrics'!$E$4</f>
        <v>2.7978004291671073</v>
      </c>
      <c r="Q39" s="32">
        <f>(K39/'Discounting metrics'!$D$4*(1-EXP(-'Discounting metrics'!$D$4*'Discounting metrics'!$E$4)))/'Discounting metrics'!$E$4</f>
        <v>1.4548562231668962</v>
      </c>
      <c r="R39" s="32">
        <f t="shared" si="280"/>
        <v>1.3171759747102214</v>
      </c>
      <c r="S39" s="32">
        <f t="shared" si="281"/>
        <v>1.3171759747102214</v>
      </c>
      <c r="T39" s="32">
        <f t="shared" si="282"/>
        <v>1.6869095816464235</v>
      </c>
      <c r="U39" s="107">
        <f t="shared" si="283"/>
        <v>179.58</v>
      </c>
      <c r="V39" s="68">
        <f t="shared" si="283"/>
        <v>93.381600000000006</v>
      </c>
      <c r="W39" s="68"/>
      <c r="X39" s="67">
        <f t="shared" si="284"/>
        <v>179.58</v>
      </c>
      <c r="Y39" s="67">
        <f t="shared" si="285"/>
        <v>93.381600000000006</v>
      </c>
      <c r="Z39" s="67">
        <f t="shared" si="285"/>
        <v>0</v>
      </c>
      <c r="AA39" s="67">
        <f t="shared" si="286"/>
        <v>0</v>
      </c>
      <c r="AB39" s="38">
        <f t="shared" si="287"/>
        <v>0</v>
      </c>
      <c r="AC39" s="294">
        <f t="shared" si="288"/>
        <v>0.83059649691437742</v>
      </c>
      <c r="AD39" s="294">
        <f t="shared" si="288"/>
        <v>4.8508025922147412E-3</v>
      </c>
      <c r="AE39" s="294">
        <f t="shared" si="288"/>
        <v>0</v>
      </c>
      <c r="AF39" s="294">
        <f t="shared" si="288"/>
        <v>2.7649796864772386E-2</v>
      </c>
      <c r="AG39" s="294">
        <f t="shared" si="288"/>
        <v>0</v>
      </c>
      <c r="AH39" s="294">
        <f t="shared" si="288"/>
        <v>0</v>
      </c>
      <c r="AI39" s="294">
        <f t="shared" si="288"/>
        <v>8.7259806197333988E-5</v>
      </c>
      <c r="AJ39" s="294">
        <f t="shared" si="288"/>
        <v>0.13681564382243805</v>
      </c>
      <c r="AK39" s="294">
        <f t="shared" si="288"/>
        <v>0</v>
      </c>
      <c r="AL39" s="433">
        <v>0.83059649691437742</v>
      </c>
      <c r="AM39" s="433">
        <v>4.8508025922147412E-3</v>
      </c>
      <c r="AN39" s="433">
        <v>0</v>
      </c>
      <c r="AO39" s="433">
        <v>2.7649796864772386E-2</v>
      </c>
      <c r="AP39" s="433">
        <v>0</v>
      </c>
      <c r="AQ39" s="433">
        <v>0</v>
      </c>
      <c r="AR39" s="433">
        <v>8.7259806197333988E-5</v>
      </c>
      <c r="AS39" s="433">
        <v>0.13681564382243805</v>
      </c>
      <c r="AT39" s="433">
        <v>0</v>
      </c>
      <c r="AU39" s="433">
        <v>0.31258845094874138</v>
      </c>
      <c r="AV39" s="433">
        <v>1.3704456311138418E-3</v>
      </c>
      <c r="AW39" s="433">
        <v>0</v>
      </c>
      <c r="AX39" s="433">
        <v>0.37345265247140352</v>
      </c>
      <c r="AY39" s="433">
        <v>0</v>
      </c>
      <c r="AZ39" s="433">
        <v>0</v>
      </c>
      <c r="BA39" s="433">
        <v>0</v>
      </c>
      <c r="BB39" s="433">
        <v>0.31258845094874138</v>
      </c>
      <c r="BC39" s="433">
        <v>0</v>
      </c>
      <c r="BD39" s="554">
        <f t="shared" si="289"/>
        <v>4.2378284852599997</v>
      </c>
      <c r="BE39" s="554">
        <f t="shared" si="289"/>
        <v>2.3691010868600002</v>
      </c>
      <c r="BF39" s="554">
        <f t="shared" si="289"/>
        <v>1.8687273984000001</v>
      </c>
      <c r="BG39" s="67">
        <f t="shared" si="290"/>
        <v>344.53890124065038</v>
      </c>
      <c r="BH39" s="67">
        <f t="shared" si="291"/>
        <v>192.60984446016261</v>
      </c>
      <c r="BI39" s="67">
        <f t="shared" si="292"/>
        <v>151.9290567804878</v>
      </c>
      <c r="BJ39" s="67">
        <f t="shared" si="293"/>
        <v>344.53890124065038</v>
      </c>
      <c r="BK39" s="68">
        <f t="shared" si="294"/>
        <v>192.60984446016261</v>
      </c>
      <c r="BL39" s="145">
        <v>206.71890699979656</v>
      </c>
      <c r="BM39" s="145">
        <v>158.5522553095195</v>
      </c>
      <c r="BN39" s="145">
        <v>0</v>
      </c>
      <c r="BO39" s="145">
        <v>44.012143569081168</v>
      </c>
      <c r="BP39" s="145">
        <v>0</v>
      </c>
      <c r="BQ39" s="145">
        <v>0</v>
      </c>
      <c r="BR39" s="145">
        <v>0.30453865184781148</v>
      </c>
      <c r="BS39" s="145">
        <v>138.31594719104862</v>
      </c>
      <c r="BT39" s="145">
        <v>0</v>
      </c>
      <c r="BU39" s="68">
        <f t="shared" si="295"/>
        <v>151.9290567804878</v>
      </c>
      <c r="BV39" s="145">
        <v>162.0022924310947</v>
      </c>
      <c r="BW39" s="145">
        <v>112.9642918378606</v>
      </c>
      <c r="BX39" s="145">
        <v>0</v>
      </c>
      <c r="BY39" s="145">
        <v>142.53827942461302</v>
      </c>
      <c r="BZ39" s="145">
        <v>0</v>
      </c>
      <c r="CA39" s="145">
        <v>0</v>
      </c>
      <c r="CB39" s="145">
        <v>3.0545172741169466</v>
      </c>
      <c r="CC39" s="145">
        <v>94.149552985581465</v>
      </c>
      <c r="CD39" s="145">
        <v>0</v>
      </c>
      <c r="CE39" s="68">
        <f t="shared" si="296"/>
        <v>198.03111298701299</v>
      </c>
      <c r="CF39" s="68">
        <f t="shared" si="297"/>
        <v>75.665035397935384</v>
      </c>
      <c r="CG39" s="145">
        <v>141.56765586861303</v>
      </c>
      <c r="CH39" s="145">
        <v>319.77075797765445</v>
      </c>
      <c r="CI39" s="145">
        <v>0</v>
      </c>
      <c r="CJ39" s="145">
        <v>59.688270724894366</v>
      </c>
      <c r="CK39" s="145">
        <v>0</v>
      </c>
      <c r="CL39" s="145">
        <v>0</v>
      </c>
      <c r="CM39" s="145">
        <v>0</v>
      </c>
      <c r="CN39" s="145">
        <v>27.7798161041901</v>
      </c>
      <c r="CO39" s="145">
        <v>0</v>
      </c>
      <c r="CP39" s="68">
        <f t="shared" si="298"/>
        <v>122.36607758907759</v>
      </c>
      <c r="CQ39" s="145">
        <v>153.80794758304125</v>
      </c>
      <c r="CR39" s="145">
        <v>216.74431315810619</v>
      </c>
      <c r="CS39" s="145">
        <v>0</v>
      </c>
      <c r="CT39" s="145">
        <v>170.42804874623431</v>
      </c>
      <c r="CU39" s="145">
        <v>0</v>
      </c>
      <c r="CV39" s="145">
        <v>0</v>
      </c>
      <c r="CW39" s="145">
        <v>0</v>
      </c>
      <c r="CX39" s="145">
        <v>33.090302352029369</v>
      </c>
      <c r="CY39" s="145">
        <v>0</v>
      </c>
      <c r="CZ39" s="554">
        <f t="shared" si="299"/>
        <v>1.7213455488</v>
      </c>
      <c r="DA39" s="554">
        <f t="shared" si="299"/>
        <v>0.31980000000000003</v>
      </c>
      <c r="DB39" s="554">
        <f t="shared" si="299"/>
        <v>1.4015455487999999</v>
      </c>
      <c r="DC39" s="32">
        <f t="shared" si="300"/>
        <v>139.94679258536584</v>
      </c>
      <c r="DD39" s="32">
        <f t="shared" si="301"/>
        <v>26</v>
      </c>
      <c r="DE39" s="67">
        <f t="shared" si="301"/>
        <v>113.94679258536584</v>
      </c>
      <c r="DF39" s="270"/>
      <c r="DG39" s="67">
        <f t="shared" si="302"/>
        <v>139.94679258536584</v>
      </c>
      <c r="DH39" s="106">
        <v>26</v>
      </c>
      <c r="DI39" s="68">
        <f t="shared" si="303"/>
        <v>113.94679258536584</v>
      </c>
      <c r="DJ39" s="68"/>
      <c r="DK39" s="293">
        <f t="shared" si="304"/>
        <v>0.25</v>
      </c>
      <c r="DL39" s="159"/>
      <c r="DM39" s="159"/>
      <c r="DN39" s="68">
        <f t="shared" si="305"/>
        <v>117.7745581918082</v>
      </c>
      <c r="DO39" s="106">
        <v>26</v>
      </c>
      <c r="DP39" s="67">
        <f t="shared" si="306"/>
        <v>91.774558191808197</v>
      </c>
      <c r="DQ39" s="67"/>
      <c r="DR39" s="34">
        <f t="shared" si="307"/>
        <v>0.25</v>
      </c>
      <c r="DS39" s="294"/>
      <c r="DT39" s="294"/>
      <c r="DU39" s="294"/>
      <c r="DV39" s="67">
        <f t="shared" si="262"/>
        <v>204.59210865528453</v>
      </c>
      <c r="DW39" s="67">
        <f t="shared" si="262"/>
        <v>166.60984446016261</v>
      </c>
      <c r="DX39" s="67">
        <f t="shared" si="262"/>
        <v>37.982264195121957</v>
      </c>
      <c r="DY39" s="67">
        <f t="shared" si="263"/>
        <v>204.59210865528453</v>
      </c>
      <c r="DZ39" s="67">
        <f t="shared" si="263"/>
        <v>166.60984446016261</v>
      </c>
      <c r="EA39" s="67">
        <f t="shared" si="264"/>
        <v>37.982264195121957</v>
      </c>
      <c r="EB39" s="67">
        <f t="shared" si="265"/>
        <v>80.256554795204792</v>
      </c>
      <c r="EC39" s="67">
        <f t="shared" si="265"/>
        <v>49.665035397935384</v>
      </c>
      <c r="ED39" s="67">
        <f t="shared" si="266"/>
        <v>30.591519397269394</v>
      </c>
      <c r="EE39" s="68">
        <f t="shared" si="308"/>
        <v>160.07902944491786</v>
      </c>
      <c r="EF39" s="67">
        <f t="shared" si="309"/>
        <v>132.91105867331117</v>
      </c>
      <c r="EG39" s="67">
        <f t="shared" si="310"/>
        <v>27.16797077160669</v>
      </c>
      <c r="EH39" s="261">
        <f t="shared" si="311"/>
        <v>160.07902944491786</v>
      </c>
      <c r="EI39" s="154">
        <f t="shared" si="312"/>
        <v>0.7824301264455592</v>
      </c>
      <c r="EJ39" s="108">
        <f t="shared" si="313"/>
        <v>132.91105867331117</v>
      </c>
      <c r="EK39" s="126">
        <f>'Allometrics &amp; Decay rates'!$H$5*$AL39*BL39+'Allometrics &amp; Decay rates'!$H$6*$AM39*BM39+'Allometrics &amp; Decay rates'!$H$7*$AN39*BN39+'Allometrics &amp; Decay rates'!$H$8*$AO39*BO39+'Allometrics &amp; Decay rates'!$H$9*$AP39*BP39+'Allometrics &amp; Decay rates'!$H$10*$AQ39*BQ39+'Allometrics &amp; Decay rates'!$H$11*$AR39*BR39+'Allometrics &amp; Decay rates'!$H$12*$AS39*BS39+'Allometrics &amp; Decay rates'!$H$13*$AT39*BT39</f>
        <v>83.00159746402511</v>
      </c>
      <c r="EL39" s="97">
        <f t="shared" si="314"/>
        <v>75.909461209286079</v>
      </c>
      <c r="EM39" s="550">
        <f>AL39*BL39*('Allometrics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67.311134213049726</v>
      </c>
      <c r="EN39" s="550">
        <f>AM39*BM39*('Allometrics &amp; Decay rates'!$I$6*((EXP('Allometrics &amp; Decay rates'!$K$6)-1)/('Discounting metrics'!$D$4+'Allometrics &amp; Decay rates'!$K$6)*(1-EXP(-('Discounting metrics'!$D$4+'Allometrics &amp; Decay rates'!$K$6)*'Discounting metrics'!$E$4))-(1-EXP(-'Allometrics &amp; Decay rates'!$K$6))/1.55)+'Allometrics &amp; Decay rates'!$E$6*((EXP('Allometrics &amp; Decay rates'!$L$6)-1)/('Discounting metrics'!$D$4+'Allometrics &amp; Decay rates'!$L$6)*(1-EXP(-('Discounting metrics'!$D$4+'Allometrics &amp; Decay rates'!$L$6)*'Discounting metrics'!$E$4))-(1-EXP(-'Allometrics &amp; Decay rates'!$L$6))/1.55))</f>
        <v>0.18757549893677464</v>
      </c>
      <c r="EO39" s="550">
        <f>AN39*BN39*('Allometrics &amp; Decay rates'!$I$7*((EXP('Allometrics &amp; Decay rates'!$K$7)-1)/('Discounting metrics'!$D$4+'Allometrics &amp; Decay rates'!$K$7)*(1-EXP(-('Discounting metrics'!$D$4+'Allometrics &amp; Decay rates'!$K$7)*'Discounting metrics'!$E$4))-(1-EXP(-'Allometrics &amp; Decay rates'!$K$7))/1.55)+'Allometrics &amp; Decay rates'!$E$7*((EXP('Allometrics &amp; Decay rates'!$L$7)-1)/('Discounting metrics'!$D$4+'Allometrics &amp; Decay rates'!$L$7)*(1-EXP(-('Discounting metrics'!$D$4+'Allometrics &amp; Decay rates'!$L$7)*'Discounting metrics'!$E$4))-(1-EXP(-'Allometrics &amp; Decay rates'!$L$7))/1.55))</f>
        <v>0</v>
      </c>
      <c r="EP39" s="550">
        <f>AO39*BO39*('Allometrics &amp; Decay rates'!$I$8*((EXP('Allometrics &amp; Decay rates'!$K$8)-1)/('Discounting metrics'!$D$4+'Allometrics &amp; Decay rates'!$K$8)*(1-EXP(-('Discounting metrics'!$D$4+'Allometrics &amp; Decay rates'!$K$8)*'Discounting metrics'!$E$4))-(1-EXP(-'Allometrics &amp; Decay rates'!$K$8))/1.55)+'Allometrics &amp; Decay rates'!$E$8*((EXP('Allometrics &amp; Decay rates'!$L$8)-1)/('Discounting metrics'!$D$4+'Allometrics &amp; Decay rates'!$L$8)*(1-EXP(-('Discounting metrics'!$D$4+'Allometrics &amp; Decay rates'!$L$8)*'Discounting metrics'!$E$4))-(1-EXP(-'Allometrics &amp; Decay rates'!$L$8))/1.55))</f>
        <v>0.68898309266494107</v>
      </c>
      <c r="EQ39" s="550">
        <f>AP39*BP39*('Allometrics &amp; Decay rates'!$I$9*((EXP('Allometrics &amp; Decay rates'!$K$9)-1)/('Discounting metrics'!$D$4+'Allometrics &amp; Decay rates'!$K$9)*(1-EXP(-('Discounting metrics'!$D$4+'Allometrics &amp; Decay rates'!$K$9)*'Discounting metrics'!$E$4))-(1-EXP(-'Allometrics &amp; Decay rates'!$K$9))/1.55)+'Allometrics &amp; Decay rates'!$E$9*((EXP('Allometrics &amp; Decay rates'!$L$9)-1)/('Discounting metrics'!$D$4+'Allometrics &amp; Decay rates'!$L$9)*(1-EXP(-('Discounting metrics'!$D$4+'Allometrics &amp; Decay rates'!$L$9)*'Discounting metrics'!$E$4))-(1-EXP(-'Allometrics &amp; Decay rates'!$L$9))/1.55))</f>
        <v>0</v>
      </c>
      <c r="ER39" s="550">
        <f>AQ39*BQ39*('Allometrics &amp; Decay rates'!$I$10*((EXP('Allometrics &amp; Decay rates'!$K$10)-1)/('Discounting metrics'!$D$4+'Allometrics &amp; Decay rates'!$K$10)*(1-EXP(-('Discounting metrics'!$D$4+'Allometrics &amp; Decay rates'!$K$10)*'Discounting metrics'!$E$4))-(1-EXP(-'Allometrics &amp; Decay rates'!$K$10))/1.55)+'Allometrics &amp; Decay rates'!$E$10*((EXP('Allometrics &amp; Decay rates'!$L$10)-1)/('Discounting metrics'!$D$4+'Allometrics &amp; Decay rates'!$L$10)*(1-EXP(-('Discounting metrics'!$D$4+'Allometrics &amp; Decay rates'!$L$10)*'Discounting metrics'!$E$4))-(1-EXP(-'Allometrics &amp; Decay rates'!$L$10))/1.55))</f>
        <v>0</v>
      </c>
      <c r="ES39" s="550">
        <f>AR39*BR39*('Allometrics &amp; Decay rates'!$I$11*((EXP('Allometrics &amp; Decay rates'!$K$11)-1)/('Discounting metrics'!$D$4+'Allometrics &amp; Decay rates'!$K$11)*(1-EXP(-('Discounting metrics'!$D$4+'Allometrics &amp; Decay rates'!$K$11)*'Discounting metrics'!$E$4))-(1-EXP(-'Allometrics &amp; Decay rates'!$K$11))/1.55)+'Allometrics &amp; Decay rates'!$E$11*((EXP('Allometrics &amp; Decay rates'!$L$11)-1)/('Discounting metrics'!$D$4+'Allometrics &amp; Decay rates'!$L$11)*(1-EXP(-('Discounting metrics'!$D$4+'Allometrics &amp; Decay rates'!$L$11)*'Discounting metrics'!$E$4))-(1-EXP(-'Allometrics &amp; Decay rates'!$L$11))/1.55))</f>
        <v>1.8861980401075618E-5</v>
      </c>
      <c r="ET39" s="550">
        <f>AS39*BS39*('Allometrics &amp; Decay rates'!$I$12*((EXP('Allometrics &amp; Decay rates'!$K$12)-1)/('Discounting metrics'!$D$4+'Allometrics &amp; Decay rates'!$K$12)*(1-EXP(-('Discounting metrics'!$D$4+'Allometrics &amp; Decay rates'!$K$12)*'Discounting metrics'!$E$4))-(1-EXP(-'Allometrics &amp; Decay rates'!$K$12))/1.55)+'Allometrics &amp; Decay rates'!$E$12*((EXP('Allometrics &amp; Decay rates'!$L$12)-1)/('Discounting metrics'!$D$4+'Allometrics &amp; Decay rates'!$L$12)*(1-EXP(-('Discounting metrics'!$D$4+'Allometrics &amp; Decay rates'!$L$12)*'Discounting metrics'!$E$4))-(1-EXP(-'Allometrics &amp; Decay rates'!$L$12))/1.55))</f>
        <v>7.7217495426542229</v>
      </c>
      <c r="EU39" s="550">
        <f>AT39*BT39*('Allometrics &amp; Decay rates'!$I$13*((EXP('Allometrics &amp; Decay rates'!$K$13)-1)/('Discounting metrics'!$D$4+'Allometrics &amp; Decay rates'!$K$13)*(1-EXP(-('Discounting metrics'!$D$4+'Allometrics &amp; Decay rates'!$K$13)*'Discounting metrics'!$E$4))-(1-EXP(-'Allometrics &amp; Decay rates'!$K$13))/1.55)+'Allometrics &amp; Decay rates'!$E$13*((EXP('Allometrics &amp; Decay rates'!$L$13)-1)/('Discounting metrics'!$D$4+'Allometrics &amp; Decay rates'!$L$13)*(1-EXP(-('Discounting metrics'!$D$4+'Allometrics &amp; Decay rates'!$L$13)*'Discounting metrics'!$E$4))-(1-EXP(-'Allometrics &amp; Decay rates'!$L$13))/1.55))</f>
        <v>0</v>
      </c>
      <c r="EV39" s="108">
        <f t="shared" si="315"/>
        <v>27.167970771606694</v>
      </c>
      <c r="EW39" s="550">
        <f>AL39*BV39*$DK39*((EXP('Allometrics &amp; Decay rates'!$M$5)-1)/('Discounting metrics'!$D$4+'Allometrics &amp; Decay rates'!$M$5)*(1-EXP(-('Discounting metrics'!$D$4+'Allometrics &amp; Decay rates'!$M$5)*'Discounting metrics'!$E$4))-(1-EXP(-'Allometrics &amp; Decay rates'!$M$5))/1.55)</f>
        <v>26.290808633769057</v>
      </c>
      <c r="EX39" s="550">
        <f>AM39*BW39*$DK39*((EXP('Allometrics &amp; Decay rates'!$M$5)-1)/('Discounting metrics'!$D$4+'Allometrics &amp; Decay rates'!$M$5)*(1-EXP(-('Discounting metrics'!$D$4+'Allometrics &amp; Decay rates'!$M$5)*'Discounting metrics'!$E$4))-(1-EXP(-'Allometrics &amp; Decay rates'!$M$5))/1.55)</f>
        <v>0.10706498830357838</v>
      </c>
      <c r="EY39" s="550">
        <f>AN39*BX39*$DK39*((EXP('Allometrics &amp; Decay rates'!$M$5)-1)/('Discounting metrics'!$D$4+'Allometrics &amp; Decay rates'!$M$5)*(1-EXP(-('Discounting metrics'!$D$4+'Allometrics &amp; Decay rates'!$M$5)*'Discounting metrics'!$E$4))-(1-EXP(-'Allometrics &amp; Decay rates'!$M$5))/1.55)</f>
        <v>0</v>
      </c>
      <c r="EZ39" s="550">
        <f>AO39*BY39*$DK39*((EXP('Allometrics &amp; Decay rates'!$M$5)-1)/('Discounting metrics'!$D$4+'Allometrics &amp; Decay rates'!$M$5)*(1-EXP(-('Discounting metrics'!$D$4+'Allometrics &amp; Decay rates'!$M$5)*'Discounting metrics'!$E$4))-(1-EXP(-'Allometrics &amp; Decay rates'!$M$5))/1.55)</f>
        <v>0.77004507210711082</v>
      </c>
      <c r="FA39" s="550">
        <f>AP39*BZ39*$DK39*((EXP('Allometrics &amp; Decay rates'!$M$5)-1)/('Discounting metrics'!$D$4+'Allometrics &amp; Decay rates'!$M$5)*(1-EXP(-('Discounting metrics'!$D$4+'Allometrics &amp; Decay rates'!$M$5)*'Discounting metrics'!$E$4))-(1-EXP(-'Allometrics &amp; Decay rates'!$M$5))/1.55)</f>
        <v>0</v>
      </c>
      <c r="FB39" s="550">
        <f>AQ39*CA39*$DK39*((EXP('Allometrics &amp; Decay rates'!$M$5)-1)/('Discounting metrics'!$D$4+'Allometrics &amp; Decay rates'!$M$5)*(1-EXP(-('Discounting metrics'!$D$4+'Allometrics &amp; Decay rates'!$M$5)*'Discounting metrics'!$E$4))-(1-EXP(-'Allometrics &amp; Decay rates'!$M$5))/1.55)</f>
        <v>0</v>
      </c>
      <c r="FC39" s="550">
        <f>AR39*CB39*$DK39*((EXP('Allometrics &amp; Decay rates'!$M$5)-1)/('Discounting metrics'!$D$4+'Allometrics &amp; Decay rates'!$M$5)*(1-EXP(-('Discounting metrics'!$D$4+'Allometrics &amp; Decay rates'!$M$5)*'Discounting metrics'!$E$4))-(1-EXP(-'Allometrics &amp; Decay rates'!$M$5))/1.55)</f>
        <v>5.2077426951699021E-5</v>
      </c>
      <c r="FD39" s="261">
        <f t="shared" si="316"/>
        <v>56.507573155391441</v>
      </c>
      <c r="FE39" s="154">
        <f t="shared" si="317"/>
        <v>0.70408670418989483</v>
      </c>
      <c r="FF39" s="108">
        <f t="shared" si="318"/>
        <v>34.619996365108612</v>
      </c>
      <c r="FG39" s="126">
        <f>'Allometrics &amp; Decay rates'!$H$5*$AU39*CG39+'Allometrics &amp; Decay rates'!$H$6*$AV39*CH39+'Allometrics &amp; Decay rates'!$H$7*$AW39*CI39+'Allometrics &amp; Decay rates'!$H$8*$AX39*CJ39+'Allometrics &amp; Decay rates'!$H$9*$AY39*CK39+'Allometrics &amp; Decay rates'!$H$10*$AZ39*CL39+'Allometrics &amp; Decay rates'!$H$11*$BA39*CM39+'Allometrics &amp; Decay rates'!$H$12*$BB39*CN39+'Allometrics &amp; Decay rates'!$H$13*$BC39*CO39</f>
        <v>30.957216208407463</v>
      </c>
      <c r="FH39" s="97">
        <f t="shared" si="319"/>
        <v>29.66278015670115</v>
      </c>
      <c r="FI39" s="550">
        <f>AU39*CG39*('Allometrics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17.348166540452709</v>
      </c>
      <c r="FJ39" s="550">
        <f>AV39*CH39*('Allometrics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0.17179763087693403</v>
      </c>
      <c r="FK39" s="550">
        <f>AW39*CI39*('Allometrics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L39" s="550">
        <f>AX39*CJ39*('Allometrics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8.738585878701441</v>
      </c>
      <c r="FM39" s="550">
        <f>AY39*CK39*('Allometrics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N39" s="550">
        <f>AZ39*CL39*('Allometrics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O39" s="550">
        <f>BA39*CM39*('Allometrics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P39" s="550">
        <f>BB39*CN39*('Allometrics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3.4042301066700675</v>
      </c>
      <c r="FQ39" s="550">
        <f>BC39*CO39*('Allometrics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R39" s="108">
        <f t="shared" si="320"/>
        <v>21.887576790282829</v>
      </c>
      <c r="FS39" s="550">
        <f>AU39*CQ39*$DK39*((EXP('Allometrics &amp; Decay rates'!$M$5)-1)/('Discounting metrics'!$D$4+'Allometrics &amp; Decay rates'!$M$5)*(1-EXP(-('Discounting metrics'!$D$4+'Allometrics &amp; Decay rates'!$M$5)*'Discounting metrics'!$E$4))-(1-EXP(-'Allometrics &amp; Decay rates'!$M$5))/1.55)</f>
        <v>9.3938667187722746</v>
      </c>
      <c r="FT39" s="550">
        <f>AV39*CR39*$DK39*((EXP('Allometrics &amp; Decay rates'!$M$5)-1)/('Discounting metrics'!$D$4+'Allometrics &amp; Decay rates'!$M$5)*(1-EXP(-('Discounting metrics'!$D$4+'Allometrics &amp; Decay rates'!$M$5)*'Discounting metrics'!$E$4))-(1-EXP(-'Allometrics &amp; Decay rates'!$M$5))/1.55)</f>
        <v>5.8036633281236101E-2</v>
      </c>
      <c r="FU39" s="550">
        <f>AW39*CS39*$DK39*((EXP('Allometrics &amp; Decay rates'!$M$5)-1)/('Discounting metrics'!$D$4+'Allometrics &amp; Decay rates'!$M$5)*(1-EXP(-('Discounting metrics'!$D$4+'Allometrics &amp; Decay rates'!$M$5)*'Discounting metrics'!$E$4))-(1-EXP(-'Allometrics &amp; Decay rates'!$M$5))/1.55)</f>
        <v>0</v>
      </c>
      <c r="FV39" s="550">
        <f>AX39*CT39*$DK39*((EXP('Allometrics &amp; Decay rates'!$M$5)-1)/('Discounting metrics'!$D$4+'Allometrics &amp; Decay rates'!$M$5)*(1-EXP(-('Discounting metrics'!$D$4+'Allometrics &amp; Decay rates'!$M$5)*'Discounting metrics'!$E$4))-(1-EXP(-'Allometrics &amp; Decay rates'!$M$5))/1.55)</f>
        <v>12.435673438229319</v>
      </c>
      <c r="FW39" s="550">
        <f>AY39*CU39*$DK39*((EXP('Allometrics &amp; Decay rates'!$M$5)-1)/('Discounting metrics'!$D$4+'Allometrics &amp; Decay rates'!$M$5)*(1-EXP(-('Discounting metrics'!$D$4+'Allometrics &amp; Decay rates'!$M$5)*'Discounting metrics'!$E$4))-(1-EXP(-'Allometrics &amp; Decay rates'!$M$5))/1.55)</f>
        <v>0</v>
      </c>
      <c r="FX39" s="550">
        <f>AZ39*CV39*$DK39*((EXP('Allometrics &amp; Decay rates'!$M$5)-1)/('Discounting metrics'!$D$4+'Allometrics &amp; Decay rates'!$M$5)*(1-EXP(-('Discounting metrics'!$D$4+'Allometrics &amp; Decay rates'!$M$5)*'Discounting metrics'!$E$4))-(1-EXP(-'Allometrics &amp; Decay rates'!$M$5))/1.55)</f>
        <v>0</v>
      </c>
      <c r="FY39" s="550">
        <f>BA39*CW39*$DK39*((EXP('Allometrics &amp; Decay rates'!$M$5)-1)/('Discounting metrics'!$D$4+'Allometrics &amp; Decay rates'!$M$5)*(1-EXP(-('Discounting metrics'!$D$4+'Allometrics &amp; Decay rates'!$M$5)*'Discounting metrics'!$E$4))-(1-EXP(-'Allometrics &amp; Decay rates'!$M$5))/1.55)</f>
        <v>0</v>
      </c>
      <c r="FZ39" s="68"/>
      <c r="GA39" s="293"/>
      <c r="GB39" s="293"/>
      <c r="GP39" s="32">
        <f t="shared" si="321"/>
        <v>10.199999999999999</v>
      </c>
      <c r="GQ39" s="33">
        <v>10.199999999999999</v>
      </c>
      <c r="GR39" s="99">
        <v>7.8</v>
      </c>
      <c r="GS39" s="99"/>
      <c r="GT39" s="99"/>
      <c r="GU39" s="99"/>
      <c r="GV39" s="99"/>
      <c r="GW39" s="99"/>
      <c r="GX39" s="99"/>
      <c r="GY39" s="99"/>
      <c r="GZ39" s="99"/>
      <c r="HA39" s="99"/>
      <c r="HB39" s="99"/>
      <c r="HF39" s="97">
        <f t="shared" si="322"/>
        <v>0.44675529201083541</v>
      </c>
      <c r="HG39" s="526">
        <f>EE39/'Discounting metrics'!E$4/M39</f>
        <v>0.85914479232852958</v>
      </c>
      <c r="HH39" s="527">
        <f t="shared" si="323"/>
        <v>54.63559887621809</v>
      </c>
      <c r="HI39" s="528">
        <f t="shared" si="324"/>
        <v>24.546994066529415</v>
      </c>
      <c r="HJ39" s="97">
        <f t="shared" si="325"/>
        <v>0.44675529201083541</v>
      </c>
      <c r="HK39" s="526">
        <f>EH39/'Discounting metrics'!E$4/O39</f>
        <v>0.85914479232852958</v>
      </c>
      <c r="HL39" s="527">
        <f t="shared" si="326"/>
        <v>54.63559887621809</v>
      </c>
      <c r="HM39" s="528">
        <f t="shared" si="327"/>
        <v>24.546994066529415</v>
      </c>
      <c r="HN39" s="97">
        <f t="shared" si="328"/>
        <v>0.20197142214397859</v>
      </c>
      <c r="HO39" s="526">
        <f>FD39/'Discounting metrics'!E$4/Q39</f>
        <v>0.38840658104611264</v>
      </c>
      <c r="HP39" s="527">
        <f t="shared" si="329"/>
        <v>24.699941560961058</v>
      </c>
      <c r="HQ39" s="528">
        <f t="shared" si="330"/>
        <v>11.097330887031788</v>
      </c>
      <c r="HR39" s="97">
        <f t="shared" si="331"/>
        <v>0.34850227892850094</v>
      </c>
      <c r="HS39" s="263">
        <f t="shared" si="332"/>
        <v>0.67019669024711714</v>
      </c>
      <c r="HT39" s="527">
        <f t="shared" si="333"/>
        <v>42.619821319371511</v>
      </c>
      <c r="HU39" s="528">
        <f t="shared" si="334"/>
        <v>19.148476864203346</v>
      </c>
      <c r="HV39" s="97">
        <f t="shared" si="335"/>
        <v>0.34850227892850094</v>
      </c>
      <c r="HW39" s="263">
        <f t="shared" si="269"/>
        <v>0.67019669024711714</v>
      </c>
      <c r="HX39" s="527">
        <f t="shared" si="336"/>
        <v>42.619821319371511</v>
      </c>
      <c r="HY39" s="528">
        <f t="shared" si="337"/>
        <v>19.148476864203346</v>
      </c>
      <c r="HZ39" s="97">
        <f t="shared" si="338"/>
        <v>3.9478399999999998</v>
      </c>
      <c r="IA39" s="263">
        <f t="shared" si="270"/>
        <v>0.65636394122240882</v>
      </c>
      <c r="IB39" s="527">
        <f t="shared" si="339"/>
        <v>482.79809220985686</v>
      </c>
      <c r="IC39" s="528">
        <f t="shared" si="340"/>
        <v>216.91428571428568</v>
      </c>
      <c r="ID39" s="97">
        <f t="shared" si="341"/>
        <v>0.69863013698630139</v>
      </c>
      <c r="IE39" s="263">
        <f t="shared" si="271"/>
        <v>1.3435194942044257</v>
      </c>
      <c r="IF39" s="68">
        <f t="shared" si="342"/>
        <v>85.438441602825151</v>
      </c>
      <c r="IG39" s="97">
        <f t="shared" si="343"/>
        <v>0.69863013698630139</v>
      </c>
      <c r="IH39" s="263">
        <f t="shared" si="272"/>
        <v>1.3435194942044257</v>
      </c>
      <c r="II39" s="68">
        <f t="shared" si="344"/>
        <v>85.438441602825151</v>
      </c>
      <c r="IJ39" s="97">
        <f t="shared" si="345"/>
        <v>0.68421052631578938</v>
      </c>
      <c r="IK39" s="263">
        <f t="shared" si="273"/>
        <v>1.3157894736842104</v>
      </c>
      <c r="IL39" s="68">
        <f t="shared" si="346"/>
        <v>83.675006275625449</v>
      </c>
      <c r="IM39" s="60"/>
      <c r="IN39" s="60"/>
      <c r="IO39" s="60"/>
      <c r="IP39" s="554">
        <f t="shared" si="347"/>
        <v>96.152673887999995</v>
      </c>
      <c r="IQ39" s="596">
        <f t="shared" si="348"/>
        <v>0.53543086027397258</v>
      </c>
      <c r="IR39" s="432">
        <f t="shared" si="349"/>
        <v>1.029674731296101</v>
      </c>
      <c r="IS39" s="68">
        <f t="shared" si="350"/>
        <v>65.480110098321205</v>
      </c>
      <c r="IT39" s="97">
        <f t="shared" si="351"/>
        <v>29.419278037031454</v>
      </c>
      <c r="IU39" s="429">
        <f t="shared" si="352"/>
        <v>0.13739999999999999</v>
      </c>
      <c r="IV39" s="262">
        <f t="shared" si="353"/>
        <v>0.53543086027397258</v>
      </c>
      <c r="IW39" s="436">
        <f t="shared" si="354"/>
        <v>1.029674731296101</v>
      </c>
      <c r="IX39" s="101">
        <v>0.13739999999999999</v>
      </c>
      <c r="IY39" s="433">
        <v>1</v>
      </c>
      <c r="IZ39" s="433">
        <v>0</v>
      </c>
      <c r="JA39" s="434">
        <f>1-IY39-IZ39</f>
        <v>0</v>
      </c>
      <c r="JB39" s="430">
        <f>IY39*$JJ39+IZ39*$JK39+JA39*$JL39+'Discounting metrics'!$B$6*(IY39*$JM39+IZ39*$JN39+JA39*$JO39)/10^3+'Discounting metrics'!$B$5*(IY39*$JP39+IZ39*$JQ39+JA39*$JR39)/10^3</f>
        <v>56.894399999999997</v>
      </c>
      <c r="JC39" s="262">
        <f t="shared" si="355"/>
        <v>0</v>
      </c>
      <c r="JD39" s="436">
        <f t="shared" si="356"/>
        <v>0</v>
      </c>
      <c r="JE39" s="101">
        <v>0</v>
      </c>
      <c r="JF39" s="433">
        <v>1</v>
      </c>
      <c r="JG39" s="433">
        <v>0</v>
      </c>
      <c r="JH39" s="434">
        <f>1-JF39-JG39</f>
        <v>0</v>
      </c>
      <c r="JI39" s="430">
        <f>JF39*$JJ39+JG39*$JK39+JH39*$JL39+'Discounting metrics'!$B$6*(JF39*$JM39+JG39*$JN39+JH39*$JO39)/10^3+'Discounting metrics'!$B$5*(JF39*$JP39+JG39*$JQ39+JH39*$JR39)/10^3</f>
        <v>56.894399999999997</v>
      </c>
      <c r="JJ39" s="431">
        <v>55</v>
      </c>
      <c r="JK39" s="430">
        <f>JJ39</f>
        <v>55</v>
      </c>
      <c r="JL39" s="430">
        <f>JJ39</f>
        <v>55</v>
      </c>
      <c r="JM39" s="99">
        <v>1.2</v>
      </c>
      <c r="JN39" s="430">
        <f>JM39</f>
        <v>1.2</v>
      </c>
      <c r="JO39" s="430">
        <f>JM39</f>
        <v>1.2</v>
      </c>
      <c r="JP39" s="431">
        <v>45.2</v>
      </c>
      <c r="JQ39" s="430">
        <f>JP39</f>
        <v>45.2</v>
      </c>
      <c r="JR39" s="430">
        <f>JP39</f>
        <v>45.2</v>
      </c>
      <c r="JS39" s="554">
        <f t="shared" si="358"/>
        <v>15.065587467785159</v>
      </c>
      <c r="JT39" s="554">
        <f t="shared" si="359"/>
        <v>5.8468889073039598</v>
      </c>
      <c r="JU39" s="554">
        <f t="shared" si="360"/>
        <v>1.3731463663079999</v>
      </c>
      <c r="JV39" s="554">
        <f t="shared" si="361"/>
        <v>2.20402412928</v>
      </c>
      <c r="JW39" s="554">
        <f t="shared" si="362"/>
        <v>5.6415280648932002</v>
      </c>
      <c r="JX39" s="554"/>
      <c r="JY39" s="167">
        <f t="shared" si="363"/>
        <v>8.3893459560002007E-2</v>
      </c>
      <c r="JZ39" s="166">
        <f t="shared" si="364"/>
        <v>0.16133357607692694</v>
      </c>
      <c r="KA39" s="68">
        <f t="shared" si="365"/>
        <v>10.259686872936529</v>
      </c>
      <c r="KB39" s="97">
        <f t="shared" si="366"/>
        <v>4.6095307450550553</v>
      </c>
      <c r="KC39" s="473">
        <f t="shared" si="367"/>
        <v>4.0205119020002004E-2</v>
      </c>
      <c r="KD39" s="269">
        <f t="shared" si="368"/>
        <v>7.7317536576926929E-2</v>
      </c>
      <c r="KE39" s="473">
        <f t="shared" si="369"/>
        <v>4.3688340540000002E-2</v>
      </c>
      <c r="KF39" s="269">
        <f t="shared" si="370"/>
        <v>8.40160395E-2</v>
      </c>
      <c r="KG39" s="123"/>
      <c r="KH39" s="49"/>
      <c r="KI39" s="435">
        <v>3.2558686420002002E-2</v>
      </c>
      <c r="KJ39" s="522">
        <f t="shared" si="371"/>
        <v>6.2612858500003851E-2</v>
      </c>
      <c r="KK39" s="435">
        <v>7.6464326000000001E-3</v>
      </c>
      <c r="KL39" s="522">
        <f t="shared" si="372"/>
        <v>1.4704678076923076E-2</v>
      </c>
      <c r="KM39" s="435">
        <v>1.2273216E-2</v>
      </c>
      <c r="KN39" s="522">
        <f t="shared" si="373"/>
        <v>2.3602338461538461E-2</v>
      </c>
      <c r="KO39" s="435">
        <v>3.1415124539999999E-2</v>
      </c>
      <c r="KP39" s="522">
        <f t="shared" si="374"/>
        <v>6.0413701038461533E-2</v>
      </c>
      <c r="KQ39" s="599">
        <f t="shared" si="375"/>
        <v>4.3412058792443027</v>
      </c>
      <c r="KR39" s="527">
        <f t="shared" si="376"/>
        <v>276.07032618405742</v>
      </c>
      <c r="KS39" s="528">
        <f t="shared" si="377"/>
        <v>124.03445369269436</v>
      </c>
      <c r="KT39" s="599">
        <f t="shared" si="378"/>
        <v>4.3412058792443027</v>
      </c>
      <c r="KU39" s="527">
        <f t="shared" si="379"/>
        <v>276.07032618405742</v>
      </c>
      <c r="KV39" s="528">
        <f t="shared" si="380"/>
        <v>124.03445369269436</v>
      </c>
      <c r="KW39" s="599">
        <f t="shared" si="381"/>
        <v>1.5854910399126734</v>
      </c>
      <c r="KX39" s="527">
        <f t="shared" si="382"/>
        <v>100.82613926312708</v>
      </c>
      <c r="KY39" s="528">
        <f t="shared" si="383"/>
        <v>45.299743997504947</v>
      </c>
      <c r="KZ39" s="599">
        <f t="shared" si="384"/>
        <v>3.6483961716124576</v>
      </c>
      <c r="LA39" s="527">
        <f t="shared" si="385"/>
        <v>232.01247514228663</v>
      </c>
      <c r="LB39" s="528">
        <f t="shared" si="386"/>
        <v>104.23989061749877</v>
      </c>
      <c r="LC39" s="599">
        <f t="shared" si="387"/>
        <v>3.6483961716124576</v>
      </c>
      <c r="LD39" s="527">
        <f t="shared" si="388"/>
        <v>232.01247514228663</v>
      </c>
      <c r="LE39" s="528">
        <f t="shared" si="389"/>
        <v>104.23989061749877</v>
      </c>
      <c r="LF39" s="599">
        <f t="shared" si="390"/>
        <v>27.998666909410257</v>
      </c>
      <c r="LG39" s="527">
        <f t="shared" si="391"/>
        <v>1780.5193583090781</v>
      </c>
      <c r="LH39" s="528">
        <f t="shared" si="392"/>
        <v>799.96191169743588</v>
      </c>
      <c r="LI39" s="31">
        <v>0.52</v>
      </c>
      <c r="LJ39" s="32">
        <f t="shared" si="393"/>
        <v>14.3</v>
      </c>
      <c r="LK39" s="27">
        <v>27.5</v>
      </c>
      <c r="LL39" s="32">
        <f t="shared" si="394"/>
        <v>8.1770000000000014</v>
      </c>
      <c r="LM39" s="41">
        <f>'Crops proc. &amp; prod. DISCOUNTED'!OB83*'Crops proc. &amp; prod. DISCOUNTED'!C83+'Crops proc. &amp; prod. DISCOUNTED'!OB84*'Crops proc. &amp; prod. DISCOUNTED'!C84</f>
        <v>15.725000000000001</v>
      </c>
      <c r="LN39" s="36">
        <f t="shared" si="395"/>
        <v>1.8200000000000001E-2</v>
      </c>
      <c r="LO39" s="35">
        <v>3.5000000000000003E-2</v>
      </c>
      <c r="LP39" s="34">
        <f t="shared" si="396"/>
        <v>0.26</v>
      </c>
      <c r="LQ39" s="31">
        <v>0.5</v>
      </c>
    </row>
    <row r="40" spans="1:329" s="4" customFormat="1" x14ac:dyDescent="0.25">
      <c r="A40" s="14" t="s">
        <v>80</v>
      </c>
      <c r="B40" s="67">
        <f t="shared" si="276"/>
        <v>27.299999999999997</v>
      </c>
      <c r="C40" s="33">
        <v>23.2</v>
      </c>
      <c r="D40" s="33">
        <v>4.0999999999999996</v>
      </c>
      <c r="E40" s="38">
        <f t="shared" si="277"/>
        <v>0.15018315018315018</v>
      </c>
      <c r="F40" s="108">
        <f t="shared" si="254"/>
        <v>1.785970695970696</v>
      </c>
      <c r="G40" s="32">
        <f t="shared" si="255"/>
        <v>1.6430930402930404</v>
      </c>
      <c r="H40" s="33">
        <v>1.81</v>
      </c>
      <c r="I40" s="32">
        <f t="shared" si="278"/>
        <v>1.6652</v>
      </c>
      <c r="J40" s="33">
        <v>1.65</v>
      </c>
      <c r="K40" s="32">
        <f t="shared" si="279"/>
        <v>1.518</v>
      </c>
      <c r="L40" s="32">
        <f>(F40/'Discounting metrics'!$D$4*(1-EXP(-'Discounting metrics'!$D$4*'Discounting metrics'!$E$4)))/'Discounting metrics'!$E$4</f>
        <v>0.43831487540935887</v>
      </c>
      <c r="M40" s="32">
        <f>(G40/'Discounting metrics'!$D$4*(1-EXP(-'Discounting metrics'!$D$4*'Discounting metrics'!$E$4)))/'Discounting metrics'!$E$4</f>
        <v>0.40324968537661016</v>
      </c>
      <c r="N40" s="32">
        <f>(H40/'Discounting metrics'!$D$4*(1-EXP(-'Discounting metrics'!$D$4*'Discounting metrics'!$E$4)))/'Discounting metrics'!$E$4</f>
        <v>0.44421217340284774</v>
      </c>
      <c r="O40" s="32">
        <f>(I40/'Discounting metrics'!$D$4*(1-EXP(-'Discounting metrics'!$D$4*'Discounting metrics'!$E$4)))/'Discounting metrics'!$E$4</f>
        <v>0.40867519953061993</v>
      </c>
      <c r="P40" s="32">
        <f>(J40/'Discounting metrics'!$D$4*(1-EXP(-'Discounting metrics'!$D$4*'Discounting metrics'!$E$4)))/'Discounting metrics'!$E$4</f>
        <v>0.40494479895839708</v>
      </c>
      <c r="Q40" s="32">
        <f>(K40/'Discounting metrics'!$D$4*(1-EXP(-'Discounting metrics'!$D$4*'Discounting metrics'!$E$4)))/'Discounting metrics'!$E$4</f>
        <v>0.37254921504172533</v>
      </c>
      <c r="R40" s="32">
        <f t="shared" si="280"/>
        <v>6.0860826226958711</v>
      </c>
      <c r="S40" s="32">
        <f t="shared" si="281"/>
        <v>6.0052846504924329</v>
      </c>
      <c r="T40" s="32">
        <f t="shared" si="282"/>
        <v>6.587615283267457</v>
      </c>
      <c r="U40" s="107">
        <f t="shared" si="283"/>
        <v>48.756999999999998</v>
      </c>
      <c r="V40" s="68">
        <f t="shared" si="283"/>
        <v>44.856439999999999</v>
      </c>
      <c r="W40" s="68"/>
      <c r="X40" s="67">
        <f t="shared" si="284"/>
        <v>41.991999999999997</v>
      </c>
      <c r="Y40" s="67">
        <f t="shared" si="285"/>
        <v>38.632640000000002</v>
      </c>
      <c r="Z40" s="67">
        <f t="shared" si="285"/>
        <v>6.7649999999999988</v>
      </c>
      <c r="AA40" s="67">
        <f t="shared" si="286"/>
        <v>6.2237999999999998</v>
      </c>
      <c r="AB40" s="38">
        <f t="shared" si="287"/>
        <v>0.13874930779170169</v>
      </c>
      <c r="AC40" s="294">
        <f t="shared" si="288"/>
        <v>3.0213481180144844E-2</v>
      </c>
      <c r="AD40" s="294">
        <f t="shared" si="288"/>
        <v>0.3718721842718114</v>
      </c>
      <c r="AE40" s="294">
        <f t="shared" si="288"/>
        <v>0.30682711564724402</v>
      </c>
      <c r="AF40" s="294">
        <f t="shared" si="288"/>
        <v>3.1219251441532321E-2</v>
      </c>
      <c r="AG40" s="294">
        <f t="shared" si="288"/>
        <v>7.2396987495394291E-2</v>
      </c>
      <c r="AH40" s="294">
        <f t="shared" si="288"/>
        <v>0.12839341050179129</v>
      </c>
      <c r="AI40" s="294">
        <f t="shared" si="288"/>
        <v>2.422833315112307E-2</v>
      </c>
      <c r="AJ40" s="294">
        <f t="shared" si="288"/>
        <v>4.7498520611487073E-3</v>
      </c>
      <c r="AK40" s="294">
        <f t="shared" si="288"/>
        <v>2.7408236178408072E-2</v>
      </c>
      <c r="AL40" s="433">
        <v>3.014241001346428E-2</v>
      </c>
      <c r="AM40" s="433">
        <v>0.36897056699082137</v>
      </c>
      <c r="AN40" s="433">
        <v>0.35174541012947191</v>
      </c>
      <c r="AO40" s="433">
        <v>2.2854384075743583E-2</v>
      </c>
      <c r="AP40" s="433">
        <v>7.2056388684200251E-2</v>
      </c>
      <c r="AQ40" s="433">
        <v>0.10581214217909246</v>
      </c>
      <c r="AR40" s="433">
        <v>1.3073277653664717E-2</v>
      </c>
      <c r="AS40" s="433">
        <v>1.78742989817966E-4</v>
      </c>
      <c r="AT40" s="433">
        <v>3.2188045720165127E-2</v>
      </c>
      <c r="AU40" s="433">
        <v>3.0615639976971445E-2</v>
      </c>
      <c r="AV40" s="433">
        <v>0.38829109181302318</v>
      </c>
      <c r="AW40" s="433">
        <v>5.265530296732001E-2</v>
      </c>
      <c r="AX40" s="433">
        <v>7.8552159462580776E-2</v>
      </c>
      <c r="AY40" s="433">
        <v>7.4324278329467905E-2</v>
      </c>
      <c r="AZ40" s="433">
        <v>0.25617034344974565</v>
      </c>
      <c r="BA40" s="433">
        <v>8.7349622795277651E-2</v>
      </c>
      <c r="BB40" s="433">
        <v>3.0615639976971445E-2</v>
      </c>
      <c r="BC40" s="433">
        <v>3.6150901529497268E-4</v>
      </c>
      <c r="BD40" s="554">
        <f t="shared" si="289"/>
        <v>4.4448217381716724</v>
      </c>
      <c r="BE40" s="554">
        <f t="shared" si="289"/>
        <v>1.6901539504698853</v>
      </c>
      <c r="BF40" s="554">
        <f t="shared" si="289"/>
        <v>2.7546677877017864</v>
      </c>
      <c r="BG40" s="67">
        <f t="shared" si="290"/>
        <v>162.81398308321144</v>
      </c>
      <c r="BH40" s="67">
        <f t="shared" si="291"/>
        <v>61.910401116113022</v>
      </c>
      <c r="BI40" s="67">
        <f t="shared" si="292"/>
        <v>100.90358196709842</v>
      </c>
      <c r="BJ40" s="67">
        <f t="shared" si="293"/>
        <v>172.14524710698876</v>
      </c>
      <c r="BK40" s="68">
        <f t="shared" si="294"/>
        <v>64.35255047195858</v>
      </c>
      <c r="BL40" s="145">
        <v>120.59520777612704</v>
      </c>
      <c r="BM40" s="145">
        <v>122.94893537211804</v>
      </c>
      <c r="BN40" s="145">
        <v>35.939346004108096</v>
      </c>
      <c r="BO40" s="145">
        <v>42.758423310786689</v>
      </c>
      <c r="BP40" s="145">
        <v>6.6539178485506536</v>
      </c>
      <c r="BQ40" s="145">
        <v>0.82062099339864369</v>
      </c>
      <c r="BR40" s="145">
        <v>0.13408174145590615</v>
      </c>
      <c r="BS40" s="145">
        <v>118.31014798822719</v>
      </c>
      <c r="BT40" s="145">
        <v>35.574557898679046</v>
      </c>
      <c r="BU40" s="68">
        <f t="shared" si="295"/>
        <v>107.79269663503018</v>
      </c>
      <c r="BV40" s="145">
        <v>105.56732168961703</v>
      </c>
      <c r="BW40" s="145">
        <v>94.591933521706949</v>
      </c>
      <c r="BX40" s="145">
        <v>133.82993679391484</v>
      </c>
      <c r="BY40" s="145">
        <v>303.02816207048886</v>
      </c>
      <c r="BZ40" s="145">
        <v>110.02599592202586</v>
      </c>
      <c r="CA40" s="145">
        <v>16.597984868303495</v>
      </c>
      <c r="CB40" s="145">
        <v>0.46293776141051013</v>
      </c>
      <c r="CC40" s="145">
        <v>115.77108607991377</v>
      </c>
      <c r="CD40" s="145">
        <v>186.35260417407372</v>
      </c>
      <c r="CE40" s="68">
        <f t="shared" si="296"/>
        <v>110.01268421695917</v>
      </c>
      <c r="CF40" s="68">
        <f t="shared" si="297"/>
        <v>48.091409639133261</v>
      </c>
      <c r="CG40" s="145">
        <v>87.14113417901244</v>
      </c>
      <c r="CH40" s="145">
        <v>102.8546543808512</v>
      </c>
      <c r="CI40" s="145">
        <v>34.569903682357136</v>
      </c>
      <c r="CJ40" s="145">
        <v>42.036669868957027</v>
      </c>
      <c r="CK40" s="145">
        <v>3.1599501648534623</v>
      </c>
      <c r="CL40" s="145">
        <v>0.44152681786363512</v>
      </c>
      <c r="CM40" s="145">
        <v>0.12277129969657158</v>
      </c>
      <c r="CN40" s="145">
        <v>0</v>
      </c>
      <c r="CO40" s="145">
        <v>13.639866511213475</v>
      </c>
      <c r="CP40" s="68">
        <f t="shared" si="298"/>
        <v>61.921274577825912</v>
      </c>
      <c r="CQ40" s="145">
        <v>88.458327360956972</v>
      </c>
      <c r="CR40" s="145">
        <v>81.268646315959273</v>
      </c>
      <c r="CS40" s="145">
        <v>134.16031330275973</v>
      </c>
      <c r="CT40" s="145">
        <v>199.40698974938911</v>
      </c>
      <c r="CU40" s="145">
        <v>28.179258507600473</v>
      </c>
      <c r="CV40" s="145">
        <v>10.858444505674267</v>
      </c>
      <c r="CW40" s="145">
        <v>0.44161946408370784</v>
      </c>
      <c r="CX40" s="145">
        <v>0</v>
      </c>
      <c r="CY40" s="145">
        <v>40.063902386588239</v>
      </c>
      <c r="CZ40" s="554">
        <f t="shared" si="299"/>
        <v>2.0800184782763393</v>
      </c>
      <c r="DA40" s="554">
        <f t="shared" si="299"/>
        <v>1.4017637500000003E-2</v>
      </c>
      <c r="DB40" s="554">
        <f t="shared" si="299"/>
        <v>2.0660008407763399</v>
      </c>
      <c r="DC40" s="32">
        <f t="shared" si="300"/>
        <v>76.19115305041538</v>
      </c>
      <c r="DD40" s="32">
        <f t="shared" si="301"/>
        <v>0.51346657509157523</v>
      </c>
      <c r="DE40" s="67">
        <f t="shared" si="301"/>
        <v>75.67768647532381</v>
      </c>
      <c r="DF40" s="270"/>
      <c r="DG40" s="67">
        <f t="shared" si="302"/>
        <v>81.364897476272631</v>
      </c>
      <c r="DH40" s="32">
        <f>I40*0.5*2.5*0.25</f>
        <v>0.52037500000000003</v>
      </c>
      <c r="DI40" s="67">
        <f t="shared" si="303"/>
        <v>80.84452247627263</v>
      </c>
      <c r="DJ40" s="67"/>
      <c r="DK40" s="34">
        <f t="shared" si="304"/>
        <v>0.25</v>
      </c>
      <c r="DL40" s="159"/>
      <c r="DM40" s="159"/>
      <c r="DN40" s="68">
        <f t="shared" si="305"/>
        <v>46.915330933369439</v>
      </c>
      <c r="DO40" s="32">
        <f>K40*0.5*2.5*0.25</f>
        <v>0.47437499999999999</v>
      </c>
      <c r="DP40" s="67">
        <f t="shared" si="306"/>
        <v>46.440955933369438</v>
      </c>
      <c r="DQ40" s="67"/>
      <c r="DR40" s="34">
        <f t="shared" si="307"/>
        <v>0.25</v>
      </c>
      <c r="DS40" s="294"/>
      <c r="DT40" s="294"/>
      <c r="DU40" s="294"/>
      <c r="DV40" s="67">
        <f t="shared" si="262"/>
        <v>86.62283003279606</v>
      </c>
      <c r="DW40" s="67">
        <f t="shared" si="262"/>
        <v>61.396934541021444</v>
      </c>
      <c r="DX40" s="67">
        <f t="shared" si="262"/>
        <v>25.225895491774608</v>
      </c>
      <c r="DY40" s="67">
        <f t="shared" si="263"/>
        <v>90.780349630716131</v>
      </c>
      <c r="DZ40" s="67">
        <f t="shared" si="263"/>
        <v>63.832175471958578</v>
      </c>
      <c r="EA40" s="67">
        <f t="shared" si="264"/>
        <v>26.948174158757553</v>
      </c>
      <c r="EB40" s="67">
        <f t="shared" si="265"/>
        <v>63.097353283589733</v>
      </c>
      <c r="EC40" s="67">
        <f t="shared" si="265"/>
        <v>47.617034639133259</v>
      </c>
      <c r="ED40" s="67">
        <f t="shared" si="266"/>
        <v>15.480318644456474</v>
      </c>
      <c r="EE40" s="68">
        <f t="shared" si="308"/>
        <v>62.280794298767987</v>
      </c>
      <c r="EF40" s="67">
        <f t="shared" si="309"/>
        <v>43.565516405653973</v>
      </c>
      <c r="EG40" s="67">
        <f t="shared" si="310"/>
        <v>18.715277893114013</v>
      </c>
      <c r="EH40" s="261">
        <f t="shared" si="311"/>
        <v>64.300802045590842</v>
      </c>
      <c r="EI40" s="154">
        <f t="shared" si="312"/>
        <v>0.70831190127774346</v>
      </c>
      <c r="EJ40" s="108">
        <f t="shared" si="313"/>
        <v>44.415684834210403</v>
      </c>
      <c r="EK40" s="126">
        <f>'Allometrics &amp; Decay rates'!$H$5*$AL40*BL40+'Allometrics &amp; Decay rates'!$H$6*$AM40*BM40+'Allometrics &amp; Decay rates'!$H$7*$AN40*BN40+'Allometrics &amp; Decay rates'!$H$8*$AO40*BO40+'Allometrics &amp; Decay rates'!$H$9*$AP40*BP40+'Allometrics &amp; Decay rates'!$H$10*$AQ40*BQ40+'Allometrics &amp; Decay rates'!$H$11*$AR40*BR40+'Allometrics &amp; Decay rates'!$H$12*$AS40*BS40+'Allometrics &amp; Decay rates'!$H$13*$AT40*BT40</f>
        <v>28.497913971135922</v>
      </c>
      <c r="EL40" s="97">
        <f t="shared" si="314"/>
        <v>16.438145863074482</v>
      </c>
      <c r="EM40" s="550">
        <f>AL40*BL40*('Allometrics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1.4250320649746684</v>
      </c>
      <c r="EN40" s="550">
        <f>AM40*BM40*('Allometrics &amp; Decay rates'!$I$6*((EXP('Allometrics &amp; Decay rates'!$K$6)-1)/('Discounting metrics'!$D$4+'Allometrics &amp; Decay rates'!$K$6)*(1-EXP(-('Discounting metrics'!$D$4+'Allometrics &amp; Decay rates'!$K$6)*'Discounting metrics'!$E$4))-(1-EXP(-'Allometrics &amp; Decay rates'!$K$6))/1.55)+'Allometrics &amp; Decay rates'!$E$6*((EXP('Allometrics &amp; Decay rates'!$L$6)-1)/('Discounting metrics'!$D$4+'Allometrics &amp; Decay rates'!$L$6)*(1-EXP(-('Discounting metrics'!$D$4+'Allometrics &amp; Decay rates'!$L$6)*'Discounting metrics'!$E$4))-(1-EXP(-'Allometrics &amp; Decay rates'!$L$6))/1.55))</f>
        <v>11.063857701815525</v>
      </c>
      <c r="EO40" s="550">
        <f>AN40*BN40*('Allometrics &amp; Decay rates'!$I$7*((EXP('Allometrics &amp; Decay rates'!$K$7)-1)/('Discounting metrics'!$D$4+'Allometrics &amp; Decay rates'!$K$7)*(1-EXP(-('Discounting metrics'!$D$4+'Allometrics &amp; Decay rates'!$K$7)*'Discounting metrics'!$E$4))-(1-EXP(-'Allometrics &amp; Decay rates'!$K$7))/1.55)+'Allometrics &amp; Decay rates'!$E$7*((EXP('Allometrics &amp; Decay rates'!$L$7)-1)/('Discounting metrics'!$D$4+'Allometrics &amp; Decay rates'!$L$7)*(1-EXP(-('Discounting metrics'!$D$4+'Allometrics &amp; Decay rates'!$L$7)*'Discounting metrics'!$E$4))-(1-EXP(-'Allometrics &amp; Decay rates'!$L$7))/1.55))</f>
        <v>2.691520307217504</v>
      </c>
      <c r="EP40" s="550">
        <f>AO40*BO40*('Allometrics &amp; Decay rates'!$I$8*((EXP('Allometrics &amp; Decay rates'!$K$8)-1)/('Discounting metrics'!$D$4+'Allometrics &amp; Decay rates'!$K$8)*(1-EXP(-('Discounting metrics'!$D$4+'Allometrics &amp; Decay rates'!$K$8)*'Discounting metrics'!$E$4))-(1-EXP(-'Allometrics &amp; Decay rates'!$K$8))/1.55)+'Allometrics &amp; Decay rates'!$E$8*((EXP('Allometrics &amp; Decay rates'!$L$8)-1)/('Discounting metrics'!$D$4+'Allometrics &amp; Decay rates'!$L$8)*(1-EXP(-('Discounting metrics'!$D$4+'Allometrics &amp; Decay rates'!$L$8)*'Discounting metrics'!$E$4))-(1-EXP(-'Allometrics &amp; Decay rates'!$L$8))/1.55))</f>
        <v>0.55326768226311585</v>
      </c>
      <c r="EQ40" s="550">
        <f>AP40*BP40*('Allometrics &amp; Decay rates'!$I$9*((EXP('Allometrics &amp; Decay rates'!$K$9)-1)/('Discounting metrics'!$D$4+'Allometrics &amp; Decay rates'!$K$9)*(1-EXP(-('Discounting metrics'!$D$4+'Allometrics &amp; Decay rates'!$K$9)*'Discounting metrics'!$E$4))-(1-EXP(-'Allometrics &amp; Decay rates'!$K$9))/1.55)+'Allometrics &amp; Decay rates'!$E$9*((EXP('Allometrics &amp; Decay rates'!$L$9)-1)/('Discounting metrics'!$D$4+'Allometrics &amp; Decay rates'!$L$9)*(1-EXP(-('Discounting metrics'!$D$4+'Allometrics &amp; Decay rates'!$L$9)*'Discounting metrics'!$E$4))-(1-EXP(-'Allometrics &amp; Decay rates'!$L$9))/1.55))</f>
        <v>0.2512958546200767</v>
      </c>
      <c r="ER40" s="550">
        <f>AQ40*BQ40*('Allometrics &amp; Decay rates'!$I$10*((EXP('Allometrics &amp; Decay rates'!$K$10)-1)/('Discounting metrics'!$D$4+'Allometrics &amp; Decay rates'!$K$10)*(1-EXP(-('Discounting metrics'!$D$4+'Allometrics &amp; Decay rates'!$K$10)*'Discounting metrics'!$E$4))-(1-EXP(-'Allometrics &amp; Decay rates'!$K$10))/1.55)+'Allometrics &amp; Decay rates'!$E$10*((EXP('Allometrics &amp; Decay rates'!$L$10)-1)/('Discounting metrics'!$D$4+'Allometrics &amp; Decay rates'!$L$10)*(1-EXP(-('Discounting metrics'!$D$4+'Allometrics &amp; Decay rates'!$L$10)*'Discounting metrics'!$E$4))-(1-EXP(-'Allometrics &amp; Decay rates'!$L$10))/1.55))</f>
        <v>5.5240676421411936E-2</v>
      </c>
      <c r="ES40" s="550">
        <f>AR40*BR40*('Allometrics &amp; Decay rates'!$I$11*((EXP('Allometrics &amp; Decay rates'!$K$11)-1)/('Discounting metrics'!$D$4+'Allometrics &amp; Decay rates'!$K$11)*(1-EXP(-('Discounting metrics'!$D$4+'Allometrics &amp; Decay rates'!$K$11)*'Discounting metrics'!$E$4))-(1-EXP(-'Allometrics &amp; Decay rates'!$K$11))/1.55)+'Allometrics &amp; Decay rates'!$E$11*((EXP('Allometrics &amp; Decay rates'!$L$11)-1)/('Discounting metrics'!$D$4+'Allometrics &amp; Decay rates'!$L$11)*(1-EXP(-('Discounting metrics'!$D$4+'Allometrics &amp; Decay rates'!$L$11)*'Discounting metrics'!$E$4))-(1-EXP(-'Allometrics &amp; Decay rates'!$L$11))/1.55))</f>
        <v>1.2441843985566575E-3</v>
      </c>
      <c r="ET40" s="550">
        <f>AS40*BS40*('Allometrics &amp; Decay rates'!$I$12*((EXP('Allometrics &amp; Decay rates'!$K$12)-1)/('Discounting metrics'!$D$4+'Allometrics &amp; Decay rates'!$K$12)*(1-EXP(-('Discounting metrics'!$D$4+'Allometrics &amp; Decay rates'!$K$12)*'Discounting metrics'!$E$4))-(1-EXP(-'Allometrics &amp; Decay rates'!$K$12))/1.55)+'Allometrics &amp; Decay rates'!$E$12*((EXP('Allometrics &amp; Decay rates'!$L$12)-1)/('Discounting metrics'!$D$4+'Allometrics &amp; Decay rates'!$L$12)*(1-EXP(-('Discounting metrics'!$D$4+'Allometrics &amp; Decay rates'!$L$12)*'Discounting metrics'!$E$4))-(1-EXP(-'Allometrics &amp; Decay rates'!$L$12))/1.55))</f>
        <v>8.6289651118648981E-3</v>
      </c>
      <c r="EU40" s="550">
        <f>AT40*BT40*('Allometrics &amp; Decay rates'!$I$13*((EXP('Allometrics &amp; Decay rates'!$K$13)-1)/('Discounting metrics'!$D$4+'Allometrics &amp; Decay rates'!$K$13)*(1-EXP(-('Discounting metrics'!$D$4+'Allometrics &amp; Decay rates'!$K$13)*'Discounting metrics'!$E$4))-(1-EXP(-'Allometrics &amp; Decay rates'!$K$13))/1.55)+'Allometrics &amp; Decay rates'!$E$13*((EXP('Allometrics &amp; Decay rates'!$L$13)-1)/('Discounting metrics'!$D$4+'Allometrics &amp; Decay rates'!$L$13)*(1-EXP(-('Discounting metrics'!$D$4+'Allometrics &amp; Decay rates'!$L$13)*'Discounting metrics'!$E$4))-(1-EXP(-'Allometrics &amp; Decay rates'!$L$13))/1.55))</f>
        <v>0.38805842625176173</v>
      </c>
      <c r="EV40" s="108">
        <f t="shared" si="315"/>
        <v>19.88511721138044</v>
      </c>
      <c r="EW40" s="550">
        <f>AL40*BV40*$DK40*((EXP('Allometrics &amp; Decay rates'!$M$5)-1)/('Discounting metrics'!$D$4+'Allometrics &amp; Decay rates'!$M$5)*(1-EXP(-('Discounting metrics'!$D$4+'Allometrics &amp; Decay rates'!$M$5)*'Discounting metrics'!$E$4))-(1-EXP(-'Allometrics &amp; Decay rates'!$M$5))/1.55)</f>
        <v>0.62172762580837426</v>
      </c>
      <c r="EX40" s="550">
        <f>AM40*BW40*$DK40*((EXP('Allometrics &amp; Decay rates'!$M$5)-1)/('Discounting metrics'!$D$4+'Allometrics &amp; Decay rates'!$M$5)*(1-EXP(-('Discounting metrics'!$D$4+'Allometrics &amp; Decay rates'!$M$5)*'Discounting metrics'!$E$4))-(1-EXP(-'Allometrics &amp; Decay rates'!$M$5))/1.55)</f>
        <v>6.8192798784095832</v>
      </c>
      <c r="EY40" s="550">
        <f>AN40*BX40*$DK40*((EXP('Allometrics &amp; Decay rates'!$M$5)-1)/('Discounting metrics'!$D$4+'Allometrics &amp; Decay rates'!$M$5)*(1-EXP(-('Discounting metrics'!$D$4+'Allometrics &amp; Decay rates'!$M$5)*'Discounting metrics'!$E$4))-(1-EXP(-'Allometrics &amp; Decay rates'!$M$5))/1.55)</f>
        <v>9.1975975093215911</v>
      </c>
      <c r="EZ40" s="550">
        <f>AO40*BY40*$DK40*((EXP('Allometrics &amp; Decay rates'!$M$5)-1)/('Discounting metrics'!$D$4+'Allometrics &amp; Decay rates'!$M$5)*(1-EXP(-('Discounting metrics'!$D$4+'Allometrics &amp; Decay rates'!$M$5)*'Discounting metrics'!$E$4))-(1-EXP(-'Allometrics &amp; Decay rates'!$M$5))/1.55)</f>
        <v>1.3531476950985797</v>
      </c>
      <c r="FA40" s="550">
        <f>AP40*BZ40*$DK40*((EXP('Allometrics &amp; Decay rates'!$M$5)-1)/('Discounting metrics'!$D$4+'Allometrics &amp; Decay rates'!$M$5)*(1-EXP(-('Discounting metrics'!$D$4+'Allometrics &amp; Decay rates'!$M$5)*'Discounting metrics'!$E$4))-(1-EXP(-'Allometrics &amp; Decay rates'!$M$5))/1.55)</f>
        <v>1.5490323567266429</v>
      </c>
      <c r="FB40" s="550">
        <f>AQ40*CA40*$DK40*((EXP('Allometrics &amp; Decay rates'!$M$5)-1)/('Discounting metrics'!$D$4+'Allometrics &amp; Decay rates'!$M$5)*(1-EXP(-('Discounting metrics'!$D$4+'Allometrics &amp; Decay rates'!$M$5)*'Discounting metrics'!$E$4))-(1-EXP(-'Allometrics &amp; Decay rates'!$M$5))/1.55)</f>
        <v>0.3431496497416846</v>
      </c>
      <c r="FC40" s="550">
        <f>AR40*CB40*$DK40*((EXP('Allometrics &amp; Decay rates'!$M$5)-1)/('Discounting metrics'!$D$4+'Allometrics &amp; Decay rates'!$M$5)*(1-EXP(-('Discounting metrics'!$D$4+'Allometrics &amp; Decay rates'!$M$5)*'Discounting metrics'!$E$4))-(1-EXP(-'Allometrics &amp; Decay rates'!$M$5))/1.55)</f>
        <v>1.1824962739886821E-3</v>
      </c>
      <c r="FD40" s="261">
        <f t="shared" si="316"/>
        <v>50.850506560648398</v>
      </c>
      <c r="FE40" s="154">
        <f t="shared" si="317"/>
        <v>0.80590553984256452</v>
      </c>
      <c r="FF40" s="108">
        <f t="shared" si="318"/>
        <v>38.75480724894441</v>
      </c>
      <c r="FG40" s="126">
        <f>'Allometrics &amp; Decay rates'!$H$5*$AU40*CG40+'Allometrics &amp; Decay rates'!$H$6*$AV40*CH40+'Allometrics &amp; Decay rates'!$H$7*$AW40*CI40+'Allometrics &amp; Decay rates'!$H$8*$AX40*CJ40+'Allometrics &amp; Decay rates'!$H$9*$AY40*CK40+'Allometrics &amp; Decay rates'!$H$10*$AZ40*CL40+'Allometrics &amp; Decay rates'!$H$11*$BA40*CM40+'Allometrics &amp; Decay rates'!$H$12*$BB40*CN40+'Allometrics &amp; Decay rates'!$H$13*$BC40*CO40</f>
        <v>20.376023665866658</v>
      </c>
      <c r="FH40" s="97">
        <f t="shared" si="319"/>
        <v>18.853158583077757</v>
      </c>
      <c r="FI40" s="550">
        <f>AU40*CG40*('Allometrics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1.0458831441492979</v>
      </c>
      <c r="FJ40" s="550">
        <f>AV40*CH40*('Allometrics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15.656619232086832</v>
      </c>
      <c r="FK40" s="550">
        <f>AW40*CI40*('Allometrics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0.71360338083118324</v>
      </c>
      <c r="FL40" s="550">
        <f>AX40*CJ40*('Allometrics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1.2945029550129354</v>
      </c>
      <c r="FM40" s="550">
        <f>AY40*CK40*('Allometrics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9.207199382504358E-2</v>
      </c>
      <c r="FN40" s="550">
        <f>AZ40*CL40*('Allometrics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4.4340700644210633E-2</v>
      </c>
      <c r="FO40" s="550">
        <f>BA40*CM40*('Allometrics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4.2041141628350112E-3</v>
      </c>
      <c r="FP40" s="550">
        <f>BB40*CN40*('Allometrics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Q40" s="550">
        <f>BC40*CO40*('Allometrics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1.9330623654220222E-3</v>
      </c>
      <c r="FR40" s="108">
        <f t="shared" si="320"/>
        <v>12.09569931170399</v>
      </c>
      <c r="FS40" s="550">
        <f>AU40*CQ40*$DK40*((EXP('Allometrics &amp; Decay rates'!$M$5)-1)/('Discounting metrics'!$D$4+'Allometrics &amp; Decay rates'!$M$5)*(1-EXP(-('Discounting metrics'!$D$4+'Allometrics &amp; Decay rates'!$M$5)*'Discounting metrics'!$E$4))-(1-EXP(-'Allometrics &amp; Decay rates'!$M$5))/1.55)</f>
        <v>0.52914506989430976</v>
      </c>
      <c r="FT40" s="550">
        <f>AV40*CR40*$DK40*((EXP('Allometrics &amp; Decay rates'!$M$5)-1)/('Discounting metrics'!$D$4+'Allometrics &amp; Decay rates'!$M$5)*(1-EXP(-('Discounting metrics'!$D$4+'Allometrics &amp; Decay rates'!$M$5)*'Discounting metrics'!$E$4))-(1-EXP(-'Allometrics &amp; Decay rates'!$M$5))/1.55)</f>
        <v>6.1655687058873303</v>
      </c>
      <c r="FU40" s="550">
        <f>AW40*CS40*$DK40*((EXP('Allometrics &amp; Decay rates'!$M$5)-1)/('Discounting metrics'!$D$4+'Allometrics &amp; Decay rates'!$M$5)*(1-EXP(-('Discounting metrics'!$D$4+'Allometrics &amp; Decay rates'!$M$5)*'Discounting metrics'!$E$4))-(1-EXP(-'Allometrics &amp; Decay rates'!$M$5))/1.55)</f>
        <v>1.3802535364242214</v>
      </c>
      <c r="FV40" s="550">
        <f>AX40*CT40*$DK40*((EXP('Allometrics &amp; Decay rates'!$M$5)-1)/('Discounting metrics'!$D$4+'Allometrics &amp; Decay rates'!$M$5)*(1-EXP(-('Discounting metrics'!$D$4+'Allometrics &amp; Decay rates'!$M$5)*'Discounting metrics'!$E$4))-(1-EXP(-'Allometrics &amp; Decay rates'!$M$5))/1.55)</f>
        <v>3.0604916212982816</v>
      </c>
      <c r="FW40" s="550">
        <f>AY40*CU40*$DK40*((EXP('Allometrics &amp; Decay rates'!$M$5)-1)/('Discounting metrics'!$D$4+'Allometrics &amp; Decay rates'!$M$5)*(1-EXP(-('Discounting metrics'!$D$4+'Allometrics &amp; Decay rates'!$M$5)*'Discounting metrics'!$E$4))-(1-EXP(-'Allometrics &amp; Decay rates'!$M$5))/1.55)</f>
        <v>0.40921632510968831</v>
      </c>
      <c r="FX40" s="550">
        <f>AZ40*CV40*$DK40*((EXP('Allometrics &amp; Decay rates'!$M$5)-1)/('Discounting metrics'!$D$4+'Allometrics &amp; Decay rates'!$M$5)*(1-EXP(-('Discounting metrics'!$D$4+'Allometrics &amp; Decay rates'!$M$5)*'Discounting metrics'!$E$4))-(1-EXP(-'Allometrics &amp; Decay rates'!$M$5))/1.55)</f>
        <v>0.543486993844843</v>
      </c>
      <c r="FY40" s="550">
        <f>BA40*CW40*$DK40*((EXP('Allometrics &amp; Decay rates'!$M$5)-1)/('Discounting metrics'!$D$4+'Allometrics &amp; Decay rates'!$M$5)*(1-EXP(-('Discounting metrics'!$D$4+'Allometrics &amp; Decay rates'!$M$5)*'Discounting metrics'!$E$4))-(1-EXP(-'Allometrics &amp; Decay rates'!$M$5))/1.55)</f>
        <v>7.5370592453158436E-3</v>
      </c>
      <c r="FZ40" s="68"/>
      <c r="GA40" s="293"/>
      <c r="GB40" s="293"/>
      <c r="GP40" s="32">
        <f t="shared" si="321"/>
        <v>4.8847252747252758</v>
      </c>
      <c r="GQ40" s="33">
        <v>5.1100000000000003</v>
      </c>
      <c r="GR40" s="99">
        <v>3.61</v>
      </c>
      <c r="GS40" s="99"/>
      <c r="GT40" s="99"/>
      <c r="GU40" s="99"/>
      <c r="GV40" s="99"/>
      <c r="GW40" s="99"/>
      <c r="GX40" s="99"/>
      <c r="GY40" s="99"/>
      <c r="GZ40" s="99"/>
      <c r="HA40" s="99"/>
      <c r="HB40" s="99"/>
      <c r="HF40" s="97">
        <f t="shared" si="322"/>
        <v>1.4209144565445468</v>
      </c>
      <c r="HG40" s="526">
        <f>EE40/'Discounting metrics'!E$4/M40</f>
        <v>1.5444722353745073</v>
      </c>
      <c r="HH40" s="527">
        <f t="shared" si="323"/>
        <v>77.223611768725362</v>
      </c>
      <c r="HI40" s="528">
        <f t="shared" si="324"/>
        <v>6.7150966755413357</v>
      </c>
      <c r="HJ40" s="97">
        <f t="shared" si="325"/>
        <v>1.4475245365974616</v>
      </c>
      <c r="HK40" s="526">
        <f>EH40/'Discounting metrics'!E$4/O40</f>
        <v>1.5733962354320234</v>
      </c>
      <c r="HL40" s="527">
        <f t="shared" si="326"/>
        <v>78.669811771601175</v>
      </c>
      <c r="HM40" s="528">
        <f t="shared" si="327"/>
        <v>6.840853197530536</v>
      </c>
      <c r="HN40" s="97">
        <f t="shared" si="328"/>
        <v>1.2557392190601426</v>
      </c>
      <c r="HO40" s="526">
        <f>FD40/'Discounting metrics'!E$4/Q40</f>
        <v>1.3649339337610245</v>
      </c>
      <c r="HP40" s="527">
        <f t="shared" si="329"/>
        <v>68.24669668805123</v>
      </c>
      <c r="HQ40" s="528">
        <f t="shared" si="330"/>
        <v>5.9344953641783666</v>
      </c>
      <c r="HR40" s="97">
        <f t="shared" si="331"/>
        <v>1.3643447401790973</v>
      </c>
      <c r="HS40" s="263">
        <f t="shared" si="332"/>
        <v>1.4829834132381492</v>
      </c>
      <c r="HT40" s="527">
        <f t="shared" si="333"/>
        <v>74.149170661907462</v>
      </c>
      <c r="HU40" s="528">
        <f t="shared" si="334"/>
        <v>6.4477539706006484</v>
      </c>
      <c r="HV40" s="97">
        <f t="shared" si="335"/>
        <v>1.4083176807355509</v>
      </c>
      <c r="HW40" s="263">
        <f t="shared" si="269"/>
        <v>1.5307800877560336</v>
      </c>
      <c r="HX40" s="527">
        <f t="shared" si="336"/>
        <v>76.539004387801668</v>
      </c>
      <c r="HY40" s="528">
        <f t="shared" si="337"/>
        <v>6.6555655989392761</v>
      </c>
      <c r="HZ40" s="97">
        <f t="shared" si="338"/>
        <v>1.531984</v>
      </c>
      <c r="IA40" s="263">
        <f t="shared" si="270"/>
        <v>1.1862978321065882</v>
      </c>
      <c r="IB40" s="527">
        <f t="shared" si="339"/>
        <v>83.26</v>
      </c>
      <c r="IC40" s="528">
        <f t="shared" si="340"/>
        <v>7.2399999999999993</v>
      </c>
      <c r="ID40" s="97">
        <f t="shared" si="341"/>
        <v>2.7350534282256911</v>
      </c>
      <c r="IE40" s="263">
        <f t="shared" si="271"/>
        <v>2.9728841611148815</v>
      </c>
      <c r="IF40" s="68">
        <f t="shared" si="342"/>
        <v>148.64420805574406</v>
      </c>
      <c r="IG40" s="97">
        <f t="shared" si="343"/>
        <v>2.8232044198895032</v>
      </c>
      <c r="IH40" s="263">
        <f t="shared" si="272"/>
        <v>3.0687004564016336</v>
      </c>
      <c r="II40" s="68">
        <f t="shared" si="344"/>
        <v>153.43502282008168</v>
      </c>
      <c r="IJ40" s="97">
        <f t="shared" si="345"/>
        <v>2.1878787878787875</v>
      </c>
      <c r="IK40" s="263">
        <f t="shared" si="273"/>
        <v>2.3781291172595518</v>
      </c>
      <c r="IL40" s="68">
        <f t="shared" si="346"/>
        <v>118.90645586297759</v>
      </c>
      <c r="IM40" s="60"/>
      <c r="IN40" s="60"/>
      <c r="IO40" s="60"/>
      <c r="IP40" s="554">
        <f t="shared" si="347"/>
        <v>29.762236345248006</v>
      </c>
      <c r="IQ40" s="262">
        <f t="shared" si="348"/>
        <v>0.61041976219308014</v>
      </c>
      <c r="IR40" s="166">
        <f t="shared" si="349"/>
        <v>0.66349974151421753</v>
      </c>
      <c r="IS40" s="68">
        <f t="shared" si="350"/>
        <v>33.174987075710881</v>
      </c>
      <c r="IT40" s="97">
        <f t="shared" si="351"/>
        <v>2.884781484844424</v>
      </c>
      <c r="IU40" s="429">
        <f t="shared" si="352"/>
        <v>3.0443956043956045E-2</v>
      </c>
      <c r="IV40" s="262">
        <f t="shared" si="353"/>
        <v>0.69597508156906085</v>
      </c>
      <c r="IW40" s="436">
        <f t="shared" si="354"/>
        <v>0.75649465387941395</v>
      </c>
      <c r="IX40" s="101">
        <v>3.5400000000000001E-2</v>
      </c>
      <c r="IY40" s="101">
        <v>3.6999999999999998E-2</v>
      </c>
      <c r="IZ40" s="101">
        <v>0.65900000000000003</v>
      </c>
      <c r="JA40" s="429">
        <f t="shared" ref="JA40:JA41" si="397">1-IY40-IZ40</f>
        <v>0.30399999999999994</v>
      </c>
      <c r="JB40" s="430">
        <f>IY40*$JJ40+IZ40*$JK40+JA40*$JL40+'Discounting metrics'!$B$6*(IY40*$JM40+IZ40*$JN40+JA40*$JO40)/10^3+'Discounting metrics'!$B$5*(IY40*$JP40+IZ40*$JQ40+JA40*$JR40)/10^3</f>
        <v>35.585166600000001</v>
      </c>
      <c r="JC40" s="262">
        <f t="shared" si="355"/>
        <v>7.9357090909090891E-2</v>
      </c>
      <c r="JD40" s="436">
        <f t="shared" si="356"/>
        <v>8.6257707509881404E-2</v>
      </c>
      <c r="JE40" s="101">
        <v>2.3999999999999998E-3</v>
      </c>
      <c r="JF40" s="433">
        <v>1</v>
      </c>
      <c r="JG40" s="433">
        <v>0</v>
      </c>
      <c r="JH40" s="434">
        <f t="shared" ref="JH40:JH43" si="398">1-JF40-JG40</f>
        <v>0</v>
      </c>
      <c r="JI40" s="430">
        <f>JF40*$JJ40+JG40*$JK40+JH40*$JL40+'Discounting metrics'!$B$6*(JF40*$JM40+JG40*$JN40+JH40*$JO40)/10^3+'Discounting metrics'!$B$5*(JF40*$JP40+JG40*$JQ40+JH40*$JR40)/10^3</f>
        <v>54.558</v>
      </c>
      <c r="JJ40" s="431">
        <v>51.3</v>
      </c>
      <c r="JK40" s="431">
        <v>29</v>
      </c>
      <c r="JL40" s="431">
        <v>29</v>
      </c>
      <c r="JM40" s="99">
        <v>5</v>
      </c>
      <c r="JN40" s="431">
        <v>13</v>
      </c>
      <c r="JO40" s="431">
        <v>13</v>
      </c>
      <c r="JP40" s="431">
        <v>52</v>
      </c>
      <c r="JQ40" s="431">
        <v>58.3</v>
      </c>
      <c r="JR40" s="431">
        <v>58.3</v>
      </c>
      <c r="JS40" s="554">
        <f t="shared" si="358"/>
        <v>48.971910929074795</v>
      </c>
      <c r="JT40" s="554">
        <f t="shared" si="359"/>
        <v>16.437038992113798</v>
      </c>
      <c r="JU40" s="554">
        <f t="shared" si="360"/>
        <v>3.4075109418763998</v>
      </c>
      <c r="JV40" s="554">
        <f t="shared" si="361"/>
        <v>13.7112259765146</v>
      </c>
      <c r="JW40" s="554">
        <f t="shared" si="362"/>
        <v>15.416135018569996</v>
      </c>
      <c r="JX40" s="554"/>
      <c r="JY40" s="167">
        <f t="shared" si="363"/>
        <v>1.0044077964</v>
      </c>
      <c r="JZ40" s="166">
        <f t="shared" si="364"/>
        <v>1.0917476047826087</v>
      </c>
      <c r="KA40" s="68">
        <f t="shared" si="365"/>
        <v>54.587380239130439</v>
      </c>
      <c r="KB40" s="97">
        <f t="shared" si="366"/>
        <v>4.7467287164461247</v>
      </c>
      <c r="KC40" s="473">
        <f t="shared" si="367"/>
        <v>0.40700924860000004</v>
      </c>
      <c r="KD40" s="269">
        <f t="shared" si="368"/>
        <v>0.44240135717391305</v>
      </c>
      <c r="KE40" s="473">
        <f t="shared" si="369"/>
        <v>0.5973985477999999</v>
      </c>
      <c r="KF40" s="269">
        <f t="shared" si="370"/>
        <v>0.64934624760869553</v>
      </c>
      <c r="KG40" s="123"/>
      <c r="KH40" s="49"/>
      <c r="KI40" s="435">
        <v>0.33712162340000001</v>
      </c>
      <c r="KJ40" s="522">
        <f t="shared" si="371"/>
        <v>0.36643654717391305</v>
      </c>
      <c r="KK40" s="435">
        <v>6.9887625199999998E-2</v>
      </c>
      <c r="KL40" s="522">
        <f t="shared" si="372"/>
        <v>7.5964809999999994E-2</v>
      </c>
      <c r="KM40" s="435">
        <v>0.28121553780000003</v>
      </c>
      <c r="KN40" s="522">
        <f t="shared" si="373"/>
        <v>0.30566906282608697</v>
      </c>
      <c r="KO40" s="435">
        <v>0.31618300999999993</v>
      </c>
      <c r="KP40" s="522">
        <f t="shared" si="374"/>
        <v>0.34367718478260861</v>
      </c>
      <c r="KQ40" s="599">
        <f t="shared" si="375"/>
        <v>7.418312209336686</v>
      </c>
      <c r="KR40" s="527">
        <f t="shared" si="376"/>
        <v>370.91561046683427</v>
      </c>
      <c r="KS40" s="528">
        <f t="shared" si="377"/>
        <v>32.253531344942111</v>
      </c>
      <c r="KT40" s="599">
        <f t="shared" si="378"/>
        <v>7.6173617885794416</v>
      </c>
      <c r="KU40" s="527">
        <f t="shared" si="379"/>
        <v>380.8680894289721</v>
      </c>
      <c r="KV40" s="528">
        <f t="shared" si="380"/>
        <v>33.118964298171484</v>
      </c>
      <c r="KW40" s="599">
        <f t="shared" si="381"/>
        <v>6.1827630694162465</v>
      </c>
      <c r="KX40" s="527">
        <f t="shared" si="382"/>
        <v>309.13815347081231</v>
      </c>
      <c r="KY40" s="528">
        <f t="shared" si="383"/>
        <v>26.88157856267933</v>
      </c>
      <c r="KZ40" s="599">
        <f t="shared" si="384"/>
        <v>7.1928531948367072</v>
      </c>
      <c r="LA40" s="527">
        <f t="shared" si="385"/>
        <v>359.64265974183536</v>
      </c>
      <c r="LB40" s="528">
        <f t="shared" si="386"/>
        <v>31.273274760159595</v>
      </c>
      <c r="LC40" s="599">
        <f t="shared" si="387"/>
        <v>7.4611025804341455</v>
      </c>
      <c r="LD40" s="527">
        <f t="shared" si="388"/>
        <v>373.05512902170727</v>
      </c>
      <c r="LE40" s="528">
        <f t="shared" si="389"/>
        <v>32.439576436670194</v>
      </c>
      <c r="LF40" s="599">
        <f t="shared" si="390"/>
        <v>7.2837386456258235</v>
      </c>
      <c r="LG40" s="527">
        <f t="shared" si="391"/>
        <v>364.18693228129121</v>
      </c>
      <c r="LH40" s="528">
        <f t="shared" si="392"/>
        <v>31.668428894025318</v>
      </c>
      <c r="LI40" s="31">
        <v>0.92</v>
      </c>
      <c r="LJ40" s="32">
        <f t="shared" si="393"/>
        <v>25.576000000000001</v>
      </c>
      <c r="LK40" s="27">
        <v>27.8</v>
      </c>
      <c r="LL40" s="32">
        <f t="shared" si="394"/>
        <v>18.400000000000002</v>
      </c>
      <c r="LM40" s="33">
        <v>20</v>
      </c>
      <c r="LN40" s="34">
        <f t="shared" si="395"/>
        <v>0.21160000000000001</v>
      </c>
      <c r="LO40" s="35">
        <v>0.23</v>
      </c>
      <c r="LP40" s="34">
        <f t="shared" si="396"/>
        <v>0.41400000000000003</v>
      </c>
      <c r="LQ40" s="31">
        <v>0.45</v>
      </c>
    </row>
    <row r="41" spans="1:329" s="4" customFormat="1" x14ac:dyDescent="0.25">
      <c r="A41" s="14" t="s">
        <v>136</v>
      </c>
      <c r="B41" s="67">
        <f t="shared" si="276"/>
        <v>22.7</v>
      </c>
      <c r="C41" s="33">
        <v>21.7</v>
      </c>
      <c r="D41" s="33">
        <v>1</v>
      </c>
      <c r="E41" s="38">
        <f t="shared" si="277"/>
        <v>4.405286343612335E-2</v>
      </c>
      <c r="F41" s="108">
        <f t="shared" si="254"/>
        <v>1.2961674008810573</v>
      </c>
      <c r="G41" s="32">
        <f t="shared" si="255"/>
        <v>1.1924740088105727</v>
      </c>
      <c r="H41" s="33">
        <v>1.29</v>
      </c>
      <c r="I41" s="32">
        <f t="shared" si="278"/>
        <v>1.1868000000000001</v>
      </c>
      <c r="J41" s="33">
        <v>1.43</v>
      </c>
      <c r="K41" s="32">
        <f t="shared" si="279"/>
        <v>1.3156000000000001</v>
      </c>
      <c r="L41" s="32">
        <f>(F41/'Discounting metrics'!$D$4*(1-EXP(-'Discounting metrics'!$D$4*'Discounting metrics'!$E$4)))/'Discounting metrics'!$E$4</f>
        <v>0.31810681670679264</v>
      </c>
      <c r="M41" s="32">
        <f>(G41/'Discounting metrics'!$D$4*(1-EXP(-'Discounting metrics'!$D$4*'Discounting metrics'!$E$4)))/'Discounting metrics'!$E$4</f>
        <v>0.29265827137024925</v>
      </c>
      <c r="N41" s="32">
        <f>(H41/'Discounting metrics'!$D$4*(1-EXP(-'Discounting metrics'!$D$4*'Discounting metrics'!$E$4)))/'Discounting metrics'!$E$4</f>
        <v>0.31659320645838318</v>
      </c>
      <c r="O41" s="32">
        <f>(I41/'Discounting metrics'!$D$4*(1-EXP(-'Discounting metrics'!$D$4*'Discounting metrics'!$E$4)))/'Discounting metrics'!$E$4</f>
        <v>0.29126574994171256</v>
      </c>
      <c r="P41" s="32">
        <f>(J41/'Discounting metrics'!$D$4*(1-EXP(-'Discounting metrics'!$D$4*'Discounting metrics'!$E$4)))/'Discounting metrics'!$E$4</f>
        <v>0.35095215909727751</v>
      </c>
      <c r="Q41" s="32">
        <f>(K41/'Discounting metrics'!$D$4*(1-EXP(-'Discounting metrics'!$D$4*'Discounting metrics'!$E$4)))/'Discounting metrics'!$E$4</f>
        <v>0.32287598636949533</v>
      </c>
      <c r="R41" s="32">
        <f t="shared" si="280"/>
        <v>8.3859270106645347</v>
      </c>
      <c r="S41" s="32">
        <f t="shared" si="281"/>
        <v>8.4260195483653515</v>
      </c>
      <c r="T41" s="32">
        <f t="shared" si="282"/>
        <v>7.601094557616296</v>
      </c>
      <c r="U41" s="107">
        <f t="shared" si="283"/>
        <v>29.422999999999998</v>
      </c>
      <c r="V41" s="68">
        <f t="shared" si="283"/>
        <v>27.06916</v>
      </c>
      <c r="W41" s="68"/>
      <c r="X41" s="67">
        <f t="shared" si="284"/>
        <v>27.992999999999999</v>
      </c>
      <c r="Y41" s="67">
        <f t="shared" si="285"/>
        <v>25.75356</v>
      </c>
      <c r="Z41" s="67">
        <f t="shared" si="285"/>
        <v>1.43</v>
      </c>
      <c r="AA41" s="67">
        <f t="shared" si="286"/>
        <v>1.3156000000000001</v>
      </c>
      <c r="AB41" s="38">
        <f t="shared" si="287"/>
        <v>4.8601434252115695E-2</v>
      </c>
      <c r="AC41" s="294">
        <f t="shared" si="288"/>
        <v>3.5095252611521334E-2</v>
      </c>
      <c r="AD41" s="294">
        <f t="shared" si="288"/>
        <v>0.19341322097159289</v>
      </c>
      <c r="AE41" s="294">
        <f t="shared" si="288"/>
        <v>0.3077057357853934</v>
      </c>
      <c r="AF41" s="294">
        <f t="shared" si="288"/>
        <v>7.1274513401301628E-2</v>
      </c>
      <c r="AG41" s="294">
        <f t="shared" si="288"/>
        <v>0.24252445442942588</v>
      </c>
      <c r="AH41" s="294">
        <f t="shared" si="288"/>
        <v>0.13759359743283178</v>
      </c>
      <c r="AI41" s="294">
        <f t="shared" si="288"/>
        <v>8.0692283298111379E-3</v>
      </c>
      <c r="AJ41" s="294">
        <f t="shared" si="288"/>
        <v>8.3940974525351705E-4</v>
      </c>
      <c r="AK41" s="294">
        <f t="shared" si="288"/>
        <v>3.2814001740874232E-3</v>
      </c>
      <c r="AL41" s="433">
        <v>3.6598988437829105E-2</v>
      </c>
      <c r="AM41" s="433">
        <v>0.19876625906764123</v>
      </c>
      <c r="AN41" s="433">
        <v>0.31668633473532787</v>
      </c>
      <c r="AO41" s="433">
        <v>7.0694000455159695E-2</v>
      </c>
      <c r="AP41" s="433">
        <v>0.24393267713964092</v>
      </c>
      <c r="AQ41" s="433">
        <v>0.12807754888650788</v>
      </c>
      <c r="AR41" s="433">
        <v>8.8557422141936448E-4</v>
      </c>
      <c r="AS41" s="433">
        <v>7.6453530122636449E-4</v>
      </c>
      <c r="AT41" s="433">
        <v>3.4119914057904989E-3</v>
      </c>
      <c r="AU41" s="433">
        <v>2.4641851806427263E-3</v>
      </c>
      <c r="AV41" s="433">
        <v>7.7252294287344495E-2</v>
      </c>
      <c r="AW41" s="433">
        <v>0.11282673857181538</v>
      </c>
      <c r="AX41" s="433">
        <v>8.3871644332581458E-2</v>
      </c>
      <c r="AY41" s="433">
        <v>0.21196602161775918</v>
      </c>
      <c r="AZ41" s="433">
        <v>0.3440918508880606</v>
      </c>
      <c r="BA41" s="433">
        <v>0.16395452248191261</v>
      </c>
      <c r="BB41" s="433">
        <v>2.4641851806427263E-3</v>
      </c>
      <c r="BC41" s="433">
        <v>4.4757044613068415E-4</v>
      </c>
      <c r="BD41" s="554">
        <f t="shared" si="289"/>
        <v>2.738014805529549</v>
      </c>
      <c r="BE41" s="554">
        <f t="shared" si="289"/>
        <v>0.7564662924198815</v>
      </c>
      <c r="BF41" s="554">
        <f t="shared" si="289"/>
        <v>1.9815485131096673</v>
      </c>
      <c r="BG41" s="67">
        <f t="shared" si="290"/>
        <v>120.61739231407705</v>
      </c>
      <c r="BH41" s="67">
        <f t="shared" si="291"/>
        <v>33.324506274003589</v>
      </c>
      <c r="BI41" s="67">
        <f t="shared" si="292"/>
        <v>87.292886040073455</v>
      </c>
      <c r="BJ41" s="67">
        <f t="shared" si="293"/>
        <v>123.1537394601566</v>
      </c>
      <c r="BK41" s="68">
        <f t="shared" si="294"/>
        <v>34.327911169046523</v>
      </c>
      <c r="BL41" s="145">
        <v>116.55448202547821</v>
      </c>
      <c r="BM41" s="145">
        <v>81.866131895500885</v>
      </c>
      <c r="BN41" s="145">
        <v>32.371955302200199</v>
      </c>
      <c r="BO41" s="145">
        <v>24.314704500133896</v>
      </c>
      <c r="BP41" s="145">
        <v>6.0975474113061425</v>
      </c>
      <c r="BQ41" s="145">
        <v>1.8545085699022998</v>
      </c>
      <c r="BR41" s="145">
        <v>4.3820245902371248E-2</v>
      </c>
      <c r="BS41" s="145">
        <v>95.087008232575116</v>
      </c>
      <c r="BT41" s="145">
        <v>6.3313428329170529</v>
      </c>
      <c r="BU41" s="68">
        <f t="shared" si="295"/>
        <v>88.825828291110085</v>
      </c>
      <c r="BV41" s="145">
        <v>115.78676542861454</v>
      </c>
      <c r="BW41" s="145">
        <v>93.872484808303852</v>
      </c>
      <c r="BX41" s="145">
        <v>92.039108323705932</v>
      </c>
      <c r="BY41" s="145">
        <v>161.22886426820421</v>
      </c>
      <c r="BZ41" s="145">
        <v>78.721911470149522</v>
      </c>
      <c r="CA41" s="145">
        <v>46.914913451902521</v>
      </c>
      <c r="CB41" s="145">
        <v>0.20504720989973402</v>
      </c>
      <c r="CC41" s="145">
        <v>82.863894024380755</v>
      </c>
      <c r="CD41" s="145">
        <v>31.916318255668223</v>
      </c>
      <c r="CE41" s="68">
        <f t="shared" si="296"/>
        <v>65.578659244150316</v>
      </c>
      <c r="CF41" s="68">
        <f t="shared" si="297"/>
        <v>11.550620051571832</v>
      </c>
      <c r="CG41" s="145">
        <v>84.449985961659266</v>
      </c>
      <c r="CH41" s="145">
        <v>65.366582530056604</v>
      </c>
      <c r="CI41" s="145">
        <v>26.536590924441469</v>
      </c>
      <c r="CJ41" s="145">
        <v>23.026635017482207</v>
      </c>
      <c r="CK41" s="145">
        <v>4.7510487835217878</v>
      </c>
      <c r="CL41" s="145">
        <v>1.0247299783288477</v>
      </c>
      <c r="CM41" s="145">
        <v>4.7697886774066764E-2</v>
      </c>
      <c r="CN41" s="145">
        <v>0</v>
      </c>
      <c r="CO41" s="145">
        <v>0</v>
      </c>
      <c r="CP41" s="68">
        <f t="shared" si="298"/>
        <v>54.028039192578483</v>
      </c>
      <c r="CQ41" s="145">
        <v>93.279219731126048</v>
      </c>
      <c r="CR41" s="145">
        <v>90.295487811535537</v>
      </c>
      <c r="CS41" s="145">
        <v>97.303214060192317</v>
      </c>
      <c r="CT41" s="145">
        <v>142.75613333940228</v>
      </c>
      <c r="CU41" s="145">
        <v>67.782516351425059</v>
      </c>
      <c r="CV41" s="145">
        <v>27.53248406515435</v>
      </c>
      <c r="CW41" s="145">
        <v>0.18150557537342132</v>
      </c>
      <c r="CX41" s="145">
        <v>0</v>
      </c>
      <c r="CY41" s="145">
        <v>0</v>
      </c>
      <c r="CZ41" s="554">
        <f t="shared" si="299"/>
        <v>1.4946204973322501</v>
      </c>
      <c r="DA41" s="554">
        <f t="shared" si="299"/>
        <v>8.4591124999999993E-3</v>
      </c>
      <c r="DB41" s="554">
        <f t="shared" si="299"/>
        <v>1.4861613848322499</v>
      </c>
      <c r="DC41" s="32">
        <f t="shared" si="300"/>
        <v>65.842312657808378</v>
      </c>
      <c r="DD41" s="32">
        <f t="shared" si="301"/>
        <v>0.37264812775330397</v>
      </c>
      <c r="DE41" s="67">
        <f t="shared" si="301"/>
        <v>65.46966453005507</v>
      </c>
      <c r="DF41" s="270"/>
      <c r="DG41" s="67">
        <f t="shared" si="302"/>
        <v>66.990246218332558</v>
      </c>
      <c r="DH41" s="32">
        <f>I41*0.5*2.5*0.25</f>
        <v>0.37087500000000001</v>
      </c>
      <c r="DI41" s="67">
        <f t="shared" si="303"/>
        <v>66.61937121833256</v>
      </c>
      <c r="DJ41" s="67"/>
      <c r="DK41" s="34">
        <f t="shared" si="304"/>
        <v>0.25</v>
      </c>
      <c r="DL41" s="159"/>
      <c r="DM41" s="159"/>
      <c r="DN41" s="68">
        <f t="shared" si="305"/>
        <v>40.932154394433859</v>
      </c>
      <c r="DO41" s="32">
        <f>K41*0.5*2.5*0.25</f>
        <v>0.41112500000000002</v>
      </c>
      <c r="DP41" s="67">
        <f t="shared" si="306"/>
        <v>40.52102939443386</v>
      </c>
      <c r="DQ41" s="67"/>
      <c r="DR41" s="34">
        <f t="shared" si="307"/>
        <v>0.25</v>
      </c>
      <c r="DS41" s="294"/>
      <c r="DT41" s="294"/>
      <c r="DU41" s="294"/>
      <c r="DV41" s="67">
        <f t="shared" si="262"/>
        <v>54.775079656268673</v>
      </c>
      <c r="DW41" s="67">
        <f t="shared" si="262"/>
        <v>32.951858146250288</v>
      </c>
      <c r="DX41" s="67">
        <f t="shared" si="262"/>
        <v>21.823221510018385</v>
      </c>
      <c r="DY41" s="67">
        <f t="shared" si="263"/>
        <v>56.163493241824042</v>
      </c>
      <c r="DZ41" s="67">
        <f t="shared" si="263"/>
        <v>33.957036169046525</v>
      </c>
      <c r="EA41" s="67">
        <f t="shared" si="264"/>
        <v>22.206457072777525</v>
      </c>
      <c r="EB41" s="67">
        <f t="shared" si="265"/>
        <v>24.646504849716457</v>
      </c>
      <c r="EC41" s="67">
        <f t="shared" si="265"/>
        <v>11.139495051571831</v>
      </c>
      <c r="ED41" s="67">
        <f t="shared" si="266"/>
        <v>13.507009798144622</v>
      </c>
      <c r="EE41" s="68">
        <f t="shared" si="308"/>
        <v>41.159821766820841</v>
      </c>
      <c r="EF41" s="67">
        <f t="shared" si="309"/>
        <v>24.136216195029487</v>
      </c>
      <c r="EG41" s="67">
        <f t="shared" si="310"/>
        <v>17.02360557179135</v>
      </c>
      <c r="EH41" s="261">
        <f t="shared" si="311"/>
        <v>42.149953669062718</v>
      </c>
      <c r="EI41" s="154">
        <f t="shared" si="312"/>
        <v>0.75048668158116505</v>
      </c>
      <c r="EJ41" s="108">
        <f t="shared" si="313"/>
        <v>24.82831577406181</v>
      </c>
      <c r="EK41" s="126">
        <f>'Allometrics &amp; Decay rates'!$H$5*$AL41*BL41+'Allometrics &amp; Decay rates'!$H$6*$AM41*BM41+'Allometrics &amp; Decay rates'!$H$7*$AN41*BN41+'Allometrics &amp; Decay rates'!$H$8*$AO41*BO41+'Allometrics &amp; Decay rates'!$H$9*$AP41*BP41+'Allometrics &amp; Decay rates'!$H$10*$AQ41*BQ41+'Allometrics &amp; Decay rates'!$H$11*$AR41*BR41+'Allometrics &amp; Decay rates'!$H$12*$AS41*BS41+'Allometrics &amp; Decay rates'!$H$13*$AT41*BT41</f>
        <v>15.434691404356521</v>
      </c>
      <c r="EL41" s="97">
        <f t="shared" si="314"/>
        <v>9.7644993697052929</v>
      </c>
      <c r="EM41" s="550">
        <f>AL41*BL41*('Allometrics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1.6723018653711443</v>
      </c>
      <c r="EN41" s="550">
        <f>AM41*BM41*('Allometrics &amp; Decay rates'!$I$6*((EXP('Allometrics &amp; Decay rates'!$K$6)-1)/('Discounting metrics'!$D$4+'Allometrics &amp; Decay rates'!$K$6)*(1-EXP(-('Discounting metrics'!$D$4+'Allometrics &amp; Decay rates'!$K$6)*'Discounting metrics'!$E$4))-(1-EXP(-'Allometrics &amp; Decay rates'!$K$6))/1.55)+'Allometrics &amp; Decay rates'!$E$6*((EXP('Allometrics &amp; Decay rates'!$L$6)-1)/('Discounting metrics'!$D$4+'Allometrics &amp; Decay rates'!$L$6)*(1-EXP(-('Discounting metrics'!$D$4+'Allometrics &amp; Decay rates'!$L$6)*'Discounting metrics'!$E$4))-(1-EXP(-'Allometrics &amp; Decay rates'!$L$6))/1.55))</f>
        <v>3.9685971871457149</v>
      </c>
      <c r="EO41" s="550">
        <f>AN41*BN41*('Allometrics &amp; Decay rates'!$I$7*((EXP('Allometrics &amp; Decay rates'!$K$7)-1)/('Discounting metrics'!$D$4+'Allometrics &amp; Decay rates'!$K$7)*(1-EXP(-('Discounting metrics'!$D$4+'Allometrics &amp; Decay rates'!$K$7)*'Discounting metrics'!$E$4))-(1-EXP(-'Allometrics &amp; Decay rates'!$K$7))/1.55)+'Allometrics &amp; Decay rates'!$E$7*((EXP('Allometrics &amp; Decay rates'!$L$7)-1)/('Discounting metrics'!$D$4+'Allometrics &amp; Decay rates'!$L$7)*(1-EXP(-('Discounting metrics'!$D$4+'Allometrics &amp; Decay rates'!$L$7)*'Discounting metrics'!$E$4))-(1-EXP(-'Allometrics &amp; Decay rates'!$L$7))/1.55))</f>
        <v>2.1827163798967653</v>
      </c>
      <c r="EP41" s="550">
        <f>AO41*BO41*('Allometrics &amp; Decay rates'!$I$8*((EXP('Allometrics &amp; Decay rates'!$K$8)-1)/('Discounting metrics'!$D$4+'Allometrics &amp; Decay rates'!$K$8)*(1-EXP(-('Discounting metrics'!$D$4+'Allometrics &amp; Decay rates'!$K$8)*'Discounting metrics'!$E$4))-(1-EXP(-'Allometrics &amp; Decay rates'!$K$8))/1.55)+'Allometrics &amp; Decay rates'!$E$8*((EXP('Allometrics &amp; Decay rates'!$L$8)-1)/('Discounting metrics'!$D$4+'Allometrics &amp; Decay rates'!$L$8)*(1-EXP(-('Discounting metrics'!$D$4+'Allometrics &amp; Decay rates'!$L$8)*'Discounting metrics'!$E$4))-(1-EXP(-'Allometrics &amp; Decay rates'!$L$8))/1.55))</f>
        <v>0.97318555240453974</v>
      </c>
      <c r="EQ41" s="550">
        <f>AP41*BP41*('Allometrics &amp; Decay rates'!$I$9*((EXP('Allometrics &amp; Decay rates'!$K$9)-1)/('Discounting metrics'!$D$4+'Allometrics &amp; Decay rates'!$K$9)*(1-EXP(-('Discounting metrics'!$D$4+'Allometrics &amp; Decay rates'!$K$9)*'Discounting metrics'!$E$4))-(1-EXP(-'Allometrics &amp; Decay rates'!$K$9))/1.55)+'Allometrics &amp; Decay rates'!$E$9*((EXP('Allometrics &amp; Decay rates'!$L$9)-1)/('Discounting metrics'!$D$4+'Allometrics &amp; Decay rates'!$L$9)*(1-EXP(-('Discounting metrics'!$D$4+'Allometrics &amp; Decay rates'!$L$9)*'Discounting metrics'!$E$4))-(1-EXP(-'Allometrics &amp; Decay rates'!$L$9))/1.55))</f>
        <v>0.77957977860756966</v>
      </c>
      <c r="ER41" s="550">
        <f>AQ41*BQ41*('Allometrics &amp; Decay rates'!$I$10*((EXP('Allometrics &amp; Decay rates'!$K$10)-1)/('Discounting metrics'!$D$4+'Allometrics &amp; Decay rates'!$K$10)*(1-EXP(-('Discounting metrics'!$D$4+'Allometrics &amp; Decay rates'!$K$10)*'Discounting metrics'!$E$4))-(1-EXP(-'Allometrics &amp; Decay rates'!$K$10))/1.55)+'Allometrics &amp; Decay rates'!$E$10*((EXP('Allometrics &amp; Decay rates'!$L$10)-1)/('Discounting metrics'!$D$4+'Allometrics &amp; Decay rates'!$L$10)*(1-EXP(-('Discounting metrics'!$D$4+'Allometrics &amp; Decay rates'!$L$10)*'Discounting metrics'!$E$4))-(1-EXP(-'Allometrics &amp; Decay rates'!$L$10))/1.55))</f>
        <v>0.1511063482403826</v>
      </c>
      <c r="ES41" s="550">
        <f>AR41*BR41*('Allometrics &amp; Decay rates'!$I$11*((EXP('Allometrics &amp; Decay rates'!$K$11)-1)/('Discounting metrics'!$D$4+'Allometrics &amp; Decay rates'!$K$11)*(1-EXP(-('Discounting metrics'!$D$4+'Allometrics &amp; Decay rates'!$K$11)*'Discounting metrics'!$E$4))-(1-EXP(-'Allometrics &amp; Decay rates'!$K$11))/1.55)+'Allometrics &amp; Decay rates'!$E$11*((EXP('Allometrics &amp; Decay rates'!$L$11)-1)/('Discounting metrics'!$D$4+'Allometrics &amp; Decay rates'!$L$11)*(1-EXP(-('Discounting metrics'!$D$4+'Allometrics &amp; Decay rates'!$L$11)*'Discounting metrics'!$E$4))-(1-EXP(-'Allometrics &amp; Decay rates'!$L$11))/1.55))</f>
        <v>2.7544215061947664E-5</v>
      </c>
      <c r="ET41" s="550">
        <f>AS41*BS41*('Allometrics &amp; Decay rates'!$I$12*((EXP('Allometrics &amp; Decay rates'!$K$12)-1)/('Discounting metrics'!$D$4+'Allometrics &amp; Decay rates'!$K$12)*(1-EXP(-('Discounting metrics'!$D$4+'Allometrics &amp; Decay rates'!$K$12)*'Discounting metrics'!$E$4))-(1-EXP(-'Allometrics &amp; Decay rates'!$K$12))/1.55)+'Allometrics &amp; Decay rates'!$E$12*((EXP('Allometrics &amp; Decay rates'!$L$12)-1)/('Discounting metrics'!$D$4+'Allometrics &amp; Decay rates'!$L$12)*(1-EXP(-('Discounting metrics'!$D$4+'Allometrics &amp; Decay rates'!$L$12)*'Discounting metrics'!$E$4))-(1-EXP(-'Allometrics &amp; Decay rates'!$L$12))/1.55))</f>
        <v>2.9663775365469679E-2</v>
      </c>
      <c r="EU41" s="550">
        <f>AT41*BT41*('Allometrics &amp; Decay rates'!$I$13*((EXP('Allometrics &amp; Decay rates'!$K$13)-1)/('Discounting metrics'!$D$4+'Allometrics &amp; Decay rates'!$K$13)*(1-EXP(-('Discounting metrics'!$D$4+'Allometrics &amp; Decay rates'!$K$13)*'Discounting metrics'!$E$4))-(1-EXP(-'Allometrics &amp; Decay rates'!$K$13))/1.55)+'Allometrics &amp; Decay rates'!$E$13*((EXP('Allometrics &amp; Decay rates'!$L$13)-1)/('Discounting metrics'!$D$4+'Allometrics &amp; Decay rates'!$L$13)*(1-EXP(-('Discounting metrics'!$D$4+'Allometrics &amp; Decay rates'!$L$13)*'Discounting metrics'!$E$4))-(1-EXP(-'Allometrics &amp; Decay rates'!$L$13))/1.55))</f>
        <v>7.3209384586452875E-3</v>
      </c>
      <c r="EV41" s="108">
        <f t="shared" si="315"/>
        <v>17.321637895000908</v>
      </c>
      <c r="EW41" s="550">
        <f>AL41*BV41*$DK41*((EXP('Allometrics &amp; Decay rates'!$M$5)-1)/('Discounting metrics'!$D$4+'Allometrics &amp; Decay rates'!$M$5)*(1-EXP(-('Discounting metrics'!$D$4+'Allometrics &amp; Decay rates'!$M$5)*'Discounting metrics'!$E$4))-(1-EXP(-'Allometrics &amp; Decay rates'!$M$5))/1.55)</f>
        <v>0.82798161333800757</v>
      </c>
      <c r="EX41" s="550">
        <f>AM41*BW41*$DK41*((EXP('Allometrics &amp; Decay rates'!$M$5)-1)/('Discounting metrics'!$D$4+'Allometrics &amp; Decay rates'!$M$5)*(1-EXP(-('Discounting metrics'!$D$4+'Allometrics &amp; Decay rates'!$M$5)*'Discounting metrics'!$E$4))-(1-EXP(-'Allometrics &amp; Decay rates'!$M$5))/1.55)</f>
        <v>3.6456390427278276</v>
      </c>
      <c r="EY41" s="550">
        <f>AN41*BX41*$DK41*((EXP('Allometrics &amp; Decay rates'!$M$5)-1)/('Discounting metrics'!$D$4+'Allometrics &amp; Decay rates'!$M$5)*(1-EXP(-('Discounting metrics'!$D$4+'Allometrics &amp; Decay rates'!$M$5)*'Discounting metrics'!$E$4))-(1-EXP(-'Allometrics &amp; Decay rates'!$M$5))/1.55)</f>
        <v>5.6950090031752563</v>
      </c>
      <c r="EZ41" s="550">
        <f>AO41*BY41*$DK41*((EXP('Allometrics &amp; Decay rates'!$M$5)-1)/('Discounting metrics'!$D$4+'Allometrics &amp; Decay rates'!$M$5)*(1-EXP(-('Discounting metrics'!$D$4+'Allometrics &amp; Decay rates'!$M$5)*'Discounting metrics'!$E$4))-(1-EXP(-'Allometrics &amp; Decay rates'!$M$5))/1.55)</f>
        <v>2.2269888461347027</v>
      </c>
      <c r="FA41" s="550">
        <f>AP41*BZ41*$DK41*((EXP('Allometrics &amp; Decay rates'!$M$5)-1)/('Discounting metrics'!$D$4+'Allometrics &amp; Decay rates'!$M$5)*(1-EXP(-('Discounting metrics'!$D$4+'Allometrics &amp; Decay rates'!$M$5)*'Discounting metrics'!$E$4))-(1-EXP(-'Allometrics &amp; Decay rates'!$M$5))/1.55)</f>
        <v>3.7519608816805725</v>
      </c>
      <c r="FB41" s="550">
        <f>AQ41*CA41*$DK41*((EXP('Allometrics &amp; Decay rates'!$M$5)-1)/('Discounting metrics'!$D$4+'Allometrics &amp; Decay rates'!$M$5)*(1-EXP(-('Discounting metrics'!$D$4+'Allometrics &amp; Decay rates'!$M$5)*'Discounting metrics'!$E$4))-(1-EXP(-'Allometrics &amp; Decay rates'!$M$5))/1.55)</f>
        <v>1.1740230289324105</v>
      </c>
      <c r="FC41" s="550">
        <f>AR41*CB41*$DK41*((EXP('Allometrics &amp; Decay rates'!$M$5)-1)/('Discounting metrics'!$D$4+'Allometrics &amp; Decay rates'!$M$5)*(1-EXP(-('Discounting metrics'!$D$4+'Allometrics &amp; Decay rates'!$M$5)*'Discounting metrics'!$E$4))-(1-EXP(-'Allometrics &amp; Decay rates'!$M$5))/1.55)</f>
        <v>3.5479012131533622E-5</v>
      </c>
      <c r="FD41" s="261">
        <f t="shared" si="316"/>
        <v>19.673959488172017</v>
      </c>
      <c r="FE41" s="154">
        <f t="shared" si="317"/>
        <v>0.79824541484219225</v>
      </c>
      <c r="FF41" s="108">
        <f t="shared" si="318"/>
        <v>9.117655330028116</v>
      </c>
      <c r="FG41" s="126">
        <f>'Allometrics &amp; Decay rates'!$H$5*$AU41*CG41+'Allometrics &amp; Decay rates'!$H$6*$AV41*CH41+'Allometrics &amp; Decay rates'!$H$7*$AW41*CI41+'Allometrics &amp; Decay rates'!$H$8*$AX41*CJ41+'Allometrics &amp; Decay rates'!$H$9*$AY41*CK41+'Allometrics &amp; Decay rates'!$H$10*$AZ41*CL41+'Allometrics &amp; Decay rates'!$H$11*$BA41*CM41+'Allometrics &amp; Decay rates'!$H$12*$BB41*CN41+'Allometrics &amp; Decay rates'!$H$13*$BC41*CO41</f>
        <v>5.0006187893449763</v>
      </c>
      <c r="FH41" s="97">
        <f t="shared" si="319"/>
        <v>4.528161540683139</v>
      </c>
      <c r="FI41" s="550">
        <f>AU41*CG41*('Allometrics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8.1581096199909303E-2</v>
      </c>
      <c r="FJ41" s="550">
        <f>AV41*CH41*('Allometrics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1.9796288741043906</v>
      </c>
      <c r="FK41" s="550">
        <f>AW41*CI41*('Allometrics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1.1737450600165555</v>
      </c>
      <c r="FL41" s="550">
        <f>AX41*CJ41*('Allometrics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0.75711569343838248</v>
      </c>
      <c r="FM41" s="550">
        <f>AY41*CK41*('Allometrics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0.3947956436624846</v>
      </c>
      <c r="FN41" s="550">
        <f>AZ41*CL41*('Allometrics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0.13822940621017485</v>
      </c>
      <c r="FO41" s="550">
        <f>BA41*CM41*('Allometrics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3.0657670512414118E-3</v>
      </c>
      <c r="FP41" s="550">
        <f>BB41*CN41*('Allometrics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Q41" s="550">
        <f>BC41*CO41*('Allometrics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R41" s="108">
        <f t="shared" si="320"/>
        <v>10.556304158143902</v>
      </c>
      <c r="FS41" s="550">
        <f>AU41*CQ41*$DK41*((EXP('Allometrics &amp; Decay rates'!$M$5)-1)/('Discounting metrics'!$D$4+'Allometrics &amp; Decay rates'!$M$5)*(1-EXP(-('Discounting metrics'!$D$4+'Allometrics &amp; Decay rates'!$M$5)*'Discounting metrics'!$E$4))-(1-EXP(-'Allometrics &amp; Decay rates'!$M$5))/1.55)</f>
        <v>4.4910814848915577E-2</v>
      </c>
      <c r="FT41" s="550">
        <f>AV41*CR41*$DK41*((EXP('Allometrics &amp; Decay rates'!$M$5)-1)/('Discounting metrics'!$D$4+'Allometrics &amp; Decay rates'!$M$5)*(1-EXP(-('Discounting metrics'!$D$4+'Allometrics &amp; Decay rates'!$M$5)*'Discounting metrics'!$E$4))-(1-EXP(-'Allometrics &amp; Decay rates'!$M$5))/1.55)</f>
        <v>1.362919243752428</v>
      </c>
      <c r="FU41" s="550">
        <f>AW41*CS41*$DK41*((EXP('Allometrics &amp; Decay rates'!$M$5)-1)/('Discounting metrics'!$D$4+'Allometrics &amp; Decay rates'!$M$5)*(1-EXP(-('Discounting metrics'!$D$4+'Allometrics &amp; Decay rates'!$M$5)*'Discounting metrics'!$E$4))-(1-EXP(-'Allometrics &amp; Decay rates'!$M$5))/1.55)</f>
        <v>2.1450227815164031</v>
      </c>
      <c r="FV41" s="550">
        <f>AX41*CT41*$DK41*((EXP('Allometrics &amp; Decay rates'!$M$5)-1)/('Discounting metrics'!$D$4+'Allometrics &amp; Decay rates'!$M$5)*(1-EXP(-('Discounting metrics'!$D$4+'Allometrics &amp; Decay rates'!$M$5)*'Discounting metrics'!$E$4))-(1-EXP(-'Allometrics &amp; Decay rates'!$M$5))/1.55)</f>
        <v>2.3393899649662484</v>
      </c>
      <c r="FW41" s="550">
        <f>AY41*CU41*$DK41*((EXP('Allometrics &amp; Decay rates'!$M$5)-1)/('Discounting metrics'!$D$4+'Allometrics &amp; Decay rates'!$M$5)*(1-EXP(-('Discounting metrics'!$D$4+'Allometrics &amp; Decay rates'!$M$5)*'Discounting metrics'!$E$4))-(1-EXP(-'Allometrics &amp; Decay rates'!$M$5))/1.55)</f>
        <v>2.8072211349909373</v>
      </c>
      <c r="FX41" s="550">
        <f>AZ41*CV41*$DK41*((EXP('Allometrics &amp; Decay rates'!$M$5)-1)/('Discounting metrics'!$D$4+'Allometrics &amp; Decay rates'!$M$5)*(1-EXP(-('Discounting metrics'!$D$4+'Allometrics &amp; Decay rates'!$M$5)*'Discounting metrics'!$E$4))-(1-EXP(-'Allometrics &amp; Decay rates'!$M$5))/1.55)</f>
        <v>1.8510258026220898</v>
      </c>
      <c r="FY41" s="550">
        <f>BA41*CW41*$DK41*((EXP('Allometrics &amp; Decay rates'!$M$5)-1)/('Discounting metrics'!$D$4+'Allometrics &amp; Decay rates'!$M$5)*(1-EXP(-('Discounting metrics'!$D$4+'Allometrics &amp; Decay rates'!$M$5)*'Discounting metrics'!$E$4))-(1-EXP(-'Allometrics &amp; Decay rates'!$M$5))/1.55)</f>
        <v>5.8144154468792583E-3</v>
      </c>
      <c r="FZ41" s="68"/>
      <c r="GA41" s="293"/>
      <c r="GB41" s="293"/>
      <c r="GP41" s="32">
        <f t="shared" si="321"/>
        <v>5.0696916299559467</v>
      </c>
      <c r="GQ41" s="33">
        <v>5.16</v>
      </c>
      <c r="GR41" s="99">
        <v>3.11</v>
      </c>
      <c r="GS41" s="99"/>
      <c r="GT41" s="99"/>
      <c r="GU41" s="99"/>
      <c r="GV41" s="99"/>
      <c r="GW41" s="99"/>
      <c r="GX41" s="99"/>
      <c r="GY41" s="99"/>
      <c r="GZ41" s="99"/>
      <c r="HA41" s="99"/>
      <c r="HB41" s="99"/>
      <c r="HF41" s="97">
        <f t="shared" si="322"/>
        <v>1.2938993949557178</v>
      </c>
      <c r="HG41" s="526">
        <f>EE41/'Discounting metrics'!E$4/M41</f>
        <v>1.4064123858214324</v>
      </c>
      <c r="HH41" s="527">
        <f t="shared" si="323"/>
        <v>54.512107977574892</v>
      </c>
      <c r="HI41" s="528">
        <f t="shared" si="324"/>
        <v>6.3927835719156016</v>
      </c>
      <c r="HJ41" s="97">
        <f t="shared" si="325"/>
        <v>1.331360016867684</v>
      </c>
      <c r="HK41" s="526">
        <f>EH41/'Discounting metrics'!E$4/O41</f>
        <v>1.4471304531170477</v>
      </c>
      <c r="HL41" s="527">
        <f t="shared" si="326"/>
        <v>56.090327640195646</v>
      </c>
      <c r="HM41" s="528">
        <f t="shared" si="327"/>
        <v>6.5778656959865804</v>
      </c>
      <c r="HN41" s="97">
        <f t="shared" si="328"/>
        <v>0.56058807384965414</v>
      </c>
      <c r="HO41" s="526">
        <f>FD41/'Discounting metrics'!E$4/Q41</f>
        <v>0.60933486288005878</v>
      </c>
      <c r="HP41" s="527">
        <f t="shared" si="329"/>
        <v>23.617630344188328</v>
      </c>
      <c r="HQ41" s="528">
        <f t="shared" si="330"/>
        <v>2.7697039221820852</v>
      </c>
      <c r="HR41" s="97">
        <f t="shared" si="331"/>
        <v>1.9510965252916259</v>
      </c>
      <c r="HS41" s="263">
        <f t="shared" si="332"/>
        <v>2.1207570927082888</v>
      </c>
      <c r="HT41" s="527">
        <f t="shared" si="333"/>
        <v>82.199887314274761</v>
      </c>
      <c r="HU41" s="528">
        <f t="shared" si="334"/>
        <v>9.6398049668558574</v>
      </c>
      <c r="HV41" s="97">
        <f t="shared" si="335"/>
        <v>1.9953463813161232</v>
      </c>
      <c r="HW41" s="263">
        <f t="shared" si="269"/>
        <v>2.1688547623001337</v>
      </c>
      <c r="HX41" s="527">
        <f t="shared" si="336"/>
        <v>84.064138073648593</v>
      </c>
      <c r="HY41" s="528">
        <f t="shared" si="337"/>
        <v>9.8584307377278808</v>
      </c>
      <c r="HZ41" s="97">
        <f t="shared" si="338"/>
        <v>1.0918560000000002</v>
      </c>
      <c r="IA41" s="263">
        <f t="shared" si="270"/>
        <v>1.1792199843974502</v>
      </c>
      <c r="IB41" s="527">
        <f t="shared" si="339"/>
        <v>46.000000000000007</v>
      </c>
      <c r="IC41" s="528">
        <f t="shared" si="340"/>
        <v>5.3945454545454545</v>
      </c>
      <c r="ID41" s="97">
        <f t="shared" si="341"/>
        <v>3.9112938857356481</v>
      </c>
      <c r="IE41" s="263">
        <f t="shared" si="271"/>
        <v>4.2514063975387479</v>
      </c>
      <c r="IF41" s="68">
        <f t="shared" si="342"/>
        <v>164.78319370305223</v>
      </c>
      <c r="IG41" s="97">
        <f t="shared" si="343"/>
        <v>4</v>
      </c>
      <c r="IH41" s="263">
        <f t="shared" si="272"/>
        <v>4.3478260869565215</v>
      </c>
      <c r="II41" s="68">
        <f t="shared" si="344"/>
        <v>168.52039096730701</v>
      </c>
      <c r="IJ41" s="97">
        <f t="shared" si="345"/>
        <v>2.1748251748251746</v>
      </c>
      <c r="IK41" s="263">
        <f t="shared" si="273"/>
        <v>2.3639404074186681</v>
      </c>
      <c r="IL41" s="68">
        <f t="shared" si="346"/>
        <v>91.625597186770079</v>
      </c>
      <c r="IM41" s="60"/>
      <c r="IN41" s="60"/>
      <c r="IO41" s="60"/>
      <c r="IP41" s="554">
        <f t="shared" si="347"/>
        <v>4.4527843642380001</v>
      </c>
      <c r="IQ41" s="262">
        <f t="shared" si="348"/>
        <v>0.15133685770444891</v>
      </c>
      <c r="IR41" s="166">
        <f t="shared" si="349"/>
        <v>0.16449658446135751</v>
      </c>
      <c r="IS41" s="68">
        <f t="shared" si="350"/>
        <v>6.3758366070293606</v>
      </c>
      <c r="IT41" s="97">
        <f t="shared" si="351"/>
        <v>0.74771174755162506</v>
      </c>
      <c r="IU41" s="429">
        <f t="shared" si="352"/>
        <v>4.8753303964757713E-3</v>
      </c>
      <c r="IV41" s="262">
        <f t="shared" si="353"/>
        <v>0.15906777995348836</v>
      </c>
      <c r="IW41" s="436">
        <f t="shared" si="354"/>
        <v>0.1728997608190091</v>
      </c>
      <c r="IX41" s="101">
        <v>5.1000000000000004E-3</v>
      </c>
      <c r="IY41" s="101">
        <v>0.27300000000000002</v>
      </c>
      <c r="IZ41" s="101">
        <v>0.72699999999999998</v>
      </c>
      <c r="JA41" s="429">
        <f t="shared" si="397"/>
        <v>0</v>
      </c>
      <c r="JB41" s="430">
        <f>IY41*$JJ41+IZ41*$JK41+JA41*$JL41+'Discounting metrics'!$B$6*(IY41*$JM41+IZ41*$JN41+JA41*$JO41)/10^3+'Discounting metrics'!$B$5*(IY41*$JP41+IZ41*$JQ41+JA41*$JR41)/10^3</f>
        <v>40.234791399999999</v>
      </c>
      <c r="JC41" s="262">
        <f t="shared" si="355"/>
        <v>0</v>
      </c>
      <c r="JD41" s="436">
        <f t="shared" si="356"/>
        <v>0</v>
      </c>
      <c r="JE41" s="101">
        <v>0</v>
      </c>
      <c r="JF41" s="433">
        <v>1</v>
      </c>
      <c r="JG41" s="433">
        <v>0</v>
      </c>
      <c r="JH41" s="434">
        <f t="shared" si="398"/>
        <v>0</v>
      </c>
      <c r="JI41" s="430">
        <f>JF41*$JJ41+JG41*$JK41+JH41*$JL41+'Discounting metrics'!$B$6*(JF41*$JM41+JG41*$JN41+JH41*$JO41)/10^3+'Discounting metrics'!$B$5*(JF41*$JP41+JG41*$JQ41+JH41*$JR41)/10^3</f>
        <v>54.558</v>
      </c>
      <c r="JJ41" s="431">
        <v>51.3</v>
      </c>
      <c r="JK41" s="431">
        <v>29</v>
      </c>
      <c r="JL41" s="431">
        <v>29</v>
      </c>
      <c r="JM41" s="99">
        <v>5</v>
      </c>
      <c r="JN41" s="431">
        <v>13</v>
      </c>
      <c r="JO41" s="431">
        <v>13</v>
      </c>
      <c r="JP41" s="431">
        <v>52</v>
      </c>
      <c r="JQ41" s="431">
        <v>58.3</v>
      </c>
      <c r="JR41" s="431">
        <v>58.3</v>
      </c>
      <c r="JS41" s="554">
        <f t="shared" si="358"/>
        <v>22.171252802134997</v>
      </c>
      <c r="JT41" s="554">
        <f t="shared" si="359"/>
        <v>5.7837380454459195</v>
      </c>
      <c r="JU41" s="554">
        <f t="shared" si="360"/>
        <v>1.3877187061216001</v>
      </c>
      <c r="JV41" s="554">
        <f t="shared" si="361"/>
        <v>9.3148489429669983</v>
      </c>
      <c r="JW41" s="554">
        <f t="shared" si="362"/>
        <v>5.6849471076004789</v>
      </c>
      <c r="JX41" s="554"/>
      <c r="JY41" s="167">
        <f t="shared" si="363"/>
        <v>0.75353474499999984</v>
      </c>
      <c r="JZ41" s="166">
        <f t="shared" si="364"/>
        <v>0.81905950543478245</v>
      </c>
      <c r="KA41" s="68">
        <f t="shared" si="365"/>
        <v>31.746492458712495</v>
      </c>
      <c r="KB41" s="97">
        <f t="shared" si="366"/>
        <v>3.7229977519762838</v>
      </c>
      <c r="KC41" s="473">
        <f t="shared" si="367"/>
        <v>0.24373642224</v>
      </c>
      <c r="KD41" s="269">
        <f t="shared" si="368"/>
        <v>0.26493089373913042</v>
      </c>
      <c r="KE41" s="473">
        <f t="shared" si="369"/>
        <v>0.50979832275999992</v>
      </c>
      <c r="KF41" s="269">
        <f t="shared" si="370"/>
        <v>0.55412861169565208</v>
      </c>
      <c r="KG41" s="123"/>
      <c r="KH41" s="49"/>
      <c r="KI41" s="435">
        <v>0.19657200304</v>
      </c>
      <c r="KJ41" s="522">
        <f t="shared" si="371"/>
        <v>0.21366522069565216</v>
      </c>
      <c r="KK41" s="435">
        <v>4.7164419200000002E-2</v>
      </c>
      <c r="KL41" s="522">
        <f t="shared" si="372"/>
        <v>5.126567304347826E-2</v>
      </c>
      <c r="KM41" s="435">
        <v>0.31658392899999999</v>
      </c>
      <c r="KN41" s="522">
        <f t="shared" si="373"/>
        <v>0.34411296630434779</v>
      </c>
      <c r="KO41" s="435">
        <v>0.19321439375999999</v>
      </c>
      <c r="KP41" s="522">
        <f t="shared" si="374"/>
        <v>0.21001564539130432</v>
      </c>
      <c r="KQ41" s="599">
        <f t="shared" si="375"/>
        <v>6.1404015045747249</v>
      </c>
      <c r="KR41" s="527">
        <f t="shared" si="376"/>
        <v>238.00005831684979</v>
      </c>
      <c r="KS41" s="528">
        <f t="shared" si="377"/>
        <v>27.910915929885114</v>
      </c>
      <c r="KT41" s="599">
        <f t="shared" si="378"/>
        <v>6.2981042610162987</v>
      </c>
      <c r="KU41" s="527">
        <f t="shared" si="379"/>
        <v>244.11256825644568</v>
      </c>
      <c r="KV41" s="528">
        <f t="shared" si="380"/>
        <v>28.627746640983176</v>
      </c>
      <c r="KW41" s="599">
        <f t="shared" si="381"/>
        <v>3.0532873359949981</v>
      </c>
      <c r="KX41" s="527">
        <f t="shared" si="382"/>
        <v>118.34447038740302</v>
      </c>
      <c r="KY41" s="528">
        <f t="shared" si="383"/>
        <v>13.878578799977264</v>
      </c>
      <c r="KZ41" s="599">
        <f t="shared" si="384"/>
        <v>8.7596654298265317</v>
      </c>
      <c r="LA41" s="527">
        <f t="shared" si="385"/>
        <v>339.52191588474926</v>
      </c>
      <c r="LB41" s="528">
        <f t="shared" si="386"/>
        <v>39.816661044666056</v>
      </c>
      <c r="LC41" s="599">
        <f t="shared" si="387"/>
        <v>8.9444267280209484</v>
      </c>
      <c r="LD41" s="527">
        <f t="shared" si="388"/>
        <v>346.68320651243982</v>
      </c>
      <c r="LE41" s="528">
        <f t="shared" si="389"/>
        <v>40.656485127367944</v>
      </c>
      <c r="LF41" s="599">
        <f t="shared" si="390"/>
        <v>5.1706595054347826</v>
      </c>
      <c r="LG41" s="527">
        <f t="shared" si="391"/>
        <v>200.41315912537917</v>
      </c>
      <c r="LH41" s="528">
        <f t="shared" si="392"/>
        <v>23.502997751976284</v>
      </c>
      <c r="LI41" s="31">
        <v>0.92</v>
      </c>
      <c r="LJ41" s="32">
        <f t="shared" si="393"/>
        <v>26.404</v>
      </c>
      <c r="LK41" s="27">
        <v>28.7</v>
      </c>
      <c r="LL41" s="32">
        <f t="shared" si="394"/>
        <v>23.736000000000001</v>
      </c>
      <c r="LM41" s="33">
        <v>25.8</v>
      </c>
      <c r="LN41" s="34">
        <f t="shared" si="395"/>
        <v>0.2024</v>
      </c>
      <c r="LO41" s="35">
        <v>0.22</v>
      </c>
      <c r="LP41" s="34">
        <f t="shared" si="396"/>
        <v>0.41400000000000003</v>
      </c>
      <c r="LQ41" s="31">
        <v>0.45</v>
      </c>
    </row>
    <row r="42" spans="1:329" s="4" customFormat="1" x14ac:dyDescent="0.25">
      <c r="A42" s="14" t="s">
        <v>135</v>
      </c>
      <c r="B42" s="67">
        <f t="shared" si="276"/>
        <v>22.6</v>
      </c>
      <c r="C42" s="33">
        <v>19.3</v>
      </c>
      <c r="D42" s="33">
        <v>3.3</v>
      </c>
      <c r="E42" s="38">
        <f t="shared" si="277"/>
        <v>0.14601769911504422</v>
      </c>
      <c r="F42" s="108">
        <f t="shared" si="254"/>
        <v>1.5931858407079644</v>
      </c>
      <c r="G42" s="32">
        <f t="shared" si="255"/>
        <v>1.4657309734513275</v>
      </c>
      <c r="H42" s="33">
        <v>1.38</v>
      </c>
      <c r="I42" s="32">
        <f t="shared" si="278"/>
        <v>1.2696000000000001</v>
      </c>
      <c r="J42" s="33">
        <v>2.84</v>
      </c>
      <c r="K42" s="32">
        <f t="shared" si="279"/>
        <v>2.6128</v>
      </c>
      <c r="L42" s="32">
        <f>(F42/'Discounting metrics'!$D$4*(1-EXP(-'Discounting metrics'!$D$4*'Discounting metrics'!$E$4)))/'Discounting metrics'!$E$4</f>
        <v>0.39100140604172823</v>
      </c>
      <c r="M42" s="32">
        <f>(G42/'Discounting metrics'!$D$4*(1-EXP(-'Discounting metrics'!$D$4*'Discounting metrics'!$E$4)))/'Discounting metrics'!$E$4</f>
        <v>0.35972129355839</v>
      </c>
      <c r="N42" s="32">
        <f>(H42/'Discounting metrics'!$D$4*(1-EXP(-'Discounting metrics'!$D$4*'Discounting metrics'!$E$4)))/'Discounting metrics'!$E$4</f>
        <v>0.33868110458338668</v>
      </c>
      <c r="O42" s="32">
        <f>(I42/'Discounting metrics'!$D$4*(1-EXP(-'Discounting metrics'!$D$4*'Discounting metrics'!$E$4)))/'Discounting metrics'!$E$4</f>
        <v>0.31158661621671579</v>
      </c>
      <c r="P42" s="32">
        <f>(J42/'Discounting metrics'!$D$4*(1-EXP(-'Discounting metrics'!$D$4*'Discounting metrics'!$E$4)))/'Discounting metrics'!$E$4</f>
        <v>0.69699589638899861</v>
      </c>
      <c r="Q42" s="32">
        <f>(K42/'Discounting metrics'!$D$4*(1-EXP(-'Discounting metrics'!$D$4*'Discounting metrics'!$E$4)))/'Discounting metrics'!$E$4</f>
        <v>0.64123622467787866</v>
      </c>
      <c r="R42" s="32">
        <f t="shared" si="280"/>
        <v>6.8225344085164545</v>
      </c>
      <c r="S42" s="32">
        <f t="shared" si="281"/>
        <v>7.8764965343415243</v>
      </c>
      <c r="T42" s="32">
        <f t="shared" si="282"/>
        <v>3.8273116962645437</v>
      </c>
      <c r="U42" s="107">
        <f t="shared" si="283"/>
        <v>36.006</v>
      </c>
      <c r="V42" s="68">
        <f t="shared" si="283"/>
        <v>33.125520000000002</v>
      </c>
      <c r="W42" s="68"/>
      <c r="X42" s="67">
        <f t="shared" si="284"/>
        <v>26.634</v>
      </c>
      <c r="Y42" s="67">
        <f t="shared" si="285"/>
        <v>24.503280000000004</v>
      </c>
      <c r="Z42" s="67">
        <f t="shared" si="285"/>
        <v>9.3719999999999999</v>
      </c>
      <c r="AA42" s="67">
        <f t="shared" si="286"/>
        <v>8.6222399999999997</v>
      </c>
      <c r="AB42" s="109">
        <f t="shared" si="287"/>
        <v>0.26028995167472085</v>
      </c>
      <c r="AC42" s="294">
        <f t="shared" si="288"/>
        <v>0.28194299741002488</v>
      </c>
      <c r="AD42" s="294">
        <f t="shared" si="288"/>
        <v>0.28691687096252905</v>
      </c>
      <c r="AE42" s="294">
        <f t="shared" si="288"/>
        <v>1.0807567253932992E-3</v>
      </c>
      <c r="AF42" s="294">
        <f t="shared" si="288"/>
        <v>0.32989149587864125</v>
      </c>
      <c r="AG42" s="294">
        <f t="shared" si="288"/>
        <v>4.6792613126243561E-2</v>
      </c>
      <c r="AH42" s="294">
        <f t="shared" si="288"/>
        <v>2.8901321735684677E-2</v>
      </c>
      <c r="AI42" s="294">
        <f t="shared" si="288"/>
        <v>1.1370244553988117E-2</v>
      </c>
      <c r="AJ42" s="294">
        <f t="shared" si="288"/>
        <v>1.3094405691300475E-2</v>
      </c>
      <c r="AK42" s="294">
        <f t="shared" si="288"/>
        <v>9.2939161945626867E-6</v>
      </c>
      <c r="AL42" s="433">
        <v>0.32210354495512616</v>
      </c>
      <c r="AM42" s="433">
        <v>0.25069627956543844</v>
      </c>
      <c r="AN42" s="433">
        <v>9.3850656345858478E-4</v>
      </c>
      <c r="AO42" s="433">
        <v>0.34864187001545366</v>
      </c>
      <c r="AP42" s="433">
        <v>3.9001307410765573E-2</v>
      </c>
      <c r="AQ42" s="433">
        <v>2.4188282052287891E-2</v>
      </c>
      <c r="AR42" s="433">
        <v>7.1355642694964656E-3</v>
      </c>
      <c r="AS42" s="433">
        <v>7.2860230461535098E-3</v>
      </c>
      <c r="AT42" s="433">
        <v>8.6221218196091298E-6</v>
      </c>
      <c r="AU42" s="433">
        <v>4.7064643585644855E-2</v>
      </c>
      <c r="AV42" s="433">
        <v>0.49875245095157417</v>
      </c>
      <c r="AW42" s="433">
        <v>1.912704642162993E-3</v>
      </c>
      <c r="AX42" s="433">
        <v>0.22023021683607175</v>
      </c>
      <c r="AY42" s="433">
        <v>9.2359946553129971E-2</v>
      </c>
      <c r="AZ42" s="433">
        <v>5.6465462914338606E-2</v>
      </c>
      <c r="BA42" s="433">
        <v>3.6136708036015062E-2</v>
      </c>
      <c r="BB42" s="433">
        <v>4.7064643585644855E-2</v>
      </c>
      <c r="BC42" s="433">
        <v>1.3222895417775916E-5</v>
      </c>
      <c r="BD42" s="554">
        <f t="shared" si="289"/>
        <v>3.2571299783161569</v>
      </c>
      <c r="BE42" s="554">
        <f t="shared" si="289"/>
        <v>1.2125518783881954</v>
      </c>
      <c r="BF42" s="554">
        <f t="shared" si="289"/>
        <v>2.0445780999279615</v>
      </c>
      <c r="BG42" s="67">
        <f t="shared" si="290"/>
        <v>144.12079550071491</v>
      </c>
      <c r="BH42" s="67">
        <f t="shared" si="291"/>
        <v>53.652737981778557</v>
      </c>
      <c r="BI42" s="67">
        <f t="shared" si="292"/>
        <v>90.468057518936334</v>
      </c>
      <c r="BJ42" s="67">
        <f t="shared" si="293"/>
        <v>146.07799839328163</v>
      </c>
      <c r="BK42" s="68">
        <f t="shared" si="294"/>
        <v>54.151935483720926</v>
      </c>
      <c r="BL42" s="145">
        <v>80.056751039750253</v>
      </c>
      <c r="BM42" s="145">
        <v>76.244497602588424</v>
      </c>
      <c r="BN42" s="145">
        <v>21.101203062532807</v>
      </c>
      <c r="BO42" s="145">
        <v>25.140240809535992</v>
      </c>
      <c r="BP42" s="145">
        <v>4.1179034302508493</v>
      </c>
      <c r="BQ42" s="145">
        <v>0.8631360314323363</v>
      </c>
      <c r="BR42" s="145">
        <v>8.8551672440530041E-2</v>
      </c>
      <c r="BS42" s="145">
        <v>39.020305120686139</v>
      </c>
      <c r="BT42" s="145">
        <v>0</v>
      </c>
      <c r="BU42" s="68">
        <f t="shared" si="295"/>
        <v>91.926062909560713</v>
      </c>
      <c r="BV42" s="145">
        <v>81.523209352881935</v>
      </c>
      <c r="BW42" s="145">
        <v>62.653409820890879</v>
      </c>
      <c r="BX42" s="145">
        <v>81.260556783349855</v>
      </c>
      <c r="BY42" s="145">
        <v>136.11380518961744</v>
      </c>
      <c r="BZ42" s="145">
        <v>46.994515489337552</v>
      </c>
      <c r="CA42" s="145">
        <v>14.692872692196575</v>
      </c>
      <c r="CB42" s="145">
        <v>0.33291986025362519</v>
      </c>
      <c r="CC42" s="145">
        <v>32.708904150828722</v>
      </c>
      <c r="CD42" s="145">
        <v>0</v>
      </c>
      <c r="CE42" s="68">
        <f t="shared" si="296"/>
        <v>132.67412403812756</v>
      </c>
      <c r="CF42" s="68">
        <f t="shared" si="297"/>
        <v>50.733188955267153</v>
      </c>
      <c r="CG42" s="145">
        <v>146.38014119692477</v>
      </c>
      <c r="CH42" s="145">
        <v>73.905421273005459</v>
      </c>
      <c r="CI42" s="145">
        <v>27.653796759355476</v>
      </c>
      <c r="CJ42" s="145">
        <v>26.131639315804076</v>
      </c>
      <c r="CK42" s="145">
        <v>5.6333678604779784</v>
      </c>
      <c r="CL42" s="145">
        <v>1.1646835133707931</v>
      </c>
      <c r="CM42" s="145">
        <v>2.6127413011626525E-2</v>
      </c>
      <c r="CN42" s="145">
        <v>12.503516297859502</v>
      </c>
      <c r="CO42" s="145">
        <v>0</v>
      </c>
      <c r="CP42" s="68">
        <f t="shared" si="298"/>
        <v>81.94093508286042</v>
      </c>
      <c r="CQ42" s="145">
        <v>128.43629293341272</v>
      </c>
      <c r="CR42" s="145">
        <v>75.405362796290376</v>
      </c>
      <c r="CS42" s="145">
        <v>118.91937918939189</v>
      </c>
      <c r="CT42" s="145">
        <v>138.41141217890959</v>
      </c>
      <c r="CU42" s="145">
        <v>63.606337873197397</v>
      </c>
      <c r="CV42" s="145">
        <v>21.433238319437066</v>
      </c>
      <c r="CW42" s="145">
        <v>0.34627493489245409</v>
      </c>
      <c r="CX42" s="145">
        <v>10.204163781948608</v>
      </c>
      <c r="CY42" s="145">
        <v>0</v>
      </c>
      <c r="CZ42" s="554">
        <f t="shared" si="299"/>
        <v>1.5437852999459707</v>
      </c>
      <c r="DA42" s="554">
        <f t="shared" si="299"/>
        <v>1.0351725000000003E-2</v>
      </c>
      <c r="DB42" s="554">
        <f t="shared" si="299"/>
        <v>1.5334335749459709</v>
      </c>
      <c r="DC42" s="32">
        <f t="shared" si="300"/>
        <v>68.309084068405781</v>
      </c>
      <c r="DD42" s="32">
        <f t="shared" si="301"/>
        <v>0.45804092920353989</v>
      </c>
      <c r="DE42" s="67">
        <f t="shared" si="301"/>
        <v>67.851043139202247</v>
      </c>
      <c r="DF42" s="270"/>
      <c r="DG42" s="67">
        <f t="shared" si="302"/>
        <v>69.341297182170536</v>
      </c>
      <c r="DH42" s="32">
        <f>I42*0.5*2.5*0.25</f>
        <v>0.39675000000000005</v>
      </c>
      <c r="DI42" s="67">
        <f t="shared" si="303"/>
        <v>68.944547182170538</v>
      </c>
      <c r="DJ42" s="67"/>
      <c r="DK42" s="34">
        <f t="shared" si="304"/>
        <v>0.25</v>
      </c>
      <c r="DL42" s="159"/>
      <c r="DM42" s="159"/>
      <c r="DN42" s="68">
        <f t="shared" si="305"/>
        <v>62.272201312145313</v>
      </c>
      <c r="DO42" s="32">
        <f>K42*0.5*2.5*0.25</f>
        <v>0.8165</v>
      </c>
      <c r="DP42" s="67">
        <f t="shared" si="306"/>
        <v>61.455701312145315</v>
      </c>
      <c r="DQ42" s="67"/>
      <c r="DR42" s="34">
        <f t="shared" si="307"/>
        <v>0.25</v>
      </c>
      <c r="DS42" s="294"/>
      <c r="DT42" s="294"/>
      <c r="DU42" s="294"/>
      <c r="DV42" s="67">
        <f t="shared" si="262"/>
        <v>75.811711432309124</v>
      </c>
      <c r="DW42" s="67">
        <f t="shared" si="262"/>
        <v>53.194697052575016</v>
      </c>
      <c r="DX42" s="67">
        <f t="shared" si="262"/>
        <v>22.617014379734087</v>
      </c>
      <c r="DY42" s="67">
        <f t="shared" si="263"/>
        <v>76.736701211111097</v>
      </c>
      <c r="DZ42" s="67">
        <f t="shared" si="263"/>
        <v>53.755185483720929</v>
      </c>
      <c r="EA42" s="67">
        <f t="shared" si="264"/>
        <v>22.981515727390175</v>
      </c>
      <c r="EB42" s="67">
        <f t="shared" si="265"/>
        <v>70.401922725982246</v>
      </c>
      <c r="EC42" s="67">
        <f t="shared" si="265"/>
        <v>49.916688955267155</v>
      </c>
      <c r="ED42" s="67">
        <f t="shared" si="266"/>
        <v>20.485233770715105</v>
      </c>
      <c r="EE42" s="68">
        <f t="shared" si="308"/>
        <v>59.56581282383199</v>
      </c>
      <c r="EF42" s="67">
        <f t="shared" si="309"/>
        <v>41.943117899438512</v>
      </c>
      <c r="EG42" s="67">
        <f t="shared" si="310"/>
        <v>17.622694924393478</v>
      </c>
      <c r="EH42" s="261">
        <f t="shared" si="311"/>
        <v>60.143481268497162</v>
      </c>
      <c r="EI42" s="154">
        <f t="shared" si="312"/>
        <v>0.7837642264949054</v>
      </c>
      <c r="EJ42" s="108">
        <f t="shared" si="313"/>
        <v>42.229010576899576</v>
      </c>
      <c r="EK42" s="126">
        <f>'Allometrics &amp; Decay rates'!$H$5*$AL42*BL42+'Allometrics &amp; Decay rates'!$H$6*$AM42*BM42+'Allometrics &amp; Decay rates'!$H$7*$AN42*BN42+'Allometrics &amp; Decay rates'!$H$8*$AO42*BO42+'Allometrics &amp; Decay rates'!$H$9*$AP42*BP42+'Allometrics &amp; Decay rates'!$H$10*$AQ42*BQ42+'Allometrics &amp; Decay rates'!$H$11*$AR42*BR42+'Allometrics &amp; Decay rates'!$H$12*$AS42*BS42+'Allometrics &amp; Decay rates'!$H$13*$AT42*BT42</f>
        <v>22.674446959414567</v>
      </c>
      <c r="EL42" s="97">
        <f t="shared" si="314"/>
        <v>19.951313617485006</v>
      </c>
      <c r="EM42" s="550">
        <f>AL42*BL42*('Allometrics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10.109043818776941</v>
      </c>
      <c r="EN42" s="550">
        <f>AM42*BM42*('Allometrics &amp; Decay rates'!$I$6*((EXP('Allometrics &amp; Decay rates'!$K$6)-1)/('Discounting metrics'!$D$4+'Allometrics &amp; Decay rates'!$K$6)*(1-EXP(-('Discounting metrics'!$D$4+'Allometrics &amp; Decay rates'!$K$6)*'Discounting metrics'!$E$4))-(1-EXP(-'Allometrics &amp; Decay rates'!$K$6))/1.55)+'Allometrics &amp; Decay rates'!$E$6*((EXP('Allometrics &amp; Decay rates'!$L$6)-1)/('Discounting metrics'!$D$4+'Allometrics &amp; Decay rates'!$L$6)*(1-EXP(-('Discounting metrics'!$D$4+'Allometrics &amp; Decay rates'!$L$6)*'Discounting metrics'!$E$4))-(1-EXP(-'Allometrics &amp; Decay rates'!$L$6))/1.55))</f>
        <v>4.6617231845337752</v>
      </c>
      <c r="EO42" s="550">
        <f>AN42*BN42*('Allometrics &amp; Decay rates'!$I$7*((EXP('Allometrics &amp; Decay rates'!$K$7)-1)/('Discounting metrics'!$D$4+'Allometrics &amp; Decay rates'!$K$7)*(1-EXP(-('Discounting metrics'!$D$4+'Allometrics &amp; Decay rates'!$K$7)*'Discounting metrics'!$E$4))-(1-EXP(-'Allometrics &amp; Decay rates'!$K$7))/1.55)+'Allometrics &amp; Decay rates'!$E$7*((EXP('Allometrics &amp; Decay rates'!$L$7)-1)/('Discounting metrics'!$D$4+'Allometrics &amp; Decay rates'!$L$7)*(1-EXP(-('Discounting metrics'!$D$4+'Allometrics &amp; Decay rates'!$L$7)*'Discounting metrics'!$E$4))-(1-EXP(-'Allometrics &amp; Decay rates'!$L$7))/1.55))</f>
        <v>4.2164172644761962E-3</v>
      </c>
      <c r="EP42" s="550">
        <f>AO42*BO42*('Allometrics &amp; Decay rates'!$I$8*((EXP('Allometrics &amp; Decay rates'!$K$8)-1)/('Discounting metrics'!$D$4+'Allometrics &amp; Decay rates'!$K$8)*(1-EXP(-('Discounting metrics'!$D$4+'Allometrics &amp; Decay rates'!$K$8)*'Discounting metrics'!$E$4))-(1-EXP(-'Allometrics &amp; Decay rates'!$K$8))/1.55)+'Allometrics &amp; Decay rates'!$E$8*((EXP('Allometrics &amp; Decay rates'!$L$8)-1)/('Discounting metrics'!$D$4+'Allometrics &amp; Decay rates'!$L$8)*(1-EXP(-('Discounting metrics'!$D$4+'Allometrics &amp; Decay rates'!$L$8)*'Discounting metrics'!$E$4))-(1-EXP(-'Allometrics &amp; Decay rates'!$L$8))/1.55))</f>
        <v>4.9624149247524256</v>
      </c>
      <c r="EQ42" s="550">
        <f>AP42*BP42*('Allometrics &amp; Decay rates'!$I$9*((EXP('Allometrics &amp; Decay rates'!$K$9)-1)/('Discounting metrics'!$D$4+'Allometrics &amp; Decay rates'!$K$9)*(1-EXP(-('Discounting metrics'!$D$4+'Allometrics &amp; Decay rates'!$K$9)*'Discounting metrics'!$E$4))-(1-EXP(-'Allometrics &amp; Decay rates'!$K$9))/1.55)+'Allometrics &amp; Decay rates'!$E$9*((EXP('Allometrics &amp; Decay rates'!$L$9)-1)/('Discounting metrics'!$D$4+'Allometrics &amp; Decay rates'!$L$9)*(1-EXP(-('Discounting metrics'!$D$4+'Allometrics &amp; Decay rates'!$L$9)*'Discounting metrics'!$E$4))-(1-EXP(-'Allometrics &amp; Decay rates'!$L$9))/1.55))</f>
        <v>8.4176472252525239E-2</v>
      </c>
      <c r="ER42" s="550">
        <f>AQ42*BQ42*('Allometrics &amp; Decay rates'!$I$10*((EXP('Allometrics &amp; Decay rates'!$K$10)-1)/('Discounting metrics'!$D$4+'Allometrics &amp; Decay rates'!$K$10)*(1-EXP(-('Discounting metrics'!$D$4+'Allometrics &amp; Decay rates'!$K$10)*'Discounting metrics'!$E$4))-(1-EXP(-'Allometrics &amp; Decay rates'!$K$10))/1.55)+'Allometrics &amp; Decay rates'!$E$10*((EXP('Allometrics &amp; Decay rates'!$L$10)-1)/('Discounting metrics'!$D$4+'Allometrics &amp; Decay rates'!$L$10)*(1-EXP(-('Discounting metrics'!$D$4+'Allometrics &amp; Decay rates'!$L$10)*'Discounting metrics'!$E$4))-(1-EXP(-'Allometrics &amp; Decay rates'!$L$10))/1.55))</f>
        <v>1.32820505466927E-2</v>
      </c>
      <c r="ES42" s="550">
        <f>AR42*BR42*('Allometrics &amp; Decay rates'!$I$11*((EXP('Allometrics &amp; Decay rates'!$K$11)-1)/('Discounting metrics'!$D$4+'Allometrics &amp; Decay rates'!$K$11)*(1-EXP(-('Discounting metrics'!$D$4+'Allometrics &amp; Decay rates'!$K$11)*'Discounting metrics'!$E$4))-(1-EXP(-'Allometrics &amp; Decay rates'!$K$11))/1.55)+'Allometrics &amp; Decay rates'!$E$11*((EXP('Allometrics &amp; Decay rates'!$L$11)-1)/('Discounting metrics'!$D$4+'Allometrics &amp; Decay rates'!$L$11)*(1-EXP(-('Discounting metrics'!$D$4+'Allometrics &amp; Decay rates'!$L$11)*'Discounting metrics'!$E$4))-(1-EXP(-'Allometrics &amp; Decay rates'!$L$11))/1.55))</f>
        <v>4.4849304687047587E-4</v>
      </c>
      <c r="ET42" s="550">
        <f>AS42*BS42*('Allometrics &amp; Decay rates'!$I$12*((EXP('Allometrics &amp; Decay rates'!$K$12)-1)/('Discounting metrics'!$D$4+'Allometrics &amp; Decay rates'!$K$12)*(1-EXP(-('Discounting metrics'!$D$4+'Allometrics &amp; Decay rates'!$K$12)*'Discounting metrics'!$E$4))-(1-EXP(-'Allometrics &amp; Decay rates'!$K$12))/1.55)+'Allometrics &amp; Decay rates'!$E$12*((EXP('Allometrics &amp; Decay rates'!$L$12)-1)/('Discounting metrics'!$D$4+'Allometrics &amp; Decay rates'!$L$12)*(1-EXP(-('Discounting metrics'!$D$4+'Allometrics &amp; Decay rates'!$L$12)*'Discounting metrics'!$E$4))-(1-EXP(-'Allometrics &amp; Decay rates'!$L$12))/1.55))</f>
        <v>0.11600825631129638</v>
      </c>
      <c r="EU42" s="550">
        <f>AT42*BT42*('Allometrics &amp; Decay rates'!$I$13*((EXP('Allometrics &amp; Decay rates'!$K$13)-1)/('Discounting metrics'!$D$4+'Allometrics &amp; Decay rates'!$K$13)*(1-EXP(-('Discounting metrics'!$D$4+'Allometrics &amp; Decay rates'!$K$13)*'Discounting metrics'!$E$4))-(1-EXP(-'Allometrics &amp; Decay rates'!$K$13))/1.55)+'Allometrics &amp; Decay rates'!$E$13*((EXP('Allometrics &amp; Decay rates'!$L$13)-1)/('Discounting metrics'!$D$4+'Allometrics &amp; Decay rates'!$L$13)*(1-EXP(-('Discounting metrics'!$D$4+'Allometrics &amp; Decay rates'!$L$13)*'Discounting metrics'!$E$4))-(1-EXP(-'Allometrics &amp; Decay rates'!$L$13))/1.55))</f>
        <v>0</v>
      </c>
      <c r="EV42" s="108">
        <f t="shared" si="315"/>
        <v>17.914470691597586</v>
      </c>
      <c r="EW42" s="550">
        <f>AL42*BV42*$DK42*((EXP('Allometrics &amp; Decay rates'!$M$5)-1)/('Discounting metrics'!$D$4+'Allometrics &amp; Decay rates'!$M$5)*(1-EXP(-('Discounting metrics'!$D$4+'Allometrics &amp; Decay rates'!$M$5)*'Discounting metrics'!$E$4))-(1-EXP(-'Allometrics &amp; Decay rates'!$M$5))/1.55)</f>
        <v>5.1306154152788617</v>
      </c>
      <c r="EX42" s="550">
        <f>AM42*BW42*$DK42*((EXP('Allometrics &amp; Decay rates'!$M$5)-1)/('Discounting metrics'!$D$4+'Allometrics &amp; Decay rates'!$M$5)*(1-EXP(-('Discounting metrics'!$D$4+'Allometrics &amp; Decay rates'!$M$5)*'Discounting metrics'!$E$4))-(1-EXP(-'Allometrics &amp; Decay rates'!$M$5))/1.55)</f>
        <v>3.068918035790881</v>
      </c>
      <c r="EY42" s="550">
        <f>AN42*BX42*$DK42*((EXP('Allometrics &amp; Decay rates'!$M$5)-1)/('Discounting metrics'!$D$4+'Allometrics &amp; Decay rates'!$M$5)*(1-EXP(-('Discounting metrics'!$D$4+'Allometrics &amp; Decay rates'!$M$5)*'Discounting metrics'!$E$4))-(1-EXP(-'Allometrics &amp; Decay rates'!$M$5))/1.55)</f>
        <v>1.4900807243169818E-2</v>
      </c>
      <c r="EZ42" s="550">
        <f>AO42*BY42*$DK42*((EXP('Allometrics &amp; Decay rates'!$M$5)-1)/('Discounting metrics'!$D$4+'Allometrics &amp; Decay rates'!$M$5)*(1-EXP(-('Discounting metrics'!$D$4+'Allometrics &amp; Decay rates'!$M$5)*'Discounting metrics'!$E$4))-(1-EXP(-'Allometrics &amp; Decay rates'!$M$5))/1.55)</f>
        <v>9.2720209961560514</v>
      </c>
      <c r="FA42" s="550">
        <f>AP42*BZ42*$DK42*((EXP('Allometrics &amp; Decay rates'!$M$5)-1)/('Discounting metrics'!$D$4+'Allometrics &amp; Decay rates'!$M$5)*(1-EXP(-('Discounting metrics'!$D$4+'Allometrics &amp; Decay rates'!$M$5)*'Discounting metrics'!$E$4))-(1-EXP(-'Allometrics &amp; Decay rates'!$M$5))/1.55)</f>
        <v>0.35811212940527448</v>
      </c>
      <c r="FB42" s="550">
        <f>AQ42*CA42*$DK42*((EXP('Allometrics &amp; Decay rates'!$M$5)-1)/('Discounting metrics'!$D$4+'Allometrics &amp; Decay rates'!$M$5)*(1-EXP(-('Discounting metrics'!$D$4+'Allometrics &amp; Decay rates'!$M$5)*'Discounting metrics'!$E$4))-(1-EXP(-'Allometrics &amp; Decay rates'!$M$5))/1.55)</f>
        <v>6.943915520129737E-2</v>
      </c>
      <c r="FC42" s="550">
        <f>AR42*CB42*$DK42*((EXP('Allometrics &amp; Decay rates'!$M$5)-1)/('Discounting metrics'!$D$4+'Allometrics &amp; Decay rates'!$M$5)*(1-EXP(-('Discounting metrics'!$D$4+'Allometrics &amp; Decay rates'!$M$5)*'Discounting metrics'!$E$4))-(1-EXP(-'Allometrics &amp; Decay rates'!$M$5))/1.55)</f>
        <v>4.6415252204984754E-4</v>
      </c>
      <c r="FD42" s="261">
        <f t="shared" si="316"/>
        <v>56.18732767775996</v>
      </c>
      <c r="FE42" s="154">
        <f t="shared" si="317"/>
        <v>0.7980936528743936</v>
      </c>
      <c r="FF42" s="108">
        <f t="shared" si="318"/>
        <v>40.271078907014733</v>
      </c>
      <c r="FG42" s="126">
        <f>'Allometrics &amp; Decay rates'!$H$5*$AU42*CG42+'Allometrics &amp; Decay rates'!$H$6*$AV42*CH42+'Allometrics &amp; Decay rates'!$H$7*$AW42*CI42+'Allometrics &amp; Decay rates'!$H$8*$AX42*CJ42+'Allometrics &amp; Decay rates'!$H$9*$AY42*CK42+'Allometrics &amp; Decay rates'!$H$10*$AZ42*CL42+'Allometrics &amp; Decay rates'!$H$11*$BA42*CM42+'Allometrics &amp; Decay rates'!$H$12*$BB42*CN42+'Allometrics &amp; Decay rates'!$H$13*$BC42*CO42</f>
        <v>21.198769991324571</v>
      </c>
      <c r="FH42" s="97">
        <f t="shared" si="319"/>
        <v>19.888808915690156</v>
      </c>
      <c r="FI42" s="550">
        <f>AU42*CG42*('Allometrics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2.7008069926147185</v>
      </c>
      <c r="FJ42" s="550">
        <f>AV42*CH42*('Allometrics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14.450336259009006</v>
      </c>
      <c r="FK42" s="550">
        <f>AW42*CI42*('Allometrics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2.0735728222380734E-2</v>
      </c>
      <c r="FL42" s="550">
        <f>AX42*CJ42*('Allometrics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2.2561095039663641</v>
      </c>
      <c r="FM42" s="550">
        <f>AY42*CK42*('Allometrics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0.20397098731625241</v>
      </c>
      <c r="FN42" s="550">
        <f>AZ42*CL42*('Allometrics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2.5781455637037334E-2</v>
      </c>
      <c r="FO42" s="550">
        <f>BA42*CM42*('Allometrics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3.7013624162613151E-4</v>
      </c>
      <c r="FP42" s="550">
        <f>BB42*CN42*('Allometrics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0.23069785268276877</v>
      </c>
      <c r="FQ42" s="550">
        <f>BC42*CO42*('Allometrics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R42" s="108">
        <f t="shared" si="320"/>
        <v>15.916248770745229</v>
      </c>
      <c r="FS42" s="550">
        <f>AU42*CQ42*$DK42*((EXP('Allometrics &amp; Decay rates'!$M$5)-1)/('Discounting metrics'!$D$4+'Allometrics &amp; Decay rates'!$M$5)*(1-EXP(-('Discounting metrics'!$D$4+'Allometrics &amp; Decay rates'!$M$5)*'Discounting metrics'!$E$4))-(1-EXP(-'Allometrics &amp; Decay rates'!$M$5))/1.55)</f>
        <v>1.1810688760473471</v>
      </c>
      <c r="FT42" s="550">
        <f>AV42*CR42*$DK42*((EXP('Allometrics &amp; Decay rates'!$M$5)-1)/('Discounting metrics'!$D$4+'Allometrics &amp; Decay rates'!$M$5)*(1-EXP(-('Discounting metrics'!$D$4+'Allometrics &amp; Decay rates'!$M$5)*'Discounting metrics'!$E$4))-(1-EXP(-'Allometrics &amp; Decay rates'!$M$5))/1.55)</f>
        <v>7.3481830338593532</v>
      </c>
      <c r="FU42" s="550">
        <f>AW42*CS42*$DK42*((EXP('Allometrics &amp; Decay rates'!$M$5)-1)/('Discounting metrics'!$D$4+'Allometrics &amp; Decay rates'!$M$5)*(1-EXP(-('Discounting metrics'!$D$4+'Allometrics &amp; Decay rates'!$M$5)*'Discounting metrics'!$E$4))-(1-EXP(-'Allometrics &amp; Decay rates'!$M$5))/1.55)</f>
        <v>4.4441963058414115E-2</v>
      </c>
      <c r="FV42" s="550">
        <f>AX42*CT42*$DK42*((EXP('Allometrics &amp; Decay rates'!$M$5)-1)/('Discounting metrics'!$D$4+'Allometrics &amp; Decay rates'!$M$5)*(1-EXP(-('Discounting metrics'!$D$4+'Allometrics &amp; Decay rates'!$M$5)*'Discounting metrics'!$E$4))-(1-EXP(-'Allometrics &amp; Decay rates'!$M$5))/1.55)</f>
        <v>5.95581905460846</v>
      </c>
      <c r="FW42" s="550">
        <f>AY42*CU42*$DK42*((EXP('Allometrics &amp; Decay rates'!$M$5)-1)/('Discounting metrics'!$D$4+'Allometrics &amp; Decay rates'!$M$5)*(1-EXP(-('Discounting metrics'!$D$4+'Allometrics &amp; Decay rates'!$M$5)*'Discounting metrics'!$E$4))-(1-EXP(-'Allometrics &amp; Decay rates'!$M$5))/1.55)</f>
        <v>1.1478278384953233</v>
      </c>
      <c r="FX42" s="550">
        <f>AZ42*CV42*$DK42*((EXP('Allometrics &amp; Decay rates'!$M$5)-1)/('Discounting metrics'!$D$4+'Allometrics &amp; Decay rates'!$M$5)*(1-EXP(-('Discounting metrics'!$D$4+'Allometrics &amp; Decay rates'!$M$5)*'Discounting metrics'!$E$4))-(1-EXP(-'Allometrics &amp; Decay rates'!$M$5))/1.55)</f>
        <v>0.2364630977439223</v>
      </c>
      <c r="FY42" s="550">
        <f>BA42*CW42*$DK42*((EXP('Allometrics &amp; Decay rates'!$M$5)-1)/('Discounting metrics'!$D$4+'Allometrics &amp; Decay rates'!$M$5)*(1-EXP(-('Discounting metrics'!$D$4+'Allometrics &amp; Decay rates'!$M$5)*'Discounting metrics'!$E$4))-(1-EXP(-'Allometrics &amp; Decay rates'!$M$5))/1.55)</f>
        <v>2.4449069324079709E-3</v>
      </c>
      <c r="FZ42" s="68"/>
      <c r="GA42" s="293"/>
      <c r="GB42" s="293"/>
      <c r="GP42" s="32">
        <f t="shared" si="321"/>
        <v>5.9315044247787601</v>
      </c>
      <c r="GQ42" s="33">
        <v>6.06</v>
      </c>
      <c r="GR42" s="99">
        <v>5.18</v>
      </c>
      <c r="GS42" s="99"/>
      <c r="GT42" s="99"/>
      <c r="GU42" s="99"/>
      <c r="GV42" s="99"/>
      <c r="GW42" s="99"/>
      <c r="GX42" s="99"/>
      <c r="GY42" s="99"/>
      <c r="GZ42" s="99"/>
      <c r="HA42" s="99"/>
      <c r="HB42" s="99"/>
      <c r="HF42" s="97">
        <f t="shared" si="322"/>
        <v>1.5234168446308616</v>
      </c>
      <c r="HG42" s="526">
        <f>EE42/'Discounting metrics'!E$4/M42</f>
        <v>1.6558878745987624</v>
      </c>
      <c r="HH42" s="527">
        <f t="shared" si="323"/>
        <v>97.405169094044851</v>
      </c>
      <c r="HI42" s="528">
        <f t="shared" si="324"/>
        <v>8.7151993399934859</v>
      </c>
      <c r="HJ42" s="97">
        <f t="shared" si="325"/>
        <v>1.7758144890450842</v>
      </c>
      <c r="HK42" s="526">
        <f>EH42/'Discounting metrics'!E$4/O42</f>
        <v>1.9302331402663957</v>
      </c>
      <c r="HL42" s="527">
        <f t="shared" si="326"/>
        <v>113.54312589802328</v>
      </c>
      <c r="HM42" s="528">
        <f t="shared" si="327"/>
        <v>10.159121790875767</v>
      </c>
      <c r="HN42" s="97">
        <f t="shared" si="328"/>
        <v>0.80613570279044222</v>
      </c>
      <c r="HO42" s="526">
        <f>FD42/'Discounting metrics'!E$4/Q42</f>
        <v>0.87623445955482848</v>
      </c>
      <c r="HP42" s="527">
        <f t="shared" si="329"/>
        <v>51.543203503225207</v>
      </c>
      <c r="HQ42" s="528">
        <f t="shared" si="330"/>
        <v>4.6117603134464655</v>
      </c>
      <c r="HR42" s="97">
        <f t="shared" si="331"/>
        <v>1.8571916701951678</v>
      </c>
      <c r="HS42" s="263">
        <f t="shared" si="332"/>
        <v>2.0186865980382258</v>
      </c>
      <c r="HT42" s="527">
        <f t="shared" si="333"/>
        <v>118.74627047283681</v>
      </c>
      <c r="HU42" s="528">
        <f t="shared" si="334"/>
        <v>10.624666305464347</v>
      </c>
      <c r="HV42" s="97">
        <f t="shared" si="335"/>
        <v>2.1905433099231351</v>
      </c>
      <c r="HW42" s="263">
        <f t="shared" si="269"/>
        <v>2.3810253368729728</v>
      </c>
      <c r="HX42" s="527">
        <f t="shared" si="336"/>
        <v>140.06031393370426</v>
      </c>
      <c r="HY42" s="528">
        <f t="shared" si="337"/>
        <v>12.531712299331435</v>
      </c>
      <c r="HZ42" s="97">
        <f t="shared" si="338"/>
        <v>1.1680320000000002</v>
      </c>
      <c r="IA42" s="263">
        <f t="shared" si="270"/>
        <v>0.98896722435868767</v>
      </c>
      <c r="IB42" s="527">
        <f t="shared" si="339"/>
        <v>74.682352941176475</v>
      </c>
      <c r="IC42" s="528">
        <f t="shared" si="340"/>
        <v>6.6821052631578945</v>
      </c>
      <c r="ID42" s="97">
        <f t="shared" si="341"/>
        <v>3.7230461589735038</v>
      </c>
      <c r="IE42" s="263">
        <f t="shared" si="271"/>
        <v>4.0467893032320692</v>
      </c>
      <c r="IF42" s="68">
        <f t="shared" si="342"/>
        <v>238.04642960188644</v>
      </c>
      <c r="IG42" s="97">
        <f t="shared" si="343"/>
        <v>4.3913043478260869</v>
      </c>
      <c r="IH42" s="263">
        <f t="shared" si="272"/>
        <v>4.7731568998109637</v>
      </c>
      <c r="II42" s="68">
        <f t="shared" si="344"/>
        <v>280.77393528299785</v>
      </c>
      <c r="IJ42" s="97">
        <f t="shared" si="345"/>
        <v>1.823943661971831</v>
      </c>
      <c r="IK42" s="263">
        <f t="shared" si="273"/>
        <v>1.9825474586650336</v>
      </c>
      <c r="IL42" s="68">
        <f t="shared" si="346"/>
        <v>116.62043874500198</v>
      </c>
      <c r="IM42" s="60"/>
      <c r="IN42" s="60"/>
      <c r="IO42" s="60"/>
      <c r="IP42" s="554">
        <f t="shared" si="347"/>
        <v>13.655867400000002</v>
      </c>
      <c r="IQ42" s="262">
        <f t="shared" si="348"/>
        <v>0.37926643892684558</v>
      </c>
      <c r="IR42" s="166">
        <f t="shared" si="349"/>
        <v>0.41224612926831039</v>
      </c>
      <c r="IS42" s="68">
        <f t="shared" si="350"/>
        <v>24.24977230990061</v>
      </c>
      <c r="IT42" s="97">
        <f t="shared" si="351"/>
        <v>2.1697164698332125</v>
      </c>
      <c r="IU42" s="429">
        <f t="shared" si="352"/>
        <v>1.1075221238938051E-2</v>
      </c>
      <c r="IV42" s="262">
        <f t="shared" si="353"/>
        <v>0.43092913043478265</v>
      </c>
      <c r="IW42" s="436">
        <f t="shared" si="354"/>
        <v>0.46840122873345935</v>
      </c>
      <c r="IX42" s="101">
        <v>1.09E-2</v>
      </c>
      <c r="IY42" s="433">
        <v>1</v>
      </c>
      <c r="IZ42" s="433">
        <v>0</v>
      </c>
      <c r="JA42" s="434">
        <f>1-IY42-IZ42</f>
        <v>0</v>
      </c>
      <c r="JB42" s="430">
        <f>IY42*$JJ42+IZ42*$JK42+JA42*$JL42+'Discounting metrics'!$B$6*(IY42*$JM42+IZ42*$JN42+JA42*$JO42)/10^3+'Discounting metrics'!$B$5*(IY42*$JP42+IZ42*$JQ42+JA42*$JR42)/10^3</f>
        <v>54.558</v>
      </c>
      <c r="JC42" s="262">
        <f t="shared" si="355"/>
        <v>0.23244781690140845</v>
      </c>
      <c r="JD42" s="436">
        <f t="shared" si="356"/>
        <v>0.25266067054500918</v>
      </c>
      <c r="JE42" s="101">
        <v>1.21E-2</v>
      </c>
      <c r="JF42" s="433">
        <v>1</v>
      </c>
      <c r="JG42" s="433">
        <v>0</v>
      </c>
      <c r="JH42" s="434">
        <f t="shared" si="398"/>
        <v>0</v>
      </c>
      <c r="JI42" s="430">
        <f>JF42*$JJ42+JG42*$JK42+JH42*$JL42+'Discounting metrics'!$B$6*(JF42*$JM42+JG42*$JN42+JH42*$JO42)/10^3+'Discounting metrics'!$B$5*(JF42*$JP42+JG42*$JQ42+JH42*$JR42)/10^3</f>
        <v>54.558</v>
      </c>
      <c r="JJ42" s="431">
        <v>51.3</v>
      </c>
      <c r="JK42" s="431">
        <v>29</v>
      </c>
      <c r="JL42" s="431">
        <v>29</v>
      </c>
      <c r="JM42" s="99">
        <v>5</v>
      </c>
      <c r="JN42" s="431">
        <v>13</v>
      </c>
      <c r="JO42" s="431">
        <v>13</v>
      </c>
      <c r="JP42" s="431">
        <v>52</v>
      </c>
      <c r="JQ42" s="431">
        <v>58.3</v>
      </c>
      <c r="JR42" s="431">
        <v>58.3</v>
      </c>
      <c r="JS42" s="554">
        <f t="shared" si="358"/>
        <v>11.366247215739481</v>
      </c>
      <c r="JT42" s="554">
        <f t="shared" si="359"/>
        <v>-1.3741395262902001</v>
      </c>
      <c r="JU42" s="554">
        <f t="shared" si="360"/>
        <v>2.6016046797251997</v>
      </c>
      <c r="JV42" s="554">
        <f t="shared" si="361"/>
        <v>7.7451243509520005</v>
      </c>
      <c r="JW42" s="554">
        <f t="shared" si="362"/>
        <v>2.3936577113524802</v>
      </c>
      <c r="JX42" s="554"/>
      <c r="JY42" s="167">
        <f t="shared" si="363"/>
        <v>0.31567647658000003</v>
      </c>
      <c r="JZ42" s="166">
        <f t="shared" si="364"/>
        <v>0.34312660497826086</v>
      </c>
      <c r="KA42" s="68">
        <f t="shared" si="365"/>
        <v>20.183917939897697</v>
      </c>
      <c r="KB42" s="97">
        <f t="shared" si="366"/>
        <v>1.8059294998855835</v>
      </c>
      <c r="KC42" s="473">
        <f t="shared" si="367"/>
        <v>3.4090572499999992E-2</v>
      </c>
      <c r="KD42" s="269">
        <f t="shared" si="368"/>
        <v>3.7054970108695642E-2</v>
      </c>
      <c r="KE42" s="473">
        <f t="shared" si="369"/>
        <v>0.28158590408</v>
      </c>
      <c r="KF42" s="269">
        <f t="shared" si="370"/>
        <v>0.30607163486956523</v>
      </c>
      <c r="KG42" s="123"/>
      <c r="KH42" s="49"/>
      <c r="KI42" s="435">
        <v>-3.8164181700000001E-2</v>
      </c>
      <c r="KJ42" s="522">
        <f t="shared" si="371"/>
        <v>-4.1482806195652172E-2</v>
      </c>
      <c r="KK42" s="435">
        <v>7.2254754199999993E-2</v>
      </c>
      <c r="KL42" s="522">
        <f t="shared" si="372"/>
        <v>7.8537776304347814E-2</v>
      </c>
      <c r="KM42" s="435">
        <v>0.21510649200000001</v>
      </c>
      <c r="KN42" s="522">
        <f t="shared" si="373"/>
        <v>0.2338114043478261</v>
      </c>
      <c r="KO42" s="435">
        <v>6.6479412080000008E-2</v>
      </c>
      <c r="KP42" s="522">
        <f t="shared" si="374"/>
        <v>7.2260230521739133E-2</v>
      </c>
      <c r="KQ42" s="599">
        <f t="shared" si="375"/>
        <v>6.8269616077753668</v>
      </c>
      <c r="KR42" s="527">
        <f t="shared" si="376"/>
        <v>401.58597692796275</v>
      </c>
      <c r="KS42" s="528">
        <f t="shared" si="377"/>
        <v>35.931376883028243</v>
      </c>
      <c r="KT42" s="599">
        <f t="shared" si="378"/>
        <v>7.8890493480218371</v>
      </c>
      <c r="KU42" s="527">
        <f t="shared" si="379"/>
        <v>464.06172635422575</v>
      </c>
      <c r="KV42" s="528">
        <f t="shared" si="380"/>
        <v>41.521312358009666</v>
      </c>
      <c r="KW42" s="599">
        <f t="shared" si="381"/>
        <v>3.808646960557641</v>
      </c>
      <c r="KX42" s="527">
        <f t="shared" si="382"/>
        <v>224.03805650339064</v>
      </c>
      <c r="KY42" s="528">
        <f t="shared" si="383"/>
        <v>20.045510318724425</v>
      </c>
      <c r="KZ42" s="599">
        <f t="shared" si="384"/>
        <v>8.1572235937200652</v>
      </c>
      <c r="LA42" s="527">
        <f t="shared" si="385"/>
        <v>479.83668198353325</v>
      </c>
      <c r="LB42" s="528">
        <f t="shared" si="386"/>
        <v>42.932755756421393</v>
      </c>
      <c r="LC42" s="599">
        <f t="shared" si="387"/>
        <v>9.5419540689126201</v>
      </c>
      <c r="LD42" s="527">
        <f t="shared" si="388"/>
        <v>561.2914158183894</v>
      </c>
      <c r="LE42" s="528">
        <f t="shared" si="389"/>
        <v>50.220810889013791</v>
      </c>
      <c r="LF42" s="599">
        <f t="shared" si="390"/>
        <v>5.2509872755232703</v>
      </c>
      <c r="LG42" s="527">
        <f t="shared" si="391"/>
        <v>308.88160444254527</v>
      </c>
      <c r="LH42" s="528">
        <f t="shared" si="392"/>
        <v>27.636775134333</v>
      </c>
      <c r="LI42" s="31">
        <v>0.92</v>
      </c>
      <c r="LJ42" s="32">
        <f t="shared" si="393"/>
        <v>23.92</v>
      </c>
      <c r="LK42" s="33">
        <v>26</v>
      </c>
      <c r="LL42" s="32">
        <f t="shared" si="394"/>
        <v>15.64</v>
      </c>
      <c r="LM42" s="33">
        <v>17</v>
      </c>
      <c r="LN42" s="34">
        <f t="shared" si="395"/>
        <v>0.17480000000000001</v>
      </c>
      <c r="LO42" s="35">
        <v>0.19</v>
      </c>
      <c r="LP42" s="34">
        <f t="shared" si="396"/>
        <v>0.32200000000000001</v>
      </c>
      <c r="LQ42" s="31">
        <v>0.35</v>
      </c>
    </row>
    <row r="43" spans="1:329" s="4" customFormat="1" x14ac:dyDescent="0.25">
      <c r="A43" s="14" t="s">
        <v>310</v>
      </c>
      <c r="B43" s="67">
        <f t="shared" si="276"/>
        <v>11</v>
      </c>
      <c r="C43" s="33">
        <v>11</v>
      </c>
      <c r="D43" s="33">
        <v>0</v>
      </c>
      <c r="E43" s="38">
        <f t="shared" si="277"/>
        <v>0</v>
      </c>
      <c r="F43" s="108">
        <f t="shared" si="254"/>
        <v>5.0999999999999996</v>
      </c>
      <c r="G43" s="32">
        <f t="shared" si="255"/>
        <v>2.3460000000000001</v>
      </c>
      <c r="H43" s="33">
        <v>5.0999999999999996</v>
      </c>
      <c r="I43" s="32">
        <f t="shared" si="278"/>
        <v>2.3460000000000001</v>
      </c>
      <c r="J43" s="33">
        <v>8.2899999999999991</v>
      </c>
      <c r="K43" s="32">
        <f t="shared" si="279"/>
        <v>3.8133999999999997</v>
      </c>
      <c r="L43" s="32">
        <f>(F43/'Discounting metrics'!$D$4*(1-EXP(-'Discounting metrics'!$D$4*'Discounting metrics'!$E$4)))/'Discounting metrics'!$E$4</f>
        <v>1.2516475604168638</v>
      </c>
      <c r="M43" s="32">
        <f>(G43/'Discounting metrics'!$D$4*(1-EXP(-'Discounting metrics'!$D$4*'Discounting metrics'!$E$4)))/'Discounting metrics'!$E$4</f>
        <v>0.57575787779175736</v>
      </c>
      <c r="N43" s="32">
        <f>(H43/'Discounting metrics'!$D$4*(1-EXP(-'Discounting metrics'!$D$4*'Discounting metrics'!$E$4)))/'Discounting metrics'!$E$4</f>
        <v>1.2516475604168638</v>
      </c>
      <c r="O43" s="32">
        <f>(I43/'Discounting metrics'!$D$4*(1-EXP(-'Discounting metrics'!$D$4*'Discounting metrics'!$E$4)))/'Discounting metrics'!$E$4</f>
        <v>0.57575787779175736</v>
      </c>
      <c r="P43" s="32">
        <f>(J43/'Discounting metrics'!$D$4*(1-EXP(-'Discounting metrics'!$D$4*'Discounting metrics'!$E$4)))/'Discounting metrics'!$E$4</f>
        <v>2.0345408384030979</v>
      </c>
      <c r="Q43" s="32">
        <f>(K43/'Discounting metrics'!$D$4*(1-EXP(-'Discounting metrics'!$D$4*'Discounting metrics'!$E$4)))/'Discounting metrics'!$E$4</f>
        <v>0.93588878566542522</v>
      </c>
      <c r="R43" s="32">
        <f t="shared" si="280"/>
        <v>4.2625745950554137</v>
      </c>
      <c r="S43" s="32">
        <f t="shared" si="281"/>
        <v>4.2625745950554137</v>
      </c>
      <c r="T43" s="32">
        <f t="shared" si="282"/>
        <v>2.6223317774164792</v>
      </c>
      <c r="U43" s="107">
        <f t="shared" si="283"/>
        <v>56.099999999999994</v>
      </c>
      <c r="V43" s="68">
        <f t="shared" si="283"/>
        <v>25.806000000000001</v>
      </c>
      <c r="W43" s="68"/>
      <c r="X43" s="67">
        <f t="shared" si="284"/>
        <v>56.099999999999994</v>
      </c>
      <c r="Y43" s="67">
        <f t="shared" si="285"/>
        <v>25.806000000000001</v>
      </c>
      <c r="Z43" s="67">
        <f t="shared" si="285"/>
        <v>0</v>
      </c>
      <c r="AA43" s="67">
        <f t="shared" si="286"/>
        <v>0</v>
      </c>
      <c r="AB43" s="38">
        <f t="shared" si="287"/>
        <v>0</v>
      </c>
      <c r="AC43" s="294">
        <f t="shared" si="288"/>
        <v>0.76703608058131867</v>
      </c>
      <c r="AD43" s="294">
        <f t="shared" si="288"/>
        <v>8.5983720307792331E-4</v>
      </c>
      <c r="AE43" s="294">
        <f t="shared" si="288"/>
        <v>9.7604197151517259E-7</v>
      </c>
      <c r="AF43" s="294">
        <f t="shared" si="288"/>
        <v>0.1871736167935216</v>
      </c>
      <c r="AG43" s="294">
        <f t="shared" si="288"/>
        <v>7.297075691803908E-6</v>
      </c>
      <c r="AH43" s="294">
        <f t="shared" si="288"/>
        <v>3.7796063392197065E-5</v>
      </c>
      <c r="AI43" s="294">
        <f t="shared" si="288"/>
        <v>6.4725526168191863E-5</v>
      </c>
      <c r="AJ43" s="294">
        <f t="shared" si="288"/>
        <v>4.4819661419220246E-2</v>
      </c>
      <c r="AK43" s="294">
        <f t="shared" si="288"/>
        <v>0</v>
      </c>
      <c r="AL43" s="433">
        <v>0.76703608058131878</v>
      </c>
      <c r="AM43" s="433">
        <v>8.5983720307792331E-4</v>
      </c>
      <c r="AN43" s="433">
        <v>9.7604197151517259E-7</v>
      </c>
      <c r="AO43" s="433">
        <v>0.1871736167935216</v>
      </c>
      <c r="AP43" s="433">
        <v>7.2970756918039088E-6</v>
      </c>
      <c r="AQ43" s="433">
        <v>3.7796063392197065E-5</v>
      </c>
      <c r="AR43" s="433">
        <v>6.4725526168191863E-5</v>
      </c>
      <c r="AS43" s="433">
        <v>4.4819661419220246E-2</v>
      </c>
      <c r="AT43" s="433">
        <v>0</v>
      </c>
      <c r="AU43" s="433">
        <v>0.4934883837641551</v>
      </c>
      <c r="AV43" s="433">
        <v>3.0469990643920523E-4</v>
      </c>
      <c r="AW43" s="433">
        <v>0</v>
      </c>
      <c r="AX43" s="433">
        <v>9.5353147191563035E-3</v>
      </c>
      <c r="AY43" s="433">
        <v>0</v>
      </c>
      <c r="AZ43" s="433">
        <v>0</v>
      </c>
      <c r="BA43" s="433">
        <v>3.1832178460942848E-3</v>
      </c>
      <c r="BB43" s="433">
        <v>0.4934883837641551</v>
      </c>
      <c r="BC43" s="433">
        <v>0</v>
      </c>
      <c r="BD43" s="554">
        <f t="shared" si="289"/>
        <v>3.1935959351238616</v>
      </c>
      <c r="BE43" s="554">
        <f t="shared" si="289"/>
        <v>1.5612165060255008</v>
      </c>
      <c r="BF43" s="554">
        <f t="shared" si="289"/>
        <v>1.6323794290983609</v>
      </c>
      <c r="BG43" s="67">
        <f t="shared" si="290"/>
        <v>290.32690319307835</v>
      </c>
      <c r="BH43" s="67">
        <f t="shared" si="291"/>
        <v>141.92877327504553</v>
      </c>
      <c r="BI43" s="67">
        <f t="shared" si="292"/>
        <v>148.39812991803279</v>
      </c>
      <c r="BJ43" s="67">
        <f t="shared" si="293"/>
        <v>290.32690319307835</v>
      </c>
      <c r="BK43" s="68">
        <f t="shared" si="294"/>
        <v>141.92877327504553</v>
      </c>
      <c r="BL43" s="145">
        <v>167.31187401625772</v>
      </c>
      <c r="BM43" s="145">
        <v>131.34184509768045</v>
      </c>
      <c r="BN43" s="145">
        <v>47.588207051782462</v>
      </c>
      <c r="BO43" s="145">
        <v>43.084882944049234</v>
      </c>
      <c r="BP43" s="145">
        <v>11.482504811295582</v>
      </c>
      <c r="BQ43" s="145">
        <v>0.18313218766491324</v>
      </c>
      <c r="BR43" s="145">
        <v>6.2699958366457947E-2</v>
      </c>
      <c r="BS43" s="145">
        <v>120.86441155755682</v>
      </c>
      <c r="BT43" s="145">
        <v>0</v>
      </c>
      <c r="BU43" s="68">
        <f t="shared" si="295"/>
        <v>148.39812991803279</v>
      </c>
      <c r="BV43" s="145">
        <v>153.89828500786476</v>
      </c>
      <c r="BW43" s="145">
        <v>95.328758538639036</v>
      </c>
      <c r="BX43" s="145">
        <v>166.09217363171132</v>
      </c>
      <c r="BY43" s="145">
        <v>142.1685428756418</v>
      </c>
      <c r="BZ43" s="145">
        <v>72.389704245124292</v>
      </c>
      <c r="CA43" s="145">
        <v>3.6144510723338139</v>
      </c>
      <c r="CB43" s="145">
        <v>0.44534418363967543</v>
      </c>
      <c r="CC43" s="145">
        <v>81.65097863029348</v>
      </c>
      <c r="CD43" s="145">
        <v>0</v>
      </c>
      <c r="CE43" s="68">
        <f t="shared" si="296"/>
        <v>240.82620189064892</v>
      </c>
      <c r="CF43" s="68">
        <f t="shared" si="297"/>
        <v>125.0167747061829</v>
      </c>
      <c r="CG43" s="145">
        <v>222.94433479657175</v>
      </c>
      <c r="CH43" s="145">
        <v>135.83818569839787</v>
      </c>
      <c r="CI43" s="145">
        <v>0</v>
      </c>
      <c r="CJ43" s="145">
        <v>72.582730912033526</v>
      </c>
      <c r="CK43" s="145">
        <v>0</v>
      </c>
      <c r="CL43" s="145">
        <v>0</v>
      </c>
      <c r="CM43" s="145">
        <v>6.2604769434738777E-2</v>
      </c>
      <c r="CN43" s="145">
        <v>28.90168720840607</v>
      </c>
      <c r="CO43" s="145">
        <v>0</v>
      </c>
      <c r="CP43" s="68">
        <f t="shared" si="298"/>
        <v>115.809427184466</v>
      </c>
      <c r="CQ43" s="145">
        <v>203.6123449649244</v>
      </c>
      <c r="CR43" s="145">
        <v>145.90027352790887</v>
      </c>
      <c r="CS43" s="145">
        <v>0</v>
      </c>
      <c r="CT43" s="145">
        <v>230.61243931500954</v>
      </c>
      <c r="CU43" s="145">
        <v>0</v>
      </c>
      <c r="CV43" s="145">
        <v>0</v>
      </c>
      <c r="CW43" s="145">
        <v>0.12520953886947755</v>
      </c>
      <c r="CX43" s="145">
        <v>26.515889791635921</v>
      </c>
      <c r="CY43" s="145">
        <v>0</v>
      </c>
      <c r="CZ43" s="554">
        <f t="shared" si="299"/>
        <v>1.9502845718237707</v>
      </c>
      <c r="DA43" s="554">
        <f t="shared" si="299"/>
        <v>0.72599999999999998</v>
      </c>
      <c r="DB43" s="554">
        <f t="shared" si="299"/>
        <v>1.2242845718237707</v>
      </c>
      <c r="DC43" s="32">
        <f t="shared" si="300"/>
        <v>177.29859743852461</v>
      </c>
      <c r="DD43" s="32">
        <f t="shared" si="301"/>
        <v>66</v>
      </c>
      <c r="DE43" s="67">
        <f t="shared" si="301"/>
        <v>111.29859743852461</v>
      </c>
      <c r="DF43" s="270"/>
      <c r="DG43" s="67">
        <f t="shared" si="302"/>
        <v>177.29859743852461</v>
      </c>
      <c r="DH43" s="105">
        <v>66</v>
      </c>
      <c r="DI43" s="67">
        <f t="shared" si="303"/>
        <v>111.2985974385246</v>
      </c>
      <c r="DJ43" s="67"/>
      <c r="DK43" s="34">
        <f t="shared" si="304"/>
        <v>0.25</v>
      </c>
      <c r="DL43" s="159"/>
      <c r="DM43" s="159"/>
      <c r="DN43" s="68">
        <f t="shared" si="305"/>
        <v>152.85707038834948</v>
      </c>
      <c r="DO43" s="105">
        <v>66</v>
      </c>
      <c r="DP43" s="67">
        <f t="shared" si="306"/>
        <v>86.857070388349499</v>
      </c>
      <c r="DQ43" s="67"/>
      <c r="DR43" s="34">
        <f t="shared" si="307"/>
        <v>0.25</v>
      </c>
      <c r="DS43" s="294"/>
      <c r="DT43" s="294"/>
      <c r="DU43" s="294"/>
      <c r="DV43" s="67">
        <f t="shared" si="262"/>
        <v>113.02830575455374</v>
      </c>
      <c r="DW43" s="67">
        <f t="shared" si="262"/>
        <v>75.928773275045529</v>
      </c>
      <c r="DX43" s="67">
        <f t="shared" si="262"/>
        <v>37.099532479508184</v>
      </c>
      <c r="DY43" s="67">
        <f t="shared" si="263"/>
        <v>113.02830575455374</v>
      </c>
      <c r="DZ43" s="67">
        <f t="shared" si="263"/>
        <v>75.928773275045529</v>
      </c>
      <c r="EA43" s="67">
        <f t="shared" si="264"/>
        <v>37.099532479508198</v>
      </c>
      <c r="EB43" s="67">
        <f t="shared" si="265"/>
        <v>87.969131502299433</v>
      </c>
      <c r="EC43" s="67">
        <f t="shared" si="265"/>
        <v>59.0167747061829</v>
      </c>
      <c r="ED43" s="67">
        <f t="shared" si="266"/>
        <v>28.952356796116504</v>
      </c>
      <c r="EE43" s="68">
        <f t="shared" si="308"/>
        <v>80.309058577553856</v>
      </c>
      <c r="EF43" s="67">
        <f t="shared" si="309"/>
        <v>52.029219201400572</v>
      </c>
      <c r="EG43" s="67">
        <f t="shared" si="310"/>
        <v>28.279839376153276</v>
      </c>
      <c r="EH43" s="261">
        <f t="shared" si="311"/>
        <v>80.309058577553856</v>
      </c>
      <c r="EI43" s="502">
        <f t="shared" si="312"/>
        <v>0.71052165244296184</v>
      </c>
      <c r="EJ43" s="108">
        <f t="shared" si="313"/>
        <v>52.029219201400579</v>
      </c>
      <c r="EK43" s="126">
        <f>'Allometrics &amp; Decay rates'!$H$5*$AL43*BL43+'Allometrics &amp; Decay rates'!$H$6*$AM43*BM43+'Allometrics &amp; Decay rates'!$H$7*$AN43*BN43+'Allometrics &amp; Decay rates'!$H$8*$AO43*BO43+'Allometrics &amp; Decay rates'!$H$9*$AP43*BP43+'Allometrics &amp; Decay rates'!$H$10*$AQ43*BQ43+'Allometrics &amp; Decay rates'!$H$11*$AR43*BR43+'Allometrics &amp; Decay rates'!$H$12*$AS43*BS43+'Allometrics &amp; Decay rates'!$H$13*$AT43*BT43</f>
        <v>60.914867515617473</v>
      </c>
      <c r="EL43" s="97">
        <f t="shared" si="314"/>
        <v>57.114351685783106</v>
      </c>
      <c r="EM43" s="550">
        <f>AL43*BL43*('Allometrics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50.310562186423823</v>
      </c>
      <c r="EN43" s="550">
        <f>AM43*BM43*('Allometrics &amp; Decay rates'!$I$6*((EXP('Allometrics &amp; Decay rates'!$K$6)-1)/('Discounting metrics'!$D$4+'Allometrics &amp; Decay rates'!$K$6)*(1-EXP(-('Discounting metrics'!$D$4+'Allometrics &amp; Decay rates'!$K$6)*'Discounting metrics'!$E$4))-(1-EXP(-'Allometrics &amp; Decay rates'!$K$6))/1.55)+'Allometrics &amp; Decay rates'!$E$6*((EXP('Allometrics &amp; Decay rates'!$L$6)-1)/('Discounting metrics'!$D$4+'Allometrics &amp; Decay rates'!$L$6)*(1-EXP(-('Discounting metrics'!$D$4+'Allometrics &amp; Decay rates'!$L$6)*'Discounting metrics'!$E$4))-(1-EXP(-'Allometrics &amp; Decay rates'!$L$6))/1.55))</f>
        <v>2.7542885101334409E-2</v>
      </c>
      <c r="EO43" s="550">
        <f>AN43*BN43*('Allometrics &amp; Decay rates'!$I$7*((EXP('Allometrics &amp; Decay rates'!$K$7)-1)/('Discounting metrics'!$D$4+'Allometrics &amp; Decay rates'!$K$7)*(1-EXP(-('Discounting metrics'!$D$4+'Allometrics &amp; Decay rates'!$K$7)*'Discounting metrics'!$E$4))-(1-EXP(-'Allometrics &amp; Decay rates'!$K$7))/1.55)+'Allometrics &amp; Decay rates'!$E$7*((EXP('Allometrics &amp; Decay rates'!$L$7)-1)/('Discounting metrics'!$D$4+'Allometrics &amp; Decay rates'!$L$7)*(1-EXP(-('Discounting metrics'!$D$4+'Allometrics &amp; Decay rates'!$L$7)*'Discounting metrics'!$E$4))-(1-EXP(-'Allometrics &amp; Decay rates'!$L$7))/1.55))</f>
        <v>9.8893304239068549E-6</v>
      </c>
      <c r="EP43" s="550">
        <f>AO43*BO43*('Allometrics &amp; Decay rates'!$I$8*((EXP('Allometrics &amp; Decay rates'!$K$8)-1)/('Discounting metrics'!$D$4+'Allometrics &amp; Decay rates'!$K$8)*(1-EXP(-('Discounting metrics'!$D$4+'Allometrics &amp; Decay rates'!$K$8)*'Discounting metrics'!$E$4))-(1-EXP(-'Allometrics &amp; Decay rates'!$K$8))/1.55)+'Allometrics &amp; Decay rates'!$E$8*((EXP('Allometrics &amp; Decay rates'!$L$8)-1)/('Discounting metrics'!$D$4+'Allometrics &amp; Decay rates'!$L$8)*(1-EXP(-('Discounting metrics'!$D$4+'Allometrics &amp; Decay rates'!$L$8)*'Discounting metrics'!$E$4))-(1-EXP(-'Allometrics &amp; Decay rates'!$L$8))/1.55))</f>
        <v>4.5657659864259852</v>
      </c>
      <c r="EQ43" s="550">
        <f>AP43*BP43*('Allometrics &amp; Decay rates'!$I$9*((EXP('Allometrics &amp; Decay rates'!$K$9)-1)/('Discounting metrics'!$D$4+'Allometrics &amp; Decay rates'!$K$9)*(1-EXP(-('Discounting metrics'!$D$4+'Allometrics &amp; Decay rates'!$K$9)*'Discounting metrics'!$E$4))-(1-EXP(-'Allometrics &amp; Decay rates'!$K$9))/1.55)+'Allometrics &amp; Decay rates'!$E$9*((EXP('Allometrics &amp; Decay rates'!$L$9)-1)/('Discounting metrics'!$D$4+'Allometrics &amp; Decay rates'!$L$9)*(1-EXP(-('Discounting metrics'!$D$4+'Allometrics &amp; Decay rates'!$L$9)*'Discounting metrics'!$E$4))-(1-EXP(-'Allometrics &amp; Decay rates'!$L$9))/1.55))</f>
        <v>4.3915808713425073E-5</v>
      </c>
      <c r="ER43" s="550">
        <f>AQ43*BQ43*('Allometrics &amp; Decay rates'!$I$10*((EXP('Allometrics &amp; Decay rates'!$K$10)-1)/('Discounting metrics'!$D$4+'Allometrics &amp; Decay rates'!$K$10)*(1-EXP(-('Discounting metrics'!$D$4+'Allometrics &amp; Decay rates'!$K$10)*'Discounting metrics'!$E$4))-(1-EXP(-'Allometrics &amp; Decay rates'!$K$10))/1.55)+'Allometrics &amp; Decay rates'!$E$10*((EXP('Allometrics &amp; Decay rates'!$L$10)-1)/('Discounting metrics'!$D$4+'Allometrics &amp; Decay rates'!$L$10)*(1-EXP(-('Discounting metrics'!$D$4+'Allometrics &amp; Decay rates'!$L$10)*'Discounting metrics'!$E$4))-(1-EXP(-'Allometrics &amp; Decay rates'!$L$10))/1.55))</f>
        <v>4.4034402740760486E-6</v>
      </c>
      <c r="ES43" s="550">
        <f>AR43*BR43*('Allometrics &amp; Decay rates'!$I$11*((EXP('Allometrics &amp; Decay rates'!$K$11)-1)/('Discounting metrics'!$D$4+'Allometrics &amp; Decay rates'!$K$11)*(1-EXP(-('Discounting metrics'!$D$4+'Allometrics &amp; Decay rates'!$K$11)*'Discounting metrics'!$E$4))-(1-EXP(-'Allometrics &amp; Decay rates'!$K$11))/1.55)+'Allometrics &amp; Decay rates'!$E$11*((EXP('Allometrics &amp; Decay rates'!$L$11)-1)/('Discounting metrics'!$D$4+'Allometrics &amp; Decay rates'!$L$11)*(1-EXP(-('Discounting metrics'!$D$4+'Allometrics &amp; Decay rates'!$L$11)*'Discounting metrics'!$E$4))-(1-EXP(-'Allometrics &amp; Decay rates'!$L$11))/1.55))</f>
        <v>2.8805370553149637E-6</v>
      </c>
      <c r="ET43" s="550">
        <f>AS43*BS43*('Allometrics &amp; Decay rates'!$I$12*((EXP('Allometrics &amp; Decay rates'!$K$12)-1)/('Discounting metrics'!$D$4+'Allometrics &amp; Decay rates'!$K$12)*(1-EXP(-('Discounting metrics'!$D$4+'Allometrics &amp; Decay rates'!$K$12)*'Discounting metrics'!$E$4))-(1-EXP(-'Allometrics &amp; Decay rates'!$K$12))/1.55)+'Allometrics &amp; Decay rates'!$E$12*((EXP('Allometrics &amp; Decay rates'!$L$12)-1)/('Discounting metrics'!$D$4+'Allometrics &amp; Decay rates'!$L$12)*(1-EXP(-('Discounting metrics'!$D$4+'Allometrics &amp; Decay rates'!$L$12)*'Discounting metrics'!$E$4))-(1-EXP(-'Allometrics &amp; Decay rates'!$L$12))/1.55))</f>
        <v>2.2104195387155072</v>
      </c>
      <c r="EU43" s="550">
        <f>AT43*BT43*('Allometrics &amp; Decay rates'!$I$13*((EXP('Allometrics &amp; Decay rates'!$K$13)-1)/('Discounting metrics'!$D$4+'Allometrics &amp; Decay rates'!$K$13)*(1-EXP(-('Discounting metrics'!$D$4+'Allometrics &amp; Decay rates'!$K$13)*'Discounting metrics'!$E$4))-(1-EXP(-'Allometrics &amp; Decay rates'!$K$13))/1.55)+'Allometrics &amp; Decay rates'!$E$13*((EXP('Allometrics &amp; Decay rates'!$L$13)-1)/('Discounting metrics'!$D$4+'Allometrics &amp; Decay rates'!$L$13)*(1-EXP(-('Discounting metrics'!$D$4+'Allometrics &amp; Decay rates'!$L$13)*'Discounting metrics'!$E$4))-(1-EXP(-'Allometrics &amp; Decay rates'!$L$13))/1.55))</f>
        <v>0</v>
      </c>
      <c r="EV43" s="108">
        <f t="shared" si="315"/>
        <v>28.279839376153273</v>
      </c>
      <c r="EW43" s="550">
        <f>AL43*BV43*$DK43*((EXP('Allometrics &amp; Decay rates'!$M$5)-1)/('Discounting metrics'!$D$4+'Allometrics &amp; Decay rates'!$M$5)*(1-EXP(-('Discounting metrics'!$D$4+'Allometrics &amp; Decay rates'!$M$5)*'Discounting metrics'!$E$4))-(1-EXP(-'Allometrics &amp; Decay rates'!$M$5))/1.55)</f>
        <v>23.064405358806425</v>
      </c>
      <c r="EX43" s="550">
        <f>AM43*BW43*$DK43*((EXP('Allometrics &amp; Decay rates'!$M$5)-1)/('Discounting metrics'!$D$4+'Allometrics &amp; Decay rates'!$M$5)*(1-EXP(-('Discounting metrics'!$D$4+'Allometrics &amp; Decay rates'!$M$5)*'Discounting metrics'!$E$4))-(1-EXP(-'Allometrics &amp; Decay rates'!$M$5))/1.55)</f>
        <v>1.6015218126842611E-2</v>
      </c>
      <c r="EY43" s="550">
        <f>AN43*BX43*$DK43*((EXP('Allometrics &amp; Decay rates'!$M$5)-1)/('Discounting metrics'!$D$4+'Allometrics &amp; Decay rates'!$M$5)*(1-EXP(-('Discounting metrics'!$D$4+'Allometrics &amp; Decay rates'!$M$5)*'Discounting metrics'!$E$4))-(1-EXP(-'Allometrics &amp; Decay rates'!$M$5))/1.55)</f>
        <v>3.1674542517533165E-5</v>
      </c>
      <c r="EZ43" s="550">
        <f>AO43*BY43*$DK43*((EXP('Allometrics &amp; Decay rates'!$M$5)-1)/('Discounting metrics'!$D$4+'Allometrics &amp; Decay rates'!$M$5)*(1-EXP(-('Discounting metrics'!$D$4+'Allometrics &amp; Decay rates'!$M$5)*'Discounting metrics'!$E$4))-(1-EXP(-'Allometrics &amp; Decay rates'!$M$5))/1.55)</f>
        <v>5.1992515914454156</v>
      </c>
      <c r="FA43" s="550">
        <f>AP43*BZ43*$DK43*((EXP('Allometrics &amp; Decay rates'!$M$5)-1)/('Discounting metrics'!$D$4+'Allometrics &amp; Decay rates'!$M$5)*(1-EXP(-('Discounting metrics'!$D$4+'Allometrics &amp; Decay rates'!$M$5)*'Discounting metrics'!$E$4))-(1-EXP(-'Allometrics &amp; Decay rates'!$M$5))/1.55)</f>
        <v>1.0320918348409681E-4</v>
      </c>
      <c r="FB43" s="550">
        <f>AQ43*CA43*$DK43*((EXP('Allometrics &amp; Decay rates'!$M$5)-1)/('Discounting metrics'!$D$4+'Allometrics &amp; Decay rates'!$M$5)*(1-EXP(-('Discounting metrics'!$D$4+'Allometrics &amp; Decay rates'!$M$5)*'Discounting metrics'!$E$4))-(1-EXP(-'Allometrics &amp; Decay rates'!$M$5))/1.55)</f>
        <v>2.669203021140435E-5</v>
      </c>
      <c r="FC43" s="550">
        <f>AR43*CB43*$DK43*((EXP('Allometrics &amp; Decay rates'!$M$5)-1)/('Discounting metrics'!$D$4+'Allometrics &amp; Decay rates'!$M$5)*(1-EXP(-('Discounting metrics'!$D$4+'Allometrics &amp; Decay rates'!$M$5)*'Discounting metrics'!$E$4))-(1-EXP(-'Allometrics &amp; Decay rates'!$M$5))/1.55)</f>
        <v>5.6320183746063176E-6</v>
      </c>
      <c r="FD43" s="261">
        <f t="shared" si="316"/>
        <v>56.902160221937095</v>
      </c>
      <c r="FE43" s="154">
        <f t="shared" si="317"/>
        <v>0.6468423553829189</v>
      </c>
      <c r="FF43" s="108">
        <f t="shared" si="318"/>
        <v>36.83133551135839</v>
      </c>
      <c r="FG43" s="126">
        <f>'Allometrics &amp; Decay rates'!$H$5*$AU43*CG43+'Allometrics &amp; Decay rates'!$H$6*$AV43*CH43+'Allometrics &amp; Decay rates'!$H$7*$AW43*CI43+'Allometrics &amp; Decay rates'!$H$8*$AX43*CJ43+'Allometrics &amp; Decay rates'!$H$9*$AY43*CK43+'Allometrics &amp; Decay rates'!$H$10*$AZ43*CL43+'Allometrics &amp; Decay rates'!$H$11*$BA43*CM43+'Allometrics &amp; Decay rates'!$H$12*$BB43*CN43+'Allometrics &amp; Decay rates'!$H$13*$BC43*CO43</f>
        <v>53.821312790738261</v>
      </c>
      <c r="FH43" s="97">
        <f t="shared" si="319"/>
        <v>49.010022720620135</v>
      </c>
      <c r="FI43" s="550">
        <f>AU43*CG43*('Allometrics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43.131045811718799</v>
      </c>
      <c r="FJ43" s="550">
        <f>AV43*CH43*('Allometrics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1.6225975155586006E-2</v>
      </c>
      <c r="FK43" s="550">
        <f>AW43*CI43*('Allometrics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L43" s="550">
        <f>AX43*CJ43*('Allometrics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0.27132196247381618</v>
      </c>
      <c r="FM43" s="550">
        <f>AY43*CK43*('Allometrics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N43" s="550">
        <f>AZ43*CL43*('Allometrics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O43" s="550">
        <f>BA43*CM43*('Allometrics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7.8125065563932621E-5</v>
      </c>
      <c r="FP43" s="550">
        <f>BB43*CN43*('Allometrics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5.5913508462063772</v>
      </c>
      <c r="FQ43" s="550">
        <f>BC43*CO43*('Allometrics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R43" s="108">
        <f t="shared" si="320"/>
        <v>20.070824710578705</v>
      </c>
      <c r="FS43" s="550">
        <f>AU43*CQ43*$DK43*((EXP('Allometrics &amp; Decay rates'!$M$5)-1)/('Discounting metrics'!$D$4+'Allometrics &amp; Decay rates'!$M$5)*(1-EXP(-('Discounting metrics'!$D$4+'Allometrics &amp; Decay rates'!$M$5)*'Discounting metrics'!$E$4))-(1-EXP(-'Allometrics &amp; Decay rates'!$M$5))/1.55)</f>
        <v>19.632415129300171</v>
      </c>
      <c r="FT43" s="550">
        <f>AV43*CR43*$DK43*((EXP('Allometrics &amp; Decay rates'!$M$5)-1)/('Discounting metrics'!$D$4+'Allometrics &amp; Decay rates'!$M$5)*(1-EXP(-('Discounting metrics'!$D$4+'Allometrics &amp; Decay rates'!$M$5)*'Discounting metrics'!$E$4))-(1-EXP(-'Allometrics &amp; Decay rates'!$M$5))/1.55)</f>
        <v>8.6860258149365106E-3</v>
      </c>
      <c r="FU43" s="550">
        <f>AW43*CS43*$DK43*((EXP('Allometrics &amp; Decay rates'!$M$5)-1)/('Discounting metrics'!$D$4+'Allometrics &amp; Decay rates'!$M$5)*(1-EXP(-('Discounting metrics'!$D$4+'Allometrics &amp; Decay rates'!$M$5)*'Discounting metrics'!$E$4))-(1-EXP(-'Allometrics &amp; Decay rates'!$M$5))/1.55)</f>
        <v>0</v>
      </c>
      <c r="FV43" s="550">
        <f>AX43*CT43*$DK43*((EXP('Allometrics &amp; Decay rates'!$M$5)-1)/('Discounting metrics'!$D$4+'Allometrics &amp; Decay rates'!$M$5)*(1-EXP(-('Discounting metrics'!$D$4+'Allometrics &amp; Decay rates'!$M$5)*'Discounting metrics'!$E$4))-(1-EXP(-'Allometrics &amp; Decay rates'!$M$5))/1.55)</f>
        <v>0.42964568074939657</v>
      </c>
      <c r="FW43" s="550">
        <f>AY43*CU43*$DK43*((EXP('Allometrics &amp; Decay rates'!$M$5)-1)/('Discounting metrics'!$D$4+'Allometrics &amp; Decay rates'!$M$5)*(1-EXP(-('Discounting metrics'!$D$4+'Allometrics &amp; Decay rates'!$M$5)*'Discounting metrics'!$E$4))-(1-EXP(-'Allometrics &amp; Decay rates'!$M$5))/1.55)</f>
        <v>0</v>
      </c>
      <c r="FX43" s="550">
        <f>AZ43*CV43*$DK43*((EXP('Allometrics &amp; Decay rates'!$M$5)-1)/('Discounting metrics'!$D$4+'Allometrics &amp; Decay rates'!$M$5)*(1-EXP(-('Discounting metrics'!$D$4+'Allometrics &amp; Decay rates'!$M$5)*'Discounting metrics'!$E$4))-(1-EXP(-'Allometrics &amp; Decay rates'!$M$5))/1.55)</f>
        <v>0</v>
      </c>
      <c r="FY43" s="550">
        <f>BA43*CW43*$DK43*((EXP('Allometrics &amp; Decay rates'!$M$5)-1)/('Discounting metrics'!$D$4+'Allometrics &amp; Decay rates'!$M$5)*(1-EXP(-('Discounting metrics'!$D$4+'Allometrics &amp; Decay rates'!$M$5)*'Discounting metrics'!$E$4))-(1-EXP(-'Allometrics &amp; Decay rates'!$M$5))/1.55)</f>
        <v>7.7874714202879041E-5</v>
      </c>
      <c r="FZ43" s="68"/>
      <c r="GA43" s="293"/>
      <c r="GB43" s="293"/>
      <c r="GP43" s="32">
        <f t="shared" si="321"/>
        <v>9.84</v>
      </c>
      <c r="GQ43" s="33">
        <v>9.84</v>
      </c>
      <c r="GR43" s="99">
        <v>8.44</v>
      </c>
      <c r="GS43" s="99"/>
      <c r="GT43" s="99"/>
      <c r="GU43" s="99"/>
      <c r="GV43" s="99"/>
      <c r="GW43" s="99"/>
      <c r="GX43" s="99"/>
      <c r="GY43" s="99"/>
      <c r="GZ43" s="99"/>
      <c r="HA43" s="99"/>
      <c r="HB43" s="99"/>
      <c r="HF43" s="97">
        <f t="shared" si="322"/>
        <v>0.6416267735208685</v>
      </c>
      <c r="HG43" s="526">
        <f>EE43/'Discounting metrics'!E$4/M43</f>
        <v>1.394840812001888</v>
      </c>
      <c r="HH43" s="527">
        <f t="shared" si="323"/>
        <v>107.2954470770683</v>
      </c>
      <c r="HI43" s="528">
        <f t="shared" si="324"/>
        <v>46.494693733396268</v>
      </c>
      <c r="HJ43" s="97">
        <f t="shared" si="325"/>
        <v>0.6416267735208685</v>
      </c>
      <c r="HK43" s="526">
        <f>EH43/'Discounting metrics'!E$4/O43</f>
        <v>1.394840812001888</v>
      </c>
      <c r="HL43" s="527">
        <f t="shared" si="326"/>
        <v>107.2954470770683</v>
      </c>
      <c r="HM43" s="528">
        <f t="shared" si="327"/>
        <v>46.494693733396268</v>
      </c>
      <c r="HN43" s="97">
        <f t="shared" si="328"/>
        <v>0.27968059990675503</v>
      </c>
      <c r="HO43" s="526">
        <f>FD43/'Discounting metrics'!E$4/Q43</f>
        <v>0.60800130414511966</v>
      </c>
      <c r="HP43" s="527">
        <f t="shared" si="329"/>
        <v>46.769331088086126</v>
      </c>
      <c r="HQ43" s="528">
        <f t="shared" si="330"/>
        <v>20.266710138170655</v>
      </c>
      <c r="HR43" s="97">
        <f t="shared" si="331"/>
        <v>0.96246119569365929</v>
      </c>
      <c r="HS43" s="263">
        <f t="shared" si="332"/>
        <v>2.0923069471601288</v>
      </c>
      <c r="HT43" s="527">
        <f t="shared" si="333"/>
        <v>160.94668824308684</v>
      </c>
      <c r="HU43" s="528">
        <f t="shared" si="334"/>
        <v>69.743564905337635</v>
      </c>
      <c r="HV43" s="97">
        <f t="shared" si="335"/>
        <v>0.96246119569365929</v>
      </c>
      <c r="HW43" s="263">
        <f t="shared" si="269"/>
        <v>2.0923069471601288</v>
      </c>
      <c r="HX43" s="527">
        <f t="shared" si="336"/>
        <v>160.94668824308684</v>
      </c>
      <c r="HY43" s="528">
        <f t="shared" si="337"/>
        <v>69.743564905337635</v>
      </c>
      <c r="HZ43" s="97">
        <f t="shared" si="338"/>
        <v>1.0791600000000001</v>
      </c>
      <c r="IA43" s="263">
        <f t="shared" si="270"/>
        <v>1.1040491069851102</v>
      </c>
      <c r="IB43" s="527">
        <f t="shared" si="339"/>
        <v>180.46153846153845</v>
      </c>
      <c r="IC43" s="528">
        <f t="shared" si="340"/>
        <v>78.2</v>
      </c>
      <c r="ID43" s="97">
        <f t="shared" si="341"/>
        <v>1.9294117647058822</v>
      </c>
      <c r="IE43" s="263">
        <f t="shared" si="271"/>
        <v>4.1943734015345262</v>
      </c>
      <c r="IF43" s="68">
        <f t="shared" si="342"/>
        <v>322.64410781034815</v>
      </c>
      <c r="IG43" s="97">
        <f t="shared" si="343"/>
        <v>1.9294117647058822</v>
      </c>
      <c r="IH43" s="263">
        <f t="shared" si="272"/>
        <v>4.1943734015345262</v>
      </c>
      <c r="II43" s="68">
        <f t="shared" si="344"/>
        <v>322.64410781034815</v>
      </c>
      <c r="IJ43" s="97">
        <f t="shared" si="345"/>
        <v>1.0180940892641737</v>
      </c>
      <c r="IK43" s="263">
        <f t="shared" si="273"/>
        <v>2.2132480201395079</v>
      </c>
      <c r="IL43" s="68">
        <f t="shared" si="346"/>
        <v>170.24984770303905</v>
      </c>
      <c r="IM43" s="60"/>
      <c r="IN43" s="60"/>
      <c r="IO43" s="60"/>
      <c r="IP43" s="554">
        <f t="shared" si="347"/>
        <v>26.766154799999995</v>
      </c>
      <c r="IQ43" s="262">
        <f t="shared" si="348"/>
        <v>0.47711505882352934</v>
      </c>
      <c r="IR43" s="166">
        <f t="shared" si="349"/>
        <v>1.0372066496163681</v>
      </c>
      <c r="IS43" s="68">
        <f t="shared" si="350"/>
        <v>79.785126893566783</v>
      </c>
      <c r="IT43" s="97">
        <f t="shared" si="351"/>
        <v>34.573554987212269</v>
      </c>
      <c r="IU43" s="429">
        <f t="shared" si="352"/>
        <v>4.4600000000000001E-2</v>
      </c>
      <c r="IV43" s="262">
        <f t="shared" si="353"/>
        <v>0.47711505882352934</v>
      </c>
      <c r="IW43" s="436">
        <f t="shared" si="354"/>
        <v>1.0372066496163681</v>
      </c>
      <c r="IX43" s="101">
        <v>4.4600000000000001E-2</v>
      </c>
      <c r="IY43" s="433">
        <v>1</v>
      </c>
      <c r="IZ43" s="433">
        <v>0</v>
      </c>
      <c r="JA43" s="434">
        <f>1-IY43-IZ43</f>
        <v>0</v>
      </c>
      <c r="JB43" s="430">
        <f>IY43*$JJ43+IZ43*$JK43+JA43*$JL43+'Discounting metrics'!$B$6*(IY43*$JM43+IZ43*$JN43+JA43*$JO43)/10^3+'Discounting metrics'!$B$5*(IY43*$JP43+IZ43*$JQ43+JA43*$JR43)/10^3</f>
        <v>54.558</v>
      </c>
      <c r="JC43" s="262">
        <f t="shared" si="355"/>
        <v>0</v>
      </c>
      <c r="JD43" s="436">
        <f t="shared" si="356"/>
        <v>0</v>
      </c>
      <c r="JE43" s="101">
        <v>0</v>
      </c>
      <c r="JF43" s="433">
        <v>1</v>
      </c>
      <c r="JG43" s="433">
        <v>0</v>
      </c>
      <c r="JH43" s="434">
        <f t="shared" si="398"/>
        <v>0</v>
      </c>
      <c r="JI43" s="430">
        <f>JF43*$JJ43+JG43*$JK43+JH43*$JL43+'Discounting metrics'!$B$6*(JF43*$JM43+JG43*$JN43+JH43*$JO43)/10^3+'Discounting metrics'!$B$5*(JF43*$JP43+JG43*$JQ43+JH43*$JR43)/10^3</f>
        <v>54.558</v>
      </c>
      <c r="JJ43" s="431">
        <v>51.3</v>
      </c>
      <c r="JK43" s="431">
        <v>29</v>
      </c>
      <c r="JL43" s="431">
        <v>29</v>
      </c>
      <c r="JM43" s="99">
        <v>5</v>
      </c>
      <c r="JN43" s="431">
        <v>13</v>
      </c>
      <c r="JO43" s="431">
        <v>13</v>
      </c>
      <c r="JP43" s="431">
        <v>52</v>
      </c>
      <c r="JQ43" s="431">
        <v>58.3</v>
      </c>
      <c r="JR43" s="431">
        <v>58.3</v>
      </c>
      <c r="JS43" s="554">
        <f t="shared" si="358"/>
        <v>6.2614985699639991</v>
      </c>
      <c r="JT43" s="554">
        <f t="shared" si="359"/>
        <v>1.1330534918340001</v>
      </c>
      <c r="JU43" s="554">
        <f t="shared" si="360"/>
        <v>0.40010813964000003</v>
      </c>
      <c r="JV43" s="554">
        <f t="shared" si="361"/>
        <v>3.4086175543199997</v>
      </c>
      <c r="JW43" s="554">
        <f t="shared" si="362"/>
        <v>1.3197193841699999</v>
      </c>
      <c r="JX43" s="554"/>
      <c r="JY43" s="167">
        <f t="shared" si="363"/>
        <v>0.11161316524000001</v>
      </c>
      <c r="JZ43" s="166">
        <f t="shared" si="364"/>
        <v>0.24263731573913044</v>
      </c>
      <c r="KA43" s="68">
        <f t="shared" si="365"/>
        <v>18.664408903010035</v>
      </c>
      <c r="KB43" s="97">
        <f t="shared" si="366"/>
        <v>8.0879105246376817</v>
      </c>
      <c r="KC43" s="473">
        <f t="shared" si="367"/>
        <v>2.732908434E-2</v>
      </c>
      <c r="KD43" s="269">
        <f t="shared" si="368"/>
        <v>5.941105291304348E-2</v>
      </c>
      <c r="KE43" s="473">
        <f t="shared" si="369"/>
        <v>8.4284080900000002E-2</v>
      </c>
      <c r="KF43" s="269">
        <f t="shared" si="370"/>
        <v>0.18322626282608695</v>
      </c>
      <c r="KG43" s="123"/>
      <c r="KH43" s="49"/>
      <c r="KI43" s="435">
        <v>2.0197031940000002E-2</v>
      </c>
      <c r="KJ43" s="522">
        <f t="shared" si="371"/>
        <v>4.3906591173913045E-2</v>
      </c>
      <c r="KK43" s="435">
        <v>7.1320524E-3</v>
      </c>
      <c r="KL43" s="522">
        <f t="shared" si="372"/>
        <v>1.5504461739130435E-2</v>
      </c>
      <c r="KM43" s="435">
        <v>6.0759671199999997E-2</v>
      </c>
      <c r="KN43" s="522">
        <f t="shared" si="373"/>
        <v>0.13208624173913042</v>
      </c>
      <c r="KO43" s="435">
        <v>2.3524409699999999E-2</v>
      </c>
      <c r="KP43" s="522">
        <f t="shared" si="374"/>
        <v>5.1140021086956519E-2</v>
      </c>
      <c r="KQ43" s="599">
        <f t="shared" si="375"/>
        <v>6.3942602760290876</v>
      </c>
      <c r="KR43" s="527">
        <f t="shared" si="376"/>
        <v>491.8661750791606</v>
      </c>
      <c r="KS43" s="528">
        <f t="shared" si="377"/>
        <v>213.1420092009696</v>
      </c>
      <c r="KT43" s="599">
        <f t="shared" si="378"/>
        <v>6.3942602760290876</v>
      </c>
      <c r="KU43" s="527">
        <f t="shared" si="379"/>
        <v>491.8661750791606</v>
      </c>
      <c r="KV43" s="528">
        <f t="shared" si="380"/>
        <v>213.1420092009696</v>
      </c>
      <c r="KW43" s="599">
        <f t="shared" si="381"/>
        <v>2.4719754309379027</v>
      </c>
      <c r="KX43" s="527">
        <f t="shared" si="382"/>
        <v>190.15195622599251</v>
      </c>
      <c r="KY43" s="528">
        <f t="shared" si="383"/>
        <v>82.399181031263424</v>
      </c>
      <c r="KZ43" s="599">
        <f t="shared" si="384"/>
        <v>8.9516361049426365</v>
      </c>
      <c r="LA43" s="527">
        <f t="shared" si="385"/>
        <v>688.58739268789509</v>
      </c>
      <c r="LB43" s="528">
        <f t="shared" si="386"/>
        <v>298.38787016475459</v>
      </c>
      <c r="LC43" s="599">
        <f t="shared" si="387"/>
        <v>8.9516361049426365</v>
      </c>
      <c r="LD43" s="527">
        <f t="shared" si="388"/>
        <v>688.58739268789509</v>
      </c>
      <c r="LE43" s="528">
        <f t="shared" si="389"/>
        <v>298.38787016475459</v>
      </c>
      <c r="LF43" s="599">
        <f t="shared" si="390"/>
        <v>8.8446373157391314</v>
      </c>
      <c r="LG43" s="527">
        <f t="shared" si="391"/>
        <v>680.35671659531783</v>
      </c>
      <c r="LH43" s="528">
        <f t="shared" si="392"/>
        <v>294.82124385797107</v>
      </c>
      <c r="LI43" s="31">
        <v>0.46</v>
      </c>
      <c r="LJ43" s="32">
        <f t="shared" si="393"/>
        <v>10.81</v>
      </c>
      <c r="LK43" s="33">
        <v>23.5</v>
      </c>
      <c r="LL43" s="32">
        <f t="shared" si="394"/>
        <v>5.98</v>
      </c>
      <c r="LM43" s="33">
        <v>13</v>
      </c>
      <c r="LN43" s="36">
        <f t="shared" si="395"/>
        <v>1.38E-2</v>
      </c>
      <c r="LO43" s="35">
        <v>0.03</v>
      </c>
      <c r="LP43" s="34">
        <f t="shared" si="396"/>
        <v>0.12420000000000002</v>
      </c>
      <c r="LQ43" s="31">
        <v>0.27</v>
      </c>
    </row>
    <row r="44" spans="1:329" s="60" customFormat="1" x14ac:dyDescent="0.25">
      <c r="A44" s="102"/>
      <c r="B44" s="68"/>
      <c r="C44" s="99"/>
      <c r="D44" s="99"/>
      <c r="E44" s="99"/>
      <c r="F44" s="97"/>
      <c r="G44" s="4"/>
      <c r="H44" s="99"/>
      <c r="J44" s="99"/>
      <c r="M44" s="97"/>
      <c r="N44" s="97"/>
      <c r="O44" s="97"/>
      <c r="P44" s="97"/>
      <c r="Q44" s="97"/>
      <c r="R44" s="97"/>
      <c r="S44" s="97"/>
      <c r="T44" s="97"/>
      <c r="U44" s="98"/>
      <c r="V44" s="68"/>
      <c r="W44" s="68"/>
      <c r="AL44" s="433"/>
      <c r="AM44" s="433"/>
      <c r="AN44" s="433"/>
      <c r="AO44" s="433"/>
      <c r="AP44" s="433"/>
      <c r="AQ44" s="433"/>
      <c r="AR44" s="433"/>
      <c r="AS44" s="433"/>
      <c r="AT44" s="433"/>
      <c r="AU44" s="602"/>
      <c r="AV44" s="602"/>
      <c r="AW44" s="602"/>
      <c r="AX44" s="602"/>
      <c r="AY44" s="602"/>
      <c r="AZ44" s="602"/>
      <c r="BA44" s="602"/>
      <c r="BB44" s="602"/>
      <c r="BC44" s="602"/>
      <c r="BG44" s="4"/>
      <c r="BH44" s="4"/>
      <c r="BI44" s="4"/>
      <c r="BJ44" s="68"/>
      <c r="BK44" s="106"/>
      <c r="BL44" s="145"/>
      <c r="BM44" s="145"/>
      <c r="BN44" s="145"/>
      <c r="BO44" s="145"/>
      <c r="BP44" s="145"/>
      <c r="BQ44" s="145"/>
      <c r="BR44" s="145"/>
      <c r="BS44" s="145"/>
      <c r="BT44" s="145"/>
      <c r="BU44" s="106"/>
      <c r="BV44" s="145"/>
      <c r="BW44" s="145"/>
      <c r="BX44" s="145"/>
      <c r="BY44" s="145"/>
      <c r="BZ44" s="145"/>
      <c r="CA44" s="145"/>
      <c r="CB44" s="145"/>
      <c r="CC44" s="145"/>
      <c r="CD44" s="145"/>
      <c r="CF44" s="106"/>
      <c r="CG44" s="145"/>
      <c r="CH44" s="145"/>
      <c r="CI44" s="145"/>
      <c r="CJ44" s="145"/>
      <c r="CK44" s="145"/>
      <c r="CL44" s="145"/>
      <c r="CM44" s="145"/>
      <c r="CN44" s="145"/>
      <c r="CO44" s="145"/>
      <c r="CP44" s="106"/>
      <c r="CQ44" s="145"/>
      <c r="CR44" s="145"/>
      <c r="CS44" s="145"/>
      <c r="CT44" s="145"/>
      <c r="CU44" s="145"/>
      <c r="CV44" s="145"/>
      <c r="CW44" s="145"/>
      <c r="CX44" s="145"/>
      <c r="CY44" s="145"/>
      <c r="DC44" s="32"/>
      <c r="DD44" s="32"/>
      <c r="DE44" s="67"/>
      <c r="DF44" s="270"/>
      <c r="DL44" s="123"/>
      <c r="DM44" s="123"/>
      <c r="EI44" s="123"/>
      <c r="EM44" s="542"/>
      <c r="EN44" s="126"/>
      <c r="EO44" s="126"/>
      <c r="EP44" s="126"/>
      <c r="EQ44" s="126"/>
      <c r="ER44" s="126"/>
      <c r="ES44" s="126"/>
      <c r="ET44" s="126"/>
      <c r="EU44" s="126"/>
      <c r="EW44" s="542"/>
      <c r="EX44" s="542"/>
      <c r="EY44" s="542"/>
      <c r="EZ44" s="542"/>
      <c r="FA44" s="542"/>
      <c r="FB44" s="542"/>
      <c r="FC44" s="542"/>
      <c r="FI44" s="542"/>
      <c r="FJ44" s="542"/>
      <c r="FK44" s="542"/>
      <c r="FL44" s="542"/>
      <c r="FM44" s="542"/>
      <c r="FN44" s="542"/>
      <c r="FO44" s="542"/>
      <c r="FP44" s="542"/>
      <c r="FQ44" s="542"/>
      <c r="FS44" s="542"/>
      <c r="FT44" s="542"/>
      <c r="FU44" s="542"/>
      <c r="FV44" s="542"/>
      <c r="FW44" s="542"/>
      <c r="FX44" s="542"/>
      <c r="FY44" s="542"/>
      <c r="GQ44" s="99"/>
      <c r="GR44" s="99"/>
      <c r="GS44" s="99"/>
      <c r="GT44" s="99"/>
      <c r="GU44" s="99"/>
      <c r="GV44" s="99"/>
      <c r="GW44" s="99"/>
      <c r="GX44" s="99"/>
      <c r="GY44" s="99"/>
      <c r="GZ44" s="99"/>
      <c r="HA44" s="99"/>
      <c r="HB44" s="99"/>
      <c r="HF44" s="97"/>
      <c r="HG44" s="522"/>
      <c r="HI44" s="68"/>
      <c r="HJ44" s="97"/>
      <c r="HK44" s="522"/>
      <c r="HM44" s="68"/>
      <c r="HN44" s="97"/>
      <c r="HO44" s="522"/>
      <c r="HQ44" s="68"/>
      <c r="HR44" s="97"/>
      <c r="HS44" s="97"/>
      <c r="HU44" s="68"/>
      <c r="HV44" s="97"/>
      <c r="HW44" s="97"/>
      <c r="HY44" s="68"/>
      <c r="HZ44" s="97"/>
      <c r="IA44" s="97"/>
      <c r="IC44" s="68"/>
      <c r="ID44" s="97"/>
      <c r="IG44" s="97"/>
      <c r="IJ44" s="97"/>
      <c r="IP44" s="97"/>
      <c r="IQ44" s="123"/>
      <c r="IR44" s="68"/>
      <c r="IT44" s="97"/>
      <c r="IU44" s="601"/>
      <c r="IV44" s="123"/>
      <c r="IX44" s="100"/>
      <c r="IY44" s="100"/>
      <c r="IZ44" s="100"/>
      <c r="JA44" s="100"/>
      <c r="JB44" s="100"/>
      <c r="JC44" s="123"/>
      <c r="JE44" s="100"/>
      <c r="JF44" s="100"/>
      <c r="JG44" s="100"/>
      <c r="JH44" s="100"/>
      <c r="JI44" s="100"/>
      <c r="JJ44" s="97"/>
      <c r="JK44" s="97"/>
      <c r="JL44" s="97"/>
      <c r="JM44" s="97"/>
      <c r="JN44" s="97"/>
      <c r="JO44" s="97"/>
      <c r="JP44" s="97"/>
      <c r="JQ44" s="97"/>
      <c r="JR44" s="97"/>
      <c r="JS44" s="97"/>
      <c r="JT44" s="97"/>
      <c r="JU44" s="97"/>
      <c r="JV44" s="97"/>
      <c r="JW44" s="97"/>
      <c r="JX44" s="97"/>
      <c r="JY44" s="606"/>
      <c r="JZ44" s="68"/>
      <c r="KB44" s="97"/>
      <c r="KC44" s="144"/>
      <c r="KD44" s="144"/>
      <c r="KE44" s="144"/>
      <c r="KF44" s="144"/>
      <c r="KG44" s="123"/>
      <c r="KH44" s="123"/>
      <c r="KI44" s="597"/>
      <c r="KJ44" s="123"/>
      <c r="KK44" s="597"/>
      <c r="KM44" s="607"/>
      <c r="KN44" s="68"/>
      <c r="KO44" s="597"/>
      <c r="KP44" s="144"/>
      <c r="LI44" s="96"/>
      <c r="LJ44" s="97"/>
      <c r="LK44" s="99"/>
      <c r="LL44" s="97"/>
      <c r="LM44" s="99"/>
      <c r="LN44" s="293"/>
      <c r="LO44" s="101"/>
      <c r="LP44" s="293"/>
      <c r="LQ44" s="96"/>
    </row>
    <row r="45" spans="1:329" s="4" customFormat="1" ht="13.8" x14ac:dyDescent="0.3">
      <c r="A45" s="15" t="s">
        <v>79</v>
      </c>
      <c r="B45" s="152">
        <f>B46+B47+B48+B49+B50</f>
        <v>52.940000000000005</v>
      </c>
      <c r="C45" s="152">
        <f t="shared" ref="C45:D45" si="399">C46+C47+C48+C49+C50</f>
        <v>48.500000000000007</v>
      </c>
      <c r="D45" s="152">
        <f t="shared" si="399"/>
        <v>4.4400000000000004</v>
      </c>
      <c r="E45" s="33"/>
      <c r="F45" s="153">
        <f t="shared" ref="F45:F50" si="400">U45/B45</f>
        <v>0.74292028711749136</v>
      </c>
      <c r="G45" s="267">
        <f t="shared" ref="G45:G50" si="401">V45/B45</f>
        <v>0.66780020778239513</v>
      </c>
      <c r="I45" s="153">
        <f>Y45/C45</f>
        <v>0.62480144329896903</v>
      </c>
      <c r="K45" s="153">
        <f>AA45/D45</f>
        <v>1.1374939189189188</v>
      </c>
      <c r="L45" s="153">
        <f>($B46*L46+$B47*L47+$B48*L48+$B49*L49+$B50*L50)/$B45</f>
        <v>0.18232830685388321</v>
      </c>
      <c r="M45" s="153">
        <f>($B46*M46+$B47*M47+$B48*M48+$B49*M49+$B50*M50)/$B45</f>
        <v>0.16389225508170777</v>
      </c>
      <c r="N45" s="153"/>
      <c r="O45" s="153">
        <f t="shared" ref="O45" si="402">($C46*O46+$C47*O47+$C48*O48+$C49*O49+$C50*O50)/$C45</f>
        <v>0.15333945142158631</v>
      </c>
      <c r="P45" s="153"/>
      <c r="Q45" s="153">
        <f>($D46*Q46+$D47*Q47+$D48*Q48+$D49*Q49+$D50*Q50)/$D45</f>
        <v>0.27916499776546722</v>
      </c>
      <c r="U45" s="152">
        <f t="shared" ref="U45:V45" si="403">U46+U47+U48+U49+U50</f>
        <v>39.330199999999998</v>
      </c>
      <c r="V45" s="153">
        <f t="shared" si="403"/>
        <v>35.353343000000002</v>
      </c>
      <c r="W45" s="592">
        <f>V45/V$17</f>
        <v>9.3234479035536316E-3</v>
      </c>
      <c r="Y45" s="152">
        <f t="shared" ref="Y45" si="404">Y46+Y47+Y48+Y49+Y50</f>
        <v>30.302870000000002</v>
      </c>
      <c r="AA45" s="152">
        <f t="shared" ref="AA45:BF45" si="405">AA46+AA47+AA48+AA49+AA50</f>
        <v>5.0504730000000002</v>
      </c>
      <c r="AB45" s="154"/>
      <c r="AC45" s="265">
        <f t="shared" ref="AC45:AK45" si="406">($B46*AC46+$B47*AC47+$B48*AC48+$B49*AC49+$B50*AC50)/$B45</f>
        <v>0.24699301955742584</v>
      </c>
      <c r="AD45" s="265">
        <f t="shared" si="406"/>
        <v>7.6388792402197633E-2</v>
      </c>
      <c r="AE45" s="265">
        <f t="shared" si="406"/>
        <v>3.708389856175226E-2</v>
      </c>
      <c r="AF45" s="265">
        <f t="shared" si="406"/>
        <v>0.39256190447069295</v>
      </c>
      <c r="AG45" s="265">
        <f t="shared" si="406"/>
        <v>5.7274654508142224E-2</v>
      </c>
      <c r="AH45" s="265">
        <f t="shared" si="406"/>
        <v>0.1285282041252003</v>
      </c>
      <c r="AI45" s="265">
        <f t="shared" si="406"/>
        <v>4.7971247783306782E-2</v>
      </c>
      <c r="AJ45" s="265">
        <f t="shared" si="406"/>
        <v>1.0315310486581046E-2</v>
      </c>
      <c r="AK45" s="265">
        <f t="shared" si="406"/>
        <v>2.860723110377513E-3</v>
      </c>
      <c r="AL45" s="603"/>
      <c r="AM45" s="603"/>
      <c r="AN45" s="603"/>
      <c r="AO45" s="603"/>
      <c r="AP45" s="603"/>
      <c r="AQ45" s="603"/>
      <c r="AR45" s="603"/>
      <c r="AS45" s="603"/>
      <c r="AT45" s="603"/>
      <c r="AU45" s="603"/>
      <c r="AV45" s="603"/>
      <c r="AW45" s="603"/>
      <c r="AX45" s="603"/>
      <c r="AY45" s="603"/>
      <c r="AZ45" s="603"/>
      <c r="BA45" s="603"/>
      <c r="BB45" s="603"/>
      <c r="BC45" s="603"/>
      <c r="BD45" s="152">
        <f t="shared" si="405"/>
        <v>6.7417904433250149</v>
      </c>
      <c r="BE45" s="152">
        <f t="shared" si="405"/>
        <v>2.087507630914649</v>
      </c>
      <c r="BF45" s="152">
        <f t="shared" si="405"/>
        <v>4.6542828124103668</v>
      </c>
      <c r="BG45" s="152">
        <f>($B46*BG46+$B47*BG47+$B48*BG48+$B49*BG49+$B50*BG50)/$B45</f>
        <v>127.34776054637352</v>
      </c>
      <c r="BH45" s="152">
        <f>($B46*BH46+$B47*BH47+$B48*BH48+$B49*BH49+$B50*BH50)/$B45</f>
        <v>39.431575952297862</v>
      </c>
      <c r="BI45" s="152">
        <f>($B46*BI46+$B47*BI47+$B48*BI48+$B49*BI49+$B50*BI50)/$B45</f>
        <v>87.916184594075673</v>
      </c>
      <c r="BJ45" s="152">
        <f>($C46*BJ46+$C47*BJ47+$C48*BJ48+$C49*BJ49+$C50*BJ50)/$C45</f>
        <v>130.88979617851436</v>
      </c>
      <c r="BK45" s="144">
        <f t="shared" ref="BK45:BU45" si="407">($C46*BK46+$C47*BK47+$C48*BK48+$C49*BK49+$C50*BK50)/$C45</f>
        <v>41.218428501165015</v>
      </c>
      <c r="BL45" s="144"/>
      <c r="BM45" s="144"/>
      <c r="BN45" s="144"/>
      <c r="BO45" s="144"/>
      <c r="BP45" s="144"/>
      <c r="BQ45" s="144"/>
      <c r="BR45" s="144"/>
      <c r="BS45" s="144"/>
      <c r="BT45" s="144"/>
      <c r="BU45" s="144">
        <f t="shared" si="407"/>
        <v>89.671367677349338</v>
      </c>
      <c r="BV45" s="144"/>
      <c r="BW45" s="144"/>
      <c r="BX45" s="144"/>
      <c r="BY45" s="144"/>
      <c r="BZ45" s="144"/>
      <c r="CA45" s="144"/>
      <c r="CB45" s="144"/>
      <c r="CC45" s="144"/>
      <c r="CD45" s="144"/>
      <c r="CE45" s="144">
        <f>($D46*CE46+$D47*CE47+$D48*CE48+$D49*CE49+$D50*CE50)/$D45</f>
        <v>88.656605555645982</v>
      </c>
      <c r="CF45" s="144">
        <f>($D46*CF46+$D47*CF47+$D48*CF48+$D49*CF49+$D50*CF50)/$D45</f>
        <v>19.913028965798489</v>
      </c>
      <c r="CG45" s="144"/>
      <c r="CH45" s="144"/>
      <c r="CI45" s="144"/>
      <c r="CJ45" s="144"/>
      <c r="CK45" s="144"/>
      <c r="CL45" s="144"/>
      <c r="CM45" s="144"/>
      <c r="CN45" s="144"/>
      <c r="CO45" s="144"/>
      <c r="CP45" s="144">
        <f>($D46*CP46+$D47*CP47+$D48*CP48+$D49*CP49+$D50*CP50)/$D45</f>
        <v>68.743576589847493</v>
      </c>
      <c r="CQ45" s="144"/>
      <c r="CR45" s="144"/>
      <c r="CS45" s="144"/>
      <c r="CT45" s="144"/>
      <c r="CU45" s="144"/>
      <c r="CV45" s="144"/>
      <c r="CW45" s="144"/>
      <c r="CX45" s="144"/>
      <c r="CY45" s="144"/>
      <c r="CZ45" s="152">
        <f t="shared" ref="CZ45:DB45" si="408">CZ46+CZ47+CZ48+CZ49+CZ50</f>
        <v>3.5017600289952746</v>
      </c>
      <c r="DA45" s="152">
        <f t="shared" si="408"/>
        <v>1.1047919687500001E-2</v>
      </c>
      <c r="DB45" s="152">
        <f t="shared" si="408"/>
        <v>3.4907121093077751</v>
      </c>
      <c r="DC45" s="153">
        <f>($B46*DC46+$B47*DC47+$B48*DC48+$B49*DC49+$B50*DC50)/$B45</f>
        <v>66.145826010488747</v>
      </c>
      <c r="DD45" s="153">
        <f>($B46*DD46+$B47*DD47+$B48*DD48+$B49*DD49+$B50*DD50)/$B45</f>
        <v>0.20868756493199847</v>
      </c>
      <c r="DE45" s="152">
        <f>($B46*DE46+$B47*DE47+$B48*DE48+$B49*DE49+$B50*DE50)/$B45</f>
        <v>65.937138445556741</v>
      </c>
      <c r="DF45" s="270"/>
      <c r="DG45" s="152">
        <f>($C46*DG46+$C47*DG47+$C48*DG48+$C49*DG49+$C50*DG50)/$C45</f>
        <v>67.448776209042947</v>
      </c>
      <c r="DH45" s="153">
        <f t="shared" ref="DH45:DI45" si="409">($C46*DH46+$C47*DH47+$C48*DH48+$C49*DH49+$C50*DH50)/$C45</f>
        <v>0.19525045103092781</v>
      </c>
      <c r="DI45" s="152">
        <f t="shared" si="409"/>
        <v>67.253525758012003</v>
      </c>
      <c r="DJ45" s="152"/>
      <c r="DL45" s="123"/>
      <c r="DM45" s="123"/>
      <c r="DN45" s="152">
        <f>($D46*DN46+$D47*DN47+$D48*DN48+$D49*DN49+$D50*DN50)/$D45</f>
        <v>51.913149292047791</v>
      </c>
      <c r="DO45" s="153">
        <f>($D46*DO46+$D47*DO47+$D48*DO48+$D49*DO49+$D50*DO50)/$D45</f>
        <v>0.35546684966216213</v>
      </c>
      <c r="DP45" s="152">
        <f>($D46*DP46+$D47*DP47+$D48*DP48+$D49*DP49+$D50*DP50)/$D45</f>
        <v>51.557682442385619</v>
      </c>
      <c r="DQ45" s="152"/>
      <c r="DS45" s="154"/>
      <c r="DT45" s="154"/>
      <c r="DU45" s="154"/>
      <c r="DV45" s="152">
        <f t="shared" ref="DV45:DX50" si="410">BG45-DC45</f>
        <v>61.201934535884774</v>
      </c>
      <c r="DW45" s="152">
        <f t="shared" si="410"/>
        <v>39.222888387365863</v>
      </c>
      <c r="DX45" s="152">
        <f t="shared" si="410"/>
        <v>21.979046148518933</v>
      </c>
      <c r="DY45" s="152">
        <f t="shared" ref="DY45:DZ50" si="411">BJ45-DG45</f>
        <v>63.441019969471412</v>
      </c>
      <c r="DZ45" s="152">
        <f t="shared" si="411"/>
        <v>41.023178050134085</v>
      </c>
      <c r="EA45" s="152">
        <f t="shared" ref="EA45:EA50" si="412">BU45-DI45</f>
        <v>22.417841919337334</v>
      </c>
      <c r="EB45" s="152">
        <f t="shared" ref="EB45:EC50" si="413">CE45-DN45</f>
        <v>36.743456263598191</v>
      </c>
      <c r="EC45" s="152">
        <f t="shared" si="413"/>
        <v>19.557562116136328</v>
      </c>
      <c r="ED45" s="152">
        <f t="shared" ref="ED45:ED50" si="414">CP45-DP45</f>
        <v>17.185894147461873</v>
      </c>
      <c r="EE45" s="152">
        <f>($B46*EE46+$B47*EE47+$B48*EE48+$B49*EE49+$B50*EE50)/$B45</f>
        <v>48.984904357846084</v>
      </c>
      <c r="EF45" s="144"/>
      <c r="EG45" s="144"/>
      <c r="EH45" s="152">
        <f t="shared" ref="EH45" si="415">($C46*EH46+$C47*EH47+$C48*EH48+$C49*EH49+$C50*EH50)/$C45</f>
        <v>50.794970434332164</v>
      </c>
      <c r="EI45" s="144"/>
      <c r="EJ45" s="144"/>
      <c r="EK45" s="144"/>
      <c r="EL45" s="144"/>
      <c r="EM45" s="550"/>
      <c r="EN45" s="550"/>
      <c r="EO45" s="550"/>
      <c r="EP45" s="550"/>
      <c r="EQ45" s="550"/>
      <c r="ER45" s="550"/>
      <c r="ES45" s="550"/>
      <c r="ET45" s="550"/>
      <c r="EU45" s="550"/>
      <c r="EV45" s="144"/>
      <c r="EW45" s="555"/>
      <c r="EX45" s="555"/>
      <c r="EY45" s="555"/>
      <c r="EZ45" s="555"/>
      <c r="FA45" s="555"/>
      <c r="FB45" s="555"/>
      <c r="FC45" s="555"/>
      <c r="FD45" s="152">
        <f>($D46*FD46+$D47*FD47+$D48*FD48+$D49*FD49+$D50*FD50)/$D45</f>
        <v>29.212786180013858</v>
      </c>
      <c r="FE45" s="144"/>
      <c r="FF45" s="144"/>
      <c r="FG45" s="144"/>
      <c r="FH45" s="144"/>
      <c r="FI45" s="555"/>
      <c r="FJ45" s="555"/>
      <c r="FK45" s="555"/>
      <c r="FL45" s="555"/>
      <c r="FM45" s="555"/>
      <c r="FN45" s="555"/>
      <c r="FO45" s="555"/>
      <c r="FP45" s="555"/>
      <c r="FQ45" s="555"/>
      <c r="FR45" s="144"/>
      <c r="FS45" s="555"/>
      <c r="FT45" s="555"/>
      <c r="FU45" s="555"/>
      <c r="FV45" s="555"/>
      <c r="FW45" s="555"/>
      <c r="FX45" s="555"/>
      <c r="FY45" s="555"/>
      <c r="FZ45" s="60"/>
      <c r="GA45" s="60"/>
      <c r="GB45" s="60"/>
      <c r="GP45" s="153">
        <f>($B46*GP46+$B47*GP47+$B48*GP48+$B49*GP49+$B50*GP50)/$B45</f>
        <v>5.552370608235738</v>
      </c>
      <c r="GQ45" s="153">
        <f t="shared" ref="GQ45" si="416">($C46*GQ46+$C47*GQ47+$C48*GQ48+$C49*GQ49+$C50*GQ50)/$C45</f>
        <v>5.666082474226803</v>
      </c>
      <c r="GR45" s="153">
        <f>($D46*GR46+$D47*GR47+$D48*GR48+$D49*GR49+$D50*GR50)/$D45</f>
        <v>4.3102477477477468</v>
      </c>
      <c r="GS45" s="153"/>
      <c r="GT45" s="153"/>
      <c r="GU45" s="153"/>
      <c r="GV45" s="153"/>
      <c r="GW45" s="153"/>
      <c r="GX45" s="153"/>
      <c r="GY45" s="153"/>
      <c r="GZ45" s="153"/>
      <c r="HA45" s="153"/>
      <c r="HB45" s="153"/>
      <c r="HF45" s="149">
        <f>EE45/'Discounting metrics'!E$4/L45</f>
        <v>2.6866318896441177</v>
      </c>
      <c r="HG45" s="524">
        <f>EE45/'Discounting metrics'!E$4/M45</f>
        <v>2.9888480290557276</v>
      </c>
      <c r="HH45" s="144">
        <f>10^3*HG45/(($V46*$LM46+$V47*$LM47+$V48*$LM48+$V49*$LM49+$V50*$LM50)/$V45)</f>
        <v>192.86265362117595</v>
      </c>
      <c r="HI45" s="529">
        <f>HG45/(($V46*$LO46+$V47*$LO47+$V48*$LO48+$V49*$LO49+$V50*$LO50)/$V45)</f>
        <v>12.24639411437858</v>
      </c>
      <c r="HJ45" s="97"/>
      <c r="HK45" s="524">
        <f>EH45/'Discounting metrics'!E$4/O45</f>
        <v>3.3125832891287832</v>
      </c>
      <c r="HL45" s="144">
        <f>10^3*HK45/(($Y46*$LM46+$Y47*$LM47+$Y48*$LM48+$Y49*$LM49+$Y50*$LM50)/$Y45)</f>
        <v>213.7545593343639</v>
      </c>
      <c r="HM45" s="529">
        <f>HK45/(($Y46*$LO46+$Y47*$LO47+$Y48*$LO48+$Y49*$LO49+$Y50*$LO50)/$Y45)</f>
        <v>13.54181040221251</v>
      </c>
      <c r="HN45" s="97"/>
      <c r="HO45" s="524">
        <f>FD45/'Discounting metrics'!E$4/Q45</f>
        <v>1.0464344174177658</v>
      </c>
      <c r="HP45" s="144">
        <f>10^3*HO45/(($AA46*$LM46+$AA47*$LM47+$AA48*$LM48+$AA49*$LM49+$AA50*$LM50)/$AA45)</f>
        <v>67.519725226190843</v>
      </c>
      <c r="HQ45" s="529">
        <f>HO45/(($AA46*$LO46+$AA47*$LO47+$AA48*$LO48+$AA49*$LO49+$AA50*$LO50)/$AA45)</f>
        <v>4.3474197860182731</v>
      </c>
      <c r="HR45" s="269">
        <f>$IM$11*ID45</f>
        <v>3.728159936194162</v>
      </c>
      <c r="HS45" s="525">
        <f>$IM$11*IE45</f>
        <v>4.1475363708179911</v>
      </c>
      <c r="HT45" s="144">
        <f>10^3*HS45/(($V46*$LM46+$V47*$LM47+$V48*$LM48+$V49*$LM49+$V50*$LM50)/$V45)</f>
        <v>267.62982349390808</v>
      </c>
      <c r="HU45" s="529">
        <f>HS45/(($V46*$LO46+$V47*$LO47+$V48*$LO48+$V49*$LO49+$V50*$LO50)/$V45)</f>
        <v>16.993960384397152</v>
      </c>
      <c r="HV45" s="97"/>
      <c r="HW45" s="525">
        <f t="shared" ref="HW45:HW50" si="417">$IM$11*IH45</f>
        <v>4.5237560197893556</v>
      </c>
      <c r="HX45" s="144">
        <f>10^3*HW45/(($Y46*$LM46+$Y47*$LM47+$Y48*$LM48+$Y49*$LM49+$Y50*$LM50)/$Y45)</f>
        <v>291.90918088600449</v>
      </c>
      <c r="HY45" s="529">
        <f>HW45/(($Y46*$LO46+$Y47*$LO47+$Y48*$LO48+$Y49*$LO49+$Y50*$LO50)/$Y45)</f>
        <v>18.493073525697351</v>
      </c>
      <c r="HZ45" s="97"/>
      <c r="IA45" s="525">
        <f t="shared" ref="IA45:IA50" si="418">$IM$11*IK45</f>
        <v>1.890216093246974</v>
      </c>
      <c r="IB45" s="144">
        <f>10^3*I45/(($AA46*$LM46+$AA47*$LM47+$AA48*$LM48+$AA49*$LM49+$AA50*$LM50)/$AA45)</f>
        <v>40.314444049513568</v>
      </c>
      <c r="IC45" s="529">
        <f>I45/(($AA46*$LO46+$AA47*$LO47+$AA48*$LO48+$AA49*$LO49+$AA50*$LO50)/$AA45)</f>
        <v>2.5957423721149455</v>
      </c>
      <c r="ID45" s="149">
        <f>GP45/F45</f>
        <v>7.4737097701003306</v>
      </c>
      <c r="IE45" s="525">
        <f t="shared" ref="IE45:IE50" si="419">GP45/G45</f>
        <v>8.3144188089935369</v>
      </c>
      <c r="IF45" s="123"/>
      <c r="IG45" s="97"/>
      <c r="IH45" s="525">
        <f t="shared" ref="IH45:IH50" si="420">GQ45/I45</f>
        <v>9.0686129729626259</v>
      </c>
      <c r="II45" s="123"/>
      <c r="IJ45" s="97"/>
      <c r="IK45" s="525">
        <f t="shared" ref="IK45:IK50" si="421">GR45/K45</f>
        <v>3.7892490465744491</v>
      </c>
      <c r="IL45" s="123"/>
      <c r="IM45" s="60"/>
      <c r="IN45" s="60"/>
      <c r="IO45" s="60"/>
      <c r="IP45" s="152">
        <f t="shared" ref="IP45" si="422">IP46+IP47+IP48+IP49+IP50</f>
        <v>24.567032184984004</v>
      </c>
      <c r="IQ45" s="269">
        <f>($U46*IQ46+$U47*IQ47+$U48*IQ48+$U49*IQ49+$U50*IQ50)/$U45</f>
        <v>0.62463532311007841</v>
      </c>
      <c r="IR45" s="473">
        <f>($V46*IR46+$V47*IR47+$V48*IR48+$V49*IR49+$V50*IR50)/$V45</f>
        <v>0.6948998340831305</v>
      </c>
      <c r="IS45" s="144"/>
      <c r="IT45" s="149"/>
      <c r="IU45" s="594">
        <f>($B46*IU46+$B47*IU47+$B48*IU48+$B49*IU49+$B50*IU50)/$B45</f>
        <v>9.4573101624480533E-3</v>
      </c>
      <c r="IV45" s="269"/>
      <c r="IW45" s="473">
        <f>($Y46*IW46+$Y47*IW47+$Y48*IW48+$Y49*IW49+$Y50*IW50)/$Y45</f>
        <v>0.81071635079396775</v>
      </c>
      <c r="IX45" s="594">
        <f>($C46*IX46+$C47*IX47+$C48*IX48+$C49*IX49+$C50*IX50)/$C45</f>
        <v>1.0323092783505152E-2</v>
      </c>
      <c r="IY45" s="594"/>
      <c r="IZ45" s="594"/>
      <c r="JA45" s="594"/>
      <c r="JB45" s="594"/>
      <c r="JC45" s="269"/>
      <c r="JD45" s="473">
        <f>($AA46*JD46+$AA47*JD47+$AA48*JD48+$AA49*JD49+$AA50*JD50)/$AA45</f>
        <v>0</v>
      </c>
      <c r="JE45" s="594">
        <f>($D46*JE46+$D47*JE47+$D48*JE48+$D49*JE49+$D50*JE50)/$D45</f>
        <v>0</v>
      </c>
      <c r="JF45" s="594"/>
      <c r="JG45" s="594"/>
      <c r="JH45" s="594"/>
      <c r="JI45" s="594"/>
      <c r="JJ45" s="595"/>
      <c r="JK45" s="595"/>
      <c r="JL45" s="595"/>
      <c r="JM45" s="595"/>
      <c r="JN45" s="595"/>
      <c r="JO45" s="595"/>
      <c r="JP45" s="595"/>
      <c r="JQ45" s="595"/>
      <c r="JR45" s="595"/>
      <c r="JS45" s="152">
        <f>JS46+JS47+JS48+JS49+JS50</f>
        <v>21.556261089637534</v>
      </c>
      <c r="JT45" s="152">
        <f>JT46+JT47+JT48+JT49+JT50</f>
        <v>-1.0655328344751998</v>
      </c>
      <c r="JU45" s="152">
        <f>JU46+JU47+JU48+JU49+JU50</f>
        <v>3.4970283008424392</v>
      </c>
      <c r="JV45" s="152">
        <f t="shared" ref="JV45:JW45" si="423">JV46+JV47+JV48+JV49+JV50</f>
        <v>15.300756655635437</v>
      </c>
      <c r="JW45" s="152">
        <f t="shared" si="423"/>
        <v>3.8240089676348559</v>
      </c>
      <c r="JX45" s="152"/>
      <c r="JY45" s="269">
        <f>($V46*JY46+$V47*JY47+$V48*JY48+$V49*JY49+$V50*JY50)/$V45</f>
        <v>0.54817233411007338</v>
      </c>
      <c r="JZ45" s="473">
        <f>($V46*JZ46+$V47*JZ47+$V48*JZ48+$V49*JZ49+$V50*JZ50)/$V45</f>
        <v>0.60973755974470456</v>
      </c>
      <c r="KA45" s="144">
        <f>10^3*JZ45/(($V46*$LM46+$V47*$LM47+$V48*$LM48+$V49*$LM49+$V50*$LM50)/$V45)</f>
        <v>39.344791920389547</v>
      </c>
      <c r="KB45" s="149">
        <f>JZ45/(($Y46*$LO46+$Y47*$LO47+$Y48*$LO48+$Y49*$LO49+$Y50*$LO50)/$Y45)</f>
        <v>2.4926016068088384</v>
      </c>
      <c r="KC45" s="123"/>
      <c r="KD45" s="269">
        <f>($V46*KD46+$V47*KD47+$V48*KD48+$V49*KD49+$V50*KD50)/$V45</f>
        <v>6.877696025428881E-2</v>
      </c>
      <c r="KE45" s="123"/>
      <c r="KF45" s="269">
        <f>($V46*KF46+$V47*KF47+$V48*KF48+$V49*KF49+$V50*KF50)/$V45</f>
        <v>0.54096059949041564</v>
      </c>
      <c r="KG45" s="123"/>
      <c r="KH45" s="269">
        <f>($V46*KH46+$V47*KH47+$V48*KH48+$V49*KH49+$V50*KH50)/$V45</f>
        <v>0</v>
      </c>
      <c r="KI45" s="269">
        <f>($U46*KI46+$U47*KI47+$U48*KI48+$U49*KI49+$U50*KI50)/$U45</f>
        <v>-2.7091976E-2</v>
      </c>
      <c r="KJ45" s="269">
        <f>($V46*KJ46+$V47*KJ47+$V48*KJ48+$V49*KJ49+$V50*KJ50)/$V45</f>
        <v>-3.0139521302842552E-2</v>
      </c>
      <c r="KK45" s="269">
        <f>($U46*KK46+$U47*KK47+$U48*KK48+$U49*KK49+$U50*KK50)/$U45</f>
        <v>8.8914582200000009E-2</v>
      </c>
      <c r="KL45" s="269">
        <f>($V46*KL46+$V47*KL47+$V48*KL48+$V49*KL49+$V50*KL50)/$V45</f>
        <v>9.8916481557131355E-2</v>
      </c>
      <c r="KM45" s="269">
        <f>($U46*KM46+$U47*KM47+$U48*KM48+$U49*KM49+$U50*KM50)/$U45</f>
        <v>0.38903327864174198</v>
      </c>
      <c r="KN45" s="269">
        <f>($V46*KN46+$V47*KN47+$V48*KN48+$V49*KN49+$V50*KN50)/$V45</f>
        <v>0.43279518589332377</v>
      </c>
      <c r="KO45" s="269">
        <f>($U46*KO46+$U47*KO47+$U48*KO48+$U49*KO49+$U50*KO50)/$U45</f>
        <v>9.7228312280000007E-2</v>
      </c>
      <c r="KP45" s="269">
        <f>($V46*KP46+$V47*KP47+$V48*KP48+$V49*KP49+$V50*KP50)/$V45</f>
        <v>0.10816541359709195</v>
      </c>
      <c r="KQ45" s="149">
        <f>($V46*KQ46+$V47*KQ47+$V48*KQ48+$V49*KQ49+$V50*KQ50)/$V45</f>
        <v>12.263746833698834</v>
      </c>
      <c r="KS45" s="144">
        <f>($V46*KS46+$V47*KS47+$V48*KS48+$V49*KS49+$V50*KS50)/$V45</f>
        <v>50.156643991637708</v>
      </c>
      <c r="KT45" s="149">
        <f>($Y46*KT46+$Y47*KT47+$Y48*KT48+$Y49*KT49+$Y50*KT50)/$Y45</f>
        <v>13.566572574377476</v>
      </c>
      <c r="KV45" s="144">
        <f>($Y46*KV46+$Y47*KV47+$Y48*KV48+$Y49*KV49+$Y50*KV50)/$Y45</f>
        <v>55.433869679393624</v>
      </c>
      <c r="KW45" s="149">
        <f>($AA46*KW46+$AA47*KW47+$AA48*KW48+$AA49*KW49+$AA50*KW50)/$AA45</f>
        <v>4.4467841348707227</v>
      </c>
      <c r="KY45" s="144">
        <f>($AA46*KY46+$AA47*KY47+$AA48*KY48+$AA49*KY49+$AA50*KY50)/$AA45</f>
        <v>18.493256428388214</v>
      </c>
      <c r="KZ45" s="149">
        <f>($V46*KZ46+$V47*KZ47+$V48*KZ48+$V49*KZ49+$V50*KZ50)/$V45</f>
        <v>16.512270753493798</v>
      </c>
      <c r="LB45" s="144">
        <f>($V46*LB46+$V47*LB47+$V48*LB48+$V49*LB49+$V50*LB50)/$V45</f>
        <v>67.425768313177073</v>
      </c>
      <c r="LC45" s="149">
        <f>($Y46*LC46+$Y47*LC47+$Y48*LC48+$Y49*LC49+$Y50*LC50)/$Y45</f>
        <v>18.007539253466245</v>
      </c>
      <c r="LE45" s="144">
        <f>($Y46*LE46+$Y47*LE47+$Y48*LE48+$Y49*LE49+$Y50*LE50)/$Y45</f>
        <v>73.436183806512872</v>
      </c>
      <c r="LF45" s="149">
        <f>($AA46*LF46+$AA47*LF47+$AA48*LF48+$AA49*LF49+$AA50*LF50)/$AA45</f>
        <v>3.1130695276757985</v>
      </c>
      <c r="LH45" s="144">
        <f>($AA46*LH46+$AA47*LH47+$AA48*LH48+$AA49*LH49+$AA50*LH50)/$AA45</f>
        <v>12.944529072833367</v>
      </c>
      <c r="LI45" s="16"/>
      <c r="LO45" s="267"/>
    </row>
    <row r="46" spans="1:329" s="4" customFormat="1" x14ac:dyDescent="0.25">
      <c r="A46" s="14" t="s">
        <v>82</v>
      </c>
      <c r="B46" s="67">
        <f t="shared" ref="B46:B50" si="424">C46+D46</f>
        <v>25.8</v>
      </c>
      <c r="C46" s="33">
        <v>23.8</v>
      </c>
      <c r="D46" s="33">
        <v>2</v>
      </c>
      <c r="E46" s="38">
        <f t="shared" ref="E46:E50" si="425">D46/B46</f>
        <v>7.7519379844961239E-2</v>
      </c>
      <c r="F46" s="436">
        <f t="shared" si="400"/>
        <v>0.74581395348837209</v>
      </c>
      <c r="G46" s="32">
        <f t="shared" si="401"/>
        <v>0.67123255813953475</v>
      </c>
      <c r="H46" s="33">
        <v>0.69</v>
      </c>
      <c r="I46" s="32">
        <f>$LI46*H46</f>
        <v>0.621</v>
      </c>
      <c r="J46" s="33">
        <v>1.41</v>
      </c>
      <c r="K46" s="32">
        <f>$LI46*J46</f>
        <v>1.2689999999999999</v>
      </c>
      <c r="L46" s="32">
        <f>(F46/'Discounting metrics'!$D$4*(1-EXP(-'Discounting metrics'!$D$4*'Discounting metrics'!$E$4)))/'Discounting metrics'!$E$4</f>
        <v>0.18303847360952497</v>
      </c>
      <c r="M46" s="32">
        <f>(G46/'Discounting metrics'!$D$4*(1-EXP(-'Discounting metrics'!$D$4*'Discounting metrics'!$E$4)))/'Discounting metrics'!$E$4</f>
        <v>0.16473462624857244</v>
      </c>
      <c r="N46" s="32">
        <f>(H46/'Discounting metrics'!$D$4*(1-EXP(-'Discounting metrics'!$D$4*'Discounting metrics'!$E$4)))/'Discounting metrics'!$E$4</f>
        <v>0.16934055229169334</v>
      </c>
      <c r="O46" s="32">
        <f>(I46/'Discounting metrics'!$D$4*(1-EXP(-'Discounting metrics'!$D$4*'Discounting metrics'!$E$4)))/'Discounting metrics'!$E$4</f>
        <v>0.15240649706252402</v>
      </c>
      <c r="P46" s="32">
        <f>(J46/'Discounting metrics'!$D$4*(1-EXP(-'Discounting metrics'!$D$4*'Discounting metrics'!$E$4)))/'Discounting metrics'!$E$4</f>
        <v>0.34604373729172117</v>
      </c>
      <c r="Q46" s="32">
        <f>(K46/'Discounting metrics'!$D$4*(1-EXP(-'Discounting metrics'!$D$4*'Discounting metrics'!$E$4)))/'Discounting metrics'!$E$4</f>
        <v>0.31143936356254903</v>
      </c>
      <c r="R46" s="32">
        <f>10/G46</f>
        <v>14.897966254374115</v>
      </c>
      <c r="S46" s="32">
        <f>10/I46</f>
        <v>16.103059581320451</v>
      </c>
      <c r="T46" s="32">
        <f>10/K46</f>
        <v>7.8802206461780937</v>
      </c>
      <c r="U46" s="107">
        <f t="shared" ref="U46:V50" si="426">X46+Z46</f>
        <v>19.242000000000001</v>
      </c>
      <c r="V46" s="68">
        <f t="shared" si="426"/>
        <v>17.317799999999998</v>
      </c>
      <c r="W46" s="68"/>
      <c r="X46" s="67">
        <f>C46*H46</f>
        <v>16.422000000000001</v>
      </c>
      <c r="Y46" s="67">
        <f t="shared" ref="Y46:Z50" si="427">C46*I46</f>
        <v>14.7798</v>
      </c>
      <c r="Z46" s="67">
        <f t="shared" si="427"/>
        <v>2.82</v>
      </c>
      <c r="AA46" s="67">
        <f>D46*K46</f>
        <v>2.5379999999999998</v>
      </c>
      <c r="AB46" s="38">
        <f t="shared" ref="AB46:AB50" si="428">AA46/V46</f>
        <v>0.14655441222326163</v>
      </c>
      <c r="AC46" s="294">
        <f t="shared" ref="AC46:AK50" si="429">($C46*AL46+$D46*AU46)/$B46</f>
        <v>0.32328055948843021</v>
      </c>
      <c r="AD46" s="294">
        <f t="shared" si="429"/>
        <v>0.11682892361787203</v>
      </c>
      <c r="AE46" s="294">
        <f t="shared" si="429"/>
        <v>5.1820761729689219E-2</v>
      </c>
      <c r="AF46" s="294">
        <f t="shared" si="429"/>
        <v>0.32518080461146337</v>
      </c>
      <c r="AG46" s="294">
        <f t="shared" si="429"/>
        <v>3.4247690904317965E-2</v>
      </c>
      <c r="AH46" s="294">
        <f t="shared" si="429"/>
        <v>8.8199659582656076E-2</v>
      </c>
      <c r="AI46" s="294">
        <f t="shared" si="429"/>
        <v>4.1495310125964094E-2</v>
      </c>
      <c r="AJ46" s="294">
        <f t="shared" si="429"/>
        <v>1.6530306328671272E-2</v>
      </c>
      <c r="AK46" s="294">
        <f t="shared" si="429"/>
        <v>2.3755078668070456E-3</v>
      </c>
      <c r="AL46" s="433">
        <v>0.33949707420626724</v>
      </c>
      <c r="AM46" s="433">
        <v>0.11762656727638218</v>
      </c>
      <c r="AN46" s="433">
        <v>4.9163541881819511E-2</v>
      </c>
      <c r="AO46" s="433">
        <v>0.33653756098404564</v>
      </c>
      <c r="AP46" s="433">
        <v>2.7890498061373472E-2</v>
      </c>
      <c r="AQ46" s="433">
        <v>7.8671624240310323E-2</v>
      </c>
      <c r="AR46" s="433">
        <v>4.1065865549545125E-2</v>
      </c>
      <c r="AS46" s="433">
        <v>6.9694888482091768E-3</v>
      </c>
      <c r="AT46" s="433">
        <v>2.5532096908876794E-3</v>
      </c>
      <c r="AU46" s="433">
        <v>0.13030403434617022</v>
      </c>
      <c r="AV46" s="433">
        <v>0.1073369640816014</v>
      </c>
      <c r="AW46" s="433">
        <v>8.3441677919338819E-2</v>
      </c>
      <c r="AX46" s="433">
        <v>0.19003540377773398</v>
      </c>
      <c r="AY46" s="433">
        <v>0.10989828573535744</v>
      </c>
      <c r="AZ46" s="433">
        <v>0.20158328015657043</v>
      </c>
      <c r="BA46" s="433">
        <v>4.660570058534988E-2</v>
      </c>
      <c r="BB46" s="433">
        <v>0.13030403434617022</v>
      </c>
      <c r="BC46" s="433">
        <v>2.6085616024750679E-4</v>
      </c>
      <c r="BD46" s="554">
        <f>BG46*$B46/10^3</f>
        <v>4.097009686352731</v>
      </c>
      <c r="BE46" s="554">
        <f t="shared" ref="BE46:BF50" si="430">BH46*$B46/10^3</f>
        <v>1.5797937951248335</v>
      </c>
      <c r="BF46" s="554">
        <f t="shared" si="430"/>
        <v>2.5172158912278975</v>
      </c>
      <c r="BG46" s="67">
        <f t="shared" ref="BG46:BG50" si="431">BH46+BI46</f>
        <v>158.79882505243143</v>
      </c>
      <c r="BH46" s="67">
        <f>(BK46*$C46+CF46*$D46)/$B46</f>
        <v>61.232317640497421</v>
      </c>
      <c r="BI46" s="67">
        <f>(BU46*$C46+CP46*$D46)/$B46</f>
        <v>97.566507411933998</v>
      </c>
      <c r="BJ46" s="67">
        <f>BK46+BU46</f>
        <v>162.42414810942762</v>
      </c>
      <c r="BK46" s="68">
        <f t="shared" ref="BK46:BK50" si="432">$AL46*BL46+$AM46*BM46+$AN46*BN46+$AO46*BO46+$AP46*BP46+$AQ46*BQ46+$AR46*BR46+$AS46*BS46+$AT46*BT46</f>
        <v>63.437182263468003</v>
      </c>
      <c r="BL46" s="145">
        <v>106.90947670259632</v>
      </c>
      <c r="BM46" s="145">
        <v>120.57718878045145</v>
      </c>
      <c r="BN46" s="145">
        <v>37.930839043738523</v>
      </c>
      <c r="BO46" s="145">
        <v>30.944885115245327</v>
      </c>
      <c r="BP46" s="145">
        <v>5.3943676084782801</v>
      </c>
      <c r="BQ46" s="145">
        <v>1.1417279327387713</v>
      </c>
      <c r="BR46" s="145">
        <v>0.16104905128298078</v>
      </c>
      <c r="BS46" s="145">
        <v>52.721924566143883</v>
      </c>
      <c r="BT46" s="145">
        <v>25.608817155925689</v>
      </c>
      <c r="BU46" s="68">
        <f t="shared" ref="BU46:BU50" si="433">$AL46*BV46+$AM46*BW46+$AN46*BX46+$AO46*BY46+$AP46*BZ46+$AQ46*CA46+$AR46*CB46+$AS46*CC46+$AT46*CD46</f>
        <v>98.986965845959602</v>
      </c>
      <c r="BV46" s="145">
        <v>107.16733485276377</v>
      </c>
      <c r="BW46" s="145">
        <v>93.806111702338214</v>
      </c>
      <c r="BX46" s="145">
        <v>113.58948248450731</v>
      </c>
      <c r="BY46" s="145">
        <v>126.41350133323829</v>
      </c>
      <c r="BZ46" s="145">
        <v>54.902210660794253</v>
      </c>
      <c r="CA46" s="145">
        <v>16.711356968348387</v>
      </c>
      <c r="CB46" s="145">
        <v>0.6010899800285282</v>
      </c>
      <c r="CC46" s="145">
        <v>46.578383626503523</v>
      </c>
      <c r="CD46" s="145">
        <v>96.84054139252676</v>
      </c>
      <c r="CE46" s="68">
        <f t="shared" ref="CE46:CE50" si="434">CF46+CP46</f>
        <v>115.6574806741769</v>
      </c>
      <c r="CF46" s="68">
        <f t="shared" ref="CF46:CF50" si="435">$AU46*CG46+$AV46*CH46+$AW46*CI46+$AX46*CJ46+$AY46*CK46+$AZ46*CL46+$BA46*CM46+$BB46*CN46+$BC46*CO46</f>
        <v>34.994428627147478</v>
      </c>
      <c r="CG46" s="145">
        <v>96.901020905826471</v>
      </c>
      <c r="CH46" s="145">
        <v>88.604447624611154</v>
      </c>
      <c r="CI46" s="145">
        <v>51.832647461113076</v>
      </c>
      <c r="CJ46" s="145">
        <v>40.309579646045329</v>
      </c>
      <c r="CK46" s="145">
        <v>4.528395301864192</v>
      </c>
      <c r="CL46" s="145">
        <v>1.4582605525612067</v>
      </c>
      <c r="CM46" s="145">
        <v>0.12106564087512348</v>
      </c>
      <c r="CN46" s="145">
        <v>0.56694727850973481</v>
      </c>
      <c r="CO46" s="145">
        <v>3.4894572614420403</v>
      </c>
      <c r="CP46" s="68">
        <f t="shared" ref="CP46:CP50" si="436">$AU46*CQ46+$AV46*CR46+$AW46*CS46+$AX46*CT46+$AY46*CU46+$AZ46*CV46+$BA46*CW46+$BB46*CX46+$BC46*CY46</f>
        <v>80.66305204702941</v>
      </c>
      <c r="CQ46" s="145">
        <v>102.0768633075953</v>
      </c>
      <c r="CR46" s="145">
        <v>105.39853342123345</v>
      </c>
      <c r="CS46" s="145">
        <v>132.12011989027812</v>
      </c>
      <c r="CT46" s="145">
        <v>171.86390829659359</v>
      </c>
      <c r="CU46" s="145">
        <v>60.235585704302679</v>
      </c>
      <c r="CV46" s="145">
        <v>28.023152674484024</v>
      </c>
      <c r="CW46" s="145">
        <v>0.56148618651035787</v>
      </c>
      <c r="CX46" s="145">
        <v>0.51347707805519727</v>
      </c>
      <c r="CY46" s="145">
        <v>9.3975642350660351</v>
      </c>
      <c r="CZ46" s="554">
        <f>DC46*$B46/10^3</f>
        <v>1.893323730920923</v>
      </c>
      <c r="DA46" s="554">
        <f t="shared" ref="DA46:DB50" si="437">DD46*$B46/10^3</f>
        <v>5.4118125E-3</v>
      </c>
      <c r="DB46" s="554">
        <f t="shared" si="437"/>
        <v>1.887911918420923</v>
      </c>
      <c r="DC46" s="32">
        <f t="shared" ref="DC46:DC50" si="438">DD46+DE46</f>
        <v>73.38464073336911</v>
      </c>
      <c r="DD46" s="32">
        <f t="shared" ref="DD46:DE50" si="439">(DH46*$C46+DO46*$D46)/$B46</f>
        <v>0.20976017441860464</v>
      </c>
      <c r="DE46" s="67">
        <f t="shared" si="439"/>
        <v>73.174880558950505</v>
      </c>
      <c r="DF46" s="270"/>
      <c r="DG46" s="67">
        <f t="shared" ref="DG46:DG50" si="440">DH46+DI46</f>
        <v>74.434286884469699</v>
      </c>
      <c r="DH46" s="32">
        <f>I46*0.5*2.5*0.25</f>
        <v>0.1940625</v>
      </c>
      <c r="DI46" s="67">
        <f>(1-DK46)*BU46</f>
        <v>74.240224384469698</v>
      </c>
      <c r="DJ46" s="67"/>
      <c r="DK46" s="34">
        <f t="shared" ref="DK46:DK50" si="441">DK$17</f>
        <v>0.25</v>
      </c>
      <c r="DL46" s="159"/>
      <c r="DM46" s="159"/>
      <c r="DN46" s="68">
        <f t="shared" ref="DN46:DN50" si="442">DO46+DP46</f>
        <v>60.893851535272063</v>
      </c>
      <c r="DO46" s="32">
        <f>K46*0.5*2.5*0.25</f>
        <v>0.39656249999999998</v>
      </c>
      <c r="DP46" s="67">
        <f>(1-DR46)*CP46</f>
        <v>60.497289035272061</v>
      </c>
      <c r="DQ46" s="67"/>
      <c r="DR46" s="34">
        <f t="shared" ref="DR46:DR50" si="443">DR$17</f>
        <v>0.25</v>
      </c>
      <c r="DS46" s="294"/>
      <c r="DT46" s="294"/>
      <c r="DU46" s="294"/>
      <c r="DV46" s="67">
        <f t="shared" si="410"/>
        <v>85.414184319062315</v>
      </c>
      <c r="DW46" s="67">
        <f t="shared" si="410"/>
        <v>61.022557466078815</v>
      </c>
      <c r="DX46" s="67">
        <f t="shared" si="410"/>
        <v>24.391626852983492</v>
      </c>
      <c r="DY46" s="67">
        <f t="shared" si="411"/>
        <v>87.98986122495792</v>
      </c>
      <c r="DZ46" s="67">
        <f t="shared" si="411"/>
        <v>63.243119763468002</v>
      </c>
      <c r="EA46" s="67">
        <f t="shared" si="412"/>
        <v>24.746741461489904</v>
      </c>
      <c r="EB46" s="67">
        <f t="shared" si="413"/>
        <v>54.763629138904832</v>
      </c>
      <c r="EC46" s="67">
        <f t="shared" si="413"/>
        <v>34.597866127147476</v>
      </c>
      <c r="ED46" s="67">
        <f t="shared" si="414"/>
        <v>20.165763011757349</v>
      </c>
      <c r="EE46" s="68">
        <f>EF46+EG46</f>
        <v>68.087573369442694</v>
      </c>
      <c r="EF46" s="67">
        <f>(EJ46*$C46+FF46*$D46)/$B46</f>
        <v>49.128603014485783</v>
      </c>
      <c r="EG46" s="67">
        <f t="shared" ref="EG46:EG50" si="444">(EV46*$C46+FR46*$D46)/$B46</f>
        <v>18.958970354956914</v>
      </c>
      <c r="EH46" s="261">
        <f t="shared" ref="EH46:EH50" si="445">EJ46+EV46</f>
        <v>70.117375494978504</v>
      </c>
      <c r="EI46" s="154">
        <f>EH46/($BJ46-$DG46)</f>
        <v>0.79688016913350956</v>
      </c>
      <c r="EJ46" s="108">
        <f>EK46+EL46-DH46</f>
        <v>50.888479218879752</v>
      </c>
      <c r="EK46" s="126">
        <f>'Allometrics &amp; Decay rates'!$H$5*$AL46*BL46+'Allometrics &amp; Decay rates'!$H$6*$AM46*BM46+'Allometrics &amp; Decay rates'!$H$7*$AN46*BN46+'Allometrics &amp; Decay rates'!$H$8*$AO46*BO46+'Allometrics &amp; Decay rates'!$H$9*$AP46*BP46+'Allometrics &amp; Decay rates'!$H$10*$AQ46*BQ46+'Allometrics &amp; Decay rates'!$H$11*$AR46*BR46+'Allometrics &amp; Decay rates'!$H$12*$AS46*BS46+'Allometrics &amp; Decay rates'!$H$13*$AT46*BT46</f>
        <v>26.788694228763031</v>
      </c>
      <c r="EL46" s="97">
        <f t="shared" ref="EL46:EL50" si="446">SUM(EM46:EU46)</f>
        <v>24.293847490116725</v>
      </c>
      <c r="EM46" s="550">
        <f>AL46*BL46*('Allometrics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14.22881894136713</v>
      </c>
      <c r="EN46" s="550">
        <f>AM46*BM46*('Allometrics &amp; Decay rates'!$I$6*((EXP('Allometrics &amp; Decay rates'!$K$6)-1)/('Discounting metrics'!$D$4+'Allometrics &amp; Decay rates'!$K$6)*(1-EXP(-('Discounting metrics'!$D$4+'Allometrics &amp; Decay rates'!$K$6)*'Discounting metrics'!$E$4))-(1-EXP(-'Allometrics &amp; Decay rates'!$K$6))/1.55)+'Allometrics &amp; Decay rates'!$E$6*((EXP('Allometrics &amp; Decay rates'!$L$6)-1)/('Discounting metrics'!$D$4+'Allometrics &amp; Decay rates'!$L$6)*(1-EXP(-('Discounting metrics'!$D$4+'Allometrics &amp; Decay rates'!$L$6)*'Discounting metrics'!$E$4))-(1-EXP(-'Allometrics &amp; Decay rates'!$L$6))/1.55))</f>
        <v>3.4590804488527596</v>
      </c>
      <c r="EO46" s="550">
        <f>AN46*BN46*('Allometrics &amp; Decay rates'!$I$7*((EXP('Allometrics &amp; Decay rates'!$K$7)-1)/('Discounting metrics'!$D$4+'Allometrics &amp; Decay rates'!$K$7)*(1-EXP(-('Discounting metrics'!$D$4+'Allometrics &amp; Decay rates'!$K$7)*'Discounting metrics'!$E$4))-(1-EXP(-'Allometrics &amp; Decay rates'!$K$7))/1.55)+'Allometrics &amp; Decay rates'!$E$7*((EXP('Allometrics &amp; Decay rates'!$L$7)-1)/('Discounting metrics'!$D$4+'Allometrics &amp; Decay rates'!$L$7)*(1-EXP(-('Discounting metrics'!$D$4+'Allometrics &amp; Decay rates'!$L$7)*'Discounting metrics'!$E$4))-(1-EXP(-'Allometrics &amp; Decay rates'!$L$7))/1.55))</f>
        <v>0.39704036787401659</v>
      </c>
      <c r="EP46" s="550">
        <f>AO46*BO46*('Allometrics &amp; Decay rates'!$I$8*((EXP('Allometrics &amp; Decay rates'!$K$8)-1)/('Discounting metrics'!$D$4+'Allometrics &amp; Decay rates'!$K$8)*(1-EXP(-('Discounting metrics'!$D$4+'Allometrics &amp; Decay rates'!$K$8)*'Discounting metrics'!$E$4))-(1-EXP(-'Allometrics &amp; Decay rates'!$K$8))/1.55)+'Allometrics &amp; Decay rates'!$E$8*((EXP('Allometrics &amp; Decay rates'!$L$8)-1)/('Discounting metrics'!$D$4+'Allometrics &amp; Decay rates'!$L$8)*(1-EXP(-('Discounting metrics'!$D$4+'Allometrics &amp; Decay rates'!$L$8)*'Discounting metrics'!$E$4))-(1-EXP(-'Allometrics &amp; Decay rates'!$L$8))/1.55))</f>
        <v>5.8961227477550837</v>
      </c>
      <c r="EQ46" s="550">
        <f>AP46*BP46*('Allometrics &amp; Decay rates'!$I$9*((EXP('Allometrics &amp; Decay rates'!$K$9)-1)/('Discounting metrics'!$D$4+'Allometrics &amp; Decay rates'!$K$9)*(1-EXP(-('Discounting metrics'!$D$4+'Allometrics &amp; Decay rates'!$K$9)*'Discounting metrics'!$E$4))-(1-EXP(-'Allometrics &amp; Decay rates'!$K$9))/1.55)+'Allometrics &amp; Decay rates'!$E$9*((EXP('Allometrics &amp; Decay rates'!$L$9)-1)/('Discounting metrics'!$D$4+'Allometrics &amp; Decay rates'!$L$9)*(1-EXP(-('Discounting metrics'!$D$4+'Allometrics &amp; Decay rates'!$L$9)*'Discounting metrics'!$E$4))-(1-EXP(-'Allometrics &amp; Decay rates'!$L$9))/1.55))</f>
        <v>7.8855539293566063E-2</v>
      </c>
      <c r="ER46" s="550">
        <f>AQ46*BQ46*('Allometrics &amp; Decay rates'!$I$10*((EXP('Allometrics &amp; Decay rates'!$K$10)-1)/('Discounting metrics'!$D$4+'Allometrics &amp; Decay rates'!$K$10)*(1-EXP(-('Discounting metrics'!$D$4+'Allometrics &amp; Decay rates'!$K$10)*'Discounting metrics'!$E$4))-(1-EXP(-'Allometrics &amp; Decay rates'!$K$10))/1.55)+'Allometrics &amp; Decay rates'!$E$10*((EXP('Allometrics &amp; Decay rates'!$L$10)-1)/('Discounting metrics'!$D$4+'Allometrics &amp; Decay rates'!$L$10)*(1-EXP(-('Discounting metrics'!$D$4+'Allometrics &amp; Decay rates'!$L$10)*'Discounting metrics'!$E$4))-(1-EXP(-'Allometrics &amp; Decay rates'!$L$10))/1.55))</f>
        <v>5.7142811047100006E-2</v>
      </c>
      <c r="ES46" s="550">
        <f>AR46*BR46*('Allometrics &amp; Decay rates'!$I$11*((EXP('Allometrics &amp; Decay rates'!$K$11)-1)/('Discounting metrics'!$D$4+'Allometrics &amp; Decay rates'!$K$11)*(1-EXP(-('Discounting metrics'!$D$4+'Allometrics &amp; Decay rates'!$K$11)*'Discounting metrics'!$E$4))-(1-EXP(-'Allometrics &amp; Decay rates'!$K$11))/1.55)+'Allometrics &amp; Decay rates'!$E$11*((EXP('Allometrics &amp; Decay rates'!$L$11)-1)/('Discounting metrics'!$D$4+'Allometrics &amp; Decay rates'!$L$11)*(1-EXP(-('Discounting metrics'!$D$4+'Allometrics &amp; Decay rates'!$L$11)*'Discounting metrics'!$E$4))-(1-EXP(-'Allometrics &amp; Decay rates'!$L$11))/1.55))</f>
        <v>4.6942884918265522E-3</v>
      </c>
      <c r="ET46" s="550">
        <f>AS46*BS46*('Allometrics &amp; Decay rates'!$I$12*((EXP('Allometrics &amp; Decay rates'!$K$12)-1)/('Discounting metrics'!$D$4+'Allometrics &amp; Decay rates'!$K$12)*(1-EXP(-('Discounting metrics'!$D$4+'Allometrics &amp; Decay rates'!$K$12)*'Discounting metrics'!$E$4))-(1-EXP(-'Allometrics &amp; Decay rates'!$K$12))/1.55)+'Allometrics &amp; Decay rates'!$E$12*((EXP('Allometrics &amp; Decay rates'!$L$12)-1)/('Discounting metrics'!$D$4+'Allometrics &amp; Decay rates'!$L$12)*(1-EXP(-('Discounting metrics'!$D$4+'Allometrics &amp; Decay rates'!$L$12)*'Discounting metrics'!$E$4))-(1-EXP(-'Allometrics &amp; Decay rates'!$L$12))/1.55))</f>
        <v>0.14993391469415029</v>
      </c>
      <c r="EU46" s="550">
        <f>AT46*BT46*('Allometrics &amp; Decay rates'!$I$13*((EXP('Allometrics &amp; Decay rates'!$K$13)-1)/('Discounting metrics'!$D$4+'Allometrics &amp; Decay rates'!$K$13)*(1-EXP(-('Discounting metrics'!$D$4+'Allometrics &amp; Decay rates'!$K$13)*'Discounting metrics'!$E$4))-(1-EXP(-'Allometrics &amp; Decay rates'!$K$13))/1.55)+'Allometrics &amp; Decay rates'!$E$13*((EXP('Allometrics &amp; Decay rates'!$L$13)-1)/('Discounting metrics'!$D$4+'Allometrics &amp; Decay rates'!$L$13)*(1-EXP(-('Discounting metrics'!$D$4+'Allometrics &amp; Decay rates'!$L$13)*'Discounting metrics'!$E$4))-(1-EXP(-'Allometrics &amp; Decay rates'!$L$13))/1.55))</f>
        <v>2.2158430741092961E-2</v>
      </c>
      <c r="EV46" s="108">
        <f t="shared" ref="EV46:EV50" si="447">SUM(EW46:FC46)</f>
        <v>19.228896276098748</v>
      </c>
      <c r="EW46" s="550">
        <f>AL46*BV46*$DK46*((EXP('Allometrics &amp; Decay rates'!$M$5)-1)/('Discounting metrics'!$D$4+'Allometrics &amp; Decay rates'!$M$5)*(1-EXP(-('Discounting metrics'!$D$4+'Allometrics &amp; Decay rates'!$M$5)*'Discounting metrics'!$E$4))-(1-EXP(-'Allometrics &amp; Decay rates'!$M$5))/1.55)</f>
        <v>7.1087158516645799</v>
      </c>
      <c r="EX46" s="550">
        <f>AM46*BW46*$DK46*((EXP('Allometrics &amp; Decay rates'!$M$5)-1)/('Discounting metrics'!$D$4+'Allometrics &amp; Decay rates'!$M$5)*(1-EXP(-('Discounting metrics'!$D$4+'Allometrics &amp; Decay rates'!$M$5)*'Discounting metrics'!$E$4))-(1-EXP(-'Allometrics &amp; Decay rates'!$M$5))/1.55)</f>
        <v>2.1559031474341239</v>
      </c>
      <c r="EY46" s="550">
        <f>AN46*BX46*$DK46*((EXP('Allometrics &amp; Decay rates'!$M$5)-1)/('Discounting metrics'!$D$4+'Allometrics &amp; Decay rates'!$M$5)*(1-EXP(-('Discounting metrics'!$D$4+'Allometrics &amp; Decay rates'!$M$5)*'Discounting metrics'!$E$4))-(1-EXP(-'Allometrics &amp; Decay rates'!$M$5))/1.55)</f>
        <v>1.0911236592400433</v>
      </c>
      <c r="EZ46" s="550">
        <f>AO46*BY46*$DK46*((EXP('Allometrics &amp; Decay rates'!$M$5)-1)/('Discounting metrics'!$D$4+'Allometrics &amp; Decay rates'!$M$5)*(1-EXP(-('Discounting metrics'!$D$4+'Allometrics &amp; Decay rates'!$M$5)*'Discounting metrics'!$E$4))-(1-EXP(-'Allometrics &amp; Decay rates'!$M$5))/1.55)</f>
        <v>8.312270966077465</v>
      </c>
      <c r="FA46" s="550">
        <f>AP46*BZ46*$DK46*((EXP('Allometrics &amp; Decay rates'!$M$5)-1)/('Discounting metrics'!$D$4+'Allometrics &amp; Decay rates'!$M$5)*(1-EXP(-('Discounting metrics'!$D$4+'Allometrics &amp; Decay rates'!$M$5)*'Discounting metrics'!$E$4))-(1-EXP(-'Allometrics &amp; Decay rates'!$M$5))/1.55)</f>
        <v>0.29918429363207855</v>
      </c>
      <c r="FB46" s="550">
        <f>AQ46*CA46*$DK46*((EXP('Allometrics &amp; Decay rates'!$M$5)-1)/('Discounting metrics'!$D$4+'Allometrics &amp; Decay rates'!$M$5)*(1-EXP(-('Discounting metrics'!$D$4+'Allometrics &amp; Decay rates'!$M$5)*'Discounting metrics'!$E$4))-(1-EXP(-'Allometrics &amp; Decay rates'!$M$5))/1.55)</f>
        <v>0.25687540362350175</v>
      </c>
      <c r="FC46" s="550">
        <f>AR46*CB46*$DK46*((EXP('Allometrics &amp; Decay rates'!$M$5)-1)/('Discounting metrics'!$D$4+'Allometrics &amp; Decay rates'!$M$5)*(1-EXP(-('Discounting metrics'!$D$4+'Allometrics &amp; Decay rates'!$M$5)*'Discounting metrics'!$E$4))-(1-EXP(-'Allometrics &amp; Decay rates'!$M$5))/1.55)</f>
        <v>4.8229544269572898E-3</v>
      </c>
      <c r="FD46" s="261">
        <f t="shared" ref="FD46:FD50" si="448">FF46+FR46</f>
        <v>43.93292807556665</v>
      </c>
      <c r="FE46" s="154">
        <f>FD46/($CE46-$DN46)</f>
        <v>0.80222820814400875</v>
      </c>
      <c r="FF46" s="108">
        <f t="shared" ref="FF46:FF50" si="449">FG46+FH46-$DO46</f>
        <v>28.186076182197546</v>
      </c>
      <c r="FG46" s="126">
        <f>'Allometrics &amp; Decay rates'!$H$5*$AU46*CG46+'Allometrics &amp; Decay rates'!$H$6*$AV46*CH46+'Allometrics &amp; Decay rates'!$H$7*$AW46*CI46+'Allometrics &amp; Decay rates'!$H$8*$AX46*CJ46+'Allometrics &amp; Decay rates'!$H$9*$AY46*CK46+'Allometrics &amp; Decay rates'!$H$10*$AZ46*CL46+'Allometrics &amp; Decay rates'!$H$11*$BA46*CM46+'Allometrics &amp; Decay rates'!$H$12*$BB46*CN46+'Allometrics &amp; Decay rates'!$H$13*$BC46*CO46</f>
        <v>14.863857773456058</v>
      </c>
      <c r="FH46" s="97">
        <f t="shared" ref="FH46:FH50" si="450">SUM(FI46:FQ46)</f>
        <v>13.718780908741488</v>
      </c>
      <c r="FI46" s="550">
        <f>AU46*CG46*('Allometrics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4.9499729787165867</v>
      </c>
      <c r="FJ46" s="550">
        <f>AV46*CH46*('Allometrics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3.7283909355386808</v>
      </c>
      <c r="FK46" s="550">
        <f>AW46*CI46*('Allometrics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1.6955204569815627</v>
      </c>
      <c r="FL46" s="550">
        <f>AX46*CJ46*('Allometrics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3.003028132533021</v>
      </c>
      <c r="FM46" s="550">
        <f>AY46*CK46*('Allometrics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0.19509757112899032</v>
      </c>
      <c r="FN46" s="550">
        <f>AZ46*CL46*('Allometrics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0.11524079590273067</v>
      </c>
      <c r="FO46" s="550">
        <f>BA46*CM46*('Allometrics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2.2119563859958205E-3</v>
      </c>
      <c r="FP46" s="550">
        <f>BB46*CN46*('Allometrics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2.8961239858427044E-2</v>
      </c>
      <c r="FQ46" s="550">
        <f>BC46*CO46*('Allometrics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3.5684169549442517E-4</v>
      </c>
      <c r="FR46" s="108">
        <f t="shared" ref="FR46:FR50" si="451">SUM(FS46:FY46)</f>
        <v>15.746851893369104</v>
      </c>
      <c r="FS46" s="550">
        <f>AU46*CQ46*$DK46*((EXP('Allometrics &amp; Decay rates'!$M$5)-1)/('Discounting metrics'!$D$4+'Allometrics &amp; Decay rates'!$M$5)*(1-EXP(-('Discounting metrics'!$D$4+'Allometrics &amp; Decay rates'!$M$5)*'Discounting metrics'!$E$4))-(1-EXP(-'Allometrics &amp; Decay rates'!$M$5))/1.55)</f>
        <v>2.5988299743394982</v>
      </c>
      <c r="FT46" s="550">
        <f>AV46*CR46*$DK46*((EXP('Allometrics &amp; Decay rates'!$M$5)-1)/('Discounting metrics'!$D$4+'Allometrics &amp; Decay rates'!$M$5)*(1-EXP(-('Discounting metrics'!$D$4+'Allometrics &amp; Decay rates'!$M$5)*'Discounting metrics'!$E$4))-(1-EXP(-'Allometrics &amp; Decay rates'!$M$5))/1.55)</f>
        <v>2.2104289719630268</v>
      </c>
      <c r="FU46" s="550">
        <f>AW46*CS46*$DK46*((EXP('Allometrics &amp; Decay rates'!$M$5)-1)/('Discounting metrics'!$D$4+'Allometrics &amp; Decay rates'!$M$5)*(1-EXP(-('Discounting metrics'!$D$4+'Allometrics &amp; Decay rates'!$M$5)*'Discounting metrics'!$E$4))-(1-EXP(-'Allometrics &amp; Decay rates'!$M$5))/1.55)</f>
        <v>2.1539949292902736</v>
      </c>
      <c r="FV46" s="550">
        <f>AX46*CT46*$DK46*((EXP('Allometrics &amp; Decay rates'!$M$5)-1)/('Discounting metrics'!$D$4+'Allometrics &amp; Decay rates'!$M$5)*(1-EXP(-('Discounting metrics'!$D$4+'Allometrics &amp; Decay rates'!$M$5)*'Discounting metrics'!$E$4))-(1-EXP(-'Allometrics &amp; Decay rates'!$M$5))/1.55)</f>
        <v>6.3813400862546841</v>
      </c>
      <c r="FW46" s="550">
        <f>AY46*CU46*$DK46*((EXP('Allometrics &amp; Decay rates'!$M$5)-1)/('Discounting metrics'!$D$4+'Allometrics &amp; Decay rates'!$M$5)*(1-EXP(-('Discounting metrics'!$D$4+'Allometrics &amp; Decay rates'!$M$5)*'Discounting metrics'!$E$4))-(1-EXP(-'Allometrics &amp; Decay rates'!$M$5))/1.55)</f>
        <v>1.2934115786731979</v>
      </c>
      <c r="FX46" s="550">
        <f>AZ46*CV46*$DK46*((EXP('Allometrics &amp; Decay rates'!$M$5)-1)/('Discounting metrics'!$D$4+'Allometrics &amp; Decay rates'!$M$5)*(1-EXP(-('Discounting metrics'!$D$4+'Allometrics &amp; Decay rates'!$M$5)*'Discounting metrics'!$E$4))-(1-EXP(-'Allometrics &amp; Decay rates'!$M$5))/1.55)</f>
        <v>1.1037334115584276</v>
      </c>
      <c r="FY46" s="550">
        <f>BA46*CW46*$DK46*((EXP('Allometrics &amp; Decay rates'!$M$5)-1)/('Discounting metrics'!$D$4+'Allometrics &amp; Decay rates'!$M$5)*(1-EXP(-('Discounting metrics'!$D$4+'Allometrics &amp; Decay rates'!$M$5)*'Discounting metrics'!$E$4))-(1-EXP(-'Allometrics &amp; Decay rates'!$M$5))/1.55)</f>
        <v>5.1129412899953855E-3</v>
      </c>
      <c r="FZ46" s="68"/>
      <c r="GA46" s="293"/>
      <c r="GB46" s="293"/>
      <c r="GP46" s="32">
        <f t="shared" ref="GP46:GP50" si="452">(GQ46*$C46+GR46*$D46)/$B46</f>
        <v>6.2230232558139535</v>
      </c>
      <c r="GQ46" s="33">
        <v>6.33</v>
      </c>
      <c r="GR46" s="99">
        <v>4.95</v>
      </c>
      <c r="GS46" s="99"/>
      <c r="GT46" s="99"/>
      <c r="GU46" s="99"/>
      <c r="GV46" s="99"/>
      <c r="GW46" s="99"/>
      <c r="GX46" s="99"/>
      <c r="GY46" s="99"/>
      <c r="GZ46" s="99"/>
      <c r="HA46" s="99"/>
      <c r="HB46" s="99"/>
      <c r="HF46" s="97">
        <f>HG46*$LI46</f>
        <v>3.719850369529063</v>
      </c>
      <c r="HG46" s="526">
        <f>EE46/'Discounting metrics'!E$4/M46</f>
        <v>4.1331670772545142</v>
      </c>
      <c r="HH46" s="527">
        <f>10^3*HG46/$LM46</f>
        <v>266.65594046803318</v>
      </c>
      <c r="HI46" s="528">
        <f>HG46/$LO46</f>
        <v>17.221529488560478</v>
      </c>
      <c r="HJ46" s="97">
        <f>HK46*$LI46</f>
        <v>4.1406133702811818</v>
      </c>
      <c r="HK46" s="526">
        <f>EH46/'Discounting metrics'!E$4/O46</f>
        <v>4.6006815225346465</v>
      </c>
      <c r="HL46" s="527">
        <f>10^3*HK46/$LM46</f>
        <v>296.81816274417071</v>
      </c>
      <c r="HM46" s="528">
        <f>HK46/$LO46</f>
        <v>19.169506343894362</v>
      </c>
      <c r="HN46" s="97">
        <f>HO46*$LI46</f>
        <v>1.2695773204683198</v>
      </c>
      <c r="HO46" s="526">
        <f>FD46/'Discounting metrics'!E$4/Q46</f>
        <v>1.410641467187022</v>
      </c>
      <c r="HP46" s="527">
        <f>10^3*HO46/$LM46</f>
        <v>91.009126915291745</v>
      </c>
      <c r="HQ46" s="528">
        <f>HO46/$LO46</f>
        <v>5.8776727799459252</v>
      </c>
      <c r="HR46" s="97">
        <f>HS46*$LI46</f>
        <v>4.162260197820248</v>
      </c>
      <c r="HS46" s="263">
        <f>$IM$11*IE46</f>
        <v>4.6247335531336091</v>
      </c>
      <c r="HT46" s="527">
        <f>10^3*HS46/$LM46</f>
        <v>298.36990665378124</v>
      </c>
      <c r="HU46" s="528">
        <f>HS46/$LO46</f>
        <v>19.269723138056705</v>
      </c>
      <c r="HV46" s="97">
        <f>HW46*$LI46</f>
        <v>4.5762835484532829</v>
      </c>
      <c r="HW46" s="263">
        <f t="shared" si="417"/>
        <v>5.084759498281425</v>
      </c>
      <c r="HX46" s="527">
        <f>10^3*HW46/$LM46</f>
        <v>328.04899988912422</v>
      </c>
      <c r="HY46" s="528">
        <f>HW46/$LO46</f>
        <v>21.186497909505938</v>
      </c>
      <c r="HZ46" s="97">
        <f>I46*$LI46</f>
        <v>0.55890000000000006</v>
      </c>
      <c r="IA46" s="263">
        <f t="shared" si="418"/>
        <v>1.9458165066026025</v>
      </c>
      <c r="IB46" s="527">
        <f>10^3*I46/$LM46</f>
        <v>40.064516129032256</v>
      </c>
      <c r="IC46" s="528">
        <f>I46/$LO46</f>
        <v>2.5874999999999999</v>
      </c>
      <c r="ID46" s="97">
        <f>IE46*$LI46</f>
        <v>8.3439351418771448</v>
      </c>
      <c r="IE46" s="263">
        <f t="shared" si="419"/>
        <v>9.2710390465301611</v>
      </c>
      <c r="IF46" s="68">
        <f>10^3*IE46/$LM46</f>
        <v>598.13155138904267</v>
      </c>
      <c r="IG46" s="97">
        <f>IH46*$LI46</f>
        <v>9.1739130434782616</v>
      </c>
      <c r="IH46" s="263">
        <f t="shared" si="420"/>
        <v>10.193236714975846</v>
      </c>
      <c r="II46" s="68">
        <f>10^3*IH46/$LM46</f>
        <v>657.628175159732</v>
      </c>
      <c r="IJ46" s="97">
        <f>IK46*$LI46</f>
        <v>3.5106382978723412</v>
      </c>
      <c r="IK46" s="263">
        <f t="shared" si="421"/>
        <v>3.9007092198581566</v>
      </c>
      <c r="IL46" s="68">
        <f>10^3*IK46/$LM46</f>
        <v>251.65865934568754</v>
      </c>
      <c r="IM46" s="60"/>
      <c r="IN46" s="60"/>
      <c r="IO46" s="60"/>
      <c r="IP46" s="554">
        <f>IR46*$V46</f>
        <v>10.689134460984</v>
      </c>
      <c r="IQ46" s="262">
        <f>IR46*$LI46</f>
        <v>0.55551057379607116</v>
      </c>
      <c r="IR46" s="166">
        <f>(IW46*Y46+JD46*AA46)/V46</f>
        <v>0.61723397088452348</v>
      </c>
      <c r="IS46" s="68">
        <f>10^3*IR46/$LM46</f>
        <v>39.821546508678935</v>
      </c>
      <c r="IT46" s="97">
        <f>IR46/$LO46</f>
        <v>2.5718082120188481</v>
      </c>
      <c r="IU46" s="429">
        <f>(IX46*C46+JE46*D46)/B46</f>
        <v>8.57906976744186E-3</v>
      </c>
      <c r="IV46" s="262">
        <f>IW46*$LI46</f>
        <v>0.65090332852173916</v>
      </c>
      <c r="IW46" s="436">
        <f>IX46*JB46/I46</f>
        <v>0.72322592057971014</v>
      </c>
      <c r="IX46" s="101">
        <v>9.2999999999999992E-3</v>
      </c>
      <c r="IY46" s="101">
        <v>0.68200000000000005</v>
      </c>
      <c r="IZ46" s="101">
        <v>0.27300000000000002</v>
      </c>
      <c r="JA46" s="429">
        <f t="shared" ref="JA46:JA50" si="453">1-IY46-IZ46</f>
        <v>4.4999999999999929E-2</v>
      </c>
      <c r="JB46" s="430">
        <f>IY46*$JJ46+IZ46*$JK46+JA46*$JL46+'Discounting metrics'!$B$6*(IY46*$JM46+IZ46*$JN46+JA46*$JO46)/10^3+'Discounting metrics'!$B$5*(IY46*$JP46+IZ46*$JQ46+JA46*$JR46)/10^3</f>
        <v>48.292827600000003</v>
      </c>
      <c r="JC46" s="262">
        <f>JD46*$LI46</f>
        <v>0</v>
      </c>
      <c r="JD46" s="436">
        <f>JE46*JI46/K46</f>
        <v>0</v>
      </c>
      <c r="JE46" s="101">
        <v>0</v>
      </c>
      <c r="JF46" s="433">
        <v>1</v>
      </c>
      <c r="JG46" s="433">
        <v>0</v>
      </c>
      <c r="JH46" s="434">
        <f t="shared" ref="JH46:JH50" si="454">1-JF46-JG46</f>
        <v>0</v>
      </c>
      <c r="JI46" s="430">
        <f>JF46*$JJ46+JG46*$JK46+JH46*$JL46+'Discounting metrics'!$B$6*(JF46*$JM46+JG46*$JN46+JH46*$JO46)/10^3+'Discounting metrics'!$B$5*(JF46*$JP46+JG46*$JQ46+JH46*$JR46)/10^3</f>
        <v>54.558</v>
      </c>
      <c r="JJ46" s="431">
        <v>51.3</v>
      </c>
      <c r="JK46" s="431">
        <v>29</v>
      </c>
      <c r="JL46" s="431">
        <v>29</v>
      </c>
      <c r="JM46" s="99">
        <v>5</v>
      </c>
      <c r="JN46" s="431">
        <v>13</v>
      </c>
      <c r="JO46" s="431">
        <v>13</v>
      </c>
      <c r="JP46" s="431">
        <v>52</v>
      </c>
      <c r="JQ46" s="431">
        <v>58.3</v>
      </c>
      <c r="JR46" s="431">
        <v>58.3</v>
      </c>
      <c r="JS46" s="554">
        <f>JV46+JW46+JT46+JU46+JX46</f>
        <v>11.974106852328957</v>
      </c>
      <c r="JT46" s="554">
        <f>KJ46*$V46</f>
        <v>-0.5213038021919999</v>
      </c>
      <c r="JU46" s="554">
        <f>KL46*$V46</f>
        <v>1.7108943906923997</v>
      </c>
      <c r="JV46" s="554">
        <f>KN46*$V46</f>
        <v>8.9136490789367979</v>
      </c>
      <c r="JW46" s="554">
        <f>KP46*$V46</f>
        <v>1.8708671848917597</v>
      </c>
      <c r="JX46" s="554"/>
      <c r="JY46" s="167">
        <f>JZ46*LI46</f>
        <v>0.62229013888000007</v>
      </c>
      <c r="JZ46" s="166">
        <f>KF46+KD46+KH46</f>
        <v>0.69143348764444446</v>
      </c>
      <c r="KA46" s="68">
        <f>10^3*JZ46/$LM46</f>
        <v>44.60861210609319</v>
      </c>
      <c r="KB46" s="97">
        <f>JZ46/$LO46</f>
        <v>2.8809728651851851</v>
      </c>
      <c r="KC46" s="473">
        <f>KD46*LI46</f>
        <v>6.1822606199999991E-2</v>
      </c>
      <c r="KD46" s="269">
        <f>KJ46+KL46</f>
        <v>6.8691784666666658E-2</v>
      </c>
      <c r="KE46" s="473">
        <f>KF46*LI46</f>
        <v>0.56046753268000005</v>
      </c>
      <c r="KF46" s="269">
        <f>KN46+KP46</f>
        <v>0.62274170297777776</v>
      </c>
      <c r="KG46" s="123"/>
      <c r="KH46" s="49"/>
      <c r="KI46" s="435">
        <v>-2.7091976E-2</v>
      </c>
      <c r="KJ46" s="522">
        <f>KI46/$LI46</f>
        <v>-3.0102195555555555E-2</v>
      </c>
      <c r="KK46" s="435">
        <v>8.8914582199999995E-2</v>
      </c>
      <c r="KL46" s="522">
        <f>KK46/$LI46</f>
        <v>9.8793980222222216E-2</v>
      </c>
      <c r="KM46" s="435">
        <v>0.46323922039999998</v>
      </c>
      <c r="KN46" s="522">
        <f>KM46/$LI46</f>
        <v>0.51471024488888883</v>
      </c>
      <c r="KO46" s="435">
        <v>9.7228312279999993E-2</v>
      </c>
      <c r="KP46" s="522">
        <f>KO46/$LI46</f>
        <v>0.10803145808888888</v>
      </c>
      <c r="KQ46" s="599">
        <f>44/12*HG46+$JZ46+$IR46</f>
        <v>16.463613408462184</v>
      </c>
      <c r="KR46" s="527">
        <f>10^3*KQ46/$LM46</f>
        <v>1062.1686069975603</v>
      </c>
      <c r="KS46" s="528">
        <f>KQ46/$LO46</f>
        <v>68.598389201925769</v>
      </c>
      <c r="KT46" s="599">
        <f>44/12*HK46+$JZ46+$IW46</f>
        <v>18.283824990851194</v>
      </c>
      <c r="KU46" s="527">
        <f>10^3*KT46/$LM46</f>
        <v>1179.6016123129803</v>
      </c>
      <c r="KV46" s="528">
        <f>KT46/$LO46</f>
        <v>76.182604128546643</v>
      </c>
      <c r="KW46" s="599">
        <f>44/12*HO46+$JZ46+$JD46</f>
        <v>5.8637855339968583</v>
      </c>
      <c r="KX46" s="527">
        <f>10^3*KW46/$LM46</f>
        <v>378.30874412882957</v>
      </c>
      <c r="KY46" s="528">
        <f>KW46/$LO46</f>
        <v>24.43243972498691</v>
      </c>
      <c r="KZ46" s="599">
        <f>44/12*HS46+$JZ46+$IR46</f>
        <v>18.266023820018869</v>
      </c>
      <c r="LA46" s="527">
        <f>10^3*KZ46/$LM46</f>
        <v>1178.4531496786367</v>
      </c>
      <c r="LB46" s="528">
        <f>KZ46/$LO46</f>
        <v>76.108432583411954</v>
      </c>
      <c r="LC46" s="599">
        <f>44/12*HW46+$JZ46+$IW46</f>
        <v>20.058777568589381</v>
      </c>
      <c r="LD46" s="527">
        <f>10^3*LC46/$LM46</f>
        <v>1294.1146818444761</v>
      </c>
      <c r="LE46" s="528">
        <f>LC46/$LO46</f>
        <v>83.578239869122427</v>
      </c>
      <c r="LF46" s="599">
        <f>44/12*I46+$JZ46+$JD46</f>
        <v>2.968433487644444</v>
      </c>
      <c r="LG46" s="527">
        <f>10^3*LF46/$LM46</f>
        <v>191.51183791254479</v>
      </c>
      <c r="LH46" s="528">
        <f>LF46/$LO46</f>
        <v>12.368472865185185</v>
      </c>
      <c r="LI46" s="31">
        <v>0.9</v>
      </c>
      <c r="LJ46" s="32">
        <f t="shared" ref="LJ46:LJ48" si="455">$LI46*LK46</f>
        <v>17.100000000000001</v>
      </c>
      <c r="LK46" s="33">
        <v>19</v>
      </c>
      <c r="LL46" s="32">
        <f t="shared" ref="LL46:LL48" si="456">$LI46*LM46</f>
        <v>13.950000000000001</v>
      </c>
      <c r="LM46" s="33">
        <v>15.5</v>
      </c>
      <c r="LN46" s="34">
        <f t="shared" ref="LN46:LN48" si="457">$LI46*LO46</f>
        <v>0.216</v>
      </c>
      <c r="LO46" s="31">
        <v>0.24</v>
      </c>
      <c r="LP46" s="36">
        <f t="shared" ref="LP46:LP48" si="458">$LI46*LQ46</f>
        <v>1.35E-2</v>
      </c>
      <c r="LQ46" s="35">
        <v>1.4999999999999999E-2</v>
      </c>
    </row>
    <row r="47" spans="1:329" s="4" customFormat="1" x14ac:dyDescent="0.25">
      <c r="A47" s="14" t="s">
        <v>325</v>
      </c>
      <c r="B47" s="67">
        <f t="shared" si="424"/>
        <v>9.8000000000000007</v>
      </c>
      <c r="C47" s="33">
        <v>8.3000000000000007</v>
      </c>
      <c r="D47" s="33">
        <v>1.5</v>
      </c>
      <c r="E47" s="38">
        <f t="shared" si="425"/>
        <v>0.15306122448979589</v>
      </c>
      <c r="F47" s="436">
        <f t="shared" si="400"/>
        <v>0.8543877551020409</v>
      </c>
      <c r="G47" s="32">
        <f t="shared" si="401"/>
        <v>0.77749285714285721</v>
      </c>
      <c r="H47" s="33">
        <v>0.81</v>
      </c>
      <c r="I47" s="32">
        <f>$LI47*H47</f>
        <v>0.73710000000000009</v>
      </c>
      <c r="J47" s="33">
        <v>1.1000000000000001</v>
      </c>
      <c r="K47" s="32">
        <f>$LI47*J47</f>
        <v>1.0010000000000001</v>
      </c>
      <c r="L47" s="32">
        <f>(F47/'Discounting metrics'!$D$4*(1-EXP(-'Discounting metrics'!$D$4*'Discounting metrics'!$E$4)))/'Discounting metrics'!$E$4</f>
        <v>0.20968477437715893</v>
      </c>
      <c r="M47" s="32">
        <f>(G47/'Discounting metrics'!$D$4*(1-EXP(-'Discounting metrics'!$D$4*'Discounting metrics'!$E$4)))/'Discounting metrics'!$E$4</f>
        <v>0.19081314468321459</v>
      </c>
      <c r="N47" s="32">
        <f>(H47/'Discounting metrics'!$D$4*(1-EXP(-'Discounting metrics'!$D$4*'Discounting metrics'!$E$4)))/'Discounting metrics'!$E$4</f>
        <v>0.19879108312503133</v>
      </c>
      <c r="O47" s="32">
        <f>(I47/'Discounting metrics'!$D$4*(1-EXP(-'Discounting metrics'!$D$4*'Discounting metrics'!$E$4)))/'Discounting metrics'!$E$4</f>
        <v>0.18089988564377851</v>
      </c>
      <c r="P47" s="32">
        <f>(J47/'Discounting metrics'!$D$4*(1-EXP(-'Discounting metrics'!$D$4*'Discounting metrics'!$E$4)))/'Discounting metrics'!$E$4</f>
        <v>0.26996319930559809</v>
      </c>
      <c r="Q47" s="32">
        <f>(K47/'Discounting metrics'!$D$4*(1-EXP(-'Discounting metrics'!$D$4*'Discounting metrics'!$E$4)))/'Discounting metrics'!$E$4</f>
        <v>0.24566651136809431</v>
      </c>
      <c r="R47" s="32">
        <f>10/G47</f>
        <v>12.861854495677497</v>
      </c>
      <c r="S47" s="32">
        <f>10/I47</f>
        <v>13.566680233346899</v>
      </c>
      <c r="T47" s="32">
        <f>10/K47</f>
        <v>9.9900099900099892</v>
      </c>
      <c r="U47" s="108">
        <f t="shared" si="426"/>
        <v>8.3730000000000011</v>
      </c>
      <c r="V47" s="68">
        <f t="shared" si="426"/>
        <v>7.6194300000000013</v>
      </c>
      <c r="W47" s="68"/>
      <c r="X47" s="67">
        <f>C47*H47</f>
        <v>6.7230000000000008</v>
      </c>
      <c r="Y47" s="67">
        <f t="shared" si="427"/>
        <v>6.1179300000000012</v>
      </c>
      <c r="Z47" s="67">
        <f t="shared" si="427"/>
        <v>1.6500000000000001</v>
      </c>
      <c r="AA47" s="67">
        <f>D47*K47</f>
        <v>1.5015000000000001</v>
      </c>
      <c r="AB47" s="38">
        <f t="shared" si="428"/>
        <v>0.19706198495163021</v>
      </c>
      <c r="AC47" s="294">
        <f t="shared" si="429"/>
        <v>5.5787391780434868E-2</v>
      </c>
      <c r="AD47" s="294">
        <f t="shared" si="429"/>
        <v>5.7246546673266473E-2</v>
      </c>
      <c r="AE47" s="294">
        <f t="shared" si="429"/>
        <v>1.3500787615426821E-2</v>
      </c>
      <c r="AF47" s="294">
        <f t="shared" si="429"/>
        <v>0.25874662600363268</v>
      </c>
      <c r="AG47" s="294">
        <f t="shared" si="429"/>
        <v>0.11356850769023419</v>
      </c>
      <c r="AH47" s="294">
        <f t="shared" si="429"/>
        <v>0.35123635032111306</v>
      </c>
      <c r="AI47" s="294">
        <f t="shared" si="429"/>
        <v>0.14658083069883585</v>
      </c>
      <c r="AJ47" s="294">
        <f t="shared" si="429"/>
        <v>2.6096536412357906E-3</v>
      </c>
      <c r="AK47" s="294">
        <f t="shared" si="429"/>
        <v>7.2317168697961186E-4</v>
      </c>
      <c r="AL47" s="433">
        <v>6.2790215569277941E-2</v>
      </c>
      <c r="AM47" s="433">
        <v>6.2454983553682411E-2</v>
      </c>
      <c r="AN47" s="433">
        <v>1.4760818877468862E-2</v>
      </c>
      <c r="AO47" s="433">
        <v>0.28261080328007082</v>
      </c>
      <c r="AP47" s="433">
        <v>0.11106287538893177</v>
      </c>
      <c r="AQ47" s="433">
        <v>0.34196469266038454</v>
      </c>
      <c r="AR47" s="433">
        <v>0.12350137562484699</v>
      </c>
      <c r="AS47" s="433">
        <v>2.0428266091506753E-6</v>
      </c>
      <c r="AT47" s="433">
        <v>8.5208799288012389E-4</v>
      </c>
      <c r="AU47" s="433">
        <v>1.7038433482169865E-2</v>
      </c>
      <c r="AV47" s="433">
        <v>2.8426529268298254E-2</v>
      </c>
      <c r="AW47" s="433">
        <v>6.5286146321275303E-3</v>
      </c>
      <c r="AX47" s="433">
        <v>0.12669817840734146</v>
      </c>
      <c r="AY47" s="433">
        <v>0.12743300642410751</v>
      </c>
      <c r="AZ47" s="433">
        <v>0.40253952271047727</v>
      </c>
      <c r="BA47" s="433">
        <v>0.27428714877490745</v>
      </c>
      <c r="BB47" s="433">
        <v>1.7038433482169865E-2</v>
      </c>
      <c r="BC47" s="433">
        <v>9.8347943301119242E-6</v>
      </c>
      <c r="BD47" s="554">
        <f>BG47*$B47/10^3</f>
        <v>0.73485926356657005</v>
      </c>
      <c r="BE47" s="554">
        <f t="shared" si="430"/>
        <v>0.10540307788702251</v>
      </c>
      <c r="BF47" s="554">
        <f t="shared" si="430"/>
        <v>0.62945618567954753</v>
      </c>
      <c r="BG47" s="67">
        <f t="shared" si="431"/>
        <v>74.985639139445908</v>
      </c>
      <c r="BH47" s="67">
        <f>(BK47*$C47+CF47*$D47)/$B47</f>
        <v>10.755416110920663</v>
      </c>
      <c r="BI47" s="67">
        <f>(BU47*$C47+CP47*$D47)/$B47</f>
        <v>64.230223028525245</v>
      </c>
      <c r="BJ47" s="67">
        <f>BK47+BU47</f>
        <v>78.594368773607741</v>
      </c>
      <c r="BK47" s="68">
        <f t="shared" si="432"/>
        <v>11.693912381355933</v>
      </c>
      <c r="BL47" s="145">
        <v>65.670847685801874</v>
      </c>
      <c r="BM47" s="145">
        <v>36.384559968345549</v>
      </c>
      <c r="BN47" s="145">
        <v>15.569078556953906</v>
      </c>
      <c r="BO47" s="145">
        <v>15.840965862619477</v>
      </c>
      <c r="BP47" s="145">
        <v>3.1116353314282934</v>
      </c>
      <c r="BQ47" s="145">
        <v>0.62892981756203936</v>
      </c>
      <c r="BR47" s="145">
        <v>9.2433384351458869E-2</v>
      </c>
      <c r="BS47" s="145">
        <v>205.05225292780548</v>
      </c>
      <c r="BT47" s="145">
        <v>22.174556244621183</v>
      </c>
      <c r="BU47" s="68">
        <f t="shared" si="433"/>
        <v>66.900456392251812</v>
      </c>
      <c r="BV47" s="145">
        <v>66.095028146485262</v>
      </c>
      <c r="BW47" s="145">
        <v>44.157713163500887</v>
      </c>
      <c r="BX47" s="145">
        <v>73.599809840361999</v>
      </c>
      <c r="BY47" s="145">
        <v>182.97393808767589</v>
      </c>
      <c r="BZ47" s="145">
        <v>28.771739825512682</v>
      </c>
      <c r="CA47" s="145">
        <v>11.225264333382171</v>
      </c>
      <c r="CB47" s="145">
        <v>0.34266491497451612</v>
      </c>
      <c r="CC47" s="145">
        <v>194.97743125216186</v>
      </c>
      <c r="CD47" s="145">
        <v>139.45376241211085</v>
      </c>
      <c r="CE47" s="68">
        <f t="shared" si="434"/>
        <v>55.017335163750502</v>
      </c>
      <c r="CF47" s="68">
        <f t="shared" si="435"/>
        <v>5.5624034145121692</v>
      </c>
      <c r="CG47" s="145">
        <v>77.958881601509191</v>
      </c>
      <c r="CH47" s="145">
        <v>44.045867656637775</v>
      </c>
      <c r="CI47" s="145">
        <v>21.961462552194064</v>
      </c>
      <c r="CJ47" s="145">
        <v>17.716473843521666</v>
      </c>
      <c r="CK47" s="145">
        <v>2.766207226134572</v>
      </c>
      <c r="CL47" s="145">
        <v>0.5519731279652903</v>
      </c>
      <c r="CM47" s="145">
        <v>6.9526665743150001E-2</v>
      </c>
      <c r="CN47" s="145">
        <v>8.1102571764177789E-3</v>
      </c>
      <c r="CO47" s="145">
        <v>10.839137527450276</v>
      </c>
      <c r="CP47" s="68">
        <f t="shared" si="436"/>
        <v>49.454931749238334</v>
      </c>
      <c r="CQ47" s="145">
        <v>67.813336076533218</v>
      </c>
      <c r="CR47" s="145">
        <v>54.690200796157072</v>
      </c>
      <c r="CS47" s="145">
        <v>62.737676651581957</v>
      </c>
      <c r="CT47" s="145">
        <v>310.89151717418684</v>
      </c>
      <c r="CU47" s="145">
        <v>24.765222804818755</v>
      </c>
      <c r="CV47" s="145">
        <v>9.2381723232605175</v>
      </c>
      <c r="CW47" s="145">
        <v>0.25793352042350731</v>
      </c>
      <c r="CX47" s="145">
        <v>7.6854341814625617E-3</v>
      </c>
      <c r="CY47" s="145">
        <v>35.795917143122828</v>
      </c>
      <c r="CZ47" s="554">
        <f>DC47*$B47/10^3</f>
        <v>0.47447321113466062</v>
      </c>
      <c r="DA47" s="554">
        <f t="shared" si="437"/>
        <v>2.3810718750000002E-3</v>
      </c>
      <c r="DB47" s="554">
        <f t="shared" si="437"/>
        <v>0.47209213925966065</v>
      </c>
      <c r="DC47" s="32">
        <f t="shared" si="438"/>
        <v>48.415633789251082</v>
      </c>
      <c r="DD47" s="32">
        <f t="shared" si="439"/>
        <v>0.24296651785714288</v>
      </c>
      <c r="DE47" s="67">
        <f t="shared" si="439"/>
        <v>48.172667271393941</v>
      </c>
      <c r="DF47" s="270"/>
      <c r="DG47" s="67">
        <f t="shared" si="440"/>
        <v>50.405686044188862</v>
      </c>
      <c r="DH47" s="32">
        <f>I47*0.5*2.5*0.25</f>
        <v>0.23034375000000001</v>
      </c>
      <c r="DI47" s="67">
        <f>(1-DK47)*BU47</f>
        <v>50.175342294188859</v>
      </c>
      <c r="DJ47" s="67"/>
      <c r="DK47" s="34">
        <f t="shared" si="441"/>
        <v>0.25</v>
      </c>
      <c r="DL47" s="159"/>
      <c r="DM47" s="159"/>
      <c r="DN47" s="68">
        <f t="shared" si="442"/>
        <v>37.404011311928748</v>
      </c>
      <c r="DO47" s="32">
        <f>K47*0.5*2.5*0.25</f>
        <v>0.31281250000000005</v>
      </c>
      <c r="DP47" s="67">
        <f>(1-DR47)*CP47</f>
        <v>37.091198811928749</v>
      </c>
      <c r="DQ47" s="67"/>
      <c r="DR47" s="34">
        <f t="shared" si="443"/>
        <v>0.25</v>
      </c>
      <c r="DS47" s="294"/>
      <c r="DT47" s="294"/>
      <c r="DU47" s="294"/>
      <c r="DV47" s="67">
        <f t="shared" si="410"/>
        <v>26.570005350194826</v>
      </c>
      <c r="DW47" s="67">
        <f t="shared" si="410"/>
        <v>10.51244959306352</v>
      </c>
      <c r="DX47" s="67">
        <f t="shared" si="410"/>
        <v>16.057555757131304</v>
      </c>
      <c r="DY47" s="67">
        <f t="shared" si="411"/>
        <v>28.188682729418879</v>
      </c>
      <c r="DZ47" s="67">
        <f t="shared" si="411"/>
        <v>11.463568631355933</v>
      </c>
      <c r="EA47" s="67">
        <f t="shared" si="412"/>
        <v>16.725114098062953</v>
      </c>
      <c r="EB47" s="67">
        <f t="shared" si="413"/>
        <v>17.613323851821754</v>
      </c>
      <c r="EC47" s="67">
        <f t="shared" si="413"/>
        <v>5.2495909145121695</v>
      </c>
      <c r="ED47" s="67">
        <f t="shared" si="414"/>
        <v>12.363732937309585</v>
      </c>
      <c r="EE47" s="68">
        <f>EF47+EG47</f>
        <v>21.25025541402092</v>
      </c>
      <c r="EF47" s="67">
        <f>(EJ47*$C47+FF47*$D47)/$B47</f>
        <v>8.7203346127246935</v>
      </c>
      <c r="EG47" s="67">
        <f t="shared" si="444"/>
        <v>12.529920801296226</v>
      </c>
      <c r="EH47" s="261">
        <f t="shared" si="445"/>
        <v>22.608577585868019</v>
      </c>
      <c r="EI47" s="154">
        <f>EH47/($BJ47-$DG47)</f>
        <v>0.80204448724639299</v>
      </c>
      <c r="EJ47" s="108">
        <f>EK47+EL47-DH47</f>
        <v>9.560482573531722</v>
      </c>
      <c r="EK47" s="126">
        <f>'Allometrics &amp; Decay rates'!$H$5*$AL47*BL47+'Allometrics &amp; Decay rates'!$H$6*$AM47*BM47+'Allometrics &amp; Decay rates'!$H$7*$AN47*BN47+'Allometrics &amp; Decay rates'!$H$8*$AO47*BO47+'Allometrics &amp; Decay rates'!$H$9*$AP47*BP47+'Allometrics &amp; Decay rates'!$H$10*$AQ47*BQ47+'Allometrics &amp; Decay rates'!$H$11*$AR47*BR47+'Allometrics &amp; Decay rates'!$H$12*$AS47*BS47+'Allometrics &amp; Decay rates'!$H$13*$AT47*BT47</f>
        <v>4.7039038821600556</v>
      </c>
      <c r="EL47" s="97">
        <f t="shared" si="446"/>
        <v>5.0869224413716649</v>
      </c>
      <c r="EM47" s="550">
        <f>AL47*BL47*('Allometrics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1.6165204748530038</v>
      </c>
      <c r="EN47" s="550">
        <f>AM47*BM47*('Allometrics &amp; Decay rates'!$I$6*((EXP('Allometrics &amp; Decay rates'!$K$6)-1)/('Discounting metrics'!$D$4+'Allometrics &amp; Decay rates'!$K$6)*(1-EXP(-('Discounting metrics'!$D$4+'Allometrics &amp; Decay rates'!$K$6)*'Discounting metrics'!$E$4))-(1-EXP(-'Allometrics &amp; Decay rates'!$K$6))/1.55)+'Allometrics &amp; Decay rates'!$E$6*((EXP('Allometrics &amp; Decay rates'!$L$6)-1)/('Discounting metrics'!$D$4+'Allometrics &amp; Decay rates'!$L$6)*(1-EXP(-('Discounting metrics'!$D$4+'Allometrics &amp; Decay rates'!$L$6)*'Discounting metrics'!$E$4))-(1-EXP(-'Allometrics &amp; Decay rates'!$L$6))/1.55))</f>
        <v>0.55420993983885369</v>
      </c>
      <c r="EO47" s="550">
        <f>AN47*BN47*('Allometrics &amp; Decay rates'!$I$7*((EXP('Allometrics &amp; Decay rates'!$K$7)-1)/('Discounting metrics'!$D$4+'Allometrics &amp; Decay rates'!$K$7)*(1-EXP(-('Discounting metrics'!$D$4+'Allometrics &amp; Decay rates'!$K$7)*'Discounting metrics'!$E$4))-(1-EXP(-'Allometrics &amp; Decay rates'!$K$7))/1.55)+'Allometrics &amp; Decay rates'!$E$7*((EXP('Allometrics &amp; Decay rates'!$L$7)-1)/('Discounting metrics'!$D$4+'Allometrics &amp; Decay rates'!$L$7)*(1-EXP(-('Discounting metrics'!$D$4+'Allometrics &amp; Decay rates'!$L$7)*'Discounting metrics'!$E$4))-(1-EXP(-'Allometrics &amp; Decay rates'!$L$7))/1.55))</f>
        <v>4.8929684237632207E-2</v>
      </c>
      <c r="EP47" s="550">
        <f>AO47*BO47*('Allometrics &amp; Decay rates'!$I$8*((EXP('Allometrics &amp; Decay rates'!$K$8)-1)/('Discounting metrics'!$D$4+'Allometrics &amp; Decay rates'!$K$8)*(1-EXP(-('Discounting metrics'!$D$4+'Allometrics &amp; Decay rates'!$K$8)*'Discounting metrics'!$E$4))-(1-EXP(-'Allometrics &amp; Decay rates'!$K$8))/1.55)+'Allometrics &amp; Decay rates'!$E$8*((EXP('Allometrics &amp; Decay rates'!$L$8)-1)/('Discounting metrics'!$D$4+'Allometrics &amp; Decay rates'!$L$8)*(1-EXP(-('Discounting metrics'!$D$4+'Allometrics &amp; Decay rates'!$L$8)*'Discounting metrics'!$E$4))-(1-EXP(-'Allometrics &amp; Decay rates'!$L$8))/1.55))</f>
        <v>2.5346296808003217</v>
      </c>
      <c r="EQ47" s="550">
        <f>AP47*BP47*('Allometrics &amp; Decay rates'!$I$9*((EXP('Allometrics &amp; Decay rates'!$K$9)-1)/('Discounting metrics'!$D$4+'Allometrics &amp; Decay rates'!$K$9)*(1-EXP(-('Discounting metrics'!$D$4+'Allometrics &amp; Decay rates'!$K$9)*'Discounting metrics'!$E$4))-(1-EXP(-'Allometrics &amp; Decay rates'!$K$9))/1.55)+'Allometrics &amp; Decay rates'!$E$9*((EXP('Allometrics &amp; Decay rates'!$L$9)-1)/('Discounting metrics'!$D$4+'Allometrics &amp; Decay rates'!$L$9)*(1-EXP(-('Discounting metrics'!$D$4+'Allometrics &amp; Decay rates'!$L$9)*'Discounting metrics'!$E$4))-(1-EXP(-'Allometrics &amp; Decay rates'!$L$9))/1.55))</f>
        <v>0.18113109168816782</v>
      </c>
      <c r="ER47" s="550">
        <f>AQ47*BQ47*('Allometrics &amp; Decay rates'!$I$10*((EXP('Allometrics &amp; Decay rates'!$K$10)-1)/('Discounting metrics'!$D$4+'Allometrics &amp; Decay rates'!$K$10)*(1-EXP(-('Discounting metrics'!$D$4+'Allometrics &amp; Decay rates'!$K$10)*'Discounting metrics'!$E$4))-(1-EXP(-'Allometrics &amp; Decay rates'!$K$10))/1.55)+'Allometrics &amp; Decay rates'!$E$10*((EXP('Allometrics &amp; Decay rates'!$L$10)-1)/('Discounting metrics'!$D$4+'Allometrics &amp; Decay rates'!$L$10)*(1-EXP(-('Discounting metrics'!$D$4+'Allometrics &amp; Decay rates'!$L$10)*'Discounting metrics'!$E$4))-(1-EXP(-'Allometrics &amp; Decay rates'!$L$10))/1.55))</f>
        <v>0.13682463908898262</v>
      </c>
      <c r="ES47" s="550">
        <f>AR47*BR47*('Allometrics &amp; Decay rates'!$I$11*((EXP('Allometrics &amp; Decay rates'!$K$11)-1)/('Discounting metrics'!$D$4+'Allometrics &amp; Decay rates'!$K$11)*(1-EXP(-('Discounting metrics'!$D$4+'Allometrics &amp; Decay rates'!$K$11)*'Discounting metrics'!$E$4))-(1-EXP(-'Allometrics &amp; Decay rates'!$K$11))/1.55)+'Allometrics &amp; Decay rates'!$E$11*((EXP('Allometrics &amp; Decay rates'!$L$11)-1)/('Discounting metrics'!$D$4+'Allometrics &amp; Decay rates'!$L$11)*(1-EXP(-('Discounting metrics'!$D$4+'Allometrics &amp; Decay rates'!$L$11)*'Discounting metrics'!$E$4))-(1-EXP(-'Allometrics &amp; Decay rates'!$L$11))/1.55))</f>
        <v>8.1027282532080431E-3</v>
      </c>
      <c r="ET47" s="550">
        <f>AS47*BS47*('Allometrics &amp; Decay rates'!$I$12*((EXP('Allometrics &amp; Decay rates'!$K$12)-1)/('Discounting metrics'!$D$4+'Allometrics &amp; Decay rates'!$K$12)*(1-EXP(-('Discounting metrics'!$D$4+'Allometrics &amp; Decay rates'!$K$12)*'Discounting metrics'!$E$4))-(1-EXP(-'Allometrics &amp; Decay rates'!$K$12))/1.55)+'Allometrics &amp; Decay rates'!$E$12*((EXP('Allometrics &amp; Decay rates'!$L$12)-1)/('Discounting metrics'!$D$4+'Allometrics &amp; Decay rates'!$L$12)*(1-EXP(-('Discounting metrics'!$D$4+'Allometrics &amp; Decay rates'!$L$12)*'Discounting metrics'!$E$4))-(1-EXP(-'Allometrics &amp; Decay rates'!$L$12))/1.55))</f>
        <v>1.7092427595868668E-4</v>
      </c>
      <c r="EU47" s="550">
        <f>AT47*BT47*('Allometrics &amp; Decay rates'!$I$13*((EXP('Allometrics &amp; Decay rates'!$K$13)-1)/('Discounting metrics'!$D$4+'Allometrics &amp; Decay rates'!$K$13)*(1-EXP(-('Discounting metrics'!$D$4+'Allometrics &amp; Decay rates'!$K$13)*'Discounting metrics'!$E$4))-(1-EXP(-'Allometrics &amp; Decay rates'!$K$13))/1.55)+'Allometrics &amp; Decay rates'!$E$13*((EXP('Allometrics &amp; Decay rates'!$L$13)-1)/('Discounting metrics'!$D$4+'Allometrics &amp; Decay rates'!$L$13)*(1-EXP(-('Discounting metrics'!$D$4+'Allometrics &amp; Decay rates'!$L$13)*'Discounting metrics'!$E$4))-(1-EXP(-'Allometrics &amp; Decay rates'!$L$13))/1.55))</f>
        <v>6.4032783355363341E-3</v>
      </c>
      <c r="EV47" s="108">
        <f t="shared" si="447"/>
        <v>13.048095012336297</v>
      </c>
      <c r="EW47" s="550">
        <f>AL47*BV47*$DK47*((EXP('Allometrics &amp; Decay rates'!$M$5)-1)/('Discounting metrics'!$D$4+'Allometrics &amp; Decay rates'!$M$5)*(1-EXP(-('Discounting metrics'!$D$4+'Allometrics &amp; Decay rates'!$M$5)*'Discounting metrics'!$E$4))-(1-EXP(-'Allometrics &amp; Decay rates'!$M$5))/1.55)</f>
        <v>0.81087414820043702</v>
      </c>
      <c r="EX47" s="550">
        <f>AM47*BW47*$DK47*((EXP('Allometrics &amp; Decay rates'!$M$5)-1)/('Discounting metrics'!$D$4+'Allometrics &amp; Decay rates'!$M$5)*(1-EXP(-('Discounting metrics'!$D$4+'Allometrics &amp; Decay rates'!$M$5)*'Discounting metrics'!$E$4))-(1-EXP(-'Allometrics &amp; Decay rates'!$M$5))/1.55)</f>
        <v>0.53884810665128224</v>
      </c>
      <c r="EY47" s="550">
        <f>AN47*BX47*$DK47*((EXP('Allometrics &amp; Decay rates'!$M$5)-1)/('Discounting metrics'!$D$4+'Allometrics &amp; Decay rates'!$M$5)*(1-EXP(-('Discounting metrics'!$D$4+'Allometrics &amp; Decay rates'!$M$5)*'Discounting metrics'!$E$4))-(1-EXP(-'Allometrics &amp; Decay rates'!$M$5))/1.55)</f>
        <v>0.21226570493094876</v>
      </c>
      <c r="EZ47" s="550">
        <f>AO47*BY47*$DK47*((EXP('Allometrics &amp; Decay rates'!$M$5)-1)/('Discounting metrics'!$D$4+'Allometrics &amp; Decay rates'!$M$5)*(1-EXP(-('Discounting metrics'!$D$4+'Allometrics &amp; Decay rates'!$M$5)*'Discounting metrics'!$E$4))-(1-EXP(-'Allometrics &amp; Decay rates'!$M$5))/1.55)</f>
        <v>10.103472963026727</v>
      </c>
      <c r="FA47" s="550">
        <f>AP47*BZ47*$DK47*((EXP('Allometrics &amp; Decay rates'!$M$5)-1)/('Discounting metrics'!$D$4+'Allometrics &amp; Decay rates'!$M$5)*(1-EXP(-('Discounting metrics'!$D$4+'Allometrics &amp; Decay rates'!$M$5)*'Discounting metrics'!$E$4))-(1-EXP(-'Allometrics &amp; Decay rates'!$M$5))/1.55)</f>
        <v>0.62434943967594092</v>
      </c>
      <c r="FB47" s="550">
        <f>AQ47*CA47*$DK47*((EXP('Allometrics &amp; Decay rates'!$M$5)-1)/('Discounting metrics'!$D$4+'Allometrics &amp; Decay rates'!$M$5)*(1-EXP(-('Discounting metrics'!$D$4+'Allometrics &amp; Decay rates'!$M$5)*'Discounting metrics'!$E$4))-(1-EXP(-'Allometrics &amp; Decay rates'!$M$5))/1.55)</f>
        <v>0.75001600909629218</v>
      </c>
      <c r="FC47" s="550">
        <f>AR47*CB47*$DK47*((EXP('Allometrics &amp; Decay rates'!$M$5)-1)/('Discounting metrics'!$D$4+'Allometrics &amp; Decay rates'!$M$5)*(1-EXP(-('Discounting metrics'!$D$4+'Allometrics &amp; Decay rates'!$M$5)*'Discounting metrics'!$E$4))-(1-EXP(-'Allometrics &amp; Decay rates'!$M$5))/1.55)</f>
        <v>8.2686407546708023E-3</v>
      </c>
      <c r="FD47" s="261">
        <f t="shared" si="448"/>
        <v>13.734206063133634</v>
      </c>
      <c r="FE47" s="154">
        <f>FD47/($CE47-$DN47)</f>
        <v>0.77976230827738391</v>
      </c>
      <c r="FF47" s="108">
        <f t="shared" si="449"/>
        <v>4.0715158962591378</v>
      </c>
      <c r="FG47" s="126">
        <f>'Allometrics &amp; Decay rates'!$H$5*$AU47*CG47+'Allometrics &amp; Decay rates'!$H$6*$AV47*CH47+'Allometrics &amp; Decay rates'!$H$7*$AW47*CI47+'Allometrics &amp; Decay rates'!$H$8*$AX47*CJ47+'Allometrics &amp; Decay rates'!$H$9*$AY47*CK47+'Allometrics &amp; Decay rates'!$H$10*$AZ47*CL47+'Allometrics &amp; Decay rates'!$H$11*$BA47*CM47+'Allometrics &amp; Decay rates'!$H$12*$BB47*CN47+'Allometrics &amp; Decay rates'!$H$13*$BC47*CO47</f>
        <v>2.2037128879227668</v>
      </c>
      <c r="FH47" s="97">
        <f t="shared" si="450"/>
        <v>2.1806155083363707</v>
      </c>
      <c r="FI47" s="550">
        <f>AU47*CG47*('Allometrics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0.5207291342461251</v>
      </c>
      <c r="FJ47" s="550">
        <f>AV47*CH47*('Allometrics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0.49084641210648811</v>
      </c>
      <c r="FK47" s="550">
        <f>AW47*CI47*('Allometrics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5.6208100198597136E-2</v>
      </c>
      <c r="FL47" s="550">
        <f>AX47*CJ47*('Allometrics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0.87996271646674007</v>
      </c>
      <c r="FM47" s="550">
        <f>AY47*CK47*('Allometrics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0.1381921119665358</v>
      </c>
      <c r="FN47" s="550">
        <f>AZ47*CL47*('Allometrics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8.7104998176706583E-2</v>
      </c>
      <c r="FO47" s="550">
        <f>BA47*CM47*('Allometrics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7.4760720136101888E-3</v>
      </c>
      <c r="FP47" s="550">
        <f>BB47*CN47*('Allometrics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5.4172752497615308E-5</v>
      </c>
      <c r="FQ47" s="550">
        <f>BC47*CO47*('Allometrics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4.1790409069588951E-5</v>
      </c>
      <c r="FR47" s="108">
        <f t="shared" si="451"/>
        <v>9.662690166874496</v>
      </c>
      <c r="FS47" s="550">
        <f>AU47*CQ47*$DK47*((EXP('Allometrics &amp; Decay rates'!$M$5)-1)/('Discounting metrics'!$D$4+'Allometrics &amp; Decay rates'!$M$5)*(1-EXP(-('Discounting metrics'!$D$4+'Allometrics &amp; Decay rates'!$M$5)*'Discounting metrics'!$E$4))-(1-EXP(-'Allometrics &amp; Decay rates'!$M$5))/1.55)</f>
        <v>0.22575504373185309</v>
      </c>
      <c r="FT47" s="550">
        <f>AV47*CR47*$DK47*((EXP('Allometrics &amp; Decay rates'!$M$5)-1)/('Discounting metrics'!$D$4+'Allometrics &amp; Decay rates'!$M$5)*(1-EXP(-('Discounting metrics'!$D$4+'Allometrics &amp; Decay rates'!$M$5)*'Discounting metrics'!$E$4))-(1-EXP(-'Allometrics &amp; Decay rates'!$M$5))/1.55)</f>
        <v>0.30375682485929661</v>
      </c>
      <c r="FU47" s="550">
        <f>AW47*CS47*$DK47*((EXP('Allometrics &amp; Decay rates'!$M$5)-1)/('Discounting metrics'!$D$4+'Allometrics &amp; Decay rates'!$M$5)*(1-EXP(-('Discounting metrics'!$D$4+'Allometrics &amp; Decay rates'!$M$5)*'Discounting metrics'!$E$4))-(1-EXP(-'Allometrics &amp; Decay rates'!$M$5))/1.55)</f>
        <v>8.0028035179048898E-2</v>
      </c>
      <c r="FV47" s="550">
        <f>AX47*CT47*$DK47*((EXP('Allometrics &amp; Decay rates'!$M$5)-1)/('Discounting metrics'!$D$4+'Allometrics &amp; Decay rates'!$M$5)*(1-EXP(-('Discounting metrics'!$D$4+'Allometrics &amp; Decay rates'!$M$5)*'Discounting metrics'!$E$4))-(1-EXP(-'Allometrics &amp; Decay rates'!$M$5))/1.55)</f>
        <v>7.6961217940364079</v>
      </c>
      <c r="FW47" s="550">
        <f>AY47*CU47*$DK47*((EXP('Allometrics &amp; Decay rates'!$M$5)-1)/('Discounting metrics'!$D$4+'Allometrics &amp; Decay rates'!$M$5)*(1-EXP(-('Discounting metrics'!$D$4+'Allometrics &amp; Decay rates'!$M$5)*'Discounting metrics'!$E$4))-(1-EXP(-'Allometrics &amp; Decay rates'!$M$5))/1.55)</f>
        <v>0.61661893600886586</v>
      </c>
      <c r="FX47" s="550">
        <f>AZ47*CV47*$DK47*((EXP('Allometrics &amp; Decay rates'!$M$5)-1)/('Discounting metrics'!$D$4+'Allometrics &amp; Decay rates'!$M$5)*(1-EXP(-('Discounting metrics'!$D$4+'Allometrics &amp; Decay rates'!$M$5)*'Discounting metrics'!$E$4))-(1-EXP(-'Allometrics &amp; Decay rates'!$M$5))/1.55)</f>
        <v>0.72658641763341936</v>
      </c>
      <c r="FY47" s="550">
        <f>BA47*CW47*$DK47*((EXP('Allometrics &amp; Decay rates'!$M$5)-1)/('Discounting metrics'!$D$4+'Allometrics &amp; Decay rates'!$M$5)*(1-EXP(-('Discounting metrics'!$D$4+'Allometrics &amp; Decay rates'!$M$5)*'Discounting metrics'!$E$4))-(1-EXP(-'Allometrics &amp; Decay rates'!$M$5))/1.55)</f>
        <v>1.3823115425605924E-2</v>
      </c>
      <c r="FZ47" s="68"/>
      <c r="GA47" s="293"/>
      <c r="GB47" s="293"/>
      <c r="GP47" s="32">
        <f t="shared" si="452"/>
        <v>4.2385714285714284</v>
      </c>
      <c r="GQ47" s="33">
        <v>4.41</v>
      </c>
      <c r="GR47" s="99">
        <v>3.29</v>
      </c>
      <c r="GS47" s="99"/>
      <c r="GT47" s="99"/>
      <c r="GU47" s="99"/>
      <c r="GV47" s="99"/>
      <c r="GW47" s="99"/>
      <c r="GX47" s="99"/>
      <c r="GY47" s="99"/>
      <c r="GZ47" s="99"/>
      <c r="HA47" s="99"/>
      <c r="HB47" s="99"/>
      <c r="HF47" s="97">
        <f>HG47*$LI47</f>
        <v>1.0134381705654125</v>
      </c>
      <c r="HG47" s="526">
        <f>EE47/'Discounting metrics'!E$4/M47</f>
        <v>1.1136683193026511</v>
      </c>
      <c r="HH47" s="527">
        <f>10^3*HG47/$LM47</f>
        <v>70.934287853672046</v>
      </c>
      <c r="HI47" s="528">
        <f>HG47/$LO47</f>
        <v>4.8420361708810917</v>
      </c>
      <c r="HJ47" s="97">
        <f>HK47*$LI47</f>
        <v>1.1373034056888842</v>
      </c>
      <c r="HK47" s="526">
        <f>EH47/'Discounting metrics'!E$4/O47</f>
        <v>1.2497839622954772</v>
      </c>
      <c r="HL47" s="527">
        <f>10^3*HK47/$LM47</f>
        <v>79.604074031559051</v>
      </c>
      <c r="HM47" s="528">
        <f>HK47/$LO47</f>
        <v>5.4338433143281613</v>
      </c>
      <c r="HN47" s="97">
        <f>HO47*$LI47</f>
        <v>0.5087436398168671</v>
      </c>
      <c r="HO47" s="526">
        <f>FD47/'Discounting metrics'!E$4/Q47</f>
        <v>0.55905894485370011</v>
      </c>
      <c r="HP47" s="527">
        <f>10^3*HO47/$LM47</f>
        <v>35.608849990681541</v>
      </c>
      <c r="HQ47" s="528">
        <f>HO47/$LO47</f>
        <v>2.4306910645813047</v>
      </c>
      <c r="HR47" s="97">
        <f>HS47*$LI47</f>
        <v>2.4747013611342741</v>
      </c>
      <c r="HS47" s="263">
        <f>$IM$11*IE47</f>
        <v>2.7194520452024991</v>
      </c>
      <c r="HT47" s="527">
        <f>10^3*HS47/$LM47</f>
        <v>173.21350606385346</v>
      </c>
      <c r="HU47" s="528">
        <f>HS47/$LO47</f>
        <v>11.823704544358691</v>
      </c>
      <c r="HV47" s="97">
        <f>HW47*$LI47</f>
        <v>2.7158881301247226</v>
      </c>
      <c r="HW47" s="263">
        <f t="shared" si="417"/>
        <v>2.9844924506865085</v>
      </c>
      <c r="HX47" s="527">
        <f>10^3*HW47/$LM47</f>
        <v>190.0950605532808</v>
      </c>
      <c r="HY47" s="528">
        <f>HW47/$LO47</f>
        <v>12.976054133419602</v>
      </c>
      <c r="HZ47" s="97">
        <f>I47*$LI47</f>
        <v>0.67076100000000005</v>
      </c>
      <c r="IA47" s="263">
        <f t="shared" si="418"/>
        <v>1.6395328657667441</v>
      </c>
      <c r="IB47" s="527">
        <f>10^3*I47/$LM47</f>
        <v>46.949044585987274</v>
      </c>
      <c r="IC47" s="528">
        <f>I47/$LO47</f>
        <v>3.2047826086956523</v>
      </c>
      <c r="ID47" s="97">
        <f>IE47*$LI47</f>
        <v>4.9609458975277674</v>
      </c>
      <c r="IE47" s="263">
        <f t="shared" si="419"/>
        <v>5.4515888983821617</v>
      </c>
      <c r="IF47" s="68">
        <f>10^3*IE47/$LM47</f>
        <v>347.23496168039247</v>
      </c>
      <c r="IG47" s="97">
        <f>IH47*$LI47</f>
        <v>5.4444444444444438</v>
      </c>
      <c r="IH47" s="263">
        <f t="shared" si="420"/>
        <v>5.9829059829059821</v>
      </c>
      <c r="II47" s="68">
        <f>10^3*IH47/$LM47</f>
        <v>381.0768141978333</v>
      </c>
      <c r="IJ47" s="97">
        <f>IK47*$LI47</f>
        <v>2.9909090909090907</v>
      </c>
      <c r="IK47" s="263">
        <f t="shared" si="421"/>
        <v>3.2867132867132862</v>
      </c>
      <c r="IL47" s="68">
        <f>10^3*IK47/$LM47</f>
        <v>209.34479533205646</v>
      </c>
      <c r="IM47" s="60"/>
      <c r="IN47" s="60"/>
      <c r="IO47" s="60"/>
      <c r="IP47" s="554">
        <f>IR47*$V47</f>
        <v>0</v>
      </c>
      <c r="IQ47" s="262">
        <f>IR47*$LI47</f>
        <v>0</v>
      </c>
      <c r="IR47" s="166">
        <f>(IW47*Y47+JD47*AA47)/V47</f>
        <v>0</v>
      </c>
      <c r="IS47" s="68">
        <f>10^3*IR47/$LM47</f>
        <v>0</v>
      </c>
      <c r="IT47" s="97">
        <f>IR47/$LO47</f>
        <v>0</v>
      </c>
      <c r="IU47" s="429">
        <f>(IX47*C47+JE47*D47)/B47</f>
        <v>0</v>
      </c>
      <c r="IV47" s="262">
        <f>IW47*$LI47</f>
        <v>0</v>
      </c>
      <c r="IW47" s="436">
        <f>IX47*JB47/I47</f>
        <v>0</v>
      </c>
      <c r="IX47" s="101">
        <v>0</v>
      </c>
      <c r="IY47" s="433">
        <v>1</v>
      </c>
      <c r="IZ47" s="433">
        <v>0</v>
      </c>
      <c r="JA47" s="434">
        <f t="shared" si="453"/>
        <v>0</v>
      </c>
      <c r="JB47" s="430">
        <f>IY47*$JJ47+IZ47*$JK47+JA47*$JL47+'Discounting metrics'!$B$6*(IY47*$JM47+IZ47*$JN47+JA47*$JO47)/10^3+'Discounting metrics'!$B$5*(IY47*$JP47+IZ47*$JQ47+JA47*$JR47)/10^3</f>
        <v>54.558</v>
      </c>
      <c r="JC47" s="262">
        <f>JD47*$LI47</f>
        <v>0</v>
      </c>
      <c r="JD47" s="436">
        <f>JE47*JI47/K47</f>
        <v>0</v>
      </c>
      <c r="JE47" s="101">
        <v>0</v>
      </c>
      <c r="JF47" s="433">
        <v>1</v>
      </c>
      <c r="JG47" s="433">
        <v>0</v>
      </c>
      <c r="JH47" s="434">
        <f t="shared" si="454"/>
        <v>0</v>
      </c>
      <c r="JI47" s="430">
        <f>JF47*$JJ47+JG47*$JK47+JH47*$JL47+'Discounting metrics'!$B$6*(JF47*$JM47+JG47*$JN47+JH47*$JO47)/10^3+'Discounting metrics'!$B$5*(JF47*$JP47+JG47*$JQ47+JH47*$JR47)/10^3</f>
        <v>54.558</v>
      </c>
      <c r="JJ47" s="431">
        <v>51.3</v>
      </c>
      <c r="JK47" s="431">
        <v>29</v>
      </c>
      <c r="JL47" s="431">
        <v>29</v>
      </c>
      <c r="JM47" s="99">
        <v>5</v>
      </c>
      <c r="JN47" s="431">
        <v>13</v>
      </c>
      <c r="JO47" s="431">
        <v>13</v>
      </c>
      <c r="JP47" s="431">
        <v>52</v>
      </c>
      <c r="JQ47" s="431">
        <v>58.3</v>
      </c>
      <c r="JR47" s="431">
        <v>58.3</v>
      </c>
      <c r="JS47" s="554">
        <f>JV47+JW47+JT47+JU47+JX47</f>
        <v>3.9939555275726404</v>
      </c>
      <c r="JT47" s="554">
        <f>KJ47*$V47</f>
        <v>-0.22684111504800003</v>
      </c>
      <c r="JU47" s="554">
        <f>KL47*$V47</f>
        <v>0.7444817967606</v>
      </c>
      <c r="JV47" s="554">
        <f>KN47*$V47</f>
        <v>2.6622221871396001</v>
      </c>
      <c r="JW47" s="554">
        <f>KP47*$V47</f>
        <v>0.81409265872044001</v>
      </c>
      <c r="JX47" s="554"/>
      <c r="JY47" s="167">
        <f>JZ47*LI47</f>
        <v>0.47700412367999995</v>
      </c>
      <c r="JZ47" s="166">
        <f>KF47+KD47+KH47</f>
        <v>0.52418035569230759</v>
      </c>
      <c r="KA47" s="68">
        <f>10^3*JZ47/$LM47</f>
        <v>33.387283802057809</v>
      </c>
      <c r="KB47" s="97">
        <f>JZ47/$LO47</f>
        <v>2.2790450247491632</v>
      </c>
      <c r="KC47" s="473">
        <f>KD47*LI47</f>
        <v>6.1822606199999998E-2</v>
      </c>
      <c r="KD47" s="269">
        <f>KJ47+KL47</f>
        <v>6.7936929890109882E-2</v>
      </c>
      <c r="KE47" s="473">
        <f>KF47*LI47</f>
        <v>0.41518151747999993</v>
      </c>
      <c r="KF47" s="269">
        <f>KN47+KP47</f>
        <v>0.45624342580219773</v>
      </c>
      <c r="KG47" s="123"/>
      <c r="KH47" s="49"/>
      <c r="KI47" s="435">
        <v>-2.7091976E-2</v>
      </c>
      <c r="KJ47" s="522">
        <f>KI47/$LI47</f>
        <v>-2.9771402197802197E-2</v>
      </c>
      <c r="KK47" s="435">
        <v>8.8914582199999995E-2</v>
      </c>
      <c r="KL47" s="522">
        <f>KK47/$LI47</f>
        <v>9.7708332087912075E-2</v>
      </c>
      <c r="KM47" s="435">
        <v>0.31795320519999998</v>
      </c>
      <c r="KN47" s="522">
        <f>KM47/$LI47</f>
        <v>0.34939912659340655</v>
      </c>
      <c r="KO47" s="435">
        <v>9.7228312279999993E-2</v>
      </c>
      <c r="KP47" s="522">
        <f>KO47/$LI47</f>
        <v>0.1068442992087912</v>
      </c>
      <c r="KQ47" s="599">
        <f>44/12*HG47+$JZ47+$IR47</f>
        <v>4.6076308598020281</v>
      </c>
      <c r="KR47" s="527">
        <f>10^3*KQ47/$LM47</f>
        <v>293.4796725988553</v>
      </c>
      <c r="KS47" s="528">
        <f>KQ47/$LO47</f>
        <v>20.033177651313164</v>
      </c>
      <c r="KT47" s="599">
        <f>44/12*HK47+$JZ47+$IW47</f>
        <v>5.106721550775724</v>
      </c>
      <c r="KU47" s="527">
        <f>10^3*KT47/$LM47</f>
        <v>325.26888858444102</v>
      </c>
      <c r="KV47" s="528">
        <f>KT47/$LO47</f>
        <v>22.203137177285754</v>
      </c>
      <c r="KW47" s="599">
        <f>44/12*HO47+$JZ47+$JD47</f>
        <v>2.5740631534892078</v>
      </c>
      <c r="KX47" s="527">
        <f>10^3*KW47/$LM47</f>
        <v>163.95306710122344</v>
      </c>
      <c r="KY47" s="528">
        <f>KW47/$LO47</f>
        <v>11.191578928213946</v>
      </c>
      <c r="KZ47" s="599">
        <f>44/12*HS47+$JZ47+$IR47</f>
        <v>10.495504521434803</v>
      </c>
      <c r="LA47" s="527">
        <f>10^3*KZ47/$LM47</f>
        <v>668.50347270285374</v>
      </c>
      <c r="LB47" s="528">
        <f>KZ47/$LO47</f>
        <v>45.632628354064359</v>
      </c>
      <c r="LC47" s="599">
        <f>44/12*HW47+$JZ47+$IW47</f>
        <v>11.467319341542838</v>
      </c>
      <c r="LD47" s="527">
        <f>10^3*LC47/$LM47</f>
        <v>730.40250583075408</v>
      </c>
      <c r="LE47" s="528">
        <f>LC47/$LO47</f>
        <v>49.857910180621033</v>
      </c>
      <c r="LF47" s="599">
        <f>44/12*I47+$JZ47+$JD47</f>
        <v>3.2268803556923076</v>
      </c>
      <c r="LG47" s="527">
        <f>10^3*LF47/$LM47</f>
        <v>205.53378061734443</v>
      </c>
      <c r="LH47" s="528">
        <f>LF47/$LO47</f>
        <v>14.029914589966554</v>
      </c>
      <c r="LI47" s="31">
        <v>0.91</v>
      </c>
      <c r="LJ47" s="32">
        <f t="shared" si="455"/>
        <v>17.29</v>
      </c>
      <c r="LK47" s="33">
        <v>19</v>
      </c>
      <c r="LL47" s="32">
        <f t="shared" si="456"/>
        <v>14.286999999999999</v>
      </c>
      <c r="LM47" s="33">
        <v>15.7</v>
      </c>
      <c r="LN47" s="34">
        <f t="shared" si="457"/>
        <v>0.20930000000000001</v>
      </c>
      <c r="LO47" s="31">
        <v>0.23</v>
      </c>
      <c r="LP47" s="36">
        <f t="shared" si="458"/>
        <v>5.0050000000000004E-2</v>
      </c>
      <c r="LQ47" s="35">
        <v>5.5E-2</v>
      </c>
    </row>
    <row r="48" spans="1:329" s="4" customFormat="1" x14ac:dyDescent="0.25">
      <c r="A48" s="14" t="s">
        <v>324</v>
      </c>
      <c r="B48" s="67">
        <f t="shared" si="424"/>
        <v>9.1</v>
      </c>
      <c r="C48" s="33">
        <v>9.1</v>
      </c>
      <c r="D48" s="33">
        <v>0</v>
      </c>
      <c r="E48" s="38">
        <f t="shared" si="425"/>
        <v>0</v>
      </c>
      <c r="F48" s="436">
        <f t="shared" si="400"/>
        <v>0.51</v>
      </c>
      <c r="G48" s="32">
        <f t="shared" si="401"/>
        <v>0.44880000000000003</v>
      </c>
      <c r="H48" s="33">
        <v>0.51</v>
      </c>
      <c r="I48" s="32">
        <f>$LI48*H48</f>
        <v>0.44880000000000003</v>
      </c>
      <c r="J48" s="33">
        <v>1.43</v>
      </c>
      <c r="K48" s="32">
        <f>$LI48*J48</f>
        <v>1.2584</v>
      </c>
      <c r="L48" s="32">
        <f>(F48/'Discounting metrics'!$D$4*(1-EXP(-'Discounting metrics'!$D$4*'Discounting metrics'!$E$4)))/'Discounting metrics'!$E$4</f>
        <v>0.12516475604168639</v>
      </c>
      <c r="M48" s="32">
        <f>(G48/'Discounting metrics'!$D$4*(1-EXP(-'Discounting metrics'!$D$4*'Discounting metrics'!$E$4)))/'Discounting metrics'!$E$4</f>
        <v>0.11014498531668403</v>
      </c>
      <c r="N48" s="32">
        <f>(H48/'Discounting metrics'!$D$4*(1-EXP(-'Discounting metrics'!$D$4*'Discounting metrics'!$E$4)))/'Discounting metrics'!$E$4</f>
        <v>0.12516475604168639</v>
      </c>
      <c r="O48" s="32">
        <f>(I48/'Discounting metrics'!$D$4*(1-EXP(-'Discounting metrics'!$D$4*'Discounting metrics'!$E$4)))/'Discounting metrics'!$E$4</f>
        <v>0.11014498531668403</v>
      </c>
      <c r="P48" s="32">
        <f>(J48/'Discounting metrics'!$D$4*(1-EXP(-'Discounting metrics'!$D$4*'Discounting metrics'!$E$4)))/'Discounting metrics'!$E$4</f>
        <v>0.35095215909727751</v>
      </c>
      <c r="Q48" s="32">
        <f>(K48/'Discounting metrics'!$D$4*(1-EXP(-'Discounting metrics'!$D$4*'Discounting metrics'!$E$4)))/'Discounting metrics'!$E$4</f>
        <v>0.30883790000560418</v>
      </c>
      <c r="R48" s="32">
        <f>10/G48</f>
        <v>22.281639928698752</v>
      </c>
      <c r="S48" s="32">
        <f>10/I48</f>
        <v>22.281639928698752</v>
      </c>
      <c r="T48" s="32">
        <f>10/K48</f>
        <v>7.9465988556897651</v>
      </c>
      <c r="U48" s="108">
        <f t="shared" si="426"/>
        <v>4.641</v>
      </c>
      <c r="V48" s="68">
        <f t="shared" si="426"/>
        <v>4.0840800000000002</v>
      </c>
      <c r="W48" s="68"/>
      <c r="X48" s="67">
        <f>C48*H48</f>
        <v>4.641</v>
      </c>
      <c r="Y48" s="67">
        <f t="shared" si="427"/>
        <v>4.0840800000000002</v>
      </c>
      <c r="Z48" s="67">
        <f t="shared" si="427"/>
        <v>0</v>
      </c>
      <c r="AA48" s="67">
        <f>D48*K48</f>
        <v>0</v>
      </c>
      <c r="AB48" s="38">
        <f t="shared" si="428"/>
        <v>0</v>
      </c>
      <c r="AC48" s="294">
        <f t="shared" si="429"/>
        <v>0.324987003386283</v>
      </c>
      <c r="AD48" s="294">
        <f t="shared" si="429"/>
        <v>8.1770953906430688E-3</v>
      </c>
      <c r="AE48" s="294">
        <f t="shared" si="429"/>
        <v>5.3792319371208418E-4</v>
      </c>
      <c r="AF48" s="294">
        <f t="shared" si="429"/>
        <v>0.65637266487953927</v>
      </c>
      <c r="AG48" s="294">
        <f t="shared" si="429"/>
        <v>1.3034061918761829E-3</v>
      </c>
      <c r="AH48" s="294">
        <f t="shared" si="429"/>
        <v>1.3778589581722373E-3</v>
      </c>
      <c r="AI48" s="294">
        <f t="shared" si="429"/>
        <v>1.0670258353708678E-3</v>
      </c>
      <c r="AJ48" s="294">
        <f t="shared" si="429"/>
        <v>6.1770221644032418E-3</v>
      </c>
      <c r="AK48" s="294">
        <f t="shared" si="429"/>
        <v>0</v>
      </c>
      <c r="AL48" s="433">
        <v>0.324987003386283</v>
      </c>
      <c r="AM48" s="433">
        <v>8.1770953906430688E-3</v>
      </c>
      <c r="AN48" s="433">
        <v>5.3792319371208418E-4</v>
      </c>
      <c r="AO48" s="433">
        <v>0.65637266487953927</v>
      </c>
      <c r="AP48" s="433">
        <v>1.3034061918761829E-3</v>
      </c>
      <c r="AQ48" s="433">
        <v>1.3778589581722373E-3</v>
      </c>
      <c r="AR48" s="433">
        <v>1.0670258353708678E-3</v>
      </c>
      <c r="AS48" s="433">
        <v>6.1770221644032418E-3</v>
      </c>
      <c r="AT48" s="433">
        <v>0</v>
      </c>
      <c r="AU48" s="433">
        <v>0.187205483683936</v>
      </c>
      <c r="AV48" s="433">
        <v>3.5517688328143497E-2</v>
      </c>
      <c r="AW48" s="433">
        <v>9.4469081523235589E-4</v>
      </c>
      <c r="AX48" s="433">
        <v>0.18785020158627463</v>
      </c>
      <c r="AY48" s="433">
        <v>2.3722484760704442E-2</v>
      </c>
      <c r="AZ48" s="433">
        <v>0.25275180375503403</v>
      </c>
      <c r="BA48" s="433">
        <v>0.12480216338673894</v>
      </c>
      <c r="BB48" s="433">
        <v>0.187205483683936</v>
      </c>
      <c r="BC48" s="433">
        <v>0</v>
      </c>
      <c r="BD48" s="554">
        <f>BG48*$B48/10^3</f>
        <v>0.95149770304295145</v>
      </c>
      <c r="BE48" s="554">
        <f t="shared" si="430"/>
        <v>0.21756215698678408</v>
      </c>
      <c r="BF48" s="554">
        <f t="shared" si="430"/>
        <v>0.7339355460561674</v>
      </c>
      <c r="BG48" s="67">
        <f t="shared" si="431"/>
        <v>104.56018714757708</v>
      </c>
      <c r="BH48" s="67">
        <f>(BK48*$C48+CF48*$D48)/$B48</f>
        <v>23.907929339207044</v>
      </c>
      <c r="BI48" s="67">
        <f>(BU48*$C48+CP48*$D48)/$B48</f>
        <v>80.652257808370038</v>
      </c>
      <c r="BJ48" s="67">
        <f>BK48+BU48</f>
        <v>104.56018714757708</v>
      </c>
      <c r="BK48" s="68">
        <f t="shared" si="432"/>
        <v>23.907929339207044</v>
      </c>
      <c r="BL48" s="145">
        <v>44.664612279739274</v>
      </c>
      <c r="BM48" s="145">
        <v>38.115491372060632</v>
      </c>
      <c r="BN48" s="145">
        <v>14.921148245482993</v>
      </c>
      <c r="BO48" s="145">
        <v>13.466280897051456</v>
      </c>
      <c r="BP48" s="145">
        <v>5.065514456383819</v>
      </c>
      <c r="BQ48" s="145">
        <v>0.5424843783314045</v>
      </c>
      <c r="BR48" s="145">
        <v>0.10129436125879913</v>
      </c>
      <c r="BS48" s="145">
        <v>36.660665684250404</v>
      </c>
      <c r="BT48" s="145">
        <v>0</v>
      </c>
      <c r="BU48" s="68">
        <f t="shared" si="433"/>
        <v>80.652257808370038</v>
      </c>
      <c r="BV48" s="145">
        <v>47.558662271157885</v>
      </c>
      <c r="BW48" s="145">
        <v>36.229919360721944</v>
      </c>
      <c r="BX48" s="145">
        <v>38.889573397770235</v>
      </c>
      <c r="BY48" s="145">
        <v>98.493794486548452</v>
      </c>
      <c r="BZ48" s="145">
        <v>36.172589470857595</v>
      </c>
      <c r="CA48" s="145">
        <v>9.1759550069906055</v>
      </c>
      <c r="CB48" s="145">
        <v>0.80722750149678246</v>
      </c>
      <c r="CC48" s="145">
        <v>27.49692560948424</v>
      </c>
      <c r="CD48" s="145">
        <v>0</v>
      </c>
      <c r="CE48" s="68">
        <f t="shared" si="434"/>
        <v>101.47778468351133</v>
      </c>
      <c r="CF48" s="68">
        <f t="shared" si="435"/>
        <v>38.178112893982814</v>
      </c>
      <c r="CG48" s="145">
        <v>126.94073151222109</v>
      </c>
      <c r="CH48" s="145">
        <v>106.65011700787795</v>
      </c>
      <c r="CI48" s="145">
        <v>38.327191372160748</v>
      </c>
      <c r="CJ48" s="145">
        <v>50.456323990816891</v>
      </c>
      <c r="CK48" s="145">
        <v>5.490244883699213</v>
      </c>
      <c r="CL48" s="145">
        <v>1.4358112418093458</v>
      </c>
      <c r="CM48" s="145">
        <v>1.8074973373344377E-2</v>
      </c>
      <c r="CN48" s="145">
        <v>3.2921382303838111</v>
      </c>
      <c r="CO48" s="145">
        <v>0</v>
      </c>
      <c r="CP48" s="68">
        <f t="shared" si="436"/>
        <v>63.299671789528517</v>
      </c>
      <c r="CQ48" s="145">
        <v>124.51963239097518</v>
      </c>
      <c r="CR48" s="145">
        <v>101.08365855587829</v>
      </c>
      <c r="CS48" s="145">
        <v>98.713197922543515</v>
      </c>
      <c r="CT48" s="145">
        <v>140.2407390814532</v>
      </c>
      <c r="CU48" s="145">
        <v>58.196595767211669</v>
      </c>
      <c r="CV48" s="145">
        <v>31.5320550811511</v>
      </c>
      <c r="CW48" s="145">
        <v>0.43413330966000352</v>
      </c>
      <c r="CX48" s="145">
        <v>2.9733045219687027</v>
      </c>
      <c r="CY48" s="145">
        <v>0</v>
      </c>
      <c r="CZ48" s="554">
        <f>DC48*$B48/10^3</f>
        <v>0.55172793454212532</v>
      </c>
      <c r="DA48" s="554">
        <f t="shared" si="437"/>
        <v>1.2762750000000001E-3</v>
      </c>
      <c r="DB48" s="554">
        <f t="shared" si="437"/>
        <v>0.55045165954212538</v>
      </c>
      <c r="DC48" s="32">
        <f t="shared" si="438"/>
        <v>60.62944335627752</v>
      </c>
      <c r="DD48" s="32">
        <f t="shared" si="439"/>
        <v>0.14025000000000001</v>
      </c>
      <c r="DE48" s="67">
        <f t="shared" si="439"/>
        <v>60.489193356277518</v>
      </c>
      <c r="DF48" s="270"/>
      <c r="DG48" s="67">
        <f t="shared" si="440"/>
        <v>60.629443356277527</v>
      </c>
      <c r="DH48" s="32">
        <f>I48*0.5*2.5*0.25</f>
        <v>0.14025000000000001</v>
      </c>
      <c r="DI48" s="67">
        <f>(1-DK48)*BU48</f>
        <v>60.489193356277525</v>
      </c>
      <c r="DJ48" s="67"/>
      <c r="DK48" s="34">
        <f t="shared" si="441"/>
        <v>0.25</v>
      </c>
      <c r="DL48" s="159"/>
      <c r="DM48" s="159"/>
      <c r="DN48" s="68">
        <f t="shared" si="442"/>
        <v>47.868003842146386</v>
      </c>
      <c r="DO48" s="32">
        <f>K48*0.5*2.5*0.25</f>
        <v>0.39324999999999999</v>
      </c>
      <c r="DP48" s="67">
        <f>(1-DR48)*CP48</f>
        <v>47.474753842146384</v>
      </c>
      <c r="DQ48" s="67"/>
      <c r="DR48" s="34">
        <f t="shared" si="443"/>
        <v>0.25</v>
      </c>
      <c r="DS48" s="294"/>
      <c r="DT48" s="294"/>
      <c r="DU48" s="294"/>
      <c r="DV48" s="67">
        <f t="shared" si="410"/>
        <v>43.930743791299562</v>
      </c>
      <c r="DW48" s="67">
        <f t="shared" si="410"/>
        <v>23.767679339207042</v>
      </c>
      <c r="DX48" s="67">
        <f t="shared" si="410"/>
        <v>20.16306445209252</v>
      </c>
      <c r="DY48" s="67">
        <f t="shared" si="411"/>
        <v>43.930743791299555</v>
      </c>
      <c r="DZ48" s="67">
        <f t="shared" si="411"/>
        <v>23.767679339207042</v>
      </c>
      <c r="EA48" s="67">
        <f t="shared" si="412"/>
        <v>20.163064452092513</v>
      </c>
      <c r="EB48" s="67">
        <f t="shared" si="413"/>
        <v>53.609780841364945</v>
      </c>
      <c r="EC48" s="67">
        <f t="shared" si="413"/>
        <v>37.784862893982812</v>
      </c>
      <c r="ED48" s="67">
        <f t="shared" si="414"/>
        <v>15.824917947382133</v>
      </c>
      <c r="EE48" s="68">
        <f>EF48+EG48</f>
        <v>36.183209282072568</v>
      </c>
      <c r="EF48" s="67">
        <f>(EJ48*$C48+FF48*$D48)/$B48</f>
        <v>20.458100649547134</v>
      </c>
      <c r="EG48" s="67">
        <f t="shared" si="444"/>
        <v>15.725108632525432</v>
      </c>
      <c r="EH48" s="261">
        <f t="shared" si="445"/>
        <v>36.183209282072568</v>
      </c>
      <c r="EI48" s="154">
        <f>EH48/($BJ48-$DG48)</f>
        <v>0.82364208204548128</v>
      </c>
      <c r="EJ48" s="108">
        <f>EK48+EL48-DH48</f>
        <v>20.458100649547134</v>
      </c>
      <c r="EK48" s="126">
        <f>'Allometrics &amp; Decay rates'!$H$5*$AL48*BL48+'Allometrics &amp; Decay rates'!$H$6*$AM48*BM48+'Allometrics &amp; Decay rates'!$H$7*$AN48*BN48+'Allometrics &amp; Decay rates'!$H$8*$AO48*BO48+'Allometrics &amp; Decay rates'!$H$9*$AP48*BP48+'Allometrics &amp; Decay rates'!$H$10*$AQ48*BQ48+'Allometrics &amp; Decay rates'!$H$11*$AR48*BR48+'Allometrics &amp; Decay rates'!$H$12*$AS48*BS48+'Allometrics &amp; Decay rates'!$H$13*$AT48*BT48</f>
        <v>9.7294804562225252</v>
      </c>
      <c r="EL48" s="97">
        <f t="shared" si="446"/>
        <v>10.868870193324609</v>
      </c>
      <c r="EM48" s="550">
        <f>AL48*BL48*('Allometrics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5.6904442804912483</v>
      </c>
      <c r="EN48" s="550">
        <f>AM48*BM48*('Allometrics &amp; Decay rates'!$I$6*((EXP('Allometrics &amp; Decay rates'!$K$6)-1)/('Discounting metrics'!$D$4+'Allometrics &amp; Decay rates'!$K$6)*(1-EXP(-('Discounting metrics'!$D$4+'Allometrics &amp; Decay rates'!$K$6)*'Discounting metrics'!$E$4))-(1-EXP(-'Allometrics &amp; Decay rates'!$K$6))/1.55)+'Allometrics &amp; Decay rates'!$E$6*((EXP('Allometrics &amp; Decay rates'!$L$6)-1)/('Discounting metrics'!$D$4+'Allometrics &amp; Decay rates'!$L$6)*(1-EXP(-('Discounting metrics'!$D$4+'Allometrics &amp; Decay rates'!$L$6)*'Discounting metrics'!$E$4))-(1-EXP(-'Allometrics &amp; Decay rates'!$L$6))/1.55))</f>
        <v>7.6013489937811263E-2</v>
      </c>
      <c r="EO48" s="550">
        <f>AN48*BN48*('Allometrics &amp; Decay rates'!$I$7*((EXP('Allometrics &amp; Decay rates'!$K$7)-1)/('Discounting metrics'!$D$4+'Allometrics &amp; Decay rates'!$K$7)*(1-EXP(-('Discounting metrics'!$D$4+'Allometrics &amp; Decay rates'!$K$7)*'Discounting metrics'!$E$4))-(1-EXP(-'Allometrics &amp; Decay rates'!$K$7))/1.55)+'Allometrics &amp; Decay rates'!$E$7*((EXP('Allometrics &amp; Decay rates'!$L$7)-1)/('Discounting metrics'!$D$4+'Allometrics &amp; Decay rates'!$L$7)*(1-EXP(-('Discounting metrics'!$D$4+'Allometrics &amp; Decay rates'!$L$7)*'Discounting metrics'!$E$4))-(1-EXP(-'Allometrics &amp; Decay rates'!$L$7))/1.55))</f>
        <v>1.7089193500500475E-3</v>
      </c>
      <c r="EP48" s="550">
        <f>AO48*BO48*('Allometrics &amp; Decay rates'!$I$8*((EXP('Allometrics &amp; Decay rates'!$K$8)-1)/('Discounting metrics'!$D$4+'Allometrics &amp; Decay rates'!$K$8)*(1-EXP(-('Discounting metrics'!$D$4+'Allometrics &amp; Decay rates'!$K$8)*'Discounting metrics'!$E$4))-(1-EXP(-'Allometrics &amp; Decay rates'!$K$8))/1.55)+'Allometrics &amp; Decay rates'!$E$8*((EXP('Allometrics &amp; Decay rates'!$L$8)-1)/('Discounting metrics'!$D$4+'Allometrics &amp; Decay rates'!$L$8)*(1-EXP(-('Discounting metrics'!$D$4+'Allometrics &amp; Decay rates'!$L$8)*'Discounting metrics'!$E$4))-(1-EXP(-'Allometrics &amp; Decay rates'!$L$8))/1.55))</f>
        <v>5.0042875222559422</v>
      </c>
      <c r="EQ48" s="550">
        <f>AP48*BP48*('Allometrics &amp; Decay rates'!$I$9*((EXP('Allometrics &amp; Decay rates'!$K$9)-1)/('Discounting metrics'!$D$4+'Allometrics &amp; Decay rates'!$K$9)*(1-EXP(-('Discounting metrics'!$D$4+'Allometrics &amp; Decay rates'!$K$9)*'Discounting metrics'!$E$4))-(1-EXP(-'Allometrics &amp; Decay rates'!$K$9))/1.55)+'Allometrics &amp; Decay rates'!$E$9*((EXP('Allometrics &amp; Decay rates'!$L$9)-1)/('Discounting metrics'!$D$4+'Allometrics &amp; Decay rates'!$L$9)*(1-EXP(-('Discounting metrics'!$D$4+'Allometrics &amp; Decay rates'!$L$9)*'Discounting metrics'!$E$4))-(1-EXP(-'Allometrics &amp; Decay rates'!$L$9))/1.55))</f>
        <v>3.4604990664409072E-3</v>
      </c>
      <c r="ER48" s="550">
        <f>AQ48*BQ48*('Allometrics &amp; Decay rates'!$I$10*((EXP('Allometrics &amp; Decay rates'!$K$10)-1)/('Discounting metrics'!$D$4+'Allometrics &amp; Decay rates'!$K$10)*(1-EXP(-('Discounting metrics'!$D$4+'Allometrics &amp; Decay rates'!$K$10)*'Discounting metrics'!$E$4))-(1-EXP(-'Allometrics &amp; Decay rates'!$K$10))/1.55)+'Allometrics &amp; Decay rates'!$E$10*((EXP('Allometrics &amp; Decay rates'!$L$10)-1)/('Discounting metrics'!$D$4+'Allometrics &amp; Decay rates'!$L$10)*(1-EXP(-('Discounting metrics'!$D$4+'Allometrics &amp; Decay rates'!$L$10)*'Discounting metrics'!$E$4))-(1-EXP(-'Allometrics &amp; Decay rates'!$L$10))/1.55))</f>
        <v>4.7552445739463894E-4</v>
      </c>
      <c r="ES48" s="550">
        <f>AR48*BR48*('Allometrics &amp; Decay rates'!$I$11*((EXP('Allometrics &amp; Decay rates'!$K$11)-1)/('Discounting metrics'!$D$4+'Allometrics &amp; Decay rates'!$K$11)*(1-EXP(-('Discounting metrics'!$D$4+'Allometrics &amp; Decay rates'!$K$11)*'Discounting metrics'!$E$4))-(1-EXP(-'Allometrics &amp; Decay rates'!$K$11))/1.55)+'Allometrics &amp; Decay rates'!$E$11*((EXP('Allometrics &amp; Decay rates'!$L$11)-1)/('Discounting metrics'!$D$4+'Allometrics &amp; Decay rates'!$L$11)*(1-EXP(-('Discounting metrics'!$D$4+'Allometrics &amp; Decay rates'!$L$11)*'Discounting metrics'!$E$4))-(1-EXP(-'Allometrics &amp; Decay rates'!$L$11))/1.55))</f>
        <v>7.671686185044129E-5</v>
      </c>
      <c r="ET48" s="550">
        <f>AS48*BS48*('Allometrics &amp; Decay rates'!$I$12*((EXP('Allometrics &amp; Decay rates'!$K$12)-1)/('Discounting metrics'!$D$4+'Allometrics &amp; Decay rates'!$K$12)*(1-EXP(-('Discounting metrics'!$D$4+'Allometrics &amp; Decay rates'!$K$12)*'Discounting metrics'!$E$4))-(1-EXP(-'Allometrics &amp; Decay rates'!$K$12))/1.55)+'Allometrics &amp; Decay rates'!$E$12*((EXP('Allometrics &amp; Decay rates'!$L$12)-1)/('Discounting metrics'!$D$4+'Allometrics &amp; Decay rates'!$L$12)*(1-EXP(-('Discounting metrics'!$D$4+'Allometrics &amp; Decay rates'!$L$12)*'Discounting metrics'!$E$4))-(1-EXP(-'Allometrics &amp; Decay rates'!$L$12))/1.55))</f>
        <v>9.2403240903874306E-2</v>
      </c>
      <c r="EU48" s="550">
        <f>AT48*BT48*('Allometrics &amp; Decay rates'!$I$13*((EXP('Allometrics &amp; Decay rates'!$K$13)-1)/('Discounting metrics'!$D$4+'Allometrics &amp; Decay rates'!$K$13)*(1-EXP(-('Discounting metrics'!$D$4+'Allometrics &amp; Decay rates'!$K$13)*'Discounting metrics'!$E$4))-(1-EXP(-'Allometrics &amp; Decay rates'!$K$13))/1.55)+'Allometrics &amp; Decay rates'!$E$13*((EXP('Allometrics &amp; Decay rates'!$L$13)-1)/('Discounting metrics'!$D$4+'Allometrics &amp; Decay rates'!$L$13)*(1-EXP(-('Discounting metrics'!$D$4+'Allometrics &amp; Decay rates'!$L$13)*'Discounting metrics'!$E$4))-(1-EXP(-'Allometrics &amp; Decay rates'!$L$13))/1.55))</f>
        <v>0</v>
      </c>
      <c r="EV48" s="108">
        <f t="shared" si="447"/>
        <v>15.72510863252543</v>
      </c>
      <c r="EW48" s="550">
        <f>AL48*BV48*$DK48*((EXP('Allometrics &amp; Decay rates'!$M$5)-1)/('Discounting metrics'!$D$4+'Allometrics &amp; Decay rates'!$M$5)*(1-EXP(-('Discounting metrics'!$D$4+'Allometrics &amp; Decay rates'!$M$5)*'Discounting metrics'!$E$4))-(1-EXP(-'Allometrics &amp; Decay rates'!$M$5))/1.55)</f>
        <v>3.0198704499380309</v>
      </c>
      <c r="EX48" s="550">
        <f>AM48*BW48*$DK48*((EXP('Allometrics &amp; Decay rates'!$M$5)-1)/('Discounting metrics'!$D$4+'Allometrics &amp; Decay rates'!$M$5)*(1-EXP(-('Discounting metrics'!$D$4+'Allometrics &amp; Decay rates'!$M$5)*'Discounting metrics'!$E$4))-(1-EXP(-'Allometrics &amp; Decay rates'!$M$5))/1.55)</f>
        <v>5.7884078027171888E-2</v>
      </c>
      <c r="EY48" s="550">
        <f>AN48*BX48*$DK48*((EXP('Allometrics &amp; Decay rates'!$M$5)-1)/('Discounting metrics'!$D$4+'Allometrics &amp; Decay rates'!$M$5)*(1-EXP(-('Discounting metrics'!$D$4+'Allometrics &amp; Decay rates'!$M$5)*'Discounting metrics'!$E$4))-(1-EXP(-'Allometrics &amp; Decay rates'!$M$5))/1.55)</f>
        <v>4.0873905655246477E-3</v>
      </c>
      <c r="EZ48" s="550">
        <f>AO48*BY48*$DK48*((EXP('Allometrics &amp; Decay rates'!$M$5)-1)/('Discounting metrics'!$D$4+'Allometrics &amp; Decay rates'!$M$5)*(1-EXP(-('Discounting metrics'!$D$4+'Allometrics &amp; Decay rates'!$M$5)*'Discounting metrics'!$E$4))-(1-EXP(-'Allometrics &amp; Decay rates'!$M$5))/1.55)</f>
        <v>12.631416166951286</v>
      </c>
      <c r="FA48" s="550">
        <f>AP48*BZ48*$DK48*((EXP('Allometrics &amp; Decay rates'!$M$5)-1)/('Discounting metrics'!$D$4+'Allometrics &amp; Decay rates'!$M$5)*(1-EXP(-('Discounting metrics'!$D$4+'Allometrics &amp; Decay rates'!$M$5)*'Discounting metrics'!$E$4))-(1-EXP(-'Allometrics &amp; Decay rates'!$M$5))/1.55)</f>
        <v>9.2119605217220388E-3</v>
      </c>
      <c r="FB48" s="550">
        <f>AQ48*CA48*$DK48*((EXP('Allometrics &amp; Decay rates'!$M$5)-1)/('Discounting metrics'!$D$4+'Allometrics &amp; Decay rates'!$M$5)*(1-EXP(-('Discounting metrics'!$D$4+'Allometrics &amp; Decay rates'!$M$5)*'Discounting metrics'!$E$4))-(1-EXP(-'Allometrics &amp; Decay rates'!$M$5))/1.55)</f>
        <v>2.4702944823491945E-3</v>
      </c>
      <c r="FC48" s="550">
        <f>AR48*CB48*$DK48*((EXP('Allometrics &amp; Decay rates'!$M$5)-1)/('Discounting metrics'!$D$4+'Allometrics &amp; Decay rates'!$M$5)*(1-EXP(-('Discounting metrics'!$D$4+'Allometrics &amp; Decay rates'!$M$5)*'Discounting metrics'!$E$4))-(1-EXP(-'Allometrics &amp; Decay rates'!$M$5))/1.55)</f>
        <v>1.6829203934673185E-4</v>
      </c>
      <c r="FD48" s="261">
        <f t="shared" si="448"/>
        <v>42.615978054121882</v>
      </c>
      <c r="FE48" s="154">
        <f>FD48/($CE48-$DN48)</f>
        <v>0.79492916003938752</v>
      </c>
      <c r="FF48" s="108">
        <f t="shared" si="449"/>
        <v>30.356885185073448</v>
      </c>
      <c r="FG48" s="126">
        <f>'Allometrics &amp; Decay rates'!$H$5*$AU48*CG48+'Allometrics &amp; Decay rates'!$H$6*$AV48*CH48+'Allometrics &amp; Decay rates'!$H$7*$AW48*CI48+'Allometrics &amp; Decay rates'!$H$8*$AX48*CJ48+'Allometrics &amp; Decay rates'!$H$9*$AY48*CK48+'Allometrics &amp; Decay rates'!$H$10*$AZ48*CL48+'Allometrics &amp; Decay rates'!$H$11*$BA48*CM48+'Allometrics &amp; Decay rates'!$H$12*$BB48*CN48+'Allometrics &amp; Decay rates'!$H$13*$BC48*CO48</f>
        <v>15.783262261323644</v>
      </c>
      <c r="FH48" s="97">
        <f t="shared" si="450"/>
        <v>14.966872923749802</v>
      </c>
      <c r="FI48" s="550">
        <f>AU48*CG48*('Allometrics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9.3161436434067717</v>
      </c>
      <c r="FJ48" s="550">
        <f>AV48*CH48*('Allometrics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1.4849869654984242</v>
      </c>
      <c r="FK48" s="550">
        <f>AW48*CI48*('Allometrics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1.4194277830028948E-2</v>
      </c>
      <c r="FL48" s="550">
        <f>AX48*CJ48*('Allometrics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3.7157277474582227</v>
      </c>
      <c r="FM48" s="550">
        <f>AY48*CK48*('Allometrics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5.105855334542788E-2</v>
      </c>
      <c r="FN48" s="550">
        <f>AZ48*CL48*('Allometrics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0.14226832763641994</v>
      </c>
      <c r="FO48" s="550">
        <f>BA48*CM48*('Allometrics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8.8433414394281087E-4</v>
      </c>
      <c r="FP48" s="550">
        <f>BB48*CN48*('Allometrics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0.24160907443056473</v>
      </c>
      <c r="FQ48" s="550">
        <f>BC48*CO48*('Allometrics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R48" s="108">
        <f t="shared" si="451"/>
        <v>12.259092869048434</v>
      </c>
      <c r="FS48" s="550">
        <f>AU48*CQ48*$DK48*((EXP('Allometrics &amp; Decay rates'!$M$5)-1)/('Discounting metrics'!$D$4+'Allometrics &amp; Decay rates'!$M$5)*(1-EXP(-('Discounting metrics'!$D$4+'Allometrics &amp; Decay rates'!$M$5)*'Discounting metrics'!$E$4))-(1-EXP(-'Allometrics &amp; Decay rates'!$M$5))/1.55)</f>
        <v>4.5545878656129126</v>
      </c>
      <c r="FT48" s="550">
        <f>AV48*CR48*$DK48*((EXP('Allometrics &amp; Decay rates'!$M$5)-1)/('Discounting metrics'!$D$4+'Allometrics &amp; Decay rates'!$M$5)*(1-EXP(-('Discounting metrics'!$D$4+'Allometrics &amp; Decay rates'!$M$5)*'Discounting metrics'!$E$4))-(1-EXP(-'Allometrics &amp; Decay rates'!$M$5))/1.55)</f>
        <v>0.70148490950656806</v>
      </c>
      <c r="FU48" s="550">
        <f>AW48*CS48*$DK48*((EXP('Allometrics &amp; Decay rates'!$M$5)-1)/('Discounting metrics'!$D$4+'Allometrics &amp; Decay rates'!$M$5)*(1-EXP(-('Discounting metrics'!$D$4+'Allometrics &amp; Decay rates'!$M$5)*'Discounting metrics'!$E$4))-(1-EXP(-'Allometrics &amp; Decay rates'!$M$5))/1.55)</f>
        <v>1.8220387259910858E-2</v>
      </c>
      <c r="FV48" s="550">
        <f>AX48*CT48*$DK48*((EXP('Allometrics &amp; Decay rates'!$M$5)-1)/('Discounting metrics'!$D$4+'Allometrics &amp; Decay rates'!$M$5)*(1-EXP(-('Discounting metrics'!$D$4+'Allometrics &amp; Decay rates'!$M$5)*'Discounting metrics'!$E$4))-(1-EXP(-'Allometrics &amp; Decay rates'!$M$5))/1.55)</f>
        <v>5.1472889199879752</v>
      </c>
      <c r="FW48" s="550">
        <f>AY48*CU48*$DK48*((EXP('Allometrics &amp; Decay rates'!$M$5)-1)/('Discounting metrics'!$D$4+'Allometrics &amp; Decay rates'!$M$5)*(1-EXP(-('Discounting metrics'!$D$4+'Allometrics &amp; Decay rates'!$M$5)*'Discounting metrics'!$E$4))-(1-EXP(-'Allometrics &amp; Decay rates'!$M$5))/1.55)</f>
        <v>0.26974316334504905</v>
      </c>
      <c r="FX48" s="550">
        <f>AZ48*CV48*$DK48*((EXP('Allometrics &amp; Decay rates'!$M$5)-1)/('Discounting metrics'!$D$4+'Allometrics &amp; Decay rates'!$M$5)*(1-EXP(-('Discounting metrics'!$D$4+'Allometrics &amp; Decay rates'!$M$5)*'Discounting metrics'!$E$4))-(1-EXP(-'Allometrics &amp; Decay rates'!$M$5))/1.55)</f>
        <v>1.5571814765481358</v>
      </c>
      <c r="FY48" s="550">
        <f>BA48*CW48*$DK48*((EXP('Allometrics &amp; Decay rates'!$M$5)-1)/('Discounting metrics'!$D$4+'Allometrics &amp; Decay rates'!$M$5)*(1-EXP(-('Discounting metrics'!$D$4+'Allometrics &amp; Decay rates'!$M$5)*'Discounting metrics'!$E$4))-(1-EXP(-'Allometrics &amp; Decay rates'!$M$5))/1.55)</f>
        <v>1.0586146787881169E-2</v>
      </c>
      <c r="FZ48" s="68"/>
      <c r="GA48" s="293"/>
      <c r="GB48" s="293"/>
      <c r="GP48" s="32">
        <f t="shared" si="452"/>
        <v>5.0999999999999996</v>
      </c>
      <c r="GQ48" s="33">
        <v>5.0999999999999996</v>
      </c>
      <c r="GR48" s="99">
        <v>4.46</v>
      </c>
      <c r="GS48" s="99"/>
      <c r="GT48" s="99"/>
      <c r="GU48" s="99"/>
      <c r="GV48" s="99"/>
      <c r="GW48" s="99"/>
      <c r="GX48" s="99"/>
      <c r="GY48" s="99"/>
      <c r="GZ48" s="99"/>
      <c r="HA48" s="99"/>
      <c r="HB48" s="99"/>
      <c r="HF48" s="97">
        <f>HG48*$LI48</f>
        <v>2.8908464671973375</v>
      </c>
      <c r="HG48" s="526">
        <f>EE48/'Discounting metrics'!E$4/M48</f>
        <v>3.285052803633338</v>
      </c>
      <c r="HH48" s="527">
        <f>10^3*HG48/$LM48</f>
        <v>211.93889055698955</v>
      </c>
      <c r="HI48" s="528">
        <f>HG48/$LO48</f>
        <v>12.166862235679028</v>
      </c>
      <c r="HJ48" s="97">
        <f>HK48*$LI48</f>
        <v>2.8908464671973375</v>
      </c>
      <c r="HK48" s="526">
        <f>EH48/'Discounting metrics'!E$4/O48</f>
        <v>3.285052803633338</v>
      </c>
      <c r="HL48" s="527">
        <f>10^3*HK48/$LM48</f>
        <v>211.93889055698955</v>
      </c>
      <c r="HM48" s="528">
        <f>HK48/$LO48</f>
        <v>12.166862235679028</v>
      </c>
      <c r="HN48" s="97">
        <f>HO48*$LI48</f>
        <v>1.2142959360540511</v>
      </c>
      <c r="HO48" s="526">
        <f>FD48/'Discounting metrics'!E$4/Q48</f>
        <v>1.3798817455159671</v>
      </c>
      <c r="HP48" s="527">
        <f>10^3*HO48/$LM48</f>
        <v>89.024628742965618</v>
      </c>
      <c r="HQ48" s="528">
        <f>HO48/$LO48</f>
        <v>5.1106731315406186</v>
      </c>
      <c r="HR48" s="97">
        <f>HS48*$LI48</f>
        <v>4.9883659532903071</v>
      </c>
      <c r="HS48" s="263">
        <f>$IM$11*IE48</f>
        <v>5.6685976741935304</v>
      </c>
      <c r="HT48" s="527">
        <f>10^3*HS48/$LM48</f>
        <v>365.71597898022776</v>
      </c>
      <c r="HU48" s="528">
        <f>HS48/$LO48</f>
        <v>20.994806200716777</v>
      </c>
      <c r="HV48" s="97">
        <f>HW48*$LI48</f>
        <v>4.9883659532903071</v>
      </c>
      <c r="HW48" s="263">
        <f t="shared" si="417"/>
        <v>5.6685976741935304</v>
      </c>
      <c r="HX48" s="527">
        <f>10^3*HW48/$LM48</f>
        <v>365.71597898022776</v>
      </c>
      <c r="HY48" s="528">
        <f>HW48/$LO48</f>
        <v>20.994806200716777</v>
      </c>
      <c r="HZ48" s="97">
        <f>I48*$LI48</f>
        <v>0.39494400000000002</v>
      </c>
      <c r="IA48" s="263">
        <f t="shared" si="418"/>
        <v>1.7679682256575628</v>
      </c>
      <c r="IB48" s="527">
        <f>10^3*I48/$LM48</f>
        <v>28.954838709677421</v>
      </c>
      <c r="IC48" s="528">
        <f>I48/$LO48</f>
        <v>1.6622222222222223</v>
      </c>
      <c r="ID48" s="97">
        <f>IE48*$LI48</f>
        <v>9.9999999999999982</v>
      </c>
      <c r="IE48" s="263">
        <f t="shared" si="419"/>
        <v>11.363636363636362</v>
      </c>
      <c r="IF48" s="68">
        <f>10^3*IE48/$LM48</f>
        <v>733.13782991202334</v>
      </c>
      <c r="IG48" s="97">
        <f>IH48*$LI48</f>
        <v>9.9999999999999982</v>
      </c>
      <c r="IH48" s="263">
        <f t="shared" si="420"/>
        <v>11.363636363636362</v>
      </c>
      <c r="II48" s="68">
        <f>10^3*IH48/$LM48</f>
        <v>733.13782991202334</v>
      </c>
      <c r="IJ48" s="97">
        <f>IK48*$LI48</f>
        <v>3.1188811188811187</v>
      </c>
      <c r="IK48" s="263">
        <f t="shared" si="421"/>
        <v>3.544183089637635</v>
      </c>
      <c r="IL48" s="68">
        <f>10^3*IK48/$LM48</f>
        <v>228.65697352500871</v>
      </c>
      <c r="IM48" s="60"/>
      <c r="IN48" s="60"/>
      <c r="IO48" s="60"/>
      <c r="IP48" s="554">
        <f>IR48*$V48</f>
        <v>11.46863718</v>
      </c>
      <c r="IQ48" s="262">
        <f>IR48*$LI48</f>
        <v>2.4711564705882352</v>
      </c>
      <c r="IR48" s="166">
        <f>(IW48*Y48+JD48*AA48)/V48</f>
        <v>2.8081323529411764</v>
      </c>
      <c r="IS48" s="68">
        <f>10^3*IR48/$LM48</f>
        <v>181.1698292220114</v>
      </c>
      <c r="IT48" s="97">
        <f>IR48/$LO48</f>
        <v>10.40049019607843</v>
      </c>
      <c r="IU48" s="429">
        <f>(IX48*C48+JE48*D48)/B48</f>
        <v>2.3099999999999999E-2</v>
      </c>
      <c r="IV48" s="262">
        <f>IW48*$LI48</f>
        <v>2.4711564705882352</v>
      </c>
      <c r="IW48" s="436">
        <f>IX48*JB48/I48</f>
        <v>2.8081323529411764</v>
      </c>
      <c r="IX48" s="101">
        <v>2.3099999999999999E-2</v>
      </c>
      <c r="IY48" s="433">
        <v>1</v>
      </c>
      <c r="IZ48" s="433">
        <v>0</v>
      </c>
      <c r="JA48" s="434">
        <f>1-IY48-IZ48</f>
        <v>0</v>
      </c>
      <c r="JB48" s="430">
        <f>IY48*$JJ48+IZ48*$JK48+JA48*$JL48+'Discounting metrics'!$B$6*(IY48*$JM48+IZ48*$JN48+JA48*$JO48)/10^3+'Discounting metrics'!$B$5*(IY48*$JP48+IZ48*$JQ48+JA48*$JR48)/10^3</f>
        <v>54.558</v>
      </c>
      <c r="JC48" s="262">
        <f>JD48*$LI48</f>
        <v>0</v>
      </c>
      <c r="JD48" s="436">
        <f>JE48*JI48/K48</f>
        <v>0</v>
      </c>
      <c r="JE48" s="101">
        <v>0</v>
      </c>
      <c r="JF48" s="433">
        <v>1</v>
      </c>
      <c r="JG48" s="433">
        <v>0</v>
      </c>
      <c r="JH48" s="434">
        <f t="shared" si="454"/>
        <v>0</v>
      </c>
      <c r="JI48" s="430">
        <f>JF48*$JJ48+JG48*$JK48+JH48*$JL48+'Discounting metrics'!$B$6*(JF48*$JM48+JG48*$JN48+JH48*$JO48)/10^3+'Discounting metrics'!$B$5*(JF48*$JP48+JG48*$JQ48+JH48*$JR48)/10^3</f>
        <v>54.558</v>
      </c>
      <c r="JJ48" s="431">
        <v>51.3</v>
      </c>
      <c r="JK48" s="431">
        <v>29</v>
      </c>
      <c r="JL48" s="431">
        <v>29</v>
      </c>
      <c r="JM48" s="99">
        <v>5</v>
      </c>
      <c r="JN48" s="431">
        <v>13</v>
      </c>
      <c r="JO48" s="431">
        <v>13</v>
      </c>
      <c r="JP48" s="431">
        <v>52</v>
      </c>
      <c r="JQ48" s="431">
        <v>58.3</v>
      </c>
      <c r="JR48" s="431">
        <v>58.3</v>
      </c>
      <c r="JS48" s="554">
        <f>JV48+JW48+JT48+JU48+JX48</f>
        <v>2.2137761379988801</v>
      </c>
      <c r="JT48" s="554">
        <f>KJ48*$V48</f>
        <v>-0.125733860616</v>
      </c>
      <c r="JU48" s="554">
        <f>KL48*$V48</f>
        <v>0.41265257599019994</v>
      </c>
      <c r="JV48" s="554">
        <f>KN48*$V48</f>
        <v>1.4756208253331999</v>
      </c>
      <c r="JW48" s="554">
        <f>KP48*$V48</f>
        <v>0.45123659729148002</v>
      </c>
      <c r="JX48" s="554"/>
      <c r="JY48" s="167">
        <f>JZ48*LI48</f>
        <v>0.47700412368</v>
      </c>
      <c r="JZ48" s="166">
        <f>KF48+KD48+KH48</f>
        <v>0.54205014054545453</v>
      </c>
      <c r="KA48" s="68">
        <f>10^3*JZ48/$LM48</f>
        <v>34.970976809384162</v>
      </c>
      <c r="KB48" s="97">
        <f>JZ48/$LO48</f>
        <v>2.0075931131313127</v>
      </c>
      <c r="KC48" s="473">
        <f>KD48*LI48</f>
        <v>6.1822606199999984E-2</v>
      </c>
      <c r="KD48" s="269">
        <f>KJ48+KL48</f>
        <v>7.0252961590909074E-2</v>
      </c>
      <c r="KE48" s="473">
        <f>KF48*LI48</f>
        <v>0.41518151747999998</v>
      </c>
      <c r="KF48" s="269">
        <f>KN48+KP48</f>
        <v>0.47179717895454543</v>
      </c>
      <c r="KG48" s="123"/>
      <c r="KH48" s="49"/>
      <c r="KI48" s="522">
        <f>KI$47</f>
        <v>-2.7091976E-2</v>
      </c>
      <c r="KJ48" s="522">
        <f>KI48/$LI48</f>
        <v>-3.0786336363636365E-2</v>
      </c>
      <c r="KK48" s="522">
        <f>KK$47</f>
        <v>8.8914582199999995E-2</v>
      </c>
      <c r="KL48" s="522">
        <f>KK48/$LI48</f>
        <v>0.10103929795454544</v>
      </c>
      <c r="KM48" s="522">
        <f>KM$47</f>
        <v>0.31795320519999998</v>
      </c>
      <c r="KN48" s="522">
        <f>KM48/$LI48</f>
        <v>0.3613104604545454</v>
      </c>
      <c r="KO48" s="522">
        <f>KO$47</f>
        <v>9.7228312279999993E-2</v>
      </c>
      <c r="KP48" s="522">
        <f>KO48/$LI48</f>
        <v>0.1104867185</v>
      </c>
      <c r="KQ48" s="599">
        <f>44/12*HG48+$JZ48+$IR48</f>
        <v>15.395376106808868</v>
      </c>
      <c r="KR48" s="527">
        <f>10^3*KQ48/$LM48</f>
        <v>993.25007140702371</v>
      </c>
      <c r="KS48" s="528">
        <f>KQ48/$LO48</f>
        <v>57.019911506699508</v>
      </c>
      <c r="KT48" s="599">
        <f>44/12*HK48+$JZ48+$IW48</f>
        <v>15.395376106808868</v>
      </c>
      <c r="KU48" s="527">
        <f>10^3*KT48/$LM48</f>
        <v>993.25007140702371</v>
      </c>
      <c r="KV48" s="528">
        <f>KT48/$LO48</f>
        <v>57.019911506699508</v>
      </c>
      <c r="KW48" s="599">
        <f>44/12*HO48+$JZ48+$JD48</f>
        <v>5.6016165407706673</v>
      </c>
      <c r="KX48" s="527">
        <f>10^3*KW48/$LM48</f>
        <v>361.39461553359143</v>
      </c>
      <c r="KY48" s="528">
        <f>KW48/$LO48</f>
        <v>20.746727928780249</v>
      </c>
      <c r="KZ48" s="599">
        <f>44/12*HS48+$JZ48+$IR48</f>
        <v>24.135040632196244</v>
      </c>
      <c r="LA48" s="527">
        <f>10^3*KZ48/$LM48</f>
        <v>1557.0993956255641</v>
      </c>
      <c r="LB48" s="528">
        <f>KZ48/$LO48</f>
        <v>89.389039378504606</v>
      </c>
      <c r="LC48" s="599">
        <f>44/12*HW48+$JZ48+$IW48</f>
        <v>24.135040632196244</v>
      </c>
      <c r="LD48" s="527">
        <f>10^3*LC48/$LM48</f>
        <v>1557.0993956255641</v>
      </c>
      <c r="LE48" s="528">
        <f>LC48/$LO48</f>
        <v>89.389039378504606</v>
      </c>
      <c r="LF48" s="599">
        <f>44/12*I48+$JZ48+$JD48</f>
        <v>2.1876501405454545</v>
      </c>
      <c r="LG48" s="527">
        <f>10^3*LF48/$LM48</f>
        <v>141.13871874486804</v>
      </c>
      <c r="LH48" s="528">
        <f>LF48/$LO48</f>
        <v>8.1024079279461265</v>
      </c>
      <c r="LI48" s="31">
        <v>0.88</v>
      </c>
      <c r="LJ48" s="32">
        <f t="shared" si="455"/>
        <v>16.72</v>
      </c>
      <c r="LK48" s="33">
        <v>19</v>
      </c>
      <c r="LL48" s="32">
        <f t="shared" si="456"/>
        <v>13.64</v>
      </c>
      <c r="LM48" s="33">
        <v>15.5</v>
      </c>
      <c r="LN48" s="34">
        <f t="shared" si="457"/>
        <v>0.23760000000000001</v>
      </c>
      <c r="LO48" s="31">
        <v>0.27</v>
      </c>
      <c r="LP48" s="36">
        <f t="shared" si="458"/>
        <v>1.32E-2</v>
      </c>
      <c r="LQ48" s="35">
        <v>1.4999999999999999E-2</v>
      </c>
    </row>
    <row r="49" spans="1:329" s="4" customFormat="1" x14ac:dyDescent="0.25">
      <c r="A49" s="14" t="s">
        <v>313</v>
      </c>
      <c r="B49" s="67">
        <f t="shared" si="424"/>
        <v>4.4899999999999993</v>
      </c>
      <c r="C49" s="33">
        <v>4.0999999999999996</v>
      </c>
      <c r="D49" s="33">
        <v>0.39</v>
      </c>
      <c r="E49" s="38">
        <f t="shared" si="425"/>
        <v>8.6859688195991103E-2</v>
      </c>
      <c r="F49" s="436">
        <f t="shared" si="400"/>
        <v>0.77387527839643666</v>
      </c>
      <c r="G49" s="32">
        <f t="shared" si="401"/>
        <v>0.6887489977728285</v>
      </c>
      <c r="H49" s="33">
        <v>0.74</v>
      </c>
      <c r="I49" s="32">
        <f>$LI49*H49</f>
        <v>0.65859999999999996</v>
      </c>
      <c r="J49" s="33">
        <v>1.1299999999999999</v>
      </c>
      <c r="K49" s="32">
        <f>$LI49*J49</f>
        <v>1.0056999999999998</v>
      </c>
      <c r="L49" s="32">
        <f>(F49/'Discounting metrics'!$D$4*(1-EXP(-'Discounting metrics'!$D$4*'Discounting metrics'!$E$4)))/'Discounting metrics'!$E$4</f>
        <v>0.18992531456310222</v>
      </c>
      <c r="M49" s="32">
        <f>(G49/'Discounting metrics'!$D$4*(1-EXP(-'Discounting metrics'!$D$4*'Discounting metrics'!$E$4)))/'Discounting metrics'!$E$4</f>
        <v>0.16903352996116094</v>
      </c>
      <c r="N49" s="32">
        <f>(H49/'Discounting metrics'!$D$4*(1-EXP(-'Discounting metrics'!$D$4*'Discounting metrics'!$E$4)))/'Discounting metrics'!$E$4</f>
        <v>0.18161160680558416</v>
      </c>
      <c r="O49" s="32">
        <f>(I49/'Discounting metrics'!$D$4*(1-EXP(-'Discounting metrics'!$D$4*'Discounting metrics'!$E$4)))/'Discounting metrics'!$E$4</f>
        <v>0.16163433005696992</v>
      </c>
      <c r="P49" s="32">
        <f>(J49/'Discounting metrics'!$D$4*(1-EXP(-'Discounting metrics'!$D$4*'Discounting metrics'!$E$4)))/'Discounting metrics'!$E$4</f>
        <v>0.27732583201393252</v>
      </c>
      <c r="Q49" s="32">
        <f>(K49/'Discounting metrics'!$D$4*(1-EXP(-'Discounting metrics'!$D$4*'Discounting metrics'!$E$4)))/'Discounting metrics'!$E$4</f>
        <v>0.24681999049239994</v>
      </c>
      <c r="R49" s="32">
        <f>10/G49</f>
        <v>14.519077388622669</v>
      </c>
      <c r="S49" s="32">
        <f>10/I49</f>
        <v>15.183723048891588</v>
      </c>
      <c r="T49" s="32">
        <f>10/K49</f>
        <v>9.9433230585661754</v>
      </c>
      <c r="U49" s="108">
        <f t="shared" si="426"/>
        <v>3.4746999999999999</v>
      </c>
      <c r="V49" s="68">
        <f t="shared" si="426"/>
        <v>3.0924829999999996</v>
      </c>
      <c r="W49" s="68"/>
      <c r="X49" s="67">
        <f>C49*H49</f>
        <v>3.0339999999999998</v>
      </c>
      <c r="Y49" s="67">
        <f t="shared" si="427"/>
        <v>2.7002599999999997</v>
      </c>
      <c r="Z49" s="67">
        <f t="shared" si="427"/>
        <v>0.44069999999999998</v>
      </c>
      <c r="AA49" s="67">
        <f>D49*K49</f>
        <v>0.39222299999999993</v>
      </c>
      <c r="AB49" s="38">
        <f t="shared" si="428"/>
        <v>0.12683109333179843</v>
      </c>
      <c r="AC49" s="294">
        <f t="shared" si="429"/>
        <v>0.22877634100873837</v>
      </c>
      <c r="AD49" s="294">
        <f t="shared" si="429"/>
        <v>1.4017973619805439E-2</v>
      </c>
      <c r="AE49" s="294">
        <f t="shared" si="429"/>
        <v>5.5844056146786653E-6</v>
      </c>
      <c r="AF49" s="294">
        <f t="shared" si="429"/>
        <v>0.69087239972873116</v>
      </c>
      <c r="AG49" s="294">
        <f t="shared" si="429"/>
        <v>2.1365801352239807E-2</v>
      </c>
      <c r="AH49" s="294">
        <f t="shared" si="429"/>
        <v>3.6697303456347946E-2</v>
      </c>
      <c r="AI49" s="294">
        <f t="shared" si="429"/>
        <v>2.5012737682187318E-5</v>
      </c>
      <c r="AJ49" s="294">
        <f t="shared" si="429"/>
        <v>8.2395836908405531E-3</v>
      </c>
      <c r="AK49" s="294">
        <f t="shared" si="429"/>
        <v>0</v>
      </c>
      <c r="AL49" s="433">
        <v>0.24268436310415253</v>
      </c>
      <c r="AM49" s="433">
        <v>1.4206444038109729E-2</v>
      </c>
      <c r="AN49" s="433">
        <v>4.1484198195446396E-6</v>
      </c>
      <c r="AO49" s="433">
        <v>0.69835842969503847</v>
      </c>
      <c r="AP49" s="433">
        <v>1.4474558214707691E-2</v>
      </c>
      <c r="AQ49" s="433">
        <v>2.909877518355743E-2</v>
      </c>
      <c r="AR49" s="433">
        <v>3.5622300624350712E-6</v>
      </c>
      <c r="AS49" s="433">
        <v>1.1697191145522553E-3</v>
      </c>
      <c r="AT49" s="433">
        <v>0</v>
      </c>
      <c r="AU49" s="433">
        <v>8.2563801031307255E-2</v>
      </c>
      <c r="AV49" s="433">
        <v>1.2036617940196214E-2</v>
      </c>
      <c r="AW49" s="433">
        <v>2.068066653788252E-5</v>
      </c>
      <c r="AX49" s="433">
        <v>0.61217311033934629</v>
      </c>
      <c r="AY49" s="433">
        <v>9.3812203567320993E-2</v>
      </c>
      <c r="AZ49" s="433">
        <v>0.11657926734978669</v>
      </c>
      <c r="BA49" s="433">
        <v>2.505180741975314E-4</v>
      </c>
      <c r="BB49" s="433">
        <v>8.2563801031307255E-2</v>
      </c>
      <c r="BC49" s="433">
        <v>0</v>
      </c>
      <c r="BD49" s="554">
        <f>BG49*$B49/10^3</f>
        <v>0.5350245779647318</v>
      </c>
      <c r="BE49" s="554">
        <f t="shared" si="430"/>
        <v>0.10621149291983994</v>
      </c>
      <c r="BF49" s="554">
        <f t="shared" si="430"/>
        <v>0.42881308504489185</v>
      </c>
      <c r="BG49" s="67">
        <f t="shared" si="431"/>
        <v>119.15914876720086</v>
      </c>
      <c r="BH49" s="67">
        <f>(BK49*$C49+CF49*$D49)/$B49</f>
        <v>23.65512091755901</v>
      </c>
      <c r="BI49" s="67">
        <f>(BU49*$C49+CP49*$D49)/$B49</f>
        <v>95.504027849641858</v>
      </c>
      <c r="BJ49" s="67">
        <f>BK49+BU49</f>
        <v>121.03040198543692</v>
      </c>
      <c r="BK49" s="68">
        <f t="shared" si="432"/>
        <v>24.527885359223301</v>
      </c>
      <c r="BL49" s="145">
        <v>56.677958946324388</v>
      </c>
      <c r="BM49" s="145">
        <v>52.792943680211259</v>
      </c>
      <c r="BN49" s="145">
        <v>48.562180165681724</v>
      </c>
      <c r="BO49" s="145">
        <v>14.271262272915925</v>
      </c>
      <c r="BP49" s="145">
        <v>1.9998262822512087</v>
      </c>
      <c r="BQ49" s="145">
        <v>0.31417930658726323</v>
      </c>
      <c r="BR49" s="145">
        <v>0.11446958313874891</v>
      </c>
      <c r="BS49" s="145">
        <v>15.631086433534948</v>
      </c>
      <c r="BT49" s="145">
        <v>0</v>
      </c>
      <c r="BU49" s="68">
        <f t="shared" si="433"/>
        <v>96.50251662621362</v>
      </c>
      <c r="BV49" s="145">
        <v>65.01913024705398</v>
      </c>
      <c r="BW49" s="145">
        <v>45.275501861669845</v>
      </c>
      <c r="BX49" s="145">
        <v>96.53927382334318</v>
      </c>
      <c r="BY49" s="145">
        <v>114.32437815456461</v>
      </c>
      <c r="BZ49" s="145">
        <v>9.8113228051750969</v>
      </c>
      <c r="CA49" s="145">
        <v>2.8151520196782607</v>
      </c>
      <c r="CB49" s="145">
        <v>0.57916158135676532</v>
      </c>
      <c r="CC49" s="145">
        <v>14.070675309411985</v>
      </c>
      <c r="CD49" s="145">
        <v>0</v>
      </c>
      <c r="CE49" s="68">
        <f t="shared" si="434"/>
        <v>99.486999549847411</v>
      </c>
      <c r="CF49" s="68">
        <f t="shared" si="435"/>
        <v>14.479904992370296</v>
      </c>
      <c r="CG49" s="145">
        <v>55.476687950721228</v>
      </c>
      <c r="CH49" s="145">
        <v>45.841802675631378</v>
      </c>
      <c r="CI49" s="145">
        <v>57.79893241931007</v>
      </c>
      <c r="CJ49" s="145">
        <v>14.973367679473888</v>
      </c>
      <c r="CK49" s="145">
        <v>1.5262846918512125</v>
      </c>
      <c r="CL49" s="145">
        <v>0.29563514656521994</v>
      </c>
      <c r="CM49" s="145">
        <v>0.1076101635877459</v>
      </c>
      <c r="CN49" s="145">
        <v>3.1419334652823795E-2</v>
      </c>
      <c r="CO49" s="145">
        <v>0</v>
      </c>
      <c r="CP49" s="68">
        <f t="shared" si="436"/>
        <v>85.007094557477117</v>
      </c>
      <c r="CQ49" s="145">
        <v>55.122450354145265</v>
      </c>
      <c r="CR49" s="145">
        <v>42.562558678923232</v>
      </c>
      <c r="CS49" s="145">
        <v>77.475164732266705</v>
      </c>
      <c r="CT49" s="145">
        <v>128.97679181124397</v>
      </c>
      <c r="CU49" s="145">
        <v>6.9401222222719436</v>
      </c>
      <c r="CV49" s="145">
        <v>2.8467263971175463</v>
      </c>
      <c r="CW49" s="145">
        <v>0.38069633344721426</v>
      </c>
      <c r="CX49" s="145">
        <v>3.5214297426576627E-2</v>
      </c>
      <c r="CY49" s="145">
        <v>0</v>
      </c>
      <c r="CZ49" s="554">
        <f>DC49*$B49/10^3</f>
        <v>0.32257621472116893</v>
      </c>
      <c r="DA49" s="554">
        <f t="shared" si="437"/>
        <v>9.6640093749999979E-4</v>
      </c>
      <c r="DB49" s="554">
        <f t="shared" si="437"/>
        <v>0.32160981378366893</v>
      </c>
      <c r="DC49" s="32">
        <f t="shared" si="438"/>
        <v>71.843254949035412</v>
      </c>
      <c r="DD49" s="32">
        <f t="shared" si="439"/>
        <v>0.21523406180400889</v>
      </c>
      <c r="DE49" s="67">
        <f t="shared" si="439"/>
        <v>71.628020887231401</v>
      </c>
      <c r="DF49" s="270"/>
      <c r="DG49" s="67">
        <f t="shared" si="440"/>
        <v>72.582699969660212</v>
      </c>
      <c r="DH49" s="32">
        <f>I49*0.5*2.5*0.25</f>
        <v>0.20581249999999998</v>
      </c>
      <c r="DI49" s="67">
        <f>(1-DK49)*BU49</f>
        <v>72.376887469660218</v>
      </c>
      <c r="DJ49" s="67"/>
      <c r="DK49" s="34">
        <f t="shared" si="441"/>
        <v>0.25</v>
      </c>
      <c r="DL49" s="159"/>
      <c r="DM49" s="159"/>
      <c r="DN49" s="68">
        <f t="shared" si="442"/>
        <v>64.069602168107835</v>
      </c>
      <c r="DO49" s="32">
        <f>K49*0.5*2.5*0.25</f>
        <v>0.31428124999999996</v>
      </c>
      <c r="DP49" s="67">
        <f>(1-DR49)*CP49</f>
        <v>63.755320918107842</v>
      </c>
      <c r="DQ49" s="67"/>
      <c r="DR49" s="34">
        <f t="shared" si="443"/>
        <v>0.25</v>
      </c>
      <c r="DS49" s="294"/>
      <c r="DT49" s="294"/>
      <c r="DU49" s="294"/>
      <c r="DV49" s="67">
        <f t="shared" si="410"/>
        <v>47.315893818165449</v>
      </c>
      <c r="DW49" s="67">
        <f t="shared" si="410"/>
        <v>23.439886855755002</v>
      </c>
      <c r="DX49" s="67">
        <f t="shared" si="410"/>
        <v>23.876006962410457</v>
      </c>
      <c r="DY49" s="67">
        <f t="shared" si="411"/>
        <v>48.447702015776713</v>
      </c>
      <c r="DZ49" s="67">
        <f t="shared" si="411"/>
        <v>24.322072859223301</v>
      </c>
      <c r="EA49" s="67">
        <f t="shared" si="412"/>
        <v>24.125629156553401</v>
      </c>
      <c r="EB49" s="67">
        <f t="shared" si="413"/>
        <v>35.417397381739576</v>
      </c>
      <c r="EC49" s="67">
        <f t="shared" si="413"/>
        <v>14.165623742370295</v>
      </c>
      <c r="ED49" s="67">
        <f t="shared" si="414"/>
        <v>21.251773639369276</v>
      </c>
      <c r="EE49" s="68">
        <f>EF49+EG49</f>
        <v>38.745188533149026</v>
      </c>
      <c r="EF49" s="67">
        <f>(EJ49*$C49+FF49*$D49)/$B49</f>
        <v>20.088056729704459</v>
      </c>
      <c r="EG49" s="67">
        <f t="shared" si="444"/>
        <v>18.657131803444567</v>
      </c>
      <c r="EH49" s="261">
        <f t="shared" si="445"/>
        <v>39.807917310645557</v>
      </c>
      <c r="EI49" s="154">
        <f>EH49/($BJ49-$DG49)</f>
        <v>0.82166781197759065</v>
      </c>
      <c r="EJ49" s="108">
        <f>EK49+EL49-DH49</f>
        <v>20.955925098616376</v>
      </c>
      <c r="EK49" s="126">
        <f>'Allometrics &amp; Decay rates'!$H$5*$AL49*BL49+'Allometrics &amp; Decay rates'!$H$6*$AM49*BM49+'Allometrics &amp; Decay rates'!$H$7*$AN49*BN49+'Allometrics &amp; Decay rates'!$H$8*$AO49*BO49+'Allometrics &amp; Decay rates'!$H$9*$AP49*BP49+'Allometrics &amp; Decay rates'!$H$10*$AQ49*BQ49+'Allometrics &amp; Decay rates'!$H$11*$AR49*BR49+'Allometrics &amp; Decay rates'!$H$12*$AS49*BS49+'Allometrics &amp; Decay rates'!$H$13*$AT49*BT49</f>
        <v>9.9153751620933512</v>
      </c>
      <c r="EL49" s="97">
        <f t="shared" si="446"/>
        <v>11.246362436523025</v>
      </c>
      <c r="EM49" s="550">
        <f>AL49*BL49*('Allometrics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5.3922821695290493</v>
      </c>
      <c r="EN49" s="550">
        <f>AM49*BM49*('Allometrics &amp; Decay rates'!$I$6*((EXP('Allometrics &amp; Decay rates'!$K$6)-1)/('Discounting metrics'!$D$4+'Allometrics &amp; Decay rates'!$K$6)*(1-EXP(-('Discounting metrics'!$D$4+'Allometrics &amp; Decay rates'!$K$6)*'Discounting metrics'!$E$4))-(1-EXP(-'Allometrics &amp; Decay rates'!$K$6))/1.55)+'Allometrics &amp; Decay rates'!$E$6*((EXP('Allometrics &amp; Decay rates'!$L$6)-1)/('Discounting metrics'!$D$4+'Allometrics &amp; Decay rates'!$L$6)*(1-EXP(-('Discounting metrics'!$D$4+'Allometrics &amp; Decay rates'!$L$6)*'Discounting metrics'!$E$4))-(1-EXP(-'Allometrics &amp; Decay rates'!$L$6))/1.55))</f>
        <v>0.18291585387862005</v>
      </c>
      <c r="EO49" s="550">
        <f>AN49*BN49*('Allometrics &amp; Decay rates'!$I$7*((EXP('Allometrics &amp; Decay rates'!$K$7)-1)/('Discounting metrics'!$D$4+'Allometrics &amp; Decay rates'!$K$7)*(1-EXP(-('Discounting metrics'!$D$4+'Allometrics &amp; Decay rates'!$K$7)*'Discounting metrics'!$E$4))-(1-EXP(-'Allometrics &amp; Decay rates'!$K$7))/1.55)+'Allometrics &amp; Decay rates'!$E$7*((EXP('Allometrics &amp; Decay rates'!$L$7)-1)/('Discounting metrics'!$D$4+'Allometrics &amp; Decay rates'!$L$7)*(1-EXP(-('Discounting metrics'!$D$4+'Allometrics &amp; Decay rates'!$L$7)*'Discounting metrics'!$E$4))-(1-EXP(-'Allometrics &amp; Decay rates'!$L$7))/1.55))</f>
        <v>4.2892358597578872E-5</v>
      </c>
      <c r="EP49" s="550">
        <f>AO49*BO49*('Allometrics &amp; Decay rates'!$I$8*((EXP('Allometrics &amp; Decay rates'!$K$8)-1)/('Discounting metrics'!$D$4+'Allometrics &amp; Decay rates'!$K$8)*(1-EXP(-('Discounting metrics'!$D$4+'Allometrics &amp; Decay rates'!$K$8)*'Discounting metrics'!$E$4))-(1-EXP(-'Allometrics &amp; Decay rates'!$K$8))/1.55)+'Allometrics &amp; Decay rates'!$E$8*((EXP('Allometrics &amp; Decay rates'!$L$8)-1)/('Discounting metrics'!$D$4+'Allometrics &amp; Decay rates'!$L$8)*(1-EXP(-('Discounting metrics'!$D$4+'Allometrics &amp; Decay rates'!$L$8)*'Discounting metrics'!$E$4))-(1-EXP(-'Allometrics &amp; Decay rates'!$L$8))/1.55))</f>
        <v>5.6426727775989969</v>
      </c>
      <c r="EQ49" s="550">
        <f>AP49*BP49*('Allometrics &amp; Decay rates'!$I$9*((EXP('Allometrics &amp; Decay rates'!$K$9)-1)/('Discounting metrics'!$D$4+'Allometrics &amp; Decay rates'!$K$9)*(1-EXP(-('Discounting metrics'!$D$4+'Allometrics &amp; Decay rates'!$K$9)*'Discounting metrics'!$E$4))-(1-EXP(-'Allometrics &amp; Decay rates'!$K$9))/1.55)+'Allometrics &amp; Decay rates'!$E$9*((EXP('Allometrics &amp; Decay rates'!$L$9)-1)/('Discounting metrics'!$D$4+'Allometrics &amp; Decay rates'!$L$9)*(1-EXP(-('Discounting metrics'!$D$4+'Allometrics &amp; Decay rates'!$L$9)*'Discounting metrics'!$E$4))-(1-EXP(-'Allometrics &amp; Decay rates'!$L$9))/1.55))</f>
        <v>1.5171655981387335E-2</v>
      </c>
      <c r="ER49" s="550">
        <f>AQ49*BQ49*('Allometrics &amp; Decay rates'!$I$10*((EXP('Allometrics &amp; Decay rates'!$K$10)-1)/('Discounting metrics'!$D$4+'Allometrics &amp; Decay rates'!$K$10)*(1-EXP(-('Discounting metrics'!$D$4+'Allometrics &amp; Decay rates'!$K$10)*'Discounting metrics'!$E$4))-(1-EXP(-'Allometrics &amp; Decay rates'!$K$10))/1.55)+'Allometrics &amp; Decay rates'!$E$10*((EXP('Allometrics &amp; Decay rates'!$L$10)-1)/('Discounting metrics'!$D$4+'Allometrics &amp; Decay rates'!$L$10)*(1-EXP(-('Discounting metrics'!$D$4+'Allometrics &amp; Decay rates'!$L$10)*'Discounting metrics'!$E$4))-(1-EXP(-'Allometrics &amp; Decay rates'!$L$10))/1.55))</f>
        <v>5.816117128799073E-3</v>
      </c>
      <c r="ES49" s="550">
        <f>AR49*BR49*('Allometrics &amp; Decay rates'!$I$11*((EXP('Allometrics &amp; Decay rates'!$K$11)-1)/('Discounting metrics'!$D$4+'Allometrics &amp; Decay rates'!$K$11)*(1-EXP(-('Discounting metrics'!$D$4+'Allometrics &amp; Decay rates'!$K$11)*'Discounting metrics'!$E$4))-(1-EXP(-'Allometrics &amp; Decay rates'!$K$11))/1.55)+'Allometrics &amp; Decay rates'!$E$11*((EXP('Allometrics &amp; Decay rates'!$L$11)-1)/('Discounting metrics'!$D$4+'Allometrics &amp; Decay rates'!$L$11)*(1-EXP(-('Discounting metrics'!$D$4+'Allometrics &amp; Decay rates'!$L$11)*'Discounting metrics'!$E$4))-(1-EXP(-'Allometrics &amp; Decay rates'!$L$11))/1.55))</f>
        <v>2.8942943046771202E-7</v>
      </c>
      <c r="ET49" s="550">
        <f>AS49*BS49*('Allometrics &amp; Decay rates'!$I$12*((EXP('Allometrics &amp; Decay rates'!$K$12)-1)/('Discounting metrics'!$D$4+'Allometrics &amp; Decay rates'!$K$12)*(1-EXP(-('Discounting metrics'!$D$4+'Allometrics &amp; Decay rates'!$K$12)*'Discounting metrics'!$E$4))-(1-EXP(-'Allometrics &amp; Decay rates'!$K$12))/1.55)+'Allometrics &amp; Decay rates'!$E$12*((EXP('Allometrics &amp; Decay rates'!$L$12)-1)/('Discounting metrics'!$D$4+'Allometrics &amp; Decay rates'!$L$12)*(1-EXP(-('Discounting metrics'!$D$4+'Allometrics &amp; Decay rates'!$L$12)*'Discounting metrics'!$E$4))-(1-EXP(-'Allometrics &amp; Decay rates'!$L$12))/1.55))</f>
        <v>7.4606806181473839E-3</v>
      </c>
      <c r="EU49" s="550">
        <f>AT49*BT49*('Allometrics &amp; Decay rates'!$I$13*((EXP('Allometrics &amp; Decay rates'!$K$13)-1)/('Discounting metrics'!$D$4+'Allometrics &amp; Decay rates'!$K$13)*(1-EXP(-('Discounting metrics'!$D$4+'Allometrics &amp; Decay rates'!$K$13)*'Discounting metrics'!$E$4))-(1-EXP(-'Allometrics &amp; Decay rates'!$K$13))/1.55)+'Allometrics &amp; Decay rates'!$E$13*((EXP('Allometrics &amp; Decay rates'!$L$13)-1)/('Discounting metrics'!$D$4+'Allometrics &amp; Decay rates'!$L$13)*(1-EXP(-('Discounting metrics'!$D$4+'Allometrics &amp; Decay rates'!$L$13)*'Discounting metrics'!$E$4))-(1-EXP(-'Allometrics &amp; Decay rates'!$L$13))/1.55))</f>
        <v>0</v>
      </c>
      <c r="EV49" s="108">
        <f t="shared" si="447"/>
        <v>18.851992212029181</v>
      </c>
      <c r="EW49" s="550">
        <f>AL49*BV49*$DK49*((EXP('Allometrics &amp; Decay rates'!$M$5)-1)/('Discounting metrics'!$D$4+'Allometrics &amp; Decay rates'!$M$5)*(1-EXP(-('Discounting metrics'!$D$4+'Allometrics &amp; Decay rates'!$M$5)*'Discounting metrics'!$E$4))-(1-EXP(-'Allometrics &amp; Decay rates'!$M$5))/1.55)</f>
        <v>3.0830150075722491</v>
      </c>
      <c r="EX49" s="550">
        <f>AM49*BW49*$DK49*((EXP('Allometrics &amp; Decay rates'!$M$5)-1)/('Discounting metrics'!$D$4+'Allometrics &amp; Decay rates'!$M$5)*(1-EXP(-('Discounting metrics'!$D$4+'Allometrics &amp; Decay rates'!$M$5)*'Discounting metrics'!$E$4))-(1-EXP(-'Allometrics &amp; Decay rates'!$M$5))/1.55)</f>
        <v>0.12567281602932562</v>
      </c>
      <c r="EY49" s="550">
        <f>AN49*BX49*$DK49*((EXP('Allometrics &amp; Decay rates'!$M$5)-1)/('Discounting metrics'!$D$4+'Allometrics &amp; Decay rates'!$M$5)*(1-EXP(-('Discounting metrics'!$D$4+'Allometrics &amp; Decay rates'!$M$5)*'Discounting metrics'!$E$4))-(1-EXP(-'Allometrics &amp; Decay rates'!$M$5))/1.55)</f>
        <v>7.824911186731595E-5</v>
      </c>
      <c r="EZ49" s="550">
        <f>AO49*BY49*$DK49*((EXP('Allometrics &amp; Decay rates'!$M$5)-1)/('Discounting metrics'!$D$4+'Allometrics &amp; Decay rates'!$M$5)*(1-EXP(-('Discounting metrics'!$D$4+'Allometrics &amp; Decay rates'!$M$5)*'Discounting metrics'!$E$4))-(1-EXP(-'Allometrics &amp; Decay rates'!$M$5))/1.55)</f>
        <v>15.599472626754388</v>
      </c>
      <c r="FA49" s="550">
        <f>AP49*BZ49*$DK49*((EXP('Allometrics &amp; Decay rates'!$M$5)-1)/('Discounting metrics'!$D$4+'Allometrics &amp; Decay rates'!$M$5)*(1-EXP(-('Discounting metrics'!$D$4+'Allometrics &amp; Decay rates'!$M$5)*'Discounting metrics'!$E$4))-(1-EXP(-'Allometrics &amp; Decay rates'!$M$5))/1.55)</f>
        <v>2.7747609305191857E-2</v>
      </c>
      <c r="FB49" s="550">
        <f>AQ49*CA49*$DK49*((EXP('Allometrics &amp; Decay rates'!$M$5)-1)/('Discounting metrics'!$D$4+'Allometrics &amp; Decay rates'!$M$5)*(1-EXP(-('Discounting metrics'!$D$4+'Allometrics &amp; Decay rates'!$M$5)*'Discounting metrics'!$E$4))-(1-EXP(-'Allometrics &amp; Decay rates'!$M$5))/1.55)</f>
        <v>1.6005500154678266E-2</v>
      </c>
      <c r="FC49" s="550">
        <f>AR49*CB49*$DK49*((EXP('Allometrics &amp; Decay rates'!$M$5)-1)/('Discounting metrics'!$D$4+'Allometrics &amp; Decay rates'!$M$5)*(1-EXP(-('Discounting metrics'!$D$4+'Allometrics &amp; Decay rates'!$M$5)*'Discounting metrics'!$E$4))-(1-EXP(-'Allometrics &amp; Decay rates'!$M$5))/1.55)</f>
        <v>4.0310148537708217E-7</v>
      </c>
      <c r="FD49" s="261">
        <f t="shared" si="448"/>
        <v>27.572911641518804</v>
      </c>
      <c r="FE49" s="154">
        <f>FD49/($CE49-$DN49)</f>
        <v>0.77851320762871146</v>
      </c>
      <c r="FF49" s="108">
        <f t="shared" si="449"/>
        <v>10.964312338579152</v>
      </c>
      <c r="FG49" s="126">
        <f>'Allometrics &amp; Decay rates'!$H$5*$AU49*CG49+'Allometrics &amp; Decay rates'!$H$6*$AV49*CH49+'Allometrics &amp; Decay rates'!$H$7*$AW49*CI49+'Allometrics &amp; Decay rates'!$H$8*$AX49*CJ49+'Allometrics &amp; Decay rates'!$H$9*$AY49*CK49+'Allometrics &amp; Decay rates'!$H$10*$AZ49*CL49+'Allometrics &amp; Decay rates'!$H$11*$BA49*CM49+'Allometrics &amp; Decay rates'!$H$12*$BB49*CN49+'Allometrics &amp; Decay rates'!$H$13*$BC49*CO49</f>
        <v>5.6020715831414956</v>
      </c>
      <c r="FH49" s="97">
        <f t="shared" si="450"/>
        <v>5.6765220054376577</v>
      </c>
      <c r="FI49" s="550">
        <f>AU49*CG49*('Allometrics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1.7956298530715609</v>
      </c>
      <c r="FJ49" s="550">
        <f>AV49*CH49*('Allometrics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0.21631307769150793</v>
      </c>
      <c r="FK49" s="550">
        <f>AW49*CI49*('Allometrics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4.6859857353894141E-4</v>
      </c>
      <c r="FL49" s="550">
        <f>AX49*CJ49*('Allometrics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3.5934396197280973</v>
      </c>
      <c r="FM49" s="550">
        <f>AY49*CK49*('Allometrics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5.6132127000515751E-2</v>
      </c>
      <c r="FN49" s="550">
        <f>AZ49*CL49*('Allometrics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1.3511202372672457E-2</v>
      </c>
      <c r="FO49" s="550">
        <f>BA49*CM49*('Allometrics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1.0568393360665488E-5</v>
      </c>
      <c r="FP49" s="550">
        <f>BB49*CN49*('Allometrics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1.0169586064036602E-3</v>
      </c>
      <c r="FQ49" s="550">
        <f>BC49*CO49*('Allometrics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R49" s="108">
        <f t="shared" si="451"/>
        <v>16.608599302939652</v>
      </c>
      <c r="FS49" s="550">
        <f>AU49*CQ49*$DK49*((EXP('Allometrics &amp; Decay rates'!$M$5)-1)/('Discounting metrics'!$D$4+'Allometrics &amp; Decay rates'!$M$5)*(1-EXP(-('Discounting metrics'!$D$4+'Allometrics &amp; Decay rates'!$M$5)*'Discounting metrics'!$E$4))-(1-EXP(-'Allometrics &amp; Decay rates'!$M$5))/1.55)</f>
        <v>0.88922339934744454</v>
      </c>
      <c r="FT49" s="550">
        <f>AV49*CR49*$DK49*((EXP('Allometrics &amp; Decay rates'!$M$5)-1)/('Discounting metrics'!$D$4+'Allometrics &amp; Decay rates'!$M$5)*(1-EXP(-('Discounting metrics'!$D$4+'Allometrics &amp; Decay rates'!$M$5)*'Discounting metrics'!$E$4))-(1-EXP(-'Allometrics &amp; Decay rates'!$M$5))/1.55)</f>
        <v>0.10009788296426332</v>
      </c>
      <c r="FU49" s="550">
        <f>AW49*CS49*$DK49*((EXP('Allometrics &amp; Decay rates'!$M$5)-1)/('Discounting metrics'!$D$4+'Allometrics &amp; Decay rates'!$M$5)*(1-EXP(-('Discounting metrics'!$D$4+'Allometrics &amp; Decay rates'!$M$5)*'Discounting metrics'!$E$4))-(1-EXP(-'Allometrics &amp; Decay rates'!$M$5))/1.55)</f>
        <v>3.1305434008879019E-4</v>
      </c>
      <c r="FV49" s="550">
        <f>AX49*CT49*$DK49*((EXP('Allometrics &amp; Decay rates'!$M$5)-1)/('Discounting metrics'!$D$4+'Allometrics &amp; Decay rates'!$M$5)*(1-EXP(-('Discounting metrics'!$D$4+'Allometrics &amp; Decay rates'!$M$5)*'Discounting metrics'!$E$4))-(1-EXP(-'Allometrics &amp; Decay rates'!$M$5))/1.55)</f>
        <v>15.426894451219585</v>
      </c>
      <c r="FW49" s="550">
        <f>AY49*CU49*$DK49*((EXP('Allometrics &amp; Decay rates'!$M$5)-1)/('Discounting metrics'!$D$4+'Allometrics &amp; Decay rates'!$M$5)*(1-EXP(-('Discounting metrics'!$D$4+'Allometrics &amp; Decay rates'!$M$5)*'Discounting metrics'!$E$4))-(1-EXP(-'Allometrics &amp; Decay rates'!$M$5))/1.55)</f>
        <v>0.12720938263925444</v>
      </c>
      <c r="FX49" s="550">
        <f>AZ49*CV49*$DK49*((EXP('Allometrics &amp; Decay rates'!$M$5)-1)/('Discounting metrics'!$D$4+'Allometrics &amp; Decay rates'!$M$5)*(1-EXP(-('Discounting metrics'!$D$4+'Allometrics &amp; Decay rates'!$M$5)*'Discounting metrics'!$E$4))-(1-EXP(-'Allometrics &amp; Decay rates'!$M$5))/1.55)</f>
        <v>6.4842498242105279E-2</v>
      </c>
      <c r="FY49" s="550">
        <f>BA49*CW49*$DK49*((EXP('Allometrics &amp; Decay rates'!$M$5)-1)/('Discounting metrics'!$D$4+'Allometrics &amp; Decay rates'!$M$5)*(1-EXP(-('Discounting metrics'!$D$4+'Allometrics &amp; Decay rates'!$M$5)*'Discounting metrics'!$E$4))-(1-EXP(-'Allometrics &amp; Decay rates'!$M$5))/1.55)</f>
        <v>1.8634186910047035E-5</v>
      </c>
      <c r="FZ49" s="68"/>
      <c r="GA49" s="293"/>
      <c r="GB49" s="293"/>
      <c r="GP49" s="32">
        <f t="shared" si="452"/>
        <v>6.026169265033408</v>
      </c>
      <c r="GQ49" s="33">
        <v>6.1</v>
      </c>
      <c r="GR49" s="99">
        <v>5.25</v>
      </c>
      <c r="GS49" s="99"/>
      <c r="GT49" s="99"/>
      <c r="GU49" s="99"/>
      <c r="GV49" s="99"/>
      <c r="GW49" s="99"/>
      <c r="GX49" s="99"/>
      <c r="GY49" s="99"/>
      <c r="GZ49" s="99"/>
      <c r="HA49" s="99"/>
      <c r="HB49" s="99"/>
      <c r="HF49" s="97">
        <f>HG49*$LI49</f>
        <v>2.0400223436395066</v>
      </c>
      <c r="HG49" s="526">
        <f>EE49/'Discounting metrics'!E$4/M49</f>
        <v>2.292159936673603</v>
      </c>
      <c r="HH49" s="527">
        <f>10^3*HG49/$LM49</f>
        <v>147.88128623700666</v>
      </c>
      <c r="HI49" s="528">
        <f>HG49/$LO49</f>
        <v>9.5506664028066801</v>
      </c>
      <c r="HJ49" s="97">
        <f>HK49*$LI49</f>
        <v>2.191925836175221</v>
      </c>
      <c r="HK49" s="526">
        <f>EH49/'Discounting metrics'!E$4/O49</f>
        <v>2.4628380181744056</v>
      </c>
      <c r="HL49" s="527">
        <f>10^3*HK49/$LM49</f>
        <v>158.89277536609069</v>
      </c>
      <c r="HM49" s="528">
        <f>HK49/$LO49</f>
        <v>10.261825075726691</v>
      </c>
      <c r="HN49" s="97">
        <f>HO49*$LI49</f>
        <v>0.99424245629356212</v>
      </c>
      <c r="HO49" s="526">
        <f>FD49/'Discounting metrics'!E$4/Q49</f>
        <v>1.1171263553860249</v>
      </c>
      <c r="HP49" s="527">
        <f>10^3*HO49/$LM49</f>
        <v>72.072668089420958</v>
      </c>
      <c r="HQ49" s="528">
        <f>HO49/$LO49</f>
        <v>4.6546931474417708</v>
      </c>
      <c r="HR49" s="97">
        <f>HS49*$LI49</f>
        <v>3.884442161370838</v>
      </c>
      <c r="HS49" s="263">
        <f>$IM$11*IE49</f>
        <v>4.364541754349256</v>
      </c>
      <c r="HT49" s="527">
        <f>10^3*HS49/$LM49</f>
        <v>281.58333899027457</v>
      </c>
      <c r="HU49" s="528">
        <f>HS49/$LO49</f>
        <v>18.185590643121902</v>
      </c>
      <c r="HV49" s="97">
        <f>HW49*$LI49</f>
        <v>4.1120313939284969</v>
      </c>
      <c r="HW49" s="263">
        <f t="shared" si="417"/>
        <v>4.6202599931780863</v>
      </c>
      <c r="HX49" s="527">
        <f>10^3*HW49/$LM49</f>
        <v>298.08128988245716</v>
      </c>
      <c r="HY49" s="528">
        <f>HW49/$LO49</f>
        <v>19.251083304908693</v>
      </c>
      <c r="HZ49" s="97">
        <f>I49*$LI49</f>
        <v>0.58615399999999995</v>
      </c>
      <c r="IA49" s="263">
        <f t="shared" si="418"/>
        <v>2.6040490459156924</v>
      </c>
      <c r="IB49" s="527">
        <f>10^3*I49/$LM49</f>
        <v>42.490322580645156</v>
      </c>
      <c r="IC49" s="528">
        <f>I49/$LO49</f>
        <v>2.7441666666666666</v>
      </c>
      <c r="ID49" s="97">
        <f>IE49*$LI49</f>
        <v>7.7870031945203912</v>
      </c>
      <c r="IE49" s="263">
        <f t="shared" si="419"/>
        <v>8.7494417915959453</v>
      </c>
      <c r="IF49" s="68">
        <f>10^3*IE49/$LM49</f>
        <v>564.48011558683515</v>
      </c>
      <c r="IG49" s="97">
        <f>IH49*$LI49</f>
        <v>8.2432432432432439</v>
      </c>
      <c r="IH49" s="263">
        <f t="shared" si="420"/>
        <v>9.2620710598238691</v>
      </c>
      <c r="II49" s="68">
        <f>10^3*IH49/$LM49</f>
        <v>597.55297160153998</v>
      </c>
      <c r="IJ49" s="97">
        <f>IK49*$LI49</f>
        <v>4.6460176991150455</v>
      </c>
      <c r="IK49" s="263">
        <f t="shared" si="421"/>
        <v>5.2202446057472418</v>
      </c>
      <c r="IL49" s="68">
        <f>10^3*IK49/$LM49</f>
        <v>336.78997456433819</v>
      </c>
      <c r="IM49" s="60"/>
      <c r="IN49" s="60"/>
      <c r="IO49" s="60"/>
      <c r="IP49" s="554">
        <f>IR49*$V49</f>
        <v>0</v>
      </c>
      <c r="IQ49" s="262">
        <f>IR49*$LI49</f>
        <v>0</v>
      </c>
      <c r="IR49" s="166">
        <f>(IW49*Y49+JD49*AA49)/V49</f>
        <v>0</v>
      </c>
      <c r="IS49" s="68">
        <f>10^3*IR49/$LM49</f>
        <v>0</v>
      </c>
      <c r="IT49" s="97">
        <f>IR49/$LO49</f>
        <v>0</v>
      </c>
      <c r="IU49" s="429">
        <f>(IX49*C49+JE49*D49)/B49</f>
        <v>0</v>
      </c>
      <c r="IV49" s="262">
        <f>IW49*$LI49</f>
        <v>0</v>
      </c>
      <c r="IW49" s="436">
        <f>IX49*JB49/I49</f>
        <v>0</v>
      </c>
      <c r="IX49" s="101">
        <v>0</v>
      </c>
      <c r="IY49" s="433">
        <v>1</v>
      </c>
      <c r="IZ49" s="433">
        <v>0</v>
      </c>
      <c r="JA49" s="434">
        <f t="shared" ref="JA49" si="459">1-IY49-IZ49</f>
        <v>0</v>
      </c>
      <c r="JB49" s="430">
        <f>IY49*$JJ49+IZ49*$JK49+JA49*$JL49+'Discounting metrics'!$B$6*(IY49*$JM49+IZ49*$JN49+JA49*$JO49)/10^3+'Discounting metrics'!$B$5*(IY49*$JP49+IZ49*$JQ49+JA49*$JR49)/10^3</f>
        <v>54.558</v>
      </c>
      <c r="JC49" s="262">
        <f>JD49*$LI49</f>
        <v>0</v>
      </c>
      <c r="JD49" s="436">
        <f>JE49*JI49/K49</f>
        <v>0</v>
      </c>
      <c r="JE49" s="101">
        <v>0</v>
      </c>
      <c r="JF49" s="433">
        <v>1</v>
      </c>
      <c r="JG49" s="433">
        <v>0</v>
      </c>
      <c r="JH49" s="434">
        <f t="shared" si="454"/>
        <v>0</v>
      </c>
      <c r="JI49" s="430">
        <f>JF49*$JJ49+JG49*$JK49+JH49*$JL49+'Discounting metrics'!$B$6*(JF49*$JM49+JG49*$JN49+JH49*$JO49)/10^3+'Discounting metrics'!$B$5*(JF49*$JP49+JG49*$JQ49+JH49*$JR49)/10^3</f>
        <v>54.558</v>
      </c>
      <c r="JJ49" s="431">
        <v>51.3</v>
      </c>
      <c r="JK49" s="431">
        <v>29</v>
      </c>
      <c r="JL49" s="431">
        <v>29</v>
      </c>
      <c r="JM49" s="99">
        <v>5</v>
      </c>
      <c r="JN49" s="431">
        <v>13</v>
      </c>
      <c r="JO49" s="431">
        <v>13</v>
      </c>
      <c r="JP49" s="431">
        <v>52</v>
      </c>
      <c r="JQ49" s="431">
        <v>58.3</v>
      </c>
      <c r="JR49" s="431">
        <v>58.3</v>
      </c>
      <c r="JS49" s="554">
        <f>JV49+JW49+JT49+JU49+JX49</f>
        <v>1.6574462285508957</v>
      </c>
      <c r="JT49" s="554">
        <f>KJ49*$V49</f>
        <v>-9.4136489007199994E-2</v>
      </c>
      <c r="JU49" s="554">
        <f>KL49*$V49</f>
        <v>0.30895149877033989</v>
      </c>
      <c r="JV49" s="554">
        <f>KN49*$V49</f>
        <v>1.1047920021084399</v>
      </c>
      <c r="JW49" s="554">
        <f>KP49*$V49</f>
        <v>0.33783921667931593</v>
      </c>
      <c r="JX49" s="554"/>
      <c r="JY49" s="167">
        <f>JZ49*LI49</f>
        <v>0.47700412367999995</v>
      </c>
      <c r="JZ49" s="166">
        <f>KF49+KD49+KH49</f>
        <v>0.53595968952808981</v>
      </c>
      <c r="KA49" s="68">
        <f>10^3*JZ49/$LM49</f>
        <v>34.578044485683215</v>
      </c>
      <c r="KB49" s="97">
        <f>JZ49/$LO49</f>
        <v>2.2331653730337075</v>
      </c>
      <c r="KC49" s="473">
        <f>KD49*LI49</f>
        <v>6.1822606199999984E-2</v>
      </c>
      <c r="KD49" s="269">
        <f>KJ49+KL49</f>
        <v>6.9463602471910094E-2</v>
      </c>
      <c r="KE49" s="473">
        <f>KF49*LI49</f>
        <v>0.41518151747999998</v>
      </c>
      <c r="KF49" s="269">
        <f>KN49+KP49</f>
        <v>0.46649608705617973</v>
      </c>
      <c r="KG49" s="123"/>
      <c r="KH49" s="49"/>
      <c r="KI49" s="522">
        <f>KI$47</f>
        <v>-2.7091976E-2</v>
      </c>
      <c r="KJ49" s="522">
        <f>KI49/$LI49</f>
        <v>-3.0440422471910113E-2</v>
      </c>
      <c r="KK49" s="522">
        <f>KK$47</f>
        <v>8.8914582199999995E-2</v>
      </c>
      <c r="KL49" s="522">
        <f>KK49/$LI49</f>
        <v>9.990402494382021E-2</v>
      </c>
      <c r="KM49" s="522">
        <f>KM$47</f>
        <v>0.31795320519999998</v>
      </c>
      <c r="KN49" s="522">
        <f>KM49/$LI49</f>
        <v>0.35725079235955054</v>
      </c>
      <c r="KO49" s="522">
        <f>KO$47</f>
        <v>9.7228312279999993E-2</v>
      </c>
      <c r="KP49" s="522">
        <f>KO49/$LI49</f>
        <v>0.10924529469662921</v>
      </c>
      <c r="KQ49" s="599">
        <f>44/12*HG49+$JZ49+$IR49</f>
        <v>8.9405461239979669</v>
      </c>
      <c r="KR49" s="527">
        <f>10^3*KQ49/$LM49</f>
        <v>576.80942735470751</v>
      </c>
      <c r="KS49" s="528">
        <f>KQ49/$LO49</f>
        <v>37.252275516658194</v>
      </c>
      <c r="KT49" s="599">
        <f>44/12*HK49+$JZ49+$IW49</f>
        <v>9.5663657561675759</v>
      </c>
      <c r="KU49" s="527">
        <f>10^3*KT49/$LM49</f>
        <v>617.18488749468224</v>
      </c>
      <c r="KV49" s="528">
        <f>KT49/$LO49</f>
        <v>39.859857317364899</v>
      </c>
      <c r="KW49" s="599">
        <f>44/12*HO49+$JZ49+$JD49</f>
        <v>4.6320896592768479</v>
      </c>
      <c r="KX49" s="527">
        <f>10^3*KW49/$LM49</f>
        <v>298.8444941468934</v>
      </c>
      <c r="KY49" s="528">
        <f>KW49/$LO49</f>
        <v>19.300373580320201</v>
      </c>
      <c r="KZ49" s="599">
        <f>44/12*HS49+$JZ49+$IR49</f>
        <v>16.539279455475359</v>
      </c>
      <c r="LA49" s="527">
        <f>10^3*KZ49/$LM49</f>
        <v>1067.0502874500232</v>
      </c>
      <c r="LB49" s="528">
        <f>KZ49/$LO49</f>
        <v>68.913664397814003</v>
      </c>
      <c r="LC49" s="599">
        <f>44/12*HW49+$JZ49+$IW49</f>
        <v>17.476912997847741</v>
      </c>
      <c r="LD49" s="527">
        <f>10^3*LC49/$LM49</f>
        <v>1127.5427740546929</v>
      </c>
      <c r="LE49" s="528">
        <f>LC49/$LO49</f>
        <v>72.820470824365586</v>
      </c>
      <c r="LF49" s="599">
        <f>44/12*I49+$JZ49+$JD49</f>
        <v>2.9508263561947561</v>
      </c>
      <c r="LG49" s="527">
        <f>10^3*LF49/$LM49</f>
        <v>190.37589394804877</v>
      </c>
      <c r="LH49" s="528">
        <f>LF49/$LO49</f>
        <v>12.295109817478151</v>
      </c>
      <c r="LI49" s="31">
        <v>0.89</v>
      </c>
      <c r="LJ49" s="32">
        <f>$LI49*LK49</f>
        <v>16.91</v>
      </c>
      <c r="LK49" s="33">
        <v>19</v>
      </c>
      <c r="LL49" s="32">
        <f>$LI49*LM49</f>
        <v>13.795</v>
      </c>
      <c r="LM49" s="33">
        <v>15.5</v>
      </c>
      <c r="LN49" s="34">
        <f>$LI49*LO49</f>
        <v>0.21359999999999998</v>
      </c>
      <c r="LO49" s="31">
        <v>0.24</v>
      </c>
      <c r="LP49" s="36">
        <f>$LI49*LQ49</f>
        <v>1.5130000000000001E-2</v>
      </c>
      <c r="LQ49" s="35">
        <v>1.7000000000000001E-2</v>
      </c>
    </row>
    <row r="50" spans="1:329" s="4" customFormat="1" x14ac:dyDescent="0.25">
      <c r="A50" s="14" t="s">
        <v>314</v>
      </c>
      <c r="B50" s="67">
        <f t="shared" si="424"/>
        <v>3.75</v>
      </c>
      <c r="C50" s="33">
        <v>3.2</v>
      </c>
      <c r="D50" s="33">
        <v>0.55000000000000004</v>
      </c>
      <c r="E50" s="38">
        <f t="shared" si="425"/>
        <v>0.14666666666666667</v>
      </c>
      <c r="F50" s="436">
        <f t="shared" si="400"/>
        <v>0.95986666666666676</v>
      </c>
      <c r="G50" s="32">
        <f t="shared" si="401"/>
        <v>0.86388000000000009</v>
      </c>
      <c r="H50" s="33">
        <v>0.91</v>
      </c>
      <c r="I50" s="32">
        <f>$LI50*H50</f>
        <v>0.81900000000000006</v>
      </c>
      <c r="J50" s="33">
        <v>1.25</v>
      </c>
      <c r="K50" s="32">
        <f>$LI50*J50</f>
        <v>1.125</v>
      </c>
      <c r="L50" s="32">
        <f>(F50/'Discounting metrics'!$D$4*(1-EXP(-'Discounting metrics'!$D$4*'Discounting metrics'!$E$4)))/'Discounting metrics'!$E$4</f>
        <v>0.23557152385466676</v>
      </c>
      <c r="M50" s="32">
        <f>(G50/'Discounting metrics'!$D$4*(1-EXP(-'Discounting metrics'!$D$4*'Discounting metrics'!$E$4)))/'Discounting metrics'!$E$4</f>
        <v>0.21201437146920007</v>
      </c>
      <c r="N50" s="32">
        <f>(H50/'Discounting metrics'!$D$4*(1-EXP(-'Discounting metrics'!$D$4*'Discounting metrics'!$E$4)))/'Discounting metrics'!$E$4</f>
        <v>0.22333319215281297</v>
      </c>
      <c r="O50" s="32">
        <f>(I50/'Discounting metrics'!$D$4*(1-EXP(-'Discounting metrics'!$D$4*'Discounting metrics'!$E$4)))/'Discounting metrics'!$E$4</f>
        <v>0.20099987293753169</v>
      </c>
      <c r="P50" s="32">
        <f>(J50/'Discounting metrics'!$D$4*(1-EXP(-'Discounting metrics'!$D$4*'Discounting metrics'!$E$4)))/'Discounting metrics'!$E$4</f>
        <v>0.30677636284727056</v>
      </c>
      <c r="Q50" s="32">
        <f>(K50/'Discounting metrics'!$D$4*(1-EXP(-'Discounting metrics'!$D$4*'Discounting metrics'!$E$4)))/'Discounting metrics'!$E$4</f>
        <v>0.27609872656254347</v>
      </c>
      <c r="R50" s="32">
        <f>10/G50</f>
        <v>11.575681807658469</v>
      </c>
      <c r="S50" s="32">
        <f>10/I50</f>
        <v>12.210012210012209</v>
      </c>
      <c r="T50" s="32">
        <f>10/K50</f>
        <v>8.8888888888888893</v>
      </c>
      <c r="U50" s="108">
        <f t="shared" si="426"/>
        <v>3.5995000000000004</v>
      </c>
      <c r="V50" s="68">
        <f t="shared" si="426"/>
        <v>3.2395500000000004</v>
      </c>
      <c r="W50" s="68"/>
      <c r="X50" s="67">
        <f>C50*H50</f>
        <v>2.9120000000000004</v>
      </c>
      <c r="Y50" s="67">
        <f t="shared" si="427"/>
        <v>2.6208000000000005</v>
      </c>
      <c r="Z50" s="67">
        <f t="shared" si="427"/>
        <v>0.6875</v>
      </c>
      <c r="AA50" s="67">
        <f>D50*K50</f>
        <v>0.61875000000000002</v>
      </c>
      <c r="AB50" s="38">
        <f t="shared" si="428"/>
        <v>0.19099874982636475</v>
      </c>
      <c r="AC50" s="294">
        <f t="shared" si="429"/>
        <v>5.4364821113586863E-2</v>
      </c>
      <c r="AD50" s="294">
        <f t="shared" si="429"/>
        <v>8.8391470246787812E-2</v>
      </c>
      <c r="AE50" s="294">
        <f t="shared" si="429"/>
        <v>0.13040481161546932</v>
      </c>
      <c r="AF50" s="294">
        <f t="shared" si="429"/>
        <v>0.20848992098168587</v>
      </c>
      <c r="AG50" s="294">
        <f t="shared" si="429"/>
        <v>0.24740399054605891</v>
      </c>
      <c r="AH50" s="294">
        <f t="shared" si="429"/>
        <v>0.24248167119207986</v>
      </c>
      <c r="AI50" s="294">
        <f t="shared" si="429"/>
        <v>6.0545262015274182E-3</v>
      </c>
      <c r="AJ50" s="294">
        <f t="shared" si="429"/>
        <v>2.2117219408728853E-4</v>
      </c>
      <c r="AK50" s="294">
        <f t="shared" si="429"/>
        <v>2.2152398924630286E-2</v>
      </c>
      <c r="AL50" s="433">
        <v>6.3520587195523018E-2</v>
      </c>
      <c r="AM50" s="433">
        <v>9.3699448463792953E-2</v>
      </c>
      <c r="AN50" s="433">
        <v>0.14562064093060639</v>
      </c>
      <c r="AO50" s="433">
        <v>0.21509879785958</v>
      </c>
      <c r="AP50" s="433">
        <v>0.23254149723923359</v>
      </c>
      <c r="AQ50" s="433">
        <v>0.22225520024516229</v>
      </c>
      <c r="AR50" s="433">
        <v>1.2099183383151952E-3</v>
      </c>
      <c r="AS50" s="433">
        <v>7.0998617984455791E-5</v>
      </c>
      <c r="AT50" s="433">
        <v>2.5954999576304354E-2</v>
      </c>
      <c r="AU50" s="433">
        <v>1.0949093641401334E-3</v>
      </c>
      <c r="AV50" s="433">
        <v>5.7508687893303274E-2</v>
      </c>
      <c r="AW50" s="433">
        <v>4.1876350145580915E-2</v>
      </c>
      <c r="AX50" s="433">
        <v>0.17003827369211982</v>
      </c>
      <c r="AY50" s="433">
        <v>0.33387667887667888</v>
      </c>
      <c r="AZ50" s="433">
        <v>0.36016295670141829</v>
      </c>
      <c r="BA50" s="433">
        <v>3.4241335587489437E-2</v>
      </c>
      <c r="BB50" s="433">
        <v>1.0949093641401334E-3</v>
      </c>
      <c r="BC50" s="433">
        <v>2.8176951253874332E-5</v>
      </c>
      <c r="BD50" s="554">
        <f>BG50*$B50/10^3</f>
        <v>0.42339921239803097</v>
      </c>
      <c r="BE50" s="554">
        <f t="shared" si="430"/>
        <v>7.8537107996168795E-2</v>
      </c>
      <c r="BF50" s="554">
        <f t="shared" si="430"/>
        <v>0.34486210440186216</v>
      </c>
      <c r="BG50" s="67">
        <f t="shared" si="431"/>
        <v>112.90645663947492</v>
      </c>
      <c r="BH50" s="67">
        <f>(BK50*$C50+CF50*$D50)/$B50</f>
        <v>20.943228798978346</v>
      </c>
      <c r="BI50" s="67">
        <f>(BU50*$C50+CP50*$D50)/$B50</f>
        <v>91.963227840496572</v>
      </c>
      <c r="BJ50" s="67">
        <f>BK50+BU50</f>
        <v>119.5014930154321</v>
      </c>
      <c r="BK50" s="68">
        <f t="shared" si="432"/>
        <v>23.157151472222221</v>
      </c>
      <c r="BL50" s="145">
        <v>96.595493524786846</v>
      </c>
      <c r="BM50" s="145">
        <v>73.554064849219998</v>
      </c>
      <c r="BN50" s="145">
        <v>21.285202393058217</v>
      </c>
      <c r="BO50" s="145">
        <v>20.989063012660377</v>
      </c>
      <c r="BP50" s="145">
        <v>5.7261384768884067</v>
      </c>
      <c r="BQ50" s="145">
        <v>1.363061609042336</v>
      </c>
      <c r="BR50" s="145">
        <v>7.1622525804574039E-2</v>
      </c>
      <c r="BS50" s="145">
        <v>3.2168944722050665</v>
      </c>
      <c r="BT50" s="145">
        <v>33.914824643761236</v>
      </c>
      <c r="BU50" s="68">
        <f t="shared" si="433"/>
        <v>96.344341543209879</v>
      </c>
      <c r="BV50" s="145">
        <v>92.805529493130223</v>
      </c>
      <c r="BW50" s="145">
        <v>70.918899068683686</v>
      </c>
      <c r="BX50" s="145">
        <v>134.03889807225215</v>
      </c>
      <c r="BY50" s="145">
        <v>168.07364165375688</v>
      </c>
      <c r="BZ50" s="145">
        <v>73.570700042152723</v>
      </c>
      <c r="CA50" s="145">
        <v>24.917829944323934</v>
      </c>
      <c r="CB50" s="145">
        <v>0.34095760939699271</v>
      </c>
      <c r="CC50" s="145">
        <v>2.4778781745363352</v>
      </c>
      <c r="CD50" s="145">
        <v>211.36594783180831</v>
      </c>
      <c r="CE50" s="68">
        <f t="shared" si="434"/>
        <v>74.535335906633037</v>
      </c>
      <c r="CF50" s="68">
        <f t="shared" si="435"/>
        <v>8.0622241546503268</v>
      </c>
      <c r="CG50" s="145">
        <v>106.83906394059851</v>
      </c>
      <c r="CH50" s="145">
        <v>50.741212663010813</v>
      </c>
      <c r="CI50" s="145">
        <v>20.849654352974497</v>
      </c>
      <c r="CJ50" s="145">
        <v>14.67722423802527</v>
      </c>
      <c r="CK50" s="145">
        <v>3.80867996017014</v>
      </c>
      <c r="CL50" s="145">
        <v>1.0685157675571004</v>
      </c>
      <c r="CM50" s="145">
        <v>4.9697077379058888E-2</v>
      </c>
      <c r="CN50" s="145">
        <v>1.6462105383759404E-2</v>
      </c>
      <c r="CO50" s="145">
        <v>7.0365897620764244</v>
      </c>
      <c r="CP50" s="68">
        <f t="shared" si="436"/>
        <v>66.473111751982714</v>
      </c>
      <c r="CQ50" s="145">
        <v>92.023169095215039</v>
      </c>
      <c r="CR50" s="145">
        <v>60.83968371198241</v>
      </c>
      <c r="CS50" s="145">
        <v>80.578921176011619</v>
      </c>
      <c r="CT50" s="145">
        <v>215.63310354532803</v>
      </c>
      <c r="CU50" s="145">
        <v>45.747347955324969</v>
      </c>
      <c r="CV50" s="145">
        <v>20.95729334446132</v>
      </c>
      <c r="CW50" s="145">
        <v>0.30974739161274889</v>
      </c>
      <c r="CX50" s="145">
        <v>1.5639000114571429E-2</v>
      </c>
      <c r="CY50" s="145">
        <v>23.988374188896902</v>
      </c>
      <c r="CZ50" s="554">
        <f>DC50*$B50/10^3</f>
        <v>0.25965893767639658</v>
      </c>
      <c r="DA50" s="554">
        <f t="shared" si="437"/>
        <v>1.0123593750000002E-3</v>
      </c>
      <c r="DB50" s="554">
        <f t="shared" si="437"/>
        <v>0.25864657830139659</v>
      </c>
      <c r="DC50" s="32">
        <f t="shared" si="438"/>
        <v>69.242383380372431</v>
      </c>
      <c r="DD50" s="32">
        <f t="shared" si="439"/>
        <v>0.26996250000000005</v>
      </c>
      <c r="DE50" s="67">
        <f t="shared" si="439"/>
        <v>68.972420880372425</v>
      </c>
      <c r="DF50" s="270"/>
      <c r="DG50" s="67">
        <f t="shared" si="440"/>
        <v>72.514193657407404</v>
      </c>
      <c r="DH50" s="32">
        <f>I50*0.5*2.5*0.25</f>
        <v>0.25593750000000004</v>
      </c>
      <c r="DI50" s="67">
        <f>(1-DK50)*BU50</f>
        <v>72.258256157407402</v>
      </c>
      <c r="DJ50" s="67"/>
      <c r="DK50" s="34">
        <f t="shared" si="441"/>
        <v>0.25</v>
      </c>
      <c r="DL50" s="159"/>
      <c r="DM50" s="159"/>
      <c r="DN50" s="68">
        <f t="shared" si="442"/>
        <v>50.206396313987035</v>
      </c>
      <c r="DO50" s="32">
        <f>K50*0.5*2.5*0.25</f>
        <v>0.3515625</v>
      </c>
      <c r="DP50" s="67">
        <f>(1-DR50)*CP50</f>
        <v>49.854833813987035</v>
      </c>
      <c r="DQ50" s="67"/>
      <c r="DR50" s="34">
        <f t="shared" si="443"/>
        <v>0.25</v>
      </c>
      <c r="DS50" s="294"/>
      <c r="DT50" s="294"/>
      <c r="DU50" s="294"/>
      <c r="DV50" s="67">
        <f t="shared" si="410"/>
        <v>43.664073259102494</v>
      </c>
      <c r="DW50" s="67">
        <f t="shared" si="410"/>
        <v>20.673266298978348</v>
      </c>
      <c r="DX50" s="67">
        <f t="shared" si="410"/>
        <v>22.990806960124146</v>
      </c>
      <c r="DY50" s="67">
        <f t="shared" si="411"/>
        <v>46.9872993580247</v>
      </c>
      <c r="DZ50" s="67">
        <f t="shared" si="411"/>
        <v>22.901213972222219</v>
      </c>
      <c r="EA50" s="67">
        <f t="shared" si="412"/>
        <v>24.086085385802477</v>
      </c>
      <c r="EB50" s="67">
        <f t="shared" si="413"/>
        <v>24.328939592646002</v>
      </c>
      <c r="EC50" s="67">
        <f t="shared" si="413"/>
        <v>7.7106616546503268</v>
      </c>
      <c r="ED50" s="67">
        <f t="shared" si="414"/>
        <v>16.618277937995678</v>
      </c>
      <c r="EE50" s="68">
        <f>EF50+EG50</f>
        <v>33.364223929238889</v>
      </c>
      <c r="EF50" s="67">
        <f>(EJ50*$C50+FF50*$D50)/$B50</f>
        <v>16.31065339210523</v>
      </c>
      <c r="EG50" s="67">
        <f t="shared" si="444"/>
        <v>17.053570537133655</v>
      </c>
      <c r="EH50" s="261">
        <f t="shared" si="445"/>
        <v>35.822396837940737</v>
      </c>
      <c r="EI50" s="154">
        <f>EH50/($BJ50-$DG50)</f>
        <v>0.76238467261095799</v>
      </c>
      <c r="EJ50" s="108">
        <f>EK50+EL50-DH50</f>
        <v>18.070014681202657</v>
      </c>
      <c r="EK50" s="126">
        <f>'Allometrics &amp; Decay rates'!$H$5*$AL50*BL50+'Allometrics &amp; Decay rates'!$H$6*$AM50*BM50+'Allometrics &amp; Decay rates'!$H$7*$AN50*BN50+'Allometrics &amp; Decay rates'!$H$8*$AO50*BO50+'Allometrics &amp; Decay rates'!$H$9*$AP50*BP50+'Allometrics &amp; Decay rates'!$H$10*$AQ50*BQ50+'Allometrics &amp; Decay rates'!$H$11*$AR50*BR50+'Allometrics &amp; Decay rates'!$H$12*$AS50*BS50+'Allometrics &amp; Decay rates'!$H$13*$AT50*BT50</f>
        <v>9.8345572815413007</v>
      </c>
      <c r="EL50" s="97">
        <f t="shared" si="446"/>
        <v>8.4913948996613584</v>
      </c>
      <c r="EM50" s="550">
        <f>AL50*BL50*('Allometrics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2.4054037478436916</v>
      </c>
      <c r="EN50" s="550">
        <f>AM50*BM50*('Allometrics &amp; Decay rates'!$I$6*((EXP('Allometrics &amp; Decay rates'!$K$6)-1)/('Discounting metrics'!$D$4+'Allometrics &amp; Decay rates'!$K$6)*(1-EXP(-('Discounting metrics'!$D$4+'Allometrics &amp; Decay rates'!$K$6)*'Discounting metrics'!$E$4))-(1-EXP(-'Allometrics &amp; Decay rates'!$K$6))/1.55)+'Allometrics &amp; Decay rates'!$E$6*((EXP('Allometrics &amp; Decay rates'!$L$6)-1)/('Discounting metrics'!$D$4+'Allometrics &amp; Decay rates'!$L$6)*(1-EXP(-('Discounting metrics'!$D$4+'Allometrics &amp; Decay rates'!$L$6)*'Discounting metrics'!$E$4))-(1-EXP(-'Allometrics &amp; Decay rates'!$L$6))/1.55))</f>
        <v>1.6808687313208168</v>
      </c>
      <c r="EO50" s="550">
        <f>AN50*BN50*('Allometrics &amp; Decay rates'!$I$7*((EXP('Allometrics &amp; Decay rates'!$K$7)-1)/('Discounting metrics'!$D$4+'Allometrics &amp; Decay rates'!$K$7)*(1-EXP(-('Discounting metrics'!$D$4+'Allometrics &amp; Decay rates'!$K$7)*'Discounting metrics'!$E$4))-(1-EXP(-'Allometrics &amp; Decay rates'!$K$7))/1.55)+'Allometrics &amp; Decay rates'!$E$7*((EXP('Allometrics &amp; Decay rates'!$L$7)-1)/('Discounting metrics'!$D$4+'Allometrics &amp; Decay rates'!$L$7)*(1-EXP(-('Discounting metrics'!$D$4+'Allometrics &amp; Decay rates'!$L$7)*'Discounting metrics'!$E$4))-(1-EXP(-'Allometrics &amp; Decay rates'!$L$7))/1.55))</f>
        <v>0.65993289108182862</v>
      </c>
      <c r="EP50" s="550">
        <f>AO50*BO50*('Allometrics &amp; Decay rates'!$I$8*((EXP('Allometrics &amp; Decay rates'!$K$8)-1)/('Discounting metrics'!$D$4+'Allometrics &amp; Decay rates'!$K$8)*(1-EXP(-('Discounting metrics'!$D$4+'Allometrics &amp; Decay rates'!$K$8)*'Discounting metrics'!$E$4))-(1-EXP(-'Allometrics &amp; Decay rates'!$K$8))/1.55)+'Allometrics &amp; Decay rates'!$E$8*((EXP('Allometrics &amp; Decay rates'!$L$8)-1)/('Discounting metrics'!$D$4+'Allometrics &amp; Decay rates'!$L$8)*(1-EXP(-('Discounting metrics'!$D$4+'Allometrics &amp; Decay rates'!$L$8)*'Discounting metrics'!$E$4))-(1-EXP(-'Allometrics &amp; Decay rates'!$L$8))/1.55))</f>
        <v>2.5560840671580123</v>
      </c>
      <c r="EQ50" s="550">
        <f>AP50*BP50*('Allometrics &amp; Decay rates'!$I$9*((EXP('Allometrics &amp; Decay rates'!$K$9)-1)/('Discounting metrics'!$D$4+'Allometrics &amp; Decay rates'!$K$9)*(1-EXP(-('Discounting metrics'!$D$4+'Allometrics &amp; Decay rates'!$K$9)*'Discounting metrics'!$E$4))-(1-EXP(-'Allometrics &amp; Decay rates'!$K$9))/1.55)+'Allometrics &amp; Decay rates'!$E$9*((EXP('Allometrics &amp; Decay rates'!$L$9)-1)/('Discounting metrics'!$D$4+'Allometrics &amp; Decay rates'!$L$9)*(1-EXP(-('Discounting metrics'!$D$4+'Allometrics &amp; Decay rates'!$L$9)*'Discounting metrics'!$E$4))-(1-EXP(-'Allometrics &amp; Decay rates'!$L$9))/1.55))</f>
        <v>0.69790724755689437</v>
      </c>
      <c r="ER50" s="550">
        <f>AQ50*BQ50*('Allometrics &amp; Decay rates'!$I$10*((EXP('Allometrics &amp; Decay rates'!$K$10)-1)/('Discounting metrics'!$D$4+'Allometrics &amp; Decay rates'!$K$10)*(1-EXP(-('Discounting metrics'!$D$4+'Allometrics &amp; Decay rates'!$K$10)*'Discounting metrics'!$E$4))-(1-EXP(-'Allometrics &amp; Decay rates'!$K$10))/1.55)+'Allometrics &amp; Decay rates'!$E$10*((EXP('Allometrics &amp; Decay rates'!$L$10)-1)/('Discounting metrics'!$D$4+'Allometrics &amp; Decay rates'!$L$10)*(1-EXP(-('Discounting metrics'!$D$4+'Allometrics &amp; Decay rates'!$L$10)*'Discounting metrics'!$E$4))-(1-EXP(-'Allometrics &amp; Decay rates'!$L$10))/1.55))</f>
        <v>0.19272953571796789</v>
      </c>
      <c r="ES50" s="550">
        <f>AR50*BR50*('Allometrics &amp; Decay rates'!$I$11*((EXP('Allometrics &amp; Decay rates'!$K$11)-1)/('Discounting metrics'!$D$4+'Allometrics &amp; Decay rates'!$K$11)*(1-EXP(-('Discounting metrics'!$D$4+'Allometrics &amp; Decay rates'!$K$11)*'Discounting metrics'!$E$4))-(1-EXP(-'Allometrics &amp; Decay rates'!$K$11))/1.55)+'Allometrics &amp; Decay rates'!$E$11*((EXP('Allometrics &amp; Decay rates'!$L$11)-1)/('Discounting metrics'!$D$4+'Allometrics &amp; Decay rates'!$L$11)*(1-EXP(-('Discounting metrics'!$D$4+'Allometrics &amp; Decay rates'!$L$11)*'Discounting metrics'!$E$4))-(1-EXP(-'Allometrics &amp; Decay rates'!$L$11))/1.55))</f>
        <v>6.1508667128301069E-5</v>
      </c>
      <c r="ET50" s="550">
        <f>AS50*BS50*('Allometrics &amp; Decay rates'!$I$12*((EXP('Allometrics &amp; Decay rates'!$K$12)-1)/('Discounting metrics'!$D$4+'Allometrics &amp; Decay rates'!$K$12)*(1-EXP(-('Discounting metrics'!$D$4+'Allometrics &amp; Decay rates'!$K$12)*'Discounting metrics'!$E$4))-(1-EXP(-'Allometrics &amp; Decay rates'!$K$12))/1.55)+'Allometrics &amp; Decay rates'!$E$12*((EXP('Allometrics &amp; Decay rates'!$L$12)-1)/('Discounting metrics'!$D$4+'Allometrics &amp; Decay rates'!$L$12)*(1-EXP(-('Discounting metrics'!$D$4+'Allometrics &amp; Decay rates'!$L$12)*'Discounting metrics'!$E$4))-(1-EXP(-'Allometrics &amp; Decay rates'!$L$12))/1.55))</f>
        <v>9.3195385032637234E-5</v>
      </c>
      <c r="EU50" s="550">
        <f>AT50*BT50*('Allometrics &amp; Decay rates'!$I$13*((EXP('Allometrics &amp; Decay rates'!$K$13)-1)/('Discounting metrics'!$D$4+'Allometrics &amp; Decay rates'!$K$13)*(1-EXP(-('Discounting metrics'!$D$4+'Allometrics &amp; Decay rates'!$K$13)*'Discounting metrics'!$E$4))-(1-EXP(-'Allometrics &amp; Decay rates'!$K$13))/1.55)+'Allometrics &amp; Decay rates'!$E$13*((EXP('Allometrics &amp; Decay rates'!$L$13)-1)/('Discounting metrics'!$D$4+'Allometrics &amp; Decay rates'!$L$13)*(1-EXP(-('Discounting metrics'!$D$4+'Allometrics &amp; Decay rates'!$L$13)*'Discounting metrics'!$E$4))-(1-EXP(-'Allometrics &amp; Decay rates'!$L$13))/1.55))</f>
        <v>0.29831397492998551</v>
      </c>
      <c r="EV50" s="108">
        <f t="shared" si="447"/>
        <v>17.752382156738079</v>
      </c>
      <c r="EW50" s="550">
        <f>AL50*BV50*$DK50*((EXP('Allometrics &amp; Decay rates'!$M$5)-1)/('Discounting metrics'!$D$4+'Allometrics &amp; Decay rates'!$M$5)*(1-EXP(-('Discounting metrics'!$D$4+'Allometrics &amp; Decay rates'!$M$5)*'Discounting metrics'!$E$4))-(1-EXP(-'Allometrics &amp; Decay rates'!$M$5))/1.55)</f>
        <v>1.1518105333076745</v>
      </c>
      <c r="EX50" s="550">
        <f>AM50*BW50*$DK50*((EXP('Allometrics &amp; Decay rates'!$M$5)-1)/('Discounting metrics'!$D$4+'Allometrics &amp; Decay rates'!$M$5)*(1-EXP(-('Discounting metrics'!$D$4+'Allometrics &amp; Decay rates'!$M$5)*'Discounting metrics'!$E$4))-(1-EXP(-'Allometrics &amp; Decay rates'!$M$5))/1.55)</f>
        <v>1.2983497791682841</v>
      </c>
      <c r="EY50" s="550">
        <f>AN50*BX50*$DK50*((EXP('Allometrics &amp; Decay rates'!$M$5)-1)/('Discounting metrics'!$D$4+'Allometrics &amp; Decay rates'!$M$5)*(1-EXP(-('Discounting metrics'!$D$4+'Allometrics &amp; Decay rates'!$M$5)*'Discounting metrics'!$E$4))-(1-EXP(-'Allometrics &amp; Decay rates'!$M$5))/1.55)</f>
        <v>3.8136995526186372</v>
      </c>
      <c r="EZ50" s="550">
        <f>AO50*BY50*$DK50*((EXP('Allometrics &amp; Decay rates'!$M$5)-1)/('Discounting metrics'!$D$4+'Allometrics &amp; Decay rates'!$M$5)*(1-EXP(-('Discounting metrics'!$D$4+'Allometrics &amp; Decay rates'!$M$5)*'Discounting metrics'!$E$4))-(1-EXP(-'Allometrics &amp; Decay rates'!$M$5))/1.55)</f>
        <v>7.0636680537909839</v>
      </c>
      <c r="FA50" s="550">
        <f>AP50*BZ50*$DK50*((EXP('Allometrics &amp; Decay rates'!$M$5)-1)/('Discounting metrics'!$D$4+'Allometrics &amp; Decay rates'!$M$5)*(1-EXP(-('Discounting metrics'!$D$4+'Allometrics &amp; Decay rates'!$M$5)*'Discounting metrics'!$E$4))-(1-EXP(-'Allometrics &amp; Decay rates'!$M$5))/1.55)</f>
        <v>3.34270492819988</v>
      </c>
      <c r="FB50" s="550">
        <f>AQ50*CA50*$DK50*((EXP('Allometrics &amp; Decay rates'!$M$5)-1)/('Discounting metrics'!$D$4+'Allometrics &amp; Decay rates'!$M$5)*(1-EXP(-('Discounting metrics'!$D$4+'Allometrics &amp; Decay rates'!$M$5)*'Discounting metrics'!$E$4))-(1-EXP(-'Allometrics &amp; Decay rates'!$M$5))/1.55)</f>
        <v>1.0820687070369768</v>
      </c>
      <c r="FC50" s="550">
        <f>AR50*CB50*$DK50*((EXP('Allometrics &amp; Decay rates'!$M$5)-1)/('Discounting metrics'!$D$4+'Allometrics &amp; Decay rates'!$M$5)*(1-EXP(-('Discounting metrics'!$D$4+'Allometrics &amp; Decay rates'!$M$5)*'Discounting metrics'!$E$4))-(1-EXP(-'Allometrics &amp; Decay rates'!$M$5))/1.55)</f>
        <v>8.060261564497578E-5</v>
      </c>
      <c r="FD50" s="261">
        <f t="shared" si="448"/>
        <v>19.062127005882644</v>
      </c>
      <c r="FE50" s="154">
        <f>FD50/($CE50-$DN50)</f>
        <v>0.78351655785460639</v>
      </c>
      <c r="FF50" s="108">
        <f t="shared" si="449"/>
        <v>6.0743695282656507</v>
      </c>
      <c r="FG50" s="126">
        <f>'Allometrics &amp; Decay rates'!$H$5*$AU50*CG50+'Allometrics &amp; Decay rates'!$H$6*$AV50*CH50+'Allometrics &amp; Decay rates'!$H$7*$AW50*CI50+'Allometrics &amp; Decay rates'!$H$8*$AX50*CJ50+'Allometrics &amp; Decay rates'!$H$9*$AY50*CK50+'Allometrics &amp; Decay rates'!$H$10*$AZ50*CL50+'Allometrics &amp; Decay rates'!$H$11*$BA50*CM50+'Allometrics &amp; Decay rates'!$H$12*$BB50*CN50+'Allometrics &amp; Decay rates'!$H$13*$BC50*CO50</f>
        <v>3.2653178632722941</v>
      </c>
      <c r="FH50" s="97">
        <f t="shared" si="450"/>
        <v>3.1606141649933566</v>
      </c>
      <c r="FI50" s="550">
        <f>AU50*CG50*('Allometrics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4.5859029309380087E-2</v>
      </c>
      <c r="FJ50" s="550">
        <f>AV50*CH50*('Allometrics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1.143960198923387</v>
      </c>
      <c r="FK50" s="550">
        <f>AW50*CI50*('Allometrics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0.342282184860766</v>
      </c>
      <c r="FL50" s="550">
        <f>AX50*CJ50*('Allometrics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0.97837924245828756</v>
      </c>
      <c r="FM50" s="550">
        <f>AY50*CK50*('Allometrics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0.4985137931859423</v>
      </c>
      <c r="FN50" s="550">
        <f>AZ50*CL50*('Allometrics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0.15086781189368187</v>
      </c>
      <c r="FO50" s="550">
        <f>BA50*CM50*('Allometrics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6.6711108738036582E-4</v>
      </c>
      <c r="FP50" s="550">
        <f>BB50*CN50*('Allometrics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7.0661062109984743E-6</v>
      </c>
      <c r="FQ50" s="550">
        <f>BC50*CO50*('Allometrics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7.7727168320983206E-5</v>
      </c>
      <c r="FR50" s="108">
        <f t="shared" si="451"/>
        <v>12.987757477616992</v>
      </c>
      <c r="FS50" s="550">
        <f>AU50*CQ50*$DK50*((EXP('Allometrics &amp; Decay rates'!$M$5)-1)/('Discounting metrics'!$D$4+'Allometrics &amp; Decay rates'!$M$5)*(1-EXP(-('Discounting metrics'!$D$4+'Allometrics &amp; Decay rates'!$M$5)*'Discounting metrics'!$E$4))-(1-EXP(-'Allometrics &amp; Decay rates'!$M$5))/1.55)</f>
        <v>1.9686478835876216E-2</v>
      </c>
      <c r="FT50" s="550">
        <f>AV50*CR50*$DK50*((EXP('Allometrics &amp; Decay rates'!$M$5)-1)/('Discounting metrics'!$D$4+'Allometrics &amp; Decay rates'!$M$5)*(1-EXP(-('Discounting metrics'!$D$4+'Allometrics &amp; Decay rates'!$M$5)*'Discounting metrics'!$E$4))-(1-EXP(-'Allometrics &amp; Decay rates'!$M$5))/1.55)</f>
        <v>0.68361737974012093</v>
      </c>
      <c r="FU50" s="550">
        <f>AW50*CS50*$DK50*((EXP('Allometrics &amp; Decay rates'!$M$5)-1)/('Discounting metrics'!$D$4+'Allometrics &amp; Decay rates'!$M$5)*(1-EXP(-('Discounting metrics'!$D$4+'Allometrics &amp; Decay rates'!$M$5)*'Discounting metrics'!$E$4))-(1-EXP(-'Allometrics &amp; Decay rates'!$M$5))/1.55)</f>
        <v>0.65929982404034893</v>
      </c>
      <c r="FV50" s="550">
        <f>AX50*CT50*$DK50*((EXP('Allometrics &amp; Decay rates'!$M$5)-1)/('Discounting metrics'!$D$4+'Allometrics &amp; Decay rates'!$M$5)*(1-EXP(-('Discounting metrics'!$D$4+'Allometrics &amp; Decay rates'!$M$5)*'Discounting metrics'!$E$4))-(1-EXP(-'Allometrics &amp; Decay rates'!$M$5))/1.55)</f>
        <v>7.1639873377712613</v>
      </c>
      <c r="FW50" s="550">
        <f>AY50*CU50*$DK50*((EXP('Allometrics &amp; Decay rates'!$M$5)-1)/('Discounting metrics'!$D$4+'Allometrics &amp; Decay rates'!$M$5)*(1-EXP(-('Discounting metrics'!$D$4+'Allometrics &amp; Decay rates'!$M$5)*'Discounting metrics'!$E$4))-(1-EXP(-'Allometrics &amp; Decay rates'!$M$5))/1.55)</f>
        <v>2.9843152353347953</v>
      </c>
      <c r="FX50" s="550">
        <f>AZ50*CV50*$DK50*((EXP('Allometrics &amp; Decay rates'!$M$5)-1)/('Discounting metrics'!$D$4+'Allometrics &amp; Decay rates'!$M$5)*(1-EXP(-('Discounting metrics'!$D$4+'Allometrics &amp; Decay rates'!$M$5)*'Discounting metrics'!$E$4))-(1-EXP(-'Allometrics &amp; Decay rates'!$M$5))/1.55)</f>
        <v>1.474778929454267</v>
      </c>
      <c r="FY50" s="550">
        <f>BA50*CW50*$DK50*((EXP('Allometrics &amp; Decay rates'!$M$5)-1)/('Discounting metrics'!$D$4+'Allometrics &amp; Decay rates'!$M$5)*(1-EXP(-('Discounting metrics'!$D$4+'Allometrics &amp; Decay rates'!$M$5)*'Discounting metrics'!$E$4))-(1-EXP(-'Allometrics &amp; Decay rates'!$M$5))/1.55)</f>
        <v>2.0722924403210451E-3</v>
      </c>
      <c r="FZ50" s="68"/>
      <c r="GA50" s="293"/>
      <c r="GB50" s="293"/>
      <c r="GP50" s="32">
        <f t="shared" si="452"/>
        <v>4.9021333333333335</v>
      </c>
      <c r="GQ50" s="33">
        <v>5.04</v>
      </c>
      <c r="GR50" s="99">
        <v>4.0999999999999996</v>
      </c>
      <c r="GS50" s="99"/>
      <c r="GT50" s="99"/>
      <c r="GU50" s="99"/>
      <c r="GV50" s="99"/>
      <c r="GW50" s="99"/>
      <c r="GX50" s="99"/>
      <c r="GY50" s="99"/>
      <c r="GZ50" s="99"/>
      <c r="HA50" s="99"/>
      <c r="HB50" s="99"/>
      <c r="HF50" s="97">
        <f>HG50*$LI50</f>
        <v>1.4163097212811928</v>
      </c>
      <c r="HG50" s="526">
        <f>EE50/'Discounting metrics'!E$4/M50</f>
        <v>1.5736774680902141</v>
      </c>
      <c r="HH50" s="527">
        <f>10^3*HG50/$LM50</f>
        <v>104.91183120601428</v>
      </c>
      <c r="HI50" s="528">
        <f>HG50/$LO50</f>
        <v>5.8284350670007923</v>
      </c>
      <c r="HJ50" s="97">
        <f>HK50*$LI50</f>
        <v>1.6039889320808929</v>
      </c>
      <c r="HK50" s="526">
        <f>EH50/'Discounting metrics'!E$4/O50</f>
        <v>1.7822099245343255</v>
      </c>
      <c r="HL50" s="527">
        <f>10^3*HK50/$LM50</f>
        <v>118.81399496895503</v>
      </c>
      <c r="HM50" s="528">
        <f>HK50/$LO50</f>
        <v>6.6007774982752787</v>
      </c>
      <c r="HN50" s="97">
        <f>HO50*$LI50</f>
        <v>0.62136883131940579</v>
      </c>
      <c r="HO50" s="526">
        <f>FD50/'Discounting metrics'!E$4/Q50</f>
        <v>0.69040981257711753</v>
      </c>
      <c r="HP50" s="527">
        <f>10^3*HO50/$LM50</f>
        <v>46.027320838474502</v>
      </c>
      <c r="HQ50" s="528">
        <f>HO50/$LO50</f>
        <v>2.5570733799152499</v>
      </c>
      <c r="HR50" s="97">
        <f>HS50*$LI50</f>
        <v>2.547607482131844</v>
      </c>
      <c r="HS50" s="263">
        <f>$IM$11*IE50</f>
        <v>2.830674980146493</v>
      </c>
      <c r="HT50" s="527">
        <f>10^3*HS50/$LM50</f>
        <v>188.71166534309953</v>
      </c>
      <c r="HU50" s="528">
        <f>HS50/$LO50</f>
        <v>10.483981407949974</v>
      </c>
      <c r="HV50" s="97">
        <f>HW50*$LI50</f>
        <v>2.7627872972069394</v>
      </c>
      <c r="HW50" s="263">
        <f t="shared" si="417"/>
        <v>3.0697636635632657</v>
      </c>
      <c r="HX50" s="527">
        <f>10^3*HW50/$LM50</f>
        <v>204.65091090421771</v>
      </c>
      <c r="HY50" s="528">
        <f>HW50/$LO50</f>
        <v>11.369495050234317</v>
      </c>
      <c r="HZ50" s="97">
        <f>I50*$LI50</f>
        <v>0.73710000000000009</v>
      </c>
      <c r="IA50" s="263">
        <f t="shared" si="418"/>
        <v>1.8179822585324674</v>
      </c>
      <c r="IB50" s="527">
        <f>10^3*I50/$LM50</f>
        <v>54.600000000000009</v>
      </c>
      <c r="IC50" s="528">
        <f>I50/$LO50</f>
        <v>3.0333333333333332</v>
      </c>
      <c r="ID50" s="97">
        <f>IE50*$LI50</f>
        <v>5.107098208084456</v>
      </c>
      <c r="IE50" s="263">
        <f t="shared" si="419"/>
        <v>5.6745535645382841</v>
      </c>
      <c r="IF50" s="68">
        <f>10^3*IE50/$LM50</f>
        <v>378.30357096921892</v>
      </c>
      <c r="IG50" s="97">
        <f>IH50*$LI50</f>
        <v>5.5384615384615383</v>
      </c>
      <c r="IH50" s="263">
        <f t="shared" si="420"/>
        <v>6.1538461538461533</v>
      </c>
      <c r="II50" s="68">
        <f>10^3*IH50/$LM50</f>
        <v>410.25641025641022</v>
      </c>
      <c r="IJ50" s="97">
        <f>IK50*$LI50</f>
        <v>3.28</v>
      </c>
      <c r="IK50" s="263">
        <f t="shared" si="421"/>
        <v>3.6444444444444439</v>
      </c>
      <c r="IL50" s="68">
        <f>10^3*IK50/$LM50</f>
        <v>242.96296296296293</v>
      </c>
      <c r="IM50" s="60"/>
      <c r="IN50" s="60"/>
      <c r="IO50" s="60"/>
      <c r="IP50" s="554">
        <f>IR50*$V50</f>
        <v>2.4092605440000008</v>
      </c>
      <c r="IQ50" s="262">
        <f>IR50*$LI50</f>
        <v>0.66933200277816374</v>
      </c>
      <c r="IR50" s="166">
        <f>(IW50*Y50+JD50*AA50)/V50</f>
        <v>0.74370222530907082</v>
      </c>
      <c r="IS50" s="68">
        <f>10^3*IR50/$LM50</f>
        <v>49.580148353938057</v>
      </c>
      <c r="IT50" s="97">
        <f>IR50/$LO50</f>
        <v>2.7544526863298917</v>
      </c>
      <c r="IU50" s="429">
        <f>(IX50*C50+JE50*D50)/B50</f>
        <v>1.8432E-2</v>
      </c>
      <c r="IV50" s="262">
        <f>IW50*$LI50</f>
        <v>0.82735595604395618</v>
      </c>
      <c r="IW50" s="436">
        <f>IX50*JB50/I50</f>
        <v>0.91928439560439568</v>
      </c>
      <c r="IX50" s="101">
        <v>2.1600000000000001E-2</v>
      </c>
      <c r="IY50" s="101">
        <v>0</v>
      </c>
      <c r="IZ50" s="101">
        <v>0.28599999999999998</v>
      </c>
      <c r="JA50" s="429">
        <f t="shared" si="453"/>
        <v>0.71399999999999997</v>
      </c>
      <c r="JB50" s="430">
        <f>IY50*$JJ50+IZ50*$JK50+JA50*$JL50+'Discounting metrics'!$B$6*(IY50*$JM50+IZ50*$JN50+JA50*$JO50)/10^3+'Discounting metrics'!$B$5*(IY50*$JP50+IZ50*$JQ50+JA50*$JR50)/10^3</f>
        <v>34.856200000000001</v>
      </c>
      <c r="JC50" s="262">
        <f>JD50*$LI50</f>
        <v>0</v>
      </c>
      <c r="JD50" s="436">
        <f>JE50*JI50/K50</f>
        <v>0</v>
      </c>
      <c r="JE50" s="101">
        <v>0</v>
      </c>
      <c r="JF50" s="433">
        <v>1</v>
      </c>
      <c r="JG50" s="433">
        <v>0</v>
      </c>
      <c r="JH50" s="434">
        <f t="shared" si="454"/>
        <v>0</v>
      </c>
      <c r="JI50" s="430">
        <f>JF50*$JJ50+JG50*$JK50+JH50*$JL50+'Discounting metrics'!$B$6*(JF50*$JM50+JG50*$JN50+JH50*$JO50)/10^3+'Discounting metrics'!$B$5*(JF50*$JP50+JG50*$JQ50+JH50*$JR50)/10^3</f>
        <v>54.558</v>
      </c>
      <c r="JJ50" s="431">
        <v>51.3</v>
      </c>
      <c r="JK50" s="431">
        <v>29</v>
      </c>
      <c r="JL50" s="431">
        <v>29</v>
      </c>
      <c r="JM50" s="99">
        <v>5</v>
      </c>
      <c r="JN50" s="431">
        <v>13</v>
      </c>
      <c r="JO50" s="431">
        <v>13</v>
      </c>
      <c r="JP50" s="431">
        <v>52</v>
      </c>
      <c r="JQ50" s="431">
        <v>58.3</v>
      </c>
      <c r="JR50" s="431">
        <v>58.3</v>
      </c>
      <c r="JS50" s="554">
        <f>JV50+JW50+JT50+JU50+JX50</f>
        <v>1.7169763431861602</v>
      </c>
      <c r="JT50" s="554">
        <f>KJ50*$V50</f>
        <v>-9.7517567612000006E-2</v>
      </c>
      <c r="JU50" s="554">
        <f>KL50*$V50</f>
        <v>0.32004803862890002</v>
      </c>
      <c r="JV50" s="554">
        <f>KN50*$V50</f>
        <v>1.1444725621174001</v>
      </c>
      <c r="JW50" s="554">
        <f>KP50*$V50</f>
        <v>0.34997331005186</v>
      </c>
      <c r="JX50" s="554"/>
      <c r="JY50" s="167">
        <f>JZ50*LI50</f>
        <v>0.47700412368</v>
      </c>
      <c r="JZ50" s="166">
        <f>KF50+KD50+KH50</f>
        <v>0.53000458186666666</v>
      </c>
      <c r="KA50" s="68">
        <f>10^3*JZ50/$LM50</f>
        <v>35.333638791111106</v>
      </c>
      <c r="KB50" s="97">
        <f>JZ50/$LO50</f>
        <v>1.9629799328395061</v>
      </c>
      <c r="KC50" s="473">
        <f>KD50*LI50</f>
        <v>6.1822606199999991E-2</v>
      </c>
      <c r="KD50" s="269">
        <f>KJ50+KL50</f>
        <v>6.8691784666666658E-2</v>
      </c>
      <c r="KE50" s="473">
        <f>KF50*LI50</f>
        <v>0.41518151747999998</v>
      </c>
      <c r="KF50" s="269">
        <f>KN50+KP50</f>
        <v>0.46131279719999996</v>
      </c>
      <c r="KG50" s="123"/>
      <c r="KH50" s="49"/>
      <c r="KI50" s="522">
        <f>KI$47</f>
        <v>-2.7091976E-2</v>
      </c>
      <c r="KJ50" s="522">
        <f>KI50/$LI50</f>
        <v>-3.0102195555555555E-2</v>
      </c>
      <c r="KK50" s="522">
        <f>KK$47</f>
        <v>8.8914582199999995E-2</v>
      </c>
      <c r="KL50" s="522">
        <f>KK50/$LI50</f>
        <v>9.8793980222222216E-2</v>
      </c>
      <c r="KM50" s="522">
        <f>KM$47</f>
        <v>0.31795320519999998</v>
      </c>
      <c r="KN50" s="522">
        <f>KM50/$LI50</f>
        <v>0.35328133911111109</v>
      </c>
      <c r="KO50" s="522">
        <f>KO$47</f>
        <v>9.7228312279999993E-2</v>
      </c>
      <c r="KP50" s="522">
        <f>KO50/$LI50</f>
        <v>0.10803145808888888</v>
      </c>
      <c r="KQ50" s="599">
        <f>44/12*HG50+$JZ50+$IR50</f>
        <v>7.0438575235065226</v>
      </c>
      <c r="KR50" s="527">
        <f>10^3*KQ50/$LM50</f>
        <v>469.59050156710151</v>
      </c>
      <c r="KS50" s="528">
        <f>KQ50/$LO50</f>
        <v>26.088361198172304</v>
      </c>
      <c r="KT50" s="599">
        <f>44/12*HK50+$JZ50+$IW50</f>
        <v>7.9840587007635886</v>
      </c>
      <c r="KU50" s="527">
        <f>10^3*KT50/$LM50</f>
        <v>532.27058005090589</v>
      </c>
      <c r="KV50" s="528">
        <f>KT50/$LO50</f>
        <v>29.57058778060588</v>
      </c>
      <c r="KW50" s="599">
        <f>44/12*HO50+$JZ50+$JD50</f>
        <v>3.0615072279827644</v>
      </c>
      <c r="KX50" s="527">
        <f>10^3*KW50/$LM50</f>
        <v>204.10048186551765</v>
      </c>
      <c r="KY50" s="528">
        <f>KW50/$LO50</f>
        <v>11.338915659195424</v>
      </c>
      <c r="KZ50" s="599">
        <f>44/12*HS50+$JZ50+$IR50</f>
        <v>11.65284840104621</v>
      </c>
      <c r="LA50" s="527">
        <f>10^3*KZ50/$LM50</f>
        <v>776.85656006974739</v>
      </c>
      <c r="LB50" s="528">
        <f>KZ50/$LO50</f>
        <v>43.158697781652627</v>
      </c>
      <c r="LC50" s="599">
        <f>44/12*HW50+$JZ50+$IW50</f>
        <v>12.705089077203038</v>
      </c>
      <c r="LD50" s="527">
        <f>10^3*LC50/$LM50</f>
        <v>847.00593848020253</v>
      </c>
      <c r="LE50" s="528">
        <f>LC50/$LO50</f>
        <v>47.055885471122359</v>
      </c>
      <c r="LF50" s="599">
        <f>44/12*I50+$JZ50+$JD50</f>
        <v>3.5330045818666669</v>
      </c>
      <c r="LG50" s="527">
        <f>10^3*LF50/$LM50</f>
        <v>235.53363879111112</v>
      </c>
      <c r="LH50" s="528">
        <f>LF50/$LO50</f>
        <v>13.085202155061728</v>
      </c>
      <c r="LI50" s="31">
        <v>0.9</v>
      </c>
      <c r="LJ50" s="32">
        <f>$LI50*LK50</f>
        <v>16.650000000000002</v>
      </c>
      <c r="LK50" s="27">
        <v>18.5</v>
      </c>
      <c r="LL50" s="32">
        <f>$LI50*LM50</f>
        <v>13.5</v>
      </c>
      <c r="LM50" s="33">
        <v>15</v>
      </c>
      <c r="LN50" s="34">
        <f>$LI50*LO50</f>
        <v>0.24300000000000002</v>
      </c>
      <c r="LO50" s="31">
        <v>0.27</v>
      </c>
      <c r="LP50" s="36">
        <f>$LI50*LQ50</f>
        <v>9.8999999999999991E-3</v>
      </c>
      <c r="LQ50" s="35">
        <v>1.0999999999999999E-2</v>
      </c>
    </row>
    <row r="51" spans="1:329" s="4" customFormat="1" x14ac:dyDescent="0.25">
      <c r="A51" s="14"/>
      <c r="C51" s="33"/>
      <c r="D51" s="33"/>
      <c r="E51" s="33"/>
      <c r="F51" s="267">
        <f>(U47+U48+U49)/(B47+B48+B49)</f>
        <v>0.70494655835827291</v>
      </c>
      <c r="H51" s="33"/>
      <c r="J51" s="33"/>
      <c r="M51" s="32"/>
      <c r="N51" s="32"/>
      <c r="O51" s="32"/>
      <c r="P51" s="32"/>
      <c r="Q51" s="32"/>
      <c r="U51" s="60"/>
      <c r="AC51" s="60"/>
      <c r="AD51" s="60"/>
      <c r="AE51" s="60"/>
      <c r="AF51" s="60"/>
      <c r="AG51" s="60"/>
      <c r="AH51" s="60"/>
      <c r="AI51" s="60"/>
      <c r="AJ51" s="60"/>
      <c r="AK51" s="60"/>
      <c r="AL51" s="602"/>
      <c r="AM51" s="602"/>
      <c r="AN51" s="602"/>
      <c r="AO51" s="602"/>
      <c r="AP51" s="602"/>
      <c r="AQ51" s="602"/>
      <c r="AR51" s="602"/>
      <c r="AS51" s="602"/>
      <c r="AT51" s="602"/>
      <c r="AU51" s="602"/>
      <c r="AV51" s="602"/>
      <c r="AW51" s="602"/>
      <c r="AX51" s="602"/>
      <c r="AY51" s="602"/>
      <c r="AZ51" s="602"/>
      <c r="BA51" s="602"/>
      <c r="BB51" s="602"/>
      <c r="BC51" s="602"/>
      <c r="BD51" s="60"/>
      <c r="BE51" s="60"/>
      <c r="BF51" s="60"/>
      <c r="BJ51" s="67"/>
      <c r="BK51" s="106"/>
      <c r="BL51" s="145"/>
      <c r="BM51" s="145"/>
      <c r="BN51" s="145"/>
      <c r="BO51" s="145"/>
      <c r="BP51" s="145"/>
      <c r="BQ51" s="145"/>
      <c r="BR51" s="145"/>
      <c r="BS51" s="145"/>
      <c r="BT51" s="145"/>
      <c r="BU51" s="106"/>
      <c r="BV51" s="145"/>
      <c r="BW51" s="145"/>
      <c r="BX51" s="145"/>
      <c r="BY51" s="145"/>
      <c r="BZ51" s="145"/>
      <c r="CA51" s="145"/>
      <c r="CB51" s="145"/>
      <c r="CC51" s="145"/>
      <c r="CD51" s="145"/>
      <c r="CE51" s="60"/>
      <c r="CF51" s="106"/>
      <c r="CG51" s="145"/>
      <c r="CH51" s="145"/>
      <c r="CI51" s="145"/>
      <c r="CJ51" s="145"/>
      <c r="CK51" s="145"/>
      <c r="CL51" s="145"/>
      <c r="CM51" s="145"/>
      <c r="CN51" s="145"/>
      <c r="CO51" s="145"/>
      <c r="CP51" s="106"/>
      <c r="CQ51" s="145"/>
      <c r="CR51" s="145"/>
      <c r="CS51" s="145"/>
      <c r="CT51" s="145"/>
      <c r="CU51" s="145"/>
      <c r="CV51" s="145"/>
      <c r="CW51" s="145"/>
      <c r="CX51" s="145"/>
      <c r="CY51" s="145"/>
      <c r="CZ51" s="60"/>
      <c r="DA51" s="60"/>
      <c r="DB51" s="60"/>
      <c r="DC51" s="32"/>
      <c r="DD51" s="32"/>
      <c r="DE51" s="67"/>
      <c r="DF51" s="270"/>
      <c r="DL51" s="123"/>
      <c r="DM51" s="123"/>
      <c r="DN51" s="60"/>
      <c r="DS51" s="60"/>
      <c r="DT51" s="60"/>
      <c r="DU51" s="60"/>
      <c r="EE51" s="60"/>
      <c r="EF51" s="60"/>
      <c r="EG51" s="60"/>
      <c r="EH51" s="60"/>
      <c r="EI51" s="123"/>
      <c r="EJ51" s="60"/>
      <c r="EK51" s="60"/>
      <c r="EL51" s="60"/>
      <c r="EM51" s="126"/>
      <c r="EN51" s="126"/>
      <c r="EO51" s="126"/>
      <c r="EP51" s="126"/>
      <c r="EQ51" s="126"/>
      <c r="ER51" s="126"/>
      <c r="ES51" s="126"/>
      <c r="ET51" s="126"/>
      <c r="EU51" s="126"/>
      <c r="EV51" s="60"/>
      <c r="EW51" s="542"/>
      <c r="EX51" s="542"/>
      <c r="EY51" s="542"/>
      <c r="EZ51" s="542"/>
      <c r="FA51" s="542"/>
      <c r="FB51" s="542"/>
      <c r="FC51" s="542"/>
      <c r="FD51" s="60"/>
      <c r="FE51" s="60"/>
      <c r="FF51" s="60"/>
      <c r="FG51" s="60"/>
      <c r="FH51" s="60"/>
      <c r="FI51" s="542"/>
      <c r="FJ51" s="542"/>
      <c r="FK51" s="542"/>
      <c r="FL51" s="542"/>
      <c r="FM51" s="542"/>
      <c r="FN51" s="542"/>
      <c r="FO51" s="542"/>
      <c r="FP51" s="542"/>
      <c r="FQ51" s="542"/>
      <c r="FR51" s="60"/>
      <c r="FS51" s="542"/>
      <c r="FT51" s="542"/>
      <c r="FU51" s="542"/>
      <c r="FV51" s="542"/>
      <c r="FW51" s="542"/>
      <c r="FX51" s="542"/>
      <c r="FY51" s="542"/>
      <c r="FZ51" s="60"/>
      <c r="GA51" s="60"/>
      <c r="GB51" s="60"/>
      <c r="GQ51" s="33"/>
      <c r="GR51" s="99"/>
      <c r="GS51" s="99"/>
      <c r="GT51" s="99"/>
      <c r="GU51" s="99"/>
      <c r="GV51" s="99"/>
      <c r="GW51" s="99"/>
      <c r="GX51" s="99"/>
      <c r="GY51" s="99"/>
      <c r="GZ51" s="99"/>
      <c r="HA51" s="99"/>
      <c r="HB51" s="99"/>
      <c r="HF51" s="60"/>
      <c r="HG51" s="264"/>
      <c r="HI51" s="67"/>
      <c r="HJ51" s="60"/>
      <c r="HK51" s="264"/>
      <c r="HM51" s="67"/>
      <c r="HN51" s="60"/>
      <c r="HO51" s="264"/>
      <c r="HQ51" s="67"/>
      <c r="HR51" s="60"/>
      <c r="HS51" s="32"/>
      <c r="HU51" s="67"/>
      <c r="HV51" s="60"/>
      <c r="HW51" s="32"/>
      <c r="HY51" s="67"/>
      <c r="HZ51" s="60"/>
      <c r="IA51" s="32"/>
      <c r="IC51" s="67"/>
      <c r="ID51" s="60"/>
      <c r="IF51" s="60"/>
      <c r="IG51" s="60"/>
      <c r="II51" s="60"/>
      <c r="IJ51" s="60"/>
      <c r="IL51" s="60"/>
      <c r="IM51" s="60"/>
      <c r="IN51" s="60"/>
      <c r="IO51" s="60"/>
      <c r="IP51" s="97"/>
      <c r="IQ51" s="49"/>
      <c r="IR51" s="60"/>
      <c r="IS51" s="60"/>
      <c r="IT51" s="97"/>
      <c r="IU51" s="601"/>
      <c r="IV51" s="49"/>
      <c r="IW51" s="60"/>
      <c r="IX51" s="100"/>
      <c r="IY51" s="100"/>
      <c r="IZ51" s="100"/>
      <c r="JA51" s="100"/>
      <c r="JB51" s="100"/>
      <c r="JC51" s="49"/>
      <c r="JD51" s="60"/>
      <c r="JE51" s="100"/>
      <c r="JF51" s="100"/>
      <c r="JG51" s="100"/>
      <c r="JH51" s="100"/>
      <c r="JI51" s="100"/>
      <c r="JJ51" s="97"/>
      <c r="JK51" s="97"/>
      <c r="JL51" s="97"/>
      <c r="JM51" s="97"/>
      <c r="JN51" s="97"/>
      <c r="JO51" s="97"/>
      <c r="JP51" s="97"/>
      <c r="JQ51" s="97"/>
      <c r="JR51" s="97"/>
      <c r="JS51" s="97"/>
      <c r="JT51" s="97"/>
      <c r="JU51" s="97"/>
      <c r="JV51" s="97"/>
      <c r="JW51" s="97"/>
      <c r="JX51" s="97"/>
      <c r="JY51" s="522"/>
      <c r="JZ51" s="60"/>
      <c r="KA51" s="60"/>
      <c r="KB51" s="97"/>
      <c r="KC51" s="123"/>
      <c r="KD51" s="123"/>
      <c r="KE51" s="123"/>
      <c r="KF51" s="123"/>
      <c r="KG51" s="123"/>
      <c r="KH51" s="49"/>
      <c r="KI51" s="60"/>
      <c r="KJ51" s="60"/>
      <c r="KK51" s="60"/>
      <c r="KL51" s="60"/>
      <c r="KM51" s="60"/>
      <c r="KN51" s="60"/>
      <c r="KO51" s="60"/>
      <c r="KP51" s="60"/>
    </row>
    <row r="52" spans="1:329" s="4" customFormat="1" ht="13.8" x14ac:dyDescent="0.3">
      <c r="A52" s="15" t="s">
        <v>81</v>
      </c>
      <c r="B52" s="152">
        <f>B53+B55+B56+B54</f>
        <v>55.29</v>
      </c>
      <c r="C52" s="152">
        <f>C53+C55+C56+C54</f>
        <v>49.099999999999994</v>
      </c>
      <c r="D52" s="152">
        <f>D53+D55+D56+D54</f>
        <v>6.1899999999999995</v>
      </c>
      <c r="E52" s="33"/>
      <c r="F52" s="153">
        <f>U52/B52</f>
        <v>11.857750045216131</v>
      </c>
      <c r="G52" s="153">
        <f>V52/B52</f>
        <v>2.3391074335322846</v>
      </c>
      <c r="I52" s="153">
        <f>Y52/C52</f>
        <v>2.1931071283095722</v>
      </c>
      <c r="K52" s="153">
        <f>AA52/D52</f>
        <v>3.4972035541195479</v>
      </c>
      <c r="L52" s="153">
        <f>($B53*L53+$B55*L55+$B56*L56+$B54*L54)/$B52</f>
        <v>2.910141944338771</v>
      </c>
      <c r="M52" s="153">
        <f>($B53*M53+$B55*M55+$B56*M56+$B54*M54)/$B52</f>
        <v>0.5740662966144382</v>
      </c>
      <c r="N52" s="153"/>
      <c r="O52" s="153">
        <f>($C53*O53+$C55*O55+$C56*O56+$C54*O54)/$C52</f>
        <v>0.5382347425257864</v>
      </c>
      <c r="P52" s="153"/>
      <c r="Q52" s="153">
        <f>($D53*Q53+$D55*Q55+$D56*Q56+$D54*Q54)/$D52</f>
        <v>0.85828750917547403</v>
      </c>
      <c r="U52" s="152">
        <f>U53+U55+U56+U54</f>
        <v>655.6149999999999</v>
      </c>
      <c r="V52" s="152">
        <f>V53+V55+V56+V54</f>
        <v>129.32925</v>
      </c>
      <c r="W52" s="592">
        <f>V52/V$17</f>
        <v>3.4106944986239729E-2</v>
      </c>
      <c r="Y52" s="152">
        <f>Y53+Y55+Y56+Y54</f>
        <v>107.68155999999999</v>
      </c>
      <c r="AA52" s="152">
        <f>AA53+AA55+AA56+AA54</f>
        <v>21.647690000000001</v>
      </c>
      <c r="AB52" s="154">
        <f>AA52/V52</f>
        <v>0.16738433107746314</v>
      </c>
      <c r="AC52" s="265">
        <f t="shared" ref="AC52:AK52" si="460">($B53*AC53+$B55*AC55+$B56*AC56+$B54*AC54)/$B52</f>
        <v>0.28779673284794782</v>
      </c>
      <c r="AD52" s="265">
        <f t="shared" si="460"/>
        <v>0.29592509604834139</v>
      </c>
      <c r="AE52" s="265">
        <f t="shared" si="460"/>
        <v>8.807745603530838E-2</v>
      </c>
      <c r="AF52" s="265">
        <f t="shared" si="460"/>
        <v>7.7907455085983304E-2</v>
      </c>
      <c r="AG52" s="265">
        <f t="shared" si="460"/>
        <v>8.5306525894674315E-2</v>
      </c>
      <c r="AH52" s="265">
        <f t="shared" si="460"/>
        <v>0.11258278668225372</v>
      </c>
      <c r="AI52" s="265">
        <f t="shared" si="460"/>
        <v>2.8065695636467956E-2</v>
      </c>
      <c r="AJ52" s="265">
        <f t="shared" si="460"/>
        <v>2.0494335191155101E-2</v>
      </c>
      <c r="AK52" s="265">
        <f t="shared" si="460"/>
        <v>1.3930233291799719E-3</v>
      </c>
      <c r="AL52" s="603"/>
      <c r="AM52" s="603"/>
      <c r="AN52" s="603"/>
      <c r="AO52" s="603"/>
      <c r="AP52" s="603"/>
      <c r="AQ52" s="603"/>
      <c r="AR52" s="603"/>
      <c r="AS52" s="603"/>
      <c r="AT52" s="603"/>
      <c r="AU52" s="603"/>
      <c r="AV52" s="603"/>
      <c r="AW52" s="603"/>
      <c r="AX52" s="603"/>
      <c r="AY52" s="603"/>
      <c r="AZ52" s="603"/>
      <c r="BA52" s="603"/>
      <c r="BB52" s="603"/>
      <c r="BC52" s="603"/>
      <c r="BD52" s="152">
        <f>BD53+BD55+BD56+BD54</f>
        <v>10.153417965501507</v>
      </c>
      <c r="BE52" s="152">
        <f t="shared" ref="BE52:BF52" si="461">BE53+BE55+BE56+BE54</f>
        <v>4.6255442617278</v>
      </c>
      <c r="BF52" s="152">
        <f t="shared" si="461"/>
        <v>5.5278737037737073</v>
      </c>
      <c r="BG52" s="152">
        <f>($B53*BG53+$B55*BG55+$B56*BG56+$B54*BG54)/$B52</f>
        <v>183.63931932540254</v>
      </c>
      <c r="BH52" s="152">
        <f>($B53*BH53+$B55*BH55+$B56*BH56+$B54*BH54)/$B52</f>
        <v>83.659690029441137</v>
      </c>
      <c r="BI52" s="152">
        <f>($B53*BI53+$B55*BI55+$B56*BI56+$B54*BI54)/$B52</f>
        <v>99.979629295961431</v>
      </c>
      <c r="BJ52" s="152">
        <f>($C53*BJ53+$C55*BJ55+$C56*BJ56+$C54*BJ54)/$C52</f>
        <v>194.4358265675817</v>
      </c>
      <c r="BK52" s="144">
        <f>($C53*BK53+$C55*BK55+$C56*BK56+$C54*BK54)/$C52</f>
        <v>89.451317055724402</v>
      </c>
      <c r="BL52" s="144"/>
      <c r="BM52" s="144"/>
      <c r="BN52" s="144"/>
      <c r="BO52" s="144"/>
      <c r="BP52" s="144"/>
      <c r="BQ52" s="144"/>
      <c r="BR52" s="144"/>
      <c r="BS52" s="144"/>
      <c r="BT52" s="144"/>
      <c r="BU52" s="144">
        <f>($C53*BU53+$C55*BU55+$C56*BU56+$C54*BU54)/$C52</f>
        <v>104.98450951185733</v>
      </c>
      <c r="BV52" s="144"/>
      <c r="BW52" s="144"/>
      <c r="BX52" s="144"/>
      <c r="BY52" s="144"/>
      <c r="BZ52" s="144"/>
      <c r="CA52" s="144"/>
      <c r="CB52" s="144"/>
      <c r="CC52" s="144"/>
      <c r="CD52" s="144"/>
      <c r="CE52" s="144">
        <f>($D53*CE53+$D55*CE55+$D56*CE56+$D54*CE54)/$D52</f>
        <v>97.999819229926615</v>
      </c>
      <c r="CF52" s="144">
        <f>($D53*CF53+$D55*CF55+$D56*CF56+$D54*CF54)/$D52</f>
        <v>37.719643665869569</v>
      </c>
      <c r="CG52" s="144"/>
      <c r="CH52" s="144"/>
      <c r="CI52" s="144"/>
      <c r="CJ52" s="144"/>
      <c r="CK52" s="144"/>
      <c r="CL52" s="144"/>
      <c r="CM52" s="144"/>
      <c r="CN52" s="144"/>
      <c r="CO52" s="144"/>
      <c r="CP52" s="144">
        <f>($D53*CP53+$D55*CP55+$D56*CP56+$D54*CP54)/$D52</f>
        <v>60.280175564057025</v>
      </c>
      <c r="CQ52" s="144"/>
      <c r="CR52" s="144"/>
      <c r="CS52" s="144"/>
      <c r="CT52" s="144"/>
      <c r="CU52" s="144"/>
      <c r="CV52" s="144"/>
      <c r="CW52" s="144"/>
      <c r="CX52" s="144"/>
      <c r="CY52" s="144"/>
      <c r="CZ52" s="152">
        <f>CZ53+CZ55+CZ56+CZ54</f>
        <v>4.220329277830281</v>
      </c>
      <c r="DA52" s="152">
        <f t="shared" ref="DA52:DB52" si="462">DA53+DA55+DA56+DA54</f>
        <v>7.442399999999999E-2</v>
      </c>
      <c r="DB52" s="152">
        <f t="shared" si="462"/>
        <v>4.1459052778302814</v>
      </c>
      <c r="DC52" s="153">
        <f>($B53*DC53+$B55*DC55+$B56*DC56+$B54*DC54)/$B52</f>
        <v>76.330788168389972</v>
      </c>
      <c r="DD52" s="153">
        <f>($B53*DD53+$B55*DD55+$B56*DD56+$B54*DD54)/$B52</f>
        <v>1.3460661964188825</v>
      </c>
      <c r="DE52" s="152">
        <f>($B53*DE53+$B55*DE55+$B56*DE56+$B54*DE54)/$B52</f>
        <v>74.984721971971084</v>
      </c>
      <c r="DF52" s="270"/>
      <c r="DG52" s="152">
        <f>($C53*DG53+$C55*DG55+$C56*DG56+$C54*DG54)/$C52</f>
        <v>80.086926940410322</v>
      </c>
      <c r="DH52" s="153">
        <f>($C53*DH53+$C55*DH55+$C56*DH56+$C54*DH54)/$C52</f>
        <v>1.3485448065173118</v>
      </c>
      <c r="DI52" s="152">
        <f>($C53*DI53+$C55*DI55+$C56*DI56+$C54*DI54)/$C52</f>
        <v>78.738382133893012</v>
      </c>
      <c r="DJ52" s="152"/>
      <c r="DL52" s="123"/>
      <c r="DM52" s="123"/>
      <c r="DN52" s="152">
        <f>($D53*DN53+$D55*DN55+$D56*DN56+$D54*DN54)/$D52</f>
        <v>46.536537165772977</v>
      </c>
      <c r="DO52" s="153">
        <f>($D53*DO53+$D55*DO55+$D56*DO56+$D54*DO54)/$D52</f>
        <v>1.32640549273021</v>
      </c>
      <c r="DP52" s="152">
        <f>($D53*DP53+$D55*DP55+$D56*DP56+$D54*DP54)/$D52</f>
        <v>45.21013167304276</v>
      </c>
      <c r="DQ52" s="152"/>
      <c r="DS52" s="154"/>
      <c r="DT52" s="154"/>
      <c r="DU52" s="154"/>
      <c r="DV52" s="152">
        <f t="shared" ref="DV52:DX56" si="463">BG52-DC52</f>
        <v>107.30853115701257</v>
      </c>
      <c r="DW52" s="152">
        <f t="shared" si="463"/>
        <v>82.313623833022248</v>
      </c>
      <c r="DX52" s="152">
        <f t="shared" si="463"/>
        <v>24.994907323990347</v>
      </c>
      <c r="DY52" s="152">
        <f t="shared" ref="DY52:DZ56" si="464">BJ52-DG52</f>
        <v>114.34889962717138</v>
      </c>
      <c r="DZ52" s="152">
        <f t="shared" si="464"/>
        <v>88.102772249207092</v>
      </c>
      <c r="EA52" s="152">
        <f>BU52-DI52</f>
        <v>26.246127377964314</v>
      </c>
      <c r="EB52" s="152">
        <f t="shared" ref="EB52:EC56" si="465">CE52-DN52</f>
        <v>51.463282064153638</v>
      </c>
      <c r="EC52" s="152">
        <f t="shared" si="465"/>
        <v>36.393238173139359</v>
      </c>
      <c r="ED52" s="152">
        <f>CP52-DP52</f>
        <v>15.070043891014265</v>
      </c>
      <c r="EE52" s="152">
        <f>($B53*EE53+$B55*EE55+$B56*EE56+$B54*EE54)/$B52</f>
        <v>82.11452212369737</v>
      </c>
      <c r="EF52" s="144"/>
      <c r="EG52" s="144"/>
      <c r="EH52" s="152">
        <f>($C53*EH53+$C55*EH55+$C56*EH56+$C54*EH54)/$C52</f>
        <v>87.316864562124735</v>
      </c>
      <c r="EI52" s="144"/>
      <c r="EJ52" s="144"/>
      <c r="EK52" s="144"/>
      <c r="EL52" s="144"/>
      <c r="EM52" s="550"/>
      <c r="EN52" s="550"/>
      <c r="EO52" s="550"/>
      <c r="EP52" s="550"/>
      <c r="EQ52" s="550"/>
      <c r="ER52" s="550"/>
      <c r="ES52" s="550"/>
      <c r="ET52" s="550"/>
      <c r="EU52" s="550"/>
      <c r="EV52" s="144"/>
      <c r="EW52" s="555"/>
      <c r="EX52" s="555"/>
      <c r="EY52" s="555"/>
      <c r="EZ52" s="555"/>
      <c r="FA52" s="555"/>
      <c r="FB52" s="555"/>
      <c r="FC52" s="555"/>
      <c r="FD52" s="152">
        <f>($D53*FD53+$D55*FD55+$D56*FD56+$D54*FD54)/$D52</f>
        <v>40.848768694491739</v>
      </c>
      <c r="FE52" s="144"/>
      <c r="FF52" s="144"/>
      <c r="FG52" s="144"/>
      <c r="FH52" s="144"/>
      <c r="FI52" s="555"/>
      <c r="FJ52" s="555"/>
      <c r="FK52" s="555"/>
      <c r="FL52" s="555"/>
      <c r="FM52" s="555"/>
      <c r="FN52" s="555"/>
      <c r="FO52" s="555"/>
      <c r="FP52" s="555"/>
      <c r="FQ52" s="555"/>
      <c r="FR52" s="144"/>
      <c r="FS52" s="555"/>
      <c r="FT52" s="555"/>
      <c r="FU52" s="555"/>
      <c r="FV52" s="555"/>
      <c r="FW52" s="555"/>
      <c r="FX52" s="555"/>
      <c r="FY52" s="555"/>
      <c r="FZ52" s="60"/>
      <c r="GA52" s="60"/>
      <c r="GB52" s="60"/>
      <c r="GP52" s="153">
        <f>($B53*GP53+$B55*GP55+$B56*GP56+$B54*GP54)/$B52</f>
        <v>6.5217561946102371</v>
      </c>
      <c r="GQ52" s="153">
        <f>($C53*GQ53+$C55*GQ55+$C56*GQ56+$C54*GQ54)/$C52</f>
        <v>6.7557026476578415</v>
      </c>
      <c r="GR52" s="153">
        <f>($D53*GR53+$D55*GR55+$D56*GR56+$D54*GR54)/$D52</f>
        <v>4.6660581583198706</v>
      </c>
      <c r="GS52" s="153"/>
      <c r="GT52" s="153"/>
      <c r="GU52" s="153"/>
      <c r="GV52" s="153"/>
      <c r="GW52" s="153"/>
      <c r="GX52" s="153"/>
      <c r="GY52" s="153"/>
      <c r="GZ52" s="153"/>
      <c r="HA52" s="153"/>
      <c r="HB52" s="153"/>
      <c r="HF52" s="269"/>
      <c r="HG52" s="524">
        <f>EE52/'Discounting metrics'!E$4/M52</f>
        <v>1.4304013771226178</v>
      </c>
      <c r="HH52" s="144">
        <f>10^3*HG52/(($V53*$LM53+$V54*$LM54+$V55*$LM55+$V56*$LM56)/$V52)</f>
        <v>143.04013771226178</v>
      </c>
      <c r="HI52" s="152"/>
      <c r="HJ52" s="60"/>
      <c r="HK52" s="524">
        <f>EH52/'Discounting metrics'!E$4/O52</f>
        <v>1.6222822063170967</v>
      </c>
      <c r="HL52" s="144">
        <f>10^3*HK52/(($Y53*$LM53+$Y54*$LM54+$Y55*$LM55+$Y56*$LM56)/$Y52)</f>
        <v>162.22822063170969</v>
      </c>
      <c r="HM52" s="152"/>
      <c r="HN52" s="60"/>
      <c r="HO52" s="524">
        <f>FD52/'Discounting metrics'!E$4/Q52</f>
        <v>0.47593339362160453</v>
      </c>
      <c r="HP52" s="144">
        <f>10^3*HO52/(($AA53*$LM53+$AA54*$LM54+$AA55*$LM55+$AA56*$LM56)/$AA52)</f>
        <v>47.593339362160449</v>
      </c>
      <c r="HQ52" s="152"/>
      <c r="HR52" s="269">
        <f>$IM$11*ID52</f>
        <v>0.27435986112710209</v>
      </c>
      <c r="HS52" s="525">
        <f>$IM$11*IE52</f>
        <v>1.3908256666828656</v>
      </c>
      <c r="HT52" s="144">
        <f>10^3*HS52/(($V53*$LM53+$V54*$LM54+$V55*$LM55+$V56*$LM56)/$V52)</f>
        <v>139.08256666828657</v>
      </c>
      <c r="HU52" s="152"/>
      <c r="HV52" s="60"/>
      <c r="HW52" s="525">
        <f>$IM$11*IH52</f>
        <v>1.5366288606295837</v>
      </c>
      <c r="HX52" s="144">
        <f>10^3*HW52/(($Y53*$LM53+$Y54*$LM54+$Y55*$LM55+$Y56*$LM56)/$Y52)</f>
        <v>153.66288606295836</v>
      </c>
      <c r="HY52" s="152"/>
      <c r="HZ52" s="60"/>
      <c r="IA52" s="525">
        <f>$IM$11*IK52</f>
        <v>0.6655605054963768</v>
      </c>
      <c r="IB52" s="144">
        <f>10^3*I52/(($AA53*$LM53+$AA54*$LM54+$AA55*$LM55+$AA56*$LM56)/$AA52)</f>
        <v>219.31071283095721</v>
      </c>
      <c r="IC52" s="152"/>
      <c r="ID52" s="149">
        <f>GP52/F52</f>
        <v>0.54999946615010342</v>
      </c>
      <c r="IE52" s="525">
        <f>GP52/G52</f>
        <v>2.7881388007739933</v>
      </c>
      <c r="IF52" s="123"/>
      <c r="IG52" s="60"/>
      <c r="IH52" s="525">
        <f>GQ52/I52</f>
        <v>3.0804252835861594</v>
      </c>
      <c r="II52" s="123"/>
      <c r="IJ52" s="60"/>
      <c r="IK52" s="525">
        <f>GR52/K52</f>
        <v>1.3342254993488911</v>
      </c>
      <c r="IL52" s="123"/>
      <c r="IM52" s="60"/>
      <c r="IN52" s="60"/>
      <c r="IO52" s="60"/>
      <c r="IP52" s="152">
        <f t="shared" ref="IP52" si="466">IP53+IP55+IP56+IP54</f>
        <v>45.030783794999991</v>
      </c>
      <c r="IQ52" s="269">
        <f>($U53*IQ53+$U55*IQ55+$U56*IQ56+$U54*IQ54)/$U52</f>
        <v>6.8684797930187683E-2</v>
      </c>
      <c r="IR52" s="473">
        <f>($V53*IR53+$V55*IR55+$V56*IR56+$V54*IR54)/$V52</f>
        <v>0.34818715638573633</v>
      </c>
      <c r="IS52" s="144"/>
      <c r="IT52" s="149"/>
      <c r="IU52" s="594">
        <f>($B53*IU53+$B55*IU55+$B56*IU56+$B54*IU54)/$B52</f>
        <v>1.5581262434436608E-2</v>
      </c>
      <c r="IV52" s="269"/>
      <c r="IW52" s="473">
        <f>($Y53*IW53+$Y55*IW55+$Y56*IW56+$Y54*IW54)/$Y52</f>
        <v>0.3436017444398094</v>
      </c>
      <c r="IX52" s="594">
        <f>($C53*IX53+$C55*IX55+$C56*IX56+$C54*IX54)/$C52</f>
        <v>1.4473930753564157E-2</v>
      </c>
      <c r="IY52" s="594"/>
      <c r="IZ52" s="594"/>
      <c r="JA52" s="594"/>
      <c r="JB52" s="594"/>
      <c r="JC52" s="269"/>
      <c r="JD52" s="473">
        <f>($AA53*JD53+$AA55*JD55+$AA56*JD56+$AA54*JD54)/$AA52</f>
        <v>0.3709962557205872</v>
      </c>
      <c r="JE52" s="594">
        <f>($D53*JE53+$D55*JE55+$D56*JE56+$D54*JE54)/$D52</f>
        <v>2.4364781906300485E-2</v>
      </c>
      <c r="JF52" s="594"/>
      <c r="JG52" s="594"/>
      <c r="JH52" s="594"/>
      <c r="JI52" s="594"/>
      <c r="JJ52" s="595"/>
      <c r="JK52" s="595"/>
      <c r="JL52" s="595"/>
      <c r="JM52" s="595"/>
      <c r="JN52" s="595"/>
      <c r="JO52" s="595"/>
      <c r="JP52" s="595"/>
      <c r="JQ52" s="595"/>
      <c r="JR52" s="595"/>
      <c r="JS52" s="152">
        <f>JS53+JS55+JS56+JS54</f>
        <v>83.090779123442928</v>
      </c>
      <c r="JT52" s="152">
        <f>JT53+JT55+JT56+JT54</f>
        <v>34.064846975222196</v>
      </c>
      <c r="JU52" s="152">
        <f>JU53+JU55+JU56+JU54</f>
        <v>1.1155579608093014</v>
      </c>
      <c r="JV52" s="152">
        <f t="shared" ref="JV52:JW52" si="467">JV53+JV55+JV56+JV54</f>
        <v>17.673723273537998</v>
      </c>
      <c r="JW52" s="152">
        <f t="shared" si="467"/>
        <v>30.236650913873458</v>
      </c>
      <c r="JX52" s="152"/>
      <c r="JY52" s="269">
        <f>($V53*JY53+$V55*JY55+$V56*JY56+$V54*JY54)/$V52</f>
        <v>0.1232951944650684</v>
      </c>
      <c r="JZ52" s="473">
        <f>($V53*JZ53+$V55*JZ55+$V56*JZ56+$V54*JZ54)/$V52</f>
        <v>0.64247476207774312</v>
      </c>
      <c r="KA52" s="144">
        <f>10^3*JZ52/(($V53*$LM53+$V54*$LM54+$V55*$LM55+$V56*$LM56)/$V52)</f>
        <v>64.247476207774312</v>
      </c>
      <c r="KB52" s="149"/>
      <c r="KC52" s="123"/>
      <c r="KD52" s="269">
        <f>($V53*KD53+$V55*KD55+$V56*KD56+$V54*KD54)/$V52</f>
        <v>0.27202202855140267</v>
      </c>
      <c r="KE52" s="123"/>
      <c r="KF52" s="269">
        <f>($V53*KF53+$V55*KF55+$V56*KF56+$V54*KF54)/$V52</f>
        <v>0.37045273352634039</v>
      </c>
      <c r="KG52" s="123"/>
      <c r="KH52" s="269">
        <f>($V53*KH53+$V55*KH55+$V56*KH56+$V54*KH54)/$V52</f>
        <v>0</v>
      </c>
      <c r="KI52" s="269">
        <f>($U53*KI53+$U55*KI55+$U56*KI56+$U54*KI54)/$U52</f>
        <v>5.1958614392932131E-2</v>
      </c>
      <c r="KJ52" s="269">
        <f>($V53*KJ53+$V55*KJ55+$V56*KJ56+$V54*KJ54)/$V52</f>
        <v>0.2633963080681454</v>
      </c>
      <c r="KK52" s="269">
        <f>($U53*KK53+$U55*KK55+$U56*KK56+$U54*KK54)/$U52</f>
        <v>1.7015442917097713E-3</v>
      </c>
      <c r="KL52" s="269">
        <f>($V53*KL53+$V55*KL55+$V56*KL56+$V54*KL54)/$V52</f>
        <v>8.6257204832572779E-3</v>
      </c>
      <c r="KM52" s="269">
        <f>($U53*KM53+$U55*KM55+$U56*KM56+$U54*KM54)/$U52</f>
        <v>2.6957472409170017E-2</v>
      </c>
      <c r="KN52" s="269">
        <f>($V53*KN53+$V55*KN55+$V56*KN56+$V54*KN54)/$V52</f>
        <v>0.13665681408914068</v>
      </c>
      <c r="KO52" s="269">
        <f>($U53*KO53+$U55*KO55+$U56*KO56+$U54*KO54)/$U52</f>
        <v>4.6119522759353375E-2</v>
      </c>
      <c r="KP52" s="269">
        <f>($V53*KP53+$V55*KP55+$V56*KP56+$V54*KP54)/$V52</f>
        <v>0.23379591943719968</v>
      </c>
      <c r="KQ52" s="149">
        <f>($V53*KQ53+$V55*KQ55+$V56*KQ56+$V54*KQ54)/$V52</f>
        <v>6.2354669679130774</v>
      </c>
      <c r="KT52" s="149">
        <f>($Y53*KT53+$Y55*KT55+$Y56*KT56+$Y54*KT54)/$Y52</f>
        <v>6.9241465505020203</v>
      </c>
      <c r="KW52" s="149">
        <f>($AA53*KW53+$AA55*KW55+$AA56*KW56+$AA54*KW54)/$AA52</f>
        <v>2.8097854382290279</v>
      </c>
      <c r="KZ52" s="149">
        <f>($V53*KZ53+$V55*KZ55+$V56*KZ56+$V54*KZ54)/$V52</f>
        <v>6.0903560296339867</v>
      </c>
      <c r="LC52" s="149">
        <f>($Y53*LC53+$Y55*LC55+$Y56*LC56+$Y54*LC54)/$Y52</f>
        <v>6.6100842829811377</v>
      </c>
      <c r="LF52" s="149">
        <f>($AA53*LF53+$AA55*LF55+$AA56*LF56+$AA54*LF54)/$AA52</f>
        <v>9.5653102775159091</v>
      </c>
      <c r="LI52" s="16"/>
    </row>
    <row r="53" spans="1:329" s="4" customFormat="1" x14ac:dyDescent="0.25">
      <c r="A53" s="14" t="s">
        <v>71</v>
      </c>
      <c r="B53" s="67">
        <f t="shared" ref="B53:B56" si="468">C53+D53</f>
        <v>4.4400000000000004</v>
      </c>
      <c r="C53" s="33">
        <v>4</v>
      </c>
      <c r="D53" s="33">
        <v>0.44</v>
      </c>
      <c r="E53" s="38">
        <f t="shared" ref="E53:E56" si="469">D53/B53</f>
        <v>9.9099099099099086E-2</v>
      </c>
      <c r="F53" s="108">
        <f>U53/B53</f>
        <v>18.1009009009009</v>
      </c>
      <c r="G53" s="32">
        <f>V53/B53</f>
        <v>4.525225225225225</v>
      </c>
      <c r="H53" s="33">
        <v>17.100000000000001</v>
      </c>
      <c r="I53" s="32">
        <f>$LI53*H53</f>
        <v>4.2750000000000004</v>
      </c>
      <c r="J53" s="33">
        <v>27.2</v>
      </c>
      <c r="K53" s="32">
        <f>$LI53*J53</f>
        <v>6.8</v>
      </c>
      <c r="L53" s="32">
        <f>(F53/'Discounting metrics'!$D$4*(1-EXP(-'Discounting metrics'!$D$4*'Discounting metrics'!$E$4)))/'Discounting metrics'!$E$4</f>
        <v>4.4423428341098088</v>
      </c>
      <c r="M53" s="32">
        <f>(G53/'Discounting metrics'!$D$4*(1-EXP(-'Discounting metrics'!$D$4*'Discounting metrics'!$E$4)))/'Discounting metrics'!$E$4</f>
        <v>1.1105857085274522</v>
      </c>
      <c r="N53" s="32">
        <f>(H53/'Discounting metrics'!$D$4*(1-EXP(-'Discounting metrics'!$D$4*'Discounting metrics'!$E$4)))/'Discounting metrics'!$E$4</f>
        <v>4.1967006437506615</v>
      </c>
      <c r="O53" s="32">
        <f>(I53/'Discounting metrics'!$D$4*(1-EXP(-'Discounting metrics'!$D$4*'Discounting metrics'!$E$4)))/'Discounting metrics'!$E$4</f>
        <v>1.0491751609376654</v>
      </c>
      <c r="P53" s="32">
        <f>(J53/'Discounting metrics'!$D$4*(1-EXP(-'Discounting metrics'!$D$4*'Discounting metrics'!$E$4)))/'Discounting metrics'!$E$4</f>
        <v>6.6754536555566073</v>
      </c>
      <c r="Q53" s="32">
        <f>(K53/'Discounting metrics'!$D$4*(1-EXP(-'Discounting metrics'!$D$4*'Discounting metrics'!$E$4)))/'Discounting metrics'!$E$4</f>
        <v>1.6688634138891518</v>
      </c>
      <c r="R53" s="32">
        <f>10/G53</f>
        <v>2.209834760103524</v>
      </c>
      <c r="S53" s="32">
        <f>10/I53</f>
        <v>2.3391812865497075</v>
      </c>
      <c r="T53" s="32">
        <f>10/K53</f>
        <v>1.4705882352941178</v>
      </c>
      <c r="U53" s="107">
        <f t="shared" ref="U53:V56" si="470">X53+Z53</f>
        <v>80.368000000000009</v>
      </c>
      <c r="V53" s="68">
        <f t="shared" si="470"/>
        <v>20.092000000000002</v>
      </c>
      <c r="W53" s="68"/>
      <c r="X53" s="67">
        <f>C53*H53</f>
        <v>68.400000000000006</v>
      </c>
      <c r="Y53" s="67">
        <f t="shared" ref="Y53:Z56" si="471">C53*I53</f>
        <v>17.100000000000001</v>
      </c>
      <c r="Z53" s="67">
        <f t="shared" si="471"/>
        <v>11.968</v>
      </c>
      <c r="AA53" s="67">
        <f>D53*K53</f>
        <v>2.992</v>
      </c>
      <c r="AB53" s="38">
        <f t="shared" ref="AB53:AB56" si="472">AA53/V53</f>
        <v>0.14891499104121042</v>
      </c>
      <c r="AC53" s="294">
        <f t="shared" ref="AC53:AK56" si="473">($C53*AL53+$D53*AU53)/$B53</f>
        <v>0.66901372907090972</v>
      </c>
      <c r="AD53" s="294">
        <f t="shared" si="473"/>
        <v>0.10244349177168331</v>
      </c>
      <c r="AE53" s="294">
        <f t="shared" si="473"/>
        <v>1.41197296444625E-6</v>
      </c>
      <c r="AF53" s="294">
        <f t="shared" si="473"/>
        <v>0.14924302212157156</v>
      </c>
      <c r="AG53" s="294">
        <f t="shared" si="473"/>
        <v>3.2553944203331437E-3</v>
      </c>
      <c r="AH53" s="294">
        <f t="shared" si="473"/>
        <v>6.6513724242253311E-3</v>
      </c>
      <c r="AI53" s="294">
        <f t="shared" si="473"/>
        <v>5.4189225311265399E-3</v>
      </c>
      <c r="AJ53" s="294">
        <f t="shared" si="473"/>
        <v>6.3972405175853328E-2</v>
      </c>
      <c r="AK53" s="294">
        <f t="shared" si="473"/>
        <v>0</v>
      </c>
      <c r="AL53" s="433">
        <v>0.70012701874218441</v>
      </c>
      <c r="AM53" s="433">
        <v>0.11153485239629411</v>
      </c>
      <c r="AN53" s="433">
        <v>1.5672899905353377E-6</v>
      </c>
      <c r="AO53" s="433">
        <v>0.15098288420742736</v>
      </c>
      <c r="AP53" s="433">
        <v>2.7339098786515609E-3</v>
      </c>
      <c r="AQ53" s="433">
        <v>5.4607416734748972E-3</v>
      </c>
      <c r="AR53" s="433">
        <v>6.2759852572614235E-4</v>
      </c>
      <c r="AS53" s="433">
        <v>2.8531149218671809E-2</v>
      </c>
      <c r="AT53" s="433">
        <v>0</v>
      </c>
      <c r="AU53" s="433">
        <v>0.38616564115023083</v>
      </c>
      <c r="AV53" s="433">
        <v>1.9794758820676162E-2</v>
      </c>
      <c r="AW53" s="433">
        <v>0</v>
      </c>
      <c r="AX53" s="433">
        <v>0.133426094068337</v>
      </c>
      <c r="AY53" s="433">
        <v>7.9961629810748093E-3</v>
      </c>
      <c r="AZ53" s="433">
        <v>1.7475288340138367E-2</v>
      </c>
      <c r="BA53" s="433">
        <v>4.8976413489311976E-2</v>
      </c>
      <c r="BB53" s="433">
        <v>0.38616564115023083</v>
      </c>
      <c r="BC53" s="433">
        <v>0</v>
      </c>
      <c r="BD53" s="554">
        <f>BG53*$B53/10^3</f>
        <v>1.1622111478211095</v>
      </c>
      <c r="BE53" s="554">
        <f t="shared" ref="BE53:BF56" si="474">BH53*$B53/10^3</f>
        <v>0.57656949197400642</v>
      </c>
      <c r="BF53" s="554">
        <f t="shared" si="474"/>
        <v>0.58564165584710315</v>
      </c>
      <c r="BG53" s="67">
        <f t="shared" ref="BG53:BG56" si="475">BH53+BI53</f>
        <v>261.7592675272769</v>
      </c>
      <c r="BH53" s="67">
        <f>(BK53*$C53+CF53*$D53)/$B53</f>
        <v>129.85799368783927</v>
      </c>
      <c r="BI53" s="67">
        <f>(BU53*$C53+CP53*$D53)/$B53</f>
        <v>131.90127383943764</v>
      </c>
      <c r="BJ53" s="67">
        <f>BK53+BU53</f>
        <v>269.25069178855722</v>
      </c>
      <c r="BK53" s="68">
        <f t="shared" ref="BK53:BK56" si="476">$AL53*BL53+$AM53*BM53+$AN53*BN53+$AO53*BO53+$AP53*BP53+$AQ53*BQ53+$AR53*BR53+$AS53*BS53+$AT53*BT53</f>
        <v>134.6909834303483</v>
      </c>
      <c r="BL53" s="145">
        <v>159.80753369625972</v>
      </c>
      <c r="BM53" s="145">
        <v>136.65050165830249</v>
      </c>
      <c r="BN53" s="145">
        <v>20.633264203177664</v>
      </c>
      <c r="BO53" s="145">
        <v>39.547990377094386</v>
      </c>
      <c r="BP53" s="145">
        <v>9.3828042737767507</v>
      </c>
      <c r="BQ53" s="145">
        <v>1.3040617382062472</v>
      </c>
      <c r="BR53" s="145">
        <v>5.8023435991088203E-2</v>
      </c>
      <c r="BS53" s="145">
        <v>54.684319082409644</v>
      </c>
      <c r="BT53" s="145">
        <v>0</v>
      </c>
      <c r="BU53" s="68">
        <f t="shared" ref="BU53:BU56" si="477">$AL53*BV53+$AM53*BW53+$AN53*BX53+$AO53*BY53+$AP53*BZ53+$AQ53*CA53+$AR53*CB53+$AS53*CC53+$AT53*CD53</f>
        <v>134.55970835820895</v>
      </c>
      <c r="BV53" s="145">
        <v>145.54928226838186</v>
      </c>
      <c r="BW53" s="145">
        <v>94.587037299308108</v>
      </c>
      <c r="BX53" s="145">
        <v>57.138270101107388</v>
      </c>
      <c r="BY53" s="145">
        <v>136.50669238135637</v>
      </c>
      <c r="BZ53" s="145">
        <v>59.170263956914468</v>
      </c>
      <c r="CA53" s="145">
        <v>23.409974054710254</v>
      </c>
      <c r="CB53" s="145">
        <v>0.64908244264639692</v>
      </c>
      <c r="CC53" s="145">
        <v>42.294090424700357</v>
      </c>
      <c r="CD53" s="145">
        <v>0</v>
      </c>
      <c r="CE53" s="68">
        <f t="shared" ref="CE53:CE56" si="478">CF53+CP53</f>
        <v>193.65541060654684</v>
      </c>
      <c r="CF53" s="68">
        <f t="shared" ref="CF53:CF56" si="479">$AU53*CG53+$AV53*CH53+$AW53*CI53+$AX53*CJ53+$AY53*CK53+$AZ53*CL53+$BA53*CM53+$BB53*CN53+$BC53*CO53</f>
        <v>85.921723301393726</v>
      </c>
      <c r="CG53" s="145">
        <v>187.42212663034564</v>
      </c>
      <c r="CH53" s="145">
        <v>248.63624380014434</v>
      </c>
      <c r="CI53" s="145">
        <v>0</v>
      </c>
      <c r="CJ53" s="145">
        <v>36.780760158190631</v>
      </c>
      <c r="CK53" s="145">
        <v>7.9982887930854156</v>
      </c>
      <c r="CL53" s="145">
        <v>1.1020683940267635</v>
      </c>
      <c r="CM53" s="145">
        <v>3.3114178131821465E-2</v>
      </c>
      <c r="CN53" s="145">
        <v>9.4044968691644613</v>
      </c>
      <c r="CO53" s="145">
        <v>0</v>
      </c>
      <c r="CP53" s="68">
        <f t="shared" ref="CP53:CP56" si="480">$AU53*CQ53+$AV53*CR53+$AW53*CS53+$AX53*CT53+$AY53*CU53+$AZ53*CV53+$BA53*CW53+$BB53*CX53+$BC53*CY53</f>
        <v>107.73368730515311</v>
      </c>
      <c r="CQ53" s="145">
        <v>190.8312263229279</v>
      </c>
      <c r="CR53" s="145">
        <v>159.52143984142671</v>
      </c>
      <c r="CS53" s="145">
        <v>0</v>
      </c>
      <c r="CT53" s="145">
        <v>201.26838383191318</v>
      </c>
      <c r="CU53" s="145">
        <v>63.355620905802034</v>
      </c>
      <c r="CV53" s="145">
        <v>20.586430291883289</v>
      </c>
      <c r="CW53" s="145">
        <v>0.26443133878636282</v>
      </c>
      <c r="CX53" s="145">
        <v>8.1565390292185747</v>
      </c>
      <c r="CY53" s="145">
        <v>0</v>
      </c>
      <c r="CZ53" s="554">
        <f>DC53*$B53/10^3</f>
        <v>0.46143124188532736</v>
      </c>
      <c r="DA53" s="554">
        <f t="shared" ref="DA53:DB56" si="481">DD53*$B53/10^3</f>
        <v>2.2200000000000001E-2</v>
      </c>
      <c r="DB53" s="554">
        <f t="shared" si="481"/>
        <v>0.43923124188532742</v>
      </c>
      <c r="DC53" s="32">
        <f t="shared" ref="DC53:DC56" si="482">DD53+DE53</f>
        <v>103.92595537957823</v>
      </c>
      <c r="DD53" s="32">
        <f t="shared" ref="DD53:DE56" si="483">(DH53*$C53+DO53*$D53)/$B53</f>
        <v>4.9999999999999991</v>
      </c>
      <c r="DE53" s="67">
        <f t="shared" si="483"/>
        <v>98.925955379578227</v>
      </c>
      <c r="DF53" s="270"/>
      <c r="DG53" s="67">
        <f t="shared" ref="DG53:DG56" si="484">DH53+DI53</f>
        <v>105.91978126865672</v>
      </c>
      <c r="DH53" s="33">
        <v>5</v>
      </c>
      <c r="DI53" s="67">
        <f>(1-DK53)*BU53</f>
        <v>100.91978126865672</v>
      </c>
      <c r="DJ53" s="67"/>
      <c r="DK53" s="34">
        <f t="shared" ref="DK53:DK56" si="485">DK$17</f>
        <v>0.25</v>
      </c>
      <c r="DL53" s="159"/>
      <c r="DM53" s="159"/>
      <c r="DN53" s="68">
        <f t="shared" ref="DN53:DN56" si="486">DO53+DP53</f>
        <v>85.80026547886483</v>
      </c>
      <c r="DO53" s="33">
        <v>5</v>
      </c>
      <c r="DP53" s="67">
        <f>(1-DR53)*CP53</f>
        <v>80.80026547886483</v>
      </c>
      <c r="DQ53" s="67"/>
      <c r="DR53" s="34">
        <f t="shared" ref="DR53:DR56" si="487">DR$17</f>
        <v>0.25</v>
      </c>
      <c r="DS53" s="294"/>
      <c r="DT53" s="294"/>
      <c r="DU53" s="294"/>
      <c r="DV53" s="67">
        <f t="shared" si="463"/>
        <v>157.83331214769868</v>
      </c>
      <c r="DW53" s="67">
        <f t="shared" si="463"/>
        <v>124.85799368783927</v>
      </c>
      <c r="DX53" s="67">
        <f t="shared" si="463"/>
        <v>32.975318459859409</v>
      </c>
      <c r="DY53" s="67">
        <f t="shared" si="464"/>
        <v>163.3309105199005</v>
      </c>
      <c r="DZ53" s="67">
        <f t="shared" si="464"/>
        <v>129.6909834303483</v>
      </c>
      <c r="EA53" s="67">
        <f>BU53-DI53</f>
        <v>33.639927089552231</v>
      </c>
      <c r="EB53" s="67">
        <f t="shared" si="465"/>
        <v>107.85514512768201</v>
      </c>
      <c r="EC53" s="67">
        <f t="shared" si="465"/>
        <v>80.921723301393726</v>
      </c>
      <c r="ED53" s="67">
        <f>CP53-DP53</f>
        <v>26.933421826288281</v>
      </c>
      <c r="EE53" s="68">
        <f>EF53+EG53</f>
        <v>126.13584412185149</v>
      </c>
      <c r="EF53" s="67">
        <f>(EJ53*$C53+FF53*$D53)/$B53</f>
        <v>100.63762110432737</v>
      </c>
      <c r="EG53" s="67">
        <f t="shared" ref="EG53:EG56" si="488">(EV53*$C53+FR53*$D53)/$B53</f>
        <v>25.498223017524122</v>
      </c>
      <c r="EH53" s="261">
        <f t="shared" ref="EH53:EH56" si="489">EJ53+EV53</f>
        <v>130.55896697095716</v>
      </c>
      <c r="EI53" s="154">
        <f>EH53/($BJ53-$DG53)</f>
        <v>0.79935247134405485</v>
      </c>
      <c r="EJ53" s="108">
        <f>EK53+EL53-DH53</f>
        <v>104.50370107246951</v>
      </c>
      <c r="EK53" s="126">
        <f>'Allometrics &amp; Decay rates'!$H$5*$AL53*BL53+'Allometrics &amp; Decay rates'!$H$6*$AM53*BM53+'Allometrics &amp; Decay rates'!$H$7*$AN53*BN53+'Allometrics &amp; Decay rates'!$H$8*$AO53*BO53+'Allometrics &amp; Decay rates'!$H$9*$AP53*BP53+'Allometrics &amp; Decay rates'!$H$10*$AQ53*BQ53+'Allometrics &amp; Decay rates'!$H$11*$AR53*BR53+'Allometrics &amp; Decay rates'!$H$12*$AS53*BS53+'Allometrics &amp; Decay rates'!$H$13*$AT53*BT53</f>
        <v>57.889045408703105</v>
      </c>
      <c r="EL53" s="97">
        <f t="shared" ref="EL53:EL56" si="490">SUM(EM53:EU53)</f>
        <v>51.614655663766413</v>
      </c>
      <c r="EM53" s="550">
        <f>AL53*BL53*('Allometrics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43.862229253188787</v>
      </c>
      <c r="EN53" s="550">
        <f>AM53*BM53*('Allometrics &amp; Decay rates'!$I$6*((EXP('Allometrics &amp; Decay rates'!$K$6)-1)/('Discounting metrics'!$D$4+'Allometrics &amp; Decay rates'!$K$6)*(1-EXP(-('Discounting metrics'!$D$4+'Allometrics &amp; Decay rates'!$K$6)*'Discounting metrics'!$E$4))-(1-EXP(-'Allometrics &amp; Decay rates'!$K$6))/1.55)+'Allometrics &amp; Decay rates'!$E$6*((EXP('Allometrics &amp; Decay rates'!$L$6)-1)/('Discounting metrics'!$D$4+'Allometrics &amp; Decay rates'!$L$6)*(1-EXP(-('Discounting metrics'!$D$4+'Allometrics &amp; Decay rates'!$L$6)*'Discounting metrics'!$E$4))-(1-EXP(-'Allometrics &amp; Decay rates'!$L$6))/1.55))</f>
        <v>3.7171656275764691</v>
      </c>
      <c r="EO53" s="550">
        <f>AN53*BN53*('Allometrics &amp; Decay rates'!$I$7*((EXP('Allometrics &amp; Decay rates'!$K$7)-1)/('Discounting metrics'!$D$4+'Allometrics &amp; Decay rates'!$K$7)*(1-EXP(-('Discounting metrics'!$D$4+'Allometrics &amp; Decay rates'!$K$7)*'Discounting metrics'!$E$4))-(1-EXP(-'Allometrics &amp; Decay rates'!$K$7))/1.55)+'Allometrics &amp; Decay rates'!$E$7*((EXP('Allometrics &amp; Decay rates'!$L$7)-1)/('Discounting metrics'!$D$4+'Allometrics &amp; Decay rates'!$L$7)*(1-EXP(-('Discounting metrics'!$D$4+'Allometrics &amp; Decay rates'!$L$7)*'Discounting metrics'!$E$4))-(1-EXP(-'Allometrics &amp; Decay rates'!$L$7))/1.55))</f>
        <v>6.8851966867060009E-6</v>
      </c>
      <c r="EP53" s="550">
        <f>AO53*BO53*('Allometrics &amp; Decay rates'!$I$8*((EXP('Allometrics &amp; Decay rates'!$K$8)-1)/('Discounting metrics'!$D$4+'Allometrics &amp; Decay rates'!$K$8)*(1-EXP(-('Discounting metrics'!$D$4+'Allometrics &amp; Decay rates'!$K$8)*'Discounting metrics'!$E$4))-(1-EXP(-'Allometrics &amp; Decay rates'!$K$8))/1.55)+'Allometrics &amp; Decay rates'!$E$8*((EXP('Allometrics &amp; Decay rates'!$L$8)-1)/('Discounting metrics'!$D$4+'Allometrics &amp; Decay rates'!$L$8)*(1-EXP(-('Discounting metrics'!$D$4+'Allometrics &amp; Decay rates'!$L$8)*'Discounting metrics'!$E$4))-(1-EXP(-'Allometrics &amp; Decay rates'!$L$8))/1.55))</f>
        <v>3.3806190612529372</v>
      </c>
      <c r="EQ53" s="550">
        <f>AP53*BP53*('Allometrics &amp; Decay rates'!$I$9*((EXP('Allometrics &amp; Decay rates'!$K$9)-1)/('Discounting metrics'!$D$4+'Allometrics &amp; Decay rates'!$K$9)*(1-EXP(-('Discounting metrics'!$D$4+'Allometrics &amp; Decay rates'!$K$9)*'Discounting metrics'!$E$4))-(1-EXP(-'Allometrics &amp; Decay rates'!$K$9))/1.55)+'Allometrics &amp; Decay rates'!$E$9*((EXP('Allometrics &amp; Decay rates'!$L$9)-1)/('Discounting metrics'!$D$4+'Allometrics &amp; Decay rates'!$L$9)*(1-EXP(-('Discounting metrics'!$D$4+'Allometrics &amp; Decay rates'!$L$9)*'Discounting metrics'!$E$4))-(1-EXP(-'Allometrics &amp; Decay rates'!$L$9))/1.55))</f>
        <v>1.344473506811642E-2</v>
      </c>
      <c r="ER53" s="550">
        <f>AQ53*BQ53*('Allometrics &amp; Decay rates'!$I$10*((EXP('Allometrics &amp; Decay rates'!$K$10)-1)/('Discounting metrics'!$D$4+'Allometrics &amp; Decay rates'!$K$10)*(1-EXP(-('Discounting metrics'!$D$4+'Allometrics &amp; Decay rates'!$K$10)*'Discounting metrics'!$E$4))-(1-EXP(-'Allometrics &amp; Decay rates'!$K$10))/1.55)+'Allometrics &amp; Decay rates'!$E$10*((EXP('Allometrics &amp; Decay rates'!$L$10)-1)/('Discounting metrics'!$D$4+'Allometrics &amp; Decay rates'!$L$10)*(1-EXP(-('Discounting metrics'!$D$4+'Allometrics &amp; Decay rates'!$L$10)*'Discounting metrics'!$E$4))-(1-EXP(-'Allometrics &amp; Decay rates'!$L$10))/1.55))</f>
        <v>4.5303383945116717E-3</v>
      </c>
      <c r="ES53" s="550">
        <f>AR53*BR53*('Allometrics &amp; Decay rates'!$I$11*((EXP('Allometrics &amp; Decay rates'!$K$11)-1)/('Discounting metrics'!$D$4+'Allometrics &amp; Decay rates'!$K$11)*(1-EXP(-('Discounting metrics'!$D$4+'Allometrics &amp; Decay rates'!$K$11)*'Discounting metrics'!$E$4))-(1-EXP(-'Allometrics &amp; Decay rates'!$K$11))/1.55)+'Allometrics &amp; Decay rates'!$E$11*((EXP('Allometrics &amp; Decay rates'!$L$11)-1)/('Discounting metrics'!$D$4+'Allometrics &amp; Decay rates'!$L$11)*(1-EXP(-('Discounting metrics'!$D$4+'Allometrics &amp; Decay rates'!$L$11)*'Discounting metrics'!$E$4))-(1-EXP(-'Allometrics &amp; Decay rates'!$L$11))/1.55))</f>
        <v>2.5847347521886649E-5</v>
      </c>
      <c r="ET53" s="550">
        <f>AS53*BS53*('Allometrics &amp; Decay rates'!$I$12*((EXP('Allometrics &amp; Decay rates'!$K$12)-1)/('Discounting metrics'!$D$4+'Allometrics &amp; Decay rates'!$K$12)*(1-EXP(-('Discounting metrics'!$D$4+'Allometrics &amp; Decay rates'!$K$12)*'Discounting metrics'!$E$4))-(1-EXP(-'Allometrics &amp; Decay rates'!$K$12))/1.55)+'Allometrics &amp; Decay rates'!$E$12*((EXP('Allometrics &amp; Decay rates'!$L$12)-1)/('Discounting metrics'!$D$4+'Allometrics &amp; Decay rates'!$L$12)*(1-EXP(-('Discounting metrics'!$D$4+'Allometrics &amp; Decay rates'!$L$12)*'Discounting metrics'!$E$4))-(1-EXP(-'Allometrics &amp; Decay rates'!$L$12))/1.55))</f>
        <v>0.63663391574137962</v>
      </c>
      <c r="EU53" s="550">
        <f>AT53*BT53*('Allometrics &amp; Decay rates'!$I$13*((EXP('Allometrics &amp; Decay rates'!$K$13)-1)/('Discounting metrics'!$D$4+'Allometrics &amp; Decay rates'!$K$13)*(1-EXP(-('Discounting metrics'!$D$4+'Allometrics &amp; Decay rates'!$K$13)*'Discounting metrics'!$E$4))-(1-EXP(-'Allometrics &amp; Decay rates'!$K$13))/1.55)+'Allometrics &amp; Decay rates'!$E$13*((EXP('Allometrics &amp; Decay rates'!$L$13)-1)/('Discounting metrics'!$D$4+'Allometrics &amp; Decay rates'!$L$13)*(1-EXP(-('Discounting metrics'!$D$4+'Allometrics &amp; Decay rates'!$L$13)*'Discounting metrics'!$E$4))-(1-EXP(-'Allometrics &amp; Decay rates'!$L$13))/1.55))</f>
        <v>0</v>
      </c>
      <c r="EV53" s="108">
        <f t="shared" ref="EV53:EV56" si="491">SUM(EW53:FC53)</f>
        <v>26.055265898487654</v>
      </c>
      <c r="EW53" s="550">
        <f>AL53*BV53*$DK53*((EXP('Allometrics &amp; Decay rates'!$M$5)-1)/('Discounting metrics'!$D$4+'Allometrics &amp; Decay rates'!$M$5)*(1-EXP(-('Discounting metrics'!$D$4+'Allometrics &amp; Decay rates'!$M$5)*'Discounting metrics'!$E$4))-(1-EXP(-'Allometrics &amp; Decay rates'!$M$5))/1.55)</f>
        <v>19.910382111707744</v>
      </c>
      <c r="EX53" s="550">
        <f>AM53*BW53*$DK53*((EXP('Allometrics &amp; Decay rates'!$M$5)-1)/('Discounting metrics'!$D$4+'Allometrics &amp; Decay rates'!$M$5)*(1-EXP(-('Discounting metrics'!$D$4+'Allometrics &amp; Decay rates'!$M$5)*'Discounting metrics'!$E$4))-(1-EXP(-'Allometrics &amp; Decay rates'!$M$5))/1.55)</f>
        <v>2.0612701217076173</v>
      </c>
      <c r="EY53" s="550">
        <f>AN53*BX53*$DK53*((EXP('Allometrics &amp; Decay rates'!$M$5)-1)/('Discounting metrics'!$D$4+'Allometrics &amp; Decay rates'!$M$5)*(1-EXP(-('Discounting metrics'!$D$4+'Allometrics &amp; Decay rates'!$M$5)*'Discounting metrics'!$E$4))-(1-EXP(-'Allometrics &amp; Decay rates'!$M$5))/1.55)</f>
        <v>1.7497223386341484E-5</v>
      </c>
      <c r="EZ53" s="550">
        <f>AO53*BY53*$DK53*((EXP('Allometrics &amp; Decay rates'!$M$5)-1)/('Discounting metrics'!$D$4+'Allometrics &amp; Decay rates'!$M$5)*(1-EXP(-('Discounting metrics'!$D$4+'Allometrics &amp; Decay rates'!$M$5)*'Discounting metrics'!$E$4))-(1-EXP(-'Allometrics &amp; Decay rates'!$M$5))/1.55)</f>
        <v>4.0269324986283666</v>
      </c>
      <c r="FA53" s="550">
        <f>AP53*BZ53*$DK53*((EXP('Allometrics &amp; Decay rates'!$M$5)-1)/('Discounting metrics'!$D$4+'Allometrics &amp; Decay rates'!$M$5)*(1-EXP(-('Discounting metrics'!$D$4+'Allometrics &amp; Decay rates'!$M$5)*'Discounting metrics'!$E$4))-(1-EXP(-'Allometrics &amp; Decay rates'!$M$5))/1.55)</f>
        <v>3.1606789911494071E-2</v>
      </c>
      <c r="FB53" s="550">
        <f>AQ53*CA53*$DK53*((EXP('Allometrics &amp; Decay rates'!$M$5)-1)/('Discounting metrics'!$D$4+'Allometrics &amp; Decay rates'!$M$5)*(1-EXP(-('Discounting metrics'!$D$4+'Allometrics &amp; Decay rates'!$M$5)*'Discounting metrics'!$E$4))-(1-EXP(-'Allometrics &amp; Decay rates'!$M$5))/1.55)</f>
        <v>2.4977286384002463E-2</v>
      </c>
      <c r="FC53" s="550">
        <f>AR53*CB53*$DK53*((EXP('Allometrics &amp; Decay rates'!$M$5)-1)/('Discounting metrics'!$D$4+'Allometrics &amp; Decay rates'!$M$5)*(1-EXP(-('Discounting metrics'!$D$4+'Allometrics &amp; Decay rates'!$M$5)*'Discounting metrics'!$E$4))-(1-EXP(-'Allometrics &amp; Decay rates'!$M$5))/1.55)</f>
        <v>7.9592925048535581E-5</v>
      </c>
      <c r="FD53" s="261">
        <f t="shared" ref="FD53:FD56" si="492">FF53+FR53</f>
        <v>85.925636402709131</v>
      </c>
      <c r="FE53" s="154">
        <f>FD53/($CE53-$DN53)</f>
        <v>0.79667628559572101</v>
      </c>
      <c r="FF53" s="108">
        <f t="shared" ref="FF53:FF56" si="493">FG53+FH53-$DO53</f>
        <v>65.49143957576257</v>
      </c>
      <c r="FG53" s="126">
        <f>'Allometrics &amp; Decay rates'!$H$5*$AU53*CG53+'Allometrics &amp; Decay rates'!$H$6*$AV53*CH53+'Allometrics &amp; Decay rates'!$H$7*$AW53*CI53+'Allometrics &amp; Decay rates'!$H$8*$AX53*CJ53+'Allometrics &amp; Decay rates'!$H$9*$AY53*CK53+'Allometrics &amp; Decay rates'!$H$10*$AZ53*CL53+'Allometrics &amp; Decay rates'!$H$11*$BA53*CM53+'Allometrics &amp; Decay rates'!$H$12*$BB53*CN53+'Allometrics &amp; Decay rates'!$H$13*$BC53*CO53</f>
        <v>36.807754957494453</v>
      </c>
      <c r="FH53" s="97">
        <f t="shared" ref="FH53:FH56" si="494">SUM(FI53:FQ53)</f>
        <v>33.683684618268117</v>
      </c>
      <c r="FI53" s="550">
        <f>AU53*CG53*('Allometrics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28.373381985915362</v>
      </c>
      <c r="FJ53" s="550">
        <f>AV53*CH53*('Allometrics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1.929439940045536</v>
      </c>
      <c r="FK53" s="550">
        <f>AW53*CI53*('Allometrics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L53" s="550">
        <f>AX53*CJ53*('Allometrics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1.9238804734202406</v>
      </c>
      <c r="FM53" s="550">
        <f>AY53*CK53*('Allometrics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2.5072366759478378E-2</v>
      </c>
      <c r="FN53" s="550">
        <f>AZ53*CL53*('Allometrics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7.5500444982351386E-3</v>
      </c>
      <c r="FO53" s="550">
        <f>BA53*CM53*('Allometrics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6.3579568037028505E-4</v>
      </c>
      <c r="FP53" s="550">
        <f>BB53*CN53*('Allometrics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1.4237240119488885</v>
      </c>
      <c r="FQ53" s="550">
        <f>BC53*CO53*('Allometrics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R53" s="108">
        <f t="shared" ref="FR53:FR56" si="495">SUM(FS53:FY53)</f>
        <v>20.434196826946568</v>
      </c>
      <c r="FS53" s="550">
        <f>AU53*CQ53*$DK53*((EXP('Allometrics &amp; Decay rates'!$M$5)-1)/('Discounting metrics'!$D$4+'Allometrics &amp; Decay rates'!$M$5)*(1-EXP(-('Discounting metrics'!$D$4+'Allometrics &amp; Decay rates'!$M$5)*'Discounting metrics'!$E$4))-(1-EXP(-'Allometrics &amp; Decay rates'!$M$5))/1.55)</f>
        <v>14.398450578362191</v>
      </c>
      <c r="FT53" s="550">
        <f>AV53*CR53*$DK53*((EXP('Allometrics &amp; Decay rates'!$M$5)-1)/('Discounting metrics'!$D$4+'Allometrics &amp; Decay rates'!$M$5)*(1-EXP(-('Discounting metrics'!$D$4+'Allometrics &amp; Decay rates'!$M$5)*'Discounting metrics'!$E$4))-(1-EXP(-'Allometrics &amp; Decay rates'!$M$5))/1.55)</f>
        <v>0.61696704127834434</v>
      </c>
      <c r="FU53" s="550">
        <f>AW53*CS53*$DK53*((EXP('Allometrics &amp; Decay rates'!$M$5)-1)/('Discounting metrics'!$D$4+'Allometrics &amp; Decay rates'!$M$5)*(1-EXP(-('Discounting metrics'!$D$4+'Allometrics &amp; Decay rates'!$M$5)*'Discounting metrics'!$E$4))-(1-EXP(-'Allometrics &amp; Decay rates'!$M$5))/1.55)</f>
        <v>0</v>
      </c>
      <c r="FV53" s="550">
        <f>AX53*CT53*$DK53*((EXP('Allometrics &amp; Decay rates'!$M$5)-1)/('Discounting metrics'!$D$4+'Allometrics &amp; Decay rates'!$M$5)*(1-EXP(-('Discounting metrics'!$D$4+'Allometrics &amp; Decay rates'!$M$5)*'Discounting metrics'!$E$4))-(1-EXP(-'Allometrics &amp; Decay rates'!$M$5))/1.55)</f>
        <v>5.2469753109228421</v>
      </c>
      <c r="FW53" s="550">
        <f>AY53*CU53*$DK53*((EXP('Allometrics &amp; Decay rates'!$M$5)-1)/('Discounting metrics'!$D$4+'Allometrics &amp; Decay rates'!$M$5)*(1-EXP(-('Discounting metrics'!$D$4+'Allometrics &amp; Decay rates'!$M$5)*'Discounting metrics'!$E$4))-(1-EXP(-'Allometrics &amp; Decay rates'!$M$5))/1.55)</f>
        <v>9.8982741412050823E-2</v>
      </c>
      <c r="FX53" s="550">
        <f>AZ53*CV53*$DK53*((EXP('Allometrics &amp; Decay rates'!$M$5)-1)/('Discounting metrics'!$D$4+'Allometrics &amp; Decay rates'!$M$5)*(1-EXP(-('Discounting metrics'!$D$4+'Allometrics &amp; Decay rates'!$M$5)*'Discounting metrics'!$E$4))-(1-EXP(-'Allometrics &amp; Decay rates'!$M$5))/1.55)</f>
        <v>7.029073508808073E-2</v>
      </c>
      <c r="FY53" s="550">
        <f>BA53*CW53*$DK53*((EXP('Allometrics &amp; Decay rates'!$M$5)-1)/('Discounting metrics'!$D$4+'Allometrics &amp; Decay rates'!$M$5)*(1-EXP(-('Discounting metrics'!$D$4+'Allometrics &amp; Decay rates'!$M$5)*'Discounting metrics'!$E$4))-(1-EXP(-'Allometrics &amp; Decay rates'!$M$5))/1.55)</f>
        <v>2.5304198830573004E-3</v>
      </c>
      <c r="FZ53" s="68"/>
      <c r="GA53" s="293"/>
      <c r="GB53" s="293"/>
      <c r="GP53" s="32">
        <f t="shared" ref="GP53:GP56" si="496">(GQ53*$C53+GR53*$D53)/$B53</f>
        <v>8.9527927927927919</v>
      </c>
      <c r="GQ53" s="33">
        <v>9.15</v>
      </c>
      <c r="GR53" s="99">
        <v>7.16</v>
      </c>
      <c r="GS53" s="99"/>
      <c r="GT53" s="99"/>
      <c r="GU53" s="99"/>
      <c r="GV53" s="99"/>
      <c r="GW53" s="99"/>
      <c r="GX53" s="99"/>
      <c r="GY53" s="99"/>
      <c r="GZ53" s="99"/>
      <c r="HA53" s="99"/>
      <c r="HB53" s="99"/>
      <c r="HF53" s="97">
        <f>HG53*$LI53</f>
        <v>0.28393991376203087</v>
      </c>
      <c r="HG53" s="526">
        <f>EE53/'Discounting metrics'!E$4/M53</f>
        <v>1.1357596550481235</v>
      </c>
      <c r="HH53" s="527">
        <f>10^3*HG53/$LM53</f>
        <v>113.57596550481234</v>
      </c>
      <c r="HI53" s="528">
        <f>HG53/$LO53</f>
        <v>37.858655168270786</v>
      </c>
      <c r="HJ53" s="97">
        <f>HK53*$LI53</f>
        <v>0.31109907056481023</v>
      </c>
      <c r="HK53" s="526">
        <f>EH53/'Discounting metrics'!E$4/O53</f>
        <v>1.2443962822592409</v>
      </c>
      <c r="HL53" s="527">
        <f>10^3*HK53/$LM53</f>
        <v>124.4396282259241</v>
      </c>
      <c r="HM53" s="528">
        <f>HK53/$LO53</f>
        <v>41.479876075308034</v>
      </c>
      <c r="HN53" s="97">
        <f>HO53*$LI53</f>
        <v>0.12871879700817809</v>
      </c>
      <c r="HO53" s="526">
        <f>FD53/'Discounting metrics'!E$4/Q53</f>
        <v>0.51487518803271237</v>
      </c>
      <c r="HP53" s="527">
        <f>10^3*HO53/$LM53</f>
        <v>51.487518803271236</v>
      </c>
      <c r="HQ53" s="528">
        <f>HO53/$LO53</f>
        <v>17.162506267757081</v>
      </c>
      <c r="HR53" s="97">
        <f>HS53*$LI53</f>
        <v>0.24672698336361615</v>
      </c>
      <c r="HS53" s="263">
        <f>$IM$11*IE53</f>
        <v>0.98690793345446459</v>
      </c>
      <c r="HT53" s="527">
        <f>10^3*HS53/$LM53</f>
        <v>98.690793345446451</v>
      </c>
      <c r="HU53" s="528">
        <f>HS53/$LO53</f>
        <v>32.896931115148824</v>
      </c>
      <c r="HV53" s="97">
        <f>HW53*$LI53</f>
        <v>0.26692133609711294</v>
      </c>
      <c r="HW53" s="263">
        <f>$IM$11*IH53</f>
        <v>1.0676853443884518</v>
      </c>
      <c r="HX53" s="527">
        <f>10^3*HW53/$LM53</f>
        <v>106.76853443884518</v>
      </c>
      <c r="HY53" s="528">
        <f>HW53/$LO53</f>
        <v>35.589511479615062</v>
      </c>
      <c r="HZ53" s="97">
        <f>I53*$LI53</f>
        <v>1.0687500000000001</v>
      </c>
      <c r="IA53" s="263">
        <f>$IM$11*IK53</f>
        <v>0.52524559155233241</v>
      </c>
      <c r="IB53" s="527">
        <f>10^3*I53/$LM53</f>
        <v>427.5</v>
      </c>
      <c r="IC53" s="528">
        <f>I53/$LO53</f>
        <v>142.50000000000003</v>
      </c>
      <c r="ID53" s="97">
        <f>IE53*$LI53</f>
        <v>0.49460481783794541</v>
      </c>
      <c r="IE53" s="263">
        <f>GP53/G53</f>
        <v>1.9784192713517816</v>
      </c>
      <c r="IF53" s="68">
        <f>10^3*IE53/$LM53</f>
        <v>197.84192713517817</v>
      </c>
      <c r="IG53" s="97">
        <f>IH53*$LI53</f>
        <v>0.53508771929824561</v>
      </c>
      <c r="IH53" s="263">
        <f>GQ53/I53</f>
        <v>2.1403508771929824</v>
      </c>
      <c r="II53" s="68">
        <f>10^3*IH53/$LM53</f>
        <v>214.03508771929825</v>
      </c>
      <c r="IJ53" s="97">
        <f>IK53*$LI53</f>
        <v>0.26323529411764707</v>
      </c>
      <c r="IK53" s="263">
        <f>GR53/K53</f>
        <v>1.0529411764705883</v>
      </c>
      <c r="IL53" s="68">
        <f>10^3*IK53/$LM53</f>
        <v>105.29411764705883</v>
      </c>
      <c r="IM53" s="60"/>
      <c r="IN53" s="60"/>
      <c r="IO53" s="60"/>
      <c r="IP53" s="554">
        <f>IR53*$V53</f>
        <v>8.1623132639999998</v>
      </c>
      <c r="IQ53" s="262">
        <f>IR53*$LI53</f>
        <v>0.10156173183356558</v>
      </c>
      <c r="IR53" s="166">
        <f>(IW53*Y53+JD53*AA53)/V53</f>
        <v>0.40624692733426232</v>
      </c>
      <c r="IS53" s="68">
        <f>10^3*IR53/$LM53</f>
        <v>40.62469273342623</v>
      </c>
      <c r="IT53" s="97">
        <f>IR53/$LO53</f>
        <v>13.541564244475412</v>
      </c>
      <c r="IU53" s="429">
        <f>(IX53*C53+JE53*D53)/B53</f>
        <v>3.3695495495495491E-2</v>
      </c>
      <c r="IV53" s="262">
        <f>IW53*$LI53</f>
        <v>9.5396736842105256E-2</v>
      </c>
      <c r="IW53" s="436">
        <f>IX53*JB53/I53</f>
        <v>0.38158694736842103</v>
      </c>
      <c r="IX53" s="101">
        <v>2.9899999999999999E-2</v>
      </c>
      <c r="IY53" s="433">
        <v>1</v>
      </c>
      <c r="IZ53" s="433">
        <v>0</v>
      </c>
      <c r="JA53" s="434">
        <f>1-IY53-IZ53</f>
        <v>0</v>
      </c>
      <c r="JB53" s="430">
        <f>IY53*$JJ53+IZ53*$JK53+JA53*$JL53+'Discounting metrics'!$B$6*(IY53*$JM53+IZ53*$JN53+JA53*$JO53)/10^3+'Discounting metrics'!$B$5*(IY53*$JP53+IZ53*$JQ53+JA53*$JR53)/10^3</f>
        <v>54.558</v>
      </c>
      <c r="JC53" s="262">
        <f>JD53*$LI53</f>
        <v>0.13679616176470588</v>
      </c>
      <c r="JD53" s="436">
        <f>JE53*JI53/K53</f>
        <v>0.54718464705882353</v>
      </c>
      <c r="JE53" s="101">
        <v>6.8199999999999997E-2</v>
      </c>
      <c r="JF53" s="433">
        <v>1</v>
      </c>
      <c r="JG53" s="433">
        <v>0</v>
      </c>
      <c r="JH53" s="434">
        <f t="shared" ref="JH53:JH56" si="497">1-JF53-JG53</f>
        <v>0</v>
      </c>
      <c r="JI53" s="430">
        <f>JF53*$JJ53+JG53*$JK53+JH53*$JL53+'Discounting metrics'!$B$6*(JF53*$JM53+JG53*$JN53+JH53*$JO53)/10^3+'Discounting metrics'!$B$5*(JF53*$JP53+JG53*$JQ53+JH53*$JR53)/10^3</f>
        <v>54.558</v>
      </c>
      <c r="JJ53" s="431">
        <v>51.3</v>
      </c>
      <c r="JK53" s="431">
        <v>29</v>
      </c>
      <c r="JL53" s="431">
        <v>29</v>
      </c>
      <c r="JM53" s="99">
        <v>5</v>
      </c>
      <c r="JN53" s="431">
        <v>13</v>
      </c>
      <c r="JO53" s="431">
        <v>13</v>
      </c>
      <c r="JP53" s="431">
        <v>52</v>
      </c>
      <c r="JQ53" s="431">
        <v>58.3</v>
      </c>
      <c r="JR53" s="431">
        <v>58.3</v>
      </c>
      <c r="JS53" s="554">
        <f>JV53+JW53+JT53+JU53+JX53</f>
        <v>6.3793893427993602</v>
      </c>
      <c r="JT53" s="554">
        <f>KJ53*$V53</f>
        <v>2.4828557260774402</v>
      </c>
      <c r="JU53" s="554">
        <f>KL53*$V53</f>
        <v>0.22829356583040003</v>
      </c>
      <c r="JV53" s="554">
        <f>KN53*$V53</f>
        <v>1.4240942135296002</v>
      </c>
      <c r="JW53" s="554">
        <f>KP53*$V53</f>
        <v>2.2441458373619203</v>
      </c>
      <c r="JX53" s="554"/>
      <c r="JY53" s="167">
        <f>JZ53*LI53</f>
        <v>7.9377231520000008E-2</v>
      </c>
      <c r="JZ53" s="166">
        <f>KF53+KD53+KH53</f>
        <v>0.31750892608000003</v>
      </c>
      <c r="KA53" s="68">
        <f>10^3*JZ53/$LM53</f>
        <v>31.750892608000004</v>
      </c>
      <c r="KB53" s="97">
        <f>JZ53/$LO53</f>
        <v>10.583630869333335</v>
      </c>
      <c r="KC53" s="473">
        <f>KD53*LI53</f>
        <v>3.3734188880000002E-2</v>
      </c>
      <c r="KD53" s="269">
        <f>KJ53+KL53</f>
        <v>0.13493675552000001</v>
      </c>
      <c r="KE53" s="473">
        <f>KF53*LI53</f>
        <v>4.5643042639999999E-2</v>
      </c>
      <c r="KF53" s="269">
        <f>KN53+KP53</f>
        <v>0.18257217056</v>
      </c>
      <c r="KG53" s="49"/>
      <c r="KH53" s="49"/>
      <c r="KI53" s="435">
        <v>3.089358608E-2</v>
      </c>
      <c r="KJ53" s="522">
        <f>KI53/$LI53</f>
        <v>0.12357434432</v>
      </c>
      <c r="KK53" s="435">
        <v>2.8406028000000001E-3</v>
      </c>
      <c r="KL53" s="522">
        <f>KK53/$LI53</f>
        <v>1.13624112E-2</v>
      </c>
      <c r="KM53" s="435">
        <v>1.7719667200000001E-2</v>
      </c>
      <c r="KN53" s="522">
        <f>KM53/$LI53</f>
        <v>7.0878668800000003E-2</v>
      </c>
      <c r="KO53" s="435">
        <v>2.7923375439999999E-2</v>
      </c>
      <c r="KP53" s="522">
        <f>KO53/$LI53</f>
        <v>0.11169350175999999</v>
      </c>
      <c r="KQ53" s="599">
        <f>44/12*HG53+$JZ53+$IR53</f>
        <v>4.8882079219240486</v>
      </c>
      <c r="KR53" s="527">
        <f>10^3*KQ53/$LM53</f>
        <v>488.82079219240484</v>
      </c>
      <c r="KT53" s="599">
        <f>44/12*HK53+$JZ53+$IW53</f>
        <v>5.2618822417323052</v>
      </c>
      <c r="KU53" s="527">
        <f>10^3*KT53/$LM53</f>
        <v>526.18822417323054</v>
      </c>
      <c r="KW53" s="599">
        <f>44/12*HO53+$JZ53+$JD53</f>
        <v>2.7525692625921021</v>
      </c>
      <c r="KX53" s="527">
        <f>10^3*KW53/$LM53</f>
        <v>275.25692625921022</v>
      </c>
      <c r="KZ53" s="599">
        <f>44/12*HS53+$JZ53+$IR53</f>
        <v>4.3424182760806325</v>
      </c>
      <c r="LA53" s="527">
        <f>10^3*KZ53/$LM53</f>
        <v>434.24182760806326</v>
      </c>
      <c r="LC53" s="599">
        <f>44/12*HW53+$JZ53+$IW53</f>
        <v>4.6139421362060773</v>
      </c>
      <c r="LD53" s="527">
        <f>10^3*LC53/$LM53</f>
        <v>461.39421362060773</v>
      </c>
      <c r="LF53" s="599">
        <f>44/12*I53+$JZ53+$JD53</f>
        <v>16.539693573138823</v>
      </c>
      <c r="LG53" s="527">
        <f>10^3*LF53/$LM53</f>
        <v>1653.9693573138823</v>
      </c>
      <c r="LI53" s="31">
        <v>0.25</v>
      </c>
      <c r="LJ53" s="32">
        <f t="shared" ref="LJ53:LJ56" si="498">$LI53*LK53</f>
        <v>4.5</v>
      </c>
      <c r="LK53" s="27">
        <v>18</v>
      </c>
      <c r="LL53" s="32">
        <f t="shared" ref="LL53:LL56" si="499">$LI53*LM53</f>
        <v>2.5</v>
      </c>
      <c r="LM53" s="33">
        <v>10</v>
      </c>
      <c r="LN53" s="36">
        <f t="shared" ref="LN53:LN56" si="500">$LI53*LO53</f>
        <v>7.4999999999999997E-3</v>
      </c>
      <c r="LO53" s="35">
        <v>0.03</v>
      </c>
      <c r="LP53" s="36"/>
      <c r="LQ53" s="35"/>
    </row>
    <row r="54" spans="1:329" s="4" customFormat="1" x14ac:dyDescent="0.25">
      <c r="A54" s="14" t="s">
        <v>312</v>
      </c>
      <c r="B54" s="67">
        <f>C54+D54</f>
        <v>4.3499999999999996</v>
      </c>
      <c r="C54" s="99">
        <v>4.3</v>
      </c>
      <c r="D54" s="99">
        <v>0.05</v>
      </c>
      <c r="E54" s="38">
        <f>D54/B54</f>
        <v>1.149425287356322E-2</v>
      </c>
      <c r="F54" s="108">
        <f>U54/B54</f>
        <v>7.6981609195402294</v>
      </c>
      <c r="G54" s="32">
        <f>V54/B54</f>
        <v>2.6943563218390807</v>
      </c>
      <c r="H54" s="99">
        <v>7.64</v>
      </c>
      <c r="I54" s="97">
        <f>$LI54*H54</f>
        <v>2.6739999999999999</v>
      </c>
      <c r="J54" s="99">
        <v>12.7</v>
      </c>
      <c r="K54" s="32">
        <f>$LI54*J54</f>
        <v>4.4449999999999994</v>
      </c>
      <c r="L54" s="32">
        <f>(F54/'Discounting metrics'!$D$4*(1-EXP(-'Discounting metrics'!$D$4*'Discounting metrics'!$E$4)))/'Discounting metrics'!$E$4</f>
        <v>1.8892910460076411</v>
      </c>
      <c r="M54" s="32">
        <f>(G54/'Discounting metrics'!$D$4*(1-EXP(-'Discounting metrics'!$D$4*'Discounting metrics'!$E$4)))/'Discounting metrics'!$E$4</f>
        <v>0.6612518661026745</v>
      </c>
      <c r="N54" s="32">
        <f>(H54/'Discounting metrics'!$D$4*(1-EXP(-'Discounting metrics'!$D$4*'Discounting metrics'!$E$4)))/'Discounting metrics'!$E$4</f>
        <v>1.8750171297225178</v>
      </c>
      <c r="O54" s="32">
        <f>(I54/'Discounting metrics'!$D$4*(1-EXP(-'Discounting metrics'!$D$4*'Discounting metrics'!$E$4)))/'Discounting metrics'!$E$4</f>
        <v>0.65625599540288104</v>
      </c>
      <c r="P54" s="32">
        <f>(J54/'Discounting metrics'!$D$4*(1-EXP(-'Discounting metrics'!$D$4*'Discounting metrics'!$E$4)))/'Discounting metrics'!$E$4</f>
        <v>3.1168478465282687</v>
      </c>
      <c r="Q54" s="32">
        <f>(K54/'Discounting metrics'!$D$4*(1-EXP(-'Discounting metrics'!$D$4*'Discounting metrics'!$E$4)))/'Discounting metrics'!$E$4</f>
        <v>1.090896746284894</v>
      </c>
      <c r="R54" s="32">
        <f>10/G54</f>
        <v>3.7114615906385842</v>
      </c>
      <c r="S54" s="32">
        <f>10/I54</f>
        <v>3.7397157816005984</v>
      </c>
      <c r="T54" s="32">
        <f>10/K54</f>
        <v>2.2497187851518565</v>
      </c>
      <c r="U54" s="107">
        <f>X54+Z54</f>
        <v>33.486999999999995</v>
      </c>
      <c r="V54" s="68">
        <f>Y54+AA54</f>
        <v>11.72045</v>
      </c>
      <c r="W54" s="68"/>
      <c r="X54" s="67">
        <f>C54*H54</f>
        <v>32.851999999999997</v>
      </c>
      <c r="Y54" s="67">
        <f t="shared" si="471"/>
        <v>11.498199999999999</v>
      </c>
      <c r="Z54" s="67">
        <f t="shared" si="471"/>
        <v>0.63500000000000001</v>
      </c>
      <c r="AA54" s="67">
        <f>D54*K54</f>
        <v>0.22224999999999998</v>
      </c>
      <c r="AB54" s="38">
        <f>AA54/V54</f>
        <v>1.8962582494699433E-2</v>
      </c>
      <c r="AC54" s="294">
        <f t="shared" si="473"/>
        <v>0.8553836281522148</v>
      </c>
      <c r="AD54" s="294">
        <f t="shared" si="473"/>
        <v>3.8642556057023124E-2</v>
      </c>
      <c r="AE54" s="294">
        <f t="shared" si="473"/>
        <v>0</v>
      </c>
      <c r="AF54" s="294">
        <f t="shared" si="473"/>
        <v>7.0664504680170007E-2</v>
      </c>
      <c r="AG54" s="294">
        <f t="shared" si="473"/>
        <v>1.2802863903775918E-4</v>
      </c>
      <c r="AH54" s="294">
        <f t="shared" si="473"/>
        <v>2.1809425814784883E-4</v>
      </c>
      <c r="AI54" s="294">
        <f t="shared" si="473"/>
        <v>3.4737199934741285E-5</v>
      </c>
      <c r="AJ54" s="294">
        <f t="shared" si="473"/>
        <v>3.4928451013471772E-2</v>
      </c>
      <c r="AK54" s="294">
        <f t="shared" si="473"/>
        <v>0</v>
      </c>
      <c r="AL54" s="433">
        <v>0.86039939773825302</v>
      </c>
      <c r="AM54" s="433">
        <v>3.9001986314667246E-2</v>
      </c>
      <c r="AN54" s="433">
        <v>0</v>
      </c>
      <c r="AO54" s="433">
        <v>6.9854549169292915E-2</v>
      </c>
      <c r="AP54" s="433">
        <v>1.2951734414284939E-4</v>
      </c>
      <c r="AQ54" s="433">
        <v>1.7536419162704389E-4</v>
      </c>
      <c r="AR54" s="433">
        <v>3.514112086421502E-5</v>
      </c>
      <c r="AS54" s="433">
        <v>3.0404044121152631E-2</v>
      </c>
      <c r="AT54" s="433">
        <v>0</v>
      </c>
      <c r="AU54" s="433">
        <v>0.42402744375291779</v>
      </c>
      <c r="AV54" s="433">
        <v>7.7315538996280807E-3</v>
      </c>
      <c r="AW54" s="433">
        <v>0</v>
      </c>
      <c r="AX54" s="433">
        <v>0.14032067861559941</v>
      </c>
      <c r="AY54" s="433">
        <v>0</v>
      </c>
      <c r="AZ54" s="433">
        <v>3.8928799789370748E-3</v>
      </c>
      <c r="BA54" s="433">
        <v>0</v>
      </c>
      <c r="BB54" s="433">
        <v>0.42402744375291779</v>
      </c>
      <c r="BC54" s="433">
        <v>0</v>
      </c>
      <c r="BD54" s="554">
        <f>BG54*$B54/10^3</f>
        <v>1.2804162885640333</v>
      </c>
      <c r="BE54" s="554">
        <f t="shared" si="474"/>
        <v>0.6661902134569887</v>
      </c>
      <c r="BF54" s="554">
        <f t="shared" si="474"/>
        <v>0.61422607510704463</v>
      </c>
      <c r="BG54" s="67">
        <f t="shared" si="475"/>
        <v>294.34857208368584</v>
      </c>
      <c r="BH54" s="67">
        <f>(BK54*$C54+CF54*$D54)/$B54</f>
        <v>153.14717550735372</v>
      </c>
      <c r="BI54" s="67">
        <f>(BU54*$C54+CP54*$D54)/$B54</f>
        <v>141.20139657633212</v>
      </c>
      <c r="BJ54" s="67">
        <f>BK54+BU54</f>
        <v>294.89036781924881</v>
      </c>
      <c r="BK54" s="68">
        <f t="shared" si="476"/>
        <v>153.66772716197184</v>
      </c>
      <c r="BL54" s="145">
        <v>161.72748970718794</v>
      </c>
      <c r="BM54" s="145">
        <v>231.53991078984686</v>
      </c>
      <c r="BN54" s="145">
        <v>0</v>
      </c>
      <c r="BO54" s="145">
        <v>38.062993334805228</v>
      </c>
      <c r="BP54" s="145">
        <v>6.3616472946130953</v>
      </c>
      <c r="BQ54" s="145">
        <v>2.8445162404688178</v>
      </c>
      <c r="BR54" s="145">
        <v>1.8102730336913925E-2</v>
      </c>
      <c r="BS54" s="145">
        <v>92.973794257730489</v>
      </c>
      <c r="BT54" s="145">
        <v>0</v>
      </c>
      <c r="BU54" s="68">
        <f t="shared" si="477"/>
        <v>141.222640657277</v>
      </c>
      <c r="BV54" s="145">
        <v>142.75769929701764</v>
      </c>
      <c r="BW54" s="145">
        <v>128.31897317492945</v>
      </c>
      <c r="BX54" s="145">
        <v>0</v>
      </c>
      <c r="BY54" s="145">
        <v>160.55124362199876</v>
      </c>
      <c r="BZ54" s="145">
        <v>76.847249370824841</v>
      </c>
      <c r="CA54" s="145">
        <v>124.35555705390739</v>
      </c>
      <c r="CB54" s="145">
        <v>1.5978498511401513</v>
      </c>
      <c r="CC54" s="145">
        <v>70.459569786448114</v>
      </c>
      <c r="CD54" s="145">
        <v>0</v>
      </c>
      <c r="CE54" s="68">
        <f t="shared" si="478"/>
        <v>247.75413882526783</v>
      </c>
      <c r="CF54" s="68">
        <f t="shared" si="479"/>
        <v>108.37973321019579</v>
      </c>
      <c r="CG54" s="145">
        <v>211.67106497651275</v>
      </c>
      <c r="CH54" s="145">
        <v>497.55566774597452</v>
      </c>
      <c r="CI54" s="145">
        <v>0</v>
      </c>
      <c r="CJ54" s="145">
        <v>77.40289231222846</v>
      </c>
      <c r="CK54" s="145">
        <v>0</v>
      </c>
      <c r="CL54" s="145">
        <v>4.2795490881575589</v>
      </c>
      <c r="CM54" s="145">
        <v>0</v>
      </c>
      <c r="CN54" s="145">
        <v>9.1989989302450894</v>
      </c>
      <c r="CO54" s="145">
        <v>0</v>
      </c>
      <c r="CP54" s="68">
        <f t="shared" si="480"/>
        <v>139.37440561507202</v>
      </c>
      <c r="CQ54" s="145">
        <v>239.77161526489758</v>
      </c>
      <c r="CR54" s="145">
        <v>254.57114301152851</v>
      </c>
      <c r="CS54" s="145">
        <v>0</v>
      </c>
      <c r="CT54" s="145">
        <v>218.82627826829963</v>
      </c>
      <c r="CU54" s="145">
        <v>0</v>
      </c>
      <c r="CV54" s="145">
        <v>141.42591652702154</v>
      </c>
      <c r="CW54" s="145">
        <v>0</v>
      </c>
      <c r="CX54" s="145">
        <v>10.565410512513262</v>
      </c>
      <c r="CY54" s="145">
        <v>0</v>
      </c>
      <c r="CZ54" s="554">
        <f>DC54*$B54/10^3</f>
        <v>0.48241955633028349</v>
      </c>
      <c r="DA54" s="554">
        <f t="shared" si="481"/>
        <v>2.1749999999999999E-2</v>
      </c>
      <c r="DB54" s="554">
        <f t="shared" si="481"/>
        <v>0.4606695563302835</v>
      </c>
      <c r="DC54" s="32">
        <f t="shared" si="482"/>
        <v>110.90104743224909</v>
      </c>
      <c r="DD54" s="32">
        <f t="shared" si="483"/>
        <v>5</v>
      </c>
      <c r="DE54" s="67">
        <f t="shared" si="483"/>
        <v>105.90104743224909</v>
      </c>
      <c r="DF54" s="270"/>
      <c r="DG54" s="67">
        <f>DH54+DI54</f>
        <v>110.91698049295775</v>
      </c>
      <c r="DH54" s="33">
        <v>5</v>
      </c>
      <c r="DI54" s="67">
        <f>(1-DK54)*BU54</f>
        <v>105.91698049295775</v>
      </c>
      <c r="DJ54" s="67"/>
      <c r="DK54" s="34">
        <f t="shared" si="485"/>
        <v>0.25</v>
      </c>
      <c r="DL54" s="159"/>
      <c r="DM54" s="159"/>
      <c r="DN54" s="68">
        <f t="shared" si="486"/>
        <v>109.53080421130402</v>
      </c>
      <c r="DO54" s="33">
        <v>5</v>
      </c>
      <c r="DP54" s="67">
        <f>(1-DR54)*CP54</f>
        <v>104.53080421130402</v>
      </c>
      <c r="DQ54" s="67"/>
      <c r="DR54" s="34">
        <f t="shared" si="487"/>
        <v>0.25</v>
      </c>
      <c r="DS54" s="294"/>
      <c r="DT54" s="294"/>
      <c r="DU54" s="294"/>
      <c r="DV54" s="67">
        <f t="shared" si="463"/>
        <v>183.44752465143677</v>
      </c>
      <c r="DW54" s="67">
        <f t="shared" si="463"/>
        <v>148.14717550735372</v>
      </c>
      <c r="DX54" s="67">
        <f t="shared" si="463"/>
        <v>35.300349144083029</v>
      </c>
      <c r="DY54" s="67">
        <f t="shared" si="464"/>
        <v>183.97338732629106</v>
      </c>
      <c r="DZ54" s="67">
        <f t="shared" si="464"/>
        <v>148.66772716197184</v>
      </c>
      <c r="EA54" s="67">
        <f>BU54-DI54</f>
        <v>35.305660164319249</v>
      </c>
      <c r="EB54" s="67">
        <f t="shared" si="465"/>
        <v>138.2233346139638</v>
      </c>
      <c r="EC54" s="67">
        <f t="shared" si="465"/>
        <v>103.37973321019579</v>
      </c>
      <c r="ED54" s="67">
        <f>CP54-DP54</f>
        <v>34.843601403768005</v>
      </c>
      <c r="EE54" s="68">
        <f>EF54+EG54</f>
        <v>147.55643237664137</v>
      </c>
      <c r="EF54" s="67">
        <f>(EJ54*$C54+FF54*$D54)/$B54</f>
        <v>120.39152041906003</v>
      </c>
      <c r="EG54" s="67">
        <f t="shared" si="488"/>
        <v>27.164911957581342</v>
      </c>
      <c r="EH54" s="261">
        <f t="shared" si="489"/>
        <v>147.99337018657002</v>
      </c>
      <c r="EI54" s="154">
        <f>EH54/($BJ54-$DG54)</f>
        <v>0.80442814222957315</v>
      </c>
      <c r="EJ54" s="108">
        <f>EK54+EL54-DH54</f>
        <v>120.81905725197763</v>
      </c>
      <c r="EK54" s="126">
        <f>'Allometrics &amp; Decay rates'!$H$5*$AL54*BL54+'Allometrics &amp; Decay rates'!$H$6*$AM54*BM54+'Allometrics &amp; Decay rates'!$H$7*$AN54*BN54+'Allometrics &amp; Decay rates'!$H$8*$AO54*BO54+'Allometrics &amp; Decay rates'!$H$9*$AP54*BP54+'Allometrics &amp; Decay rates'!$H$10*$AQ54*BQ54+'Allometrics &amp; Decay rates'!$H$11*$AR54*BR54+'Allometrics &amp; Decay rates'!$H$12*$AS54*BS54+'Allometrics &amp; Decay rates'!$H$13*$AT54*BT54</f>
        <v>66.406329098024671</v>
      </c>
      <c r="EL54" s="97">
        <f t="shared" si="490"/>
        <v>59.412728153952948</v>
      </c>
      <c r="EM54" s="550">
        <f>AL54*BL54*('Allometrics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54.550728750620848</v>
      </c>
      <c r="EN54" s="550">
        <f>AM54*BM54*('Allometrics &amp; Decay rates'!$I$6*((EXP('Allometrics &amp; Decay rates'!$K$6)-1)/('Discounting metrics'!$D$4+'Allometrics &amp; Decay rates'!$K$6)*(1-EXP(-('Discounting metrics'!$D$4+'Allometrics &amp; Decay rates'!$K$6)*'Discounting metrics'!$E$4))-(1-EXP(-'Allometrics &amp; Decay rates'!$K$6))/1.55)+'Allometrics &amp; Decay rates'!$E$6*((EXP('Allometrics &amp; Decay rates'!$L$6)-1)/('Discounting metrics'!$D$4+'Allometrics &amp; Decay rates'!$L$6)*(1-EXP(-('Discounting metrics'!$D$4+'Allometrics &amp; Decay rates'!$L$6)*'Discounting metrics'!$E$4))-(1-EXP(-'Allometrics &amp; Decay rates'!$L$6))/1.55))</f>
        <v>2.2024328321472657</v>
      </c>
      <c r="EO54" s="550">
        <f>AN54*BN54*('Allometrics &amp; Decay rates'!$I$7*((EXP('Allometrics &amp; Decay rates'!$K$7)-1)/('Discounting metrics'!$D$4+'Allometrics &amp; Decay rates'!$K$7)*(1-EXP(-('Discounting metrics'!$D$4+'Allometrics &amp; Decay rates'!$K$7)*'Discounting metrics'!$E$4))-(1-EXP(-'Allometrics &amp; Decay rates'!$K$7))/1.55)+'Allometrics &amp; Decay rates'!$E$7*((EXP('Allometrics &amp; Decay rates'!$L$7)-1)/('Discounting metrics'!$D$4+'Allometrics &amp; Decay rates'!$L$7)*(1-EXP(-('Discounting metrics'!$D$4+'Allometrics &amp; Decay rates'!$L$7)*'Discounting metrics'!$E$4))-(1-EXP(-'Allometrics &amp; Decay rates'!$L$7))/1.55))</f>
        <v>0</v>
      </c>
      <c r="EP54" s="550">
        <f>AO54*BO54*('Allometrics &amp; Decay rates'!$I$8*((EXP('Allometrics &amp; Decay rates'!$K$8)-1)/('Discounting metrics'!$D$4+'Allometrics &amp; Decay rates'!$K$8)*(1-EXP(-('Discounting metrics'!$D$4+'Allometrics &amp; Decay rates'!$K$8)*'Discounting metrics'!$E$4))-(1-EXP(-'Allometrics &amp; Decay rates'!$K$8))/1.55)+'Allometrics &amp; Decay rates'!$E$8*((EXP('Allometrics &amp; Decay rates'!$L$8)-1)/('Discounting metrics'!$D$4+'Allometrics &amp; Decay rates'!$L$8)*(1-EXP(-('Discounting metrics'!$D$4+'Allometrics &amp; Decay rates'!$L$8)*'Discounting metrics'!$E$4))-(1-EXP(-'Allometrics &amp; Decay rates'!$L$8))/1.55))</f>
        <v>1.5053647133514012</v>
      </c>
      <c r="EQ54" s="550">
        <f>AP54*BP54*('Allometrics &amp; Decay rates'!$I$9*((EXP('Allometrics &amp; Decay rates'!$K$9)-1)/('Discounting metrics'!$D$4+'Allometrics &amp; Decay rates'!$K$9)*(1-EXP(-('Discounting metrics'!$D$4+'Allometrics &amp; Decay rates'!$K$9)*'Discounting metrics'!$E$4))-(1-EXP(-'Allometrics &amp; Decay rates'!$K$9))/1.55)+'Allometrics &amp; Decay rates'!$E$9*((EXP('Allometrics &amp; Decay rates'!$L$9)-1)/('Discounting metrics'!$D$4+'Allometrics &amp; Decay rates'!$L$9)*(1-EXP(-('Discounting metrics'!$D$4+'Allometrics &amp; Decay rates'!$L$9)*'Discounting metrics'!$E$4))-(1-EXP(-'Allometrics &amp; Decay rates'!$L$9))/1.55))</f>
        <v>4.3184999098123586E-4</v>
      </c>
      <c r="ER54" s="550">
        <f>AQ54*BQ54*('Allometrics &amp; Decay rates'!$I$10*((EXP('Allometrics &amp; Decay rates'!$K$10)-1)/('Discounting metrics'!$D$4+'Allometrics &amp; Decay rates'!$K$10)*(1-EXP(-('Discounting metrics'!$D$4+'Allometrics &amp; Decay rates'!$K$10)*'Discounting metrics'!$E$4))-(1-EXP(-'Allometrics &amp; Decay rates'!$K$10))/1.55)+'Allometrics &amp; Decay rates'!$E$10*((EXP('Allometrics &amp; Decay rates'!$L$10)-1)/('Discounting metrics'!$D$4+'Allometrics &amp; Decay rates'!$L$10)*(1-EXP(-('Discounting metrics'!$D$4+'Allometrics &amp; Decay rates'!$L$10)*'Discounting metrics'!$E$4))-(1-EXP(-'Allometrics &amp; Decay rates'!$L$10))/1.55))</f>
        <v>3.173439282026174E-4</v>
      </c>
      <c r="ES54" s="550">
        <f>AR54*BR54*('Allometrics &amp; Decay rates'!$I$11*((EXP('Allometrics &amp; Decay rates'!$K$11)-1)/('Discounting metrics'!$D$4+'Allometrics &amp; Decay rates'!$K$11)*(1-EXP(-('Discounting metrics'!$D$4+'Allometrics &amp; Decay rates'!$K$11)*'Discounting metrics'!$E$4))-(1-EXP(-'Allometrics &amp; Decay rates'!$K$11))/1.55)+'Allometrics &amp; Decay rates'!$E$11*((EXP('Allometrics &amp; Decay rates'!$L$11)-1)/('Discounting metrics'!$D$4+'Allometrics &amp; Decay rates'!$L$11)*(1-EXP(-('Discounting metrics'!$D$4+'Allometrics &amp; Decay rates'!$L$11)*'Discounting metrics'!$E$4))-(1-EXP(-'Allometrics &amp; Decay rates'!$L$11))/1.55))</f>
        <v>4.5153385270764856E-7</v>
      </c>
      <c r="ET54" s="550">
        <f>AS54*BS54*('Allometrics &amp; Decay rates'!$I$12*((EXP('Allometrics &amp; Decay rates'!$K$12)-1)/('Discounting metrics'!$D$4+'Allometrics &amp; Decay rates'!$K$12)*(1-EXP(-('Discounting metrics'!$D$4+'Allometrics &amp; Decay rates'!$K$12)*'Discounting metrics'!$E$4))-(1-EXP(-'Allometrics &amp; Decay rates'!$K$12))/1.55)+'Allometrics &amp; Decay rates'!$E$12*((EXP('Allometrics &amp; Decay rates'!$L$12)-1)/('Discounting metrics'!$D$4+'Allometrics &amp; Decay rates'!$L$12)*(1-EXP(-('Discounting metrics'!$D$4+'Allometrics &amp; Decay rates'!$L$12)*'Discounting metrics'!$E$4))-(1-EXP(-'Allometrics &amp; Decay rates'!$L$12))/1.55))</f>
        <v>1.1534522123804014</v>
      </c>
      <c r="EU54" s="550">
        <f>AT54*BT54*('Allometrics &amp; Decay rates'!$I$13*((EXP('Allometrics &amp; Decay rates'!$K$13)-1)/('Discounting metrics'!$D$4+'Allometrics &amp; Decay rates'!$K$13)*(1-EXP(-('Discounting metrics'!$D$4+'Allometrics &amp; Decay rates'!$K$13)*'Discounting metrics'!$E$4))-(1-EXP(-'Allometrics &amp; Decay rates'!$K$13))/1.55)+'Allometrics &amp; Decay rates'!$E$13*((EXP('Allometrics &amp; Decay rates'!$L$13)-1)/('Discounting metrics'!$D$4+'Allometrics &amp; Decay rates'!$L$13)*(1-EXP(-('Discounting metrics'!$D$4+'Allometrics &amp; Decay rates'!$L$13)*'Discounting metrics'!$E$4))-(1-EXP(-'Allometrics &amp; Decay rates'!$L$13))/1.55))</f>
        <v>0</v>
      </c>
      <c r="EV54" s="108">
        <f t="shared" si="491"/>
        <v>27.174312934592386</v>
      </c>
      <c r="EW54" s="550">
        <f>AL54*BV54*$DK54*((EXP('Allometrics &amp; Decay rates'!$M$5)-1)/('Discounting metrics'!$D$4+'Allometrics &amp; Decay rates'!$M$5)*(1-EXP(-('Discounting metrics'!$D$4+'Allometrics &amp; Decay rates'!$M$5)*'Discounting metrics'!$E$4))-(1-EXP(-'Allometrics &amp; Decay rates'!$M$5))/1.55)</f>
        <v>23.998954740708651</v>
      </c>
      <c r="EX54" s="550">
        <f>AM54*BW54*$DK54*((EXP('Allometrics &amp; Decay rates'!$M$5)-1)/('Discounting metrics'!$D$4+'Allometrics &amp; Decay rates'!$M$5)*(1-EXP(-('Discounting metrics'!$D$4+'Allometrics &amp; Decay rates'!$M$5)*'Discounting metrics'!$E$4))-(1-EXP(-'Allometrics &amp; Decay rates'!$M$5))/1.55)</f>
        <v>0.97784560931086173</v>
      </c>
      <c r="EY54" s="550">
        <f>AN54*BX54*$DK54*((EXP('Allometrics &amp; Decay rates'!$M$5)-1)/('Discounting metrics'!$D$4+'Allometrics &amp; Decay rates'!$M$5)*(1-EXP(-('Discounting metrics'!$D$4+'Allometrics &amp; Decay rates'!$M$5)*'Discounting metrics'!$E$4))-(1-EXP(-'Allometrics &amp; Decay rates'!$M$5))/1.55)</f>
        <v>0</v>
      </c>
      <c r="EZ54" s="550">
        <f>AO54*BY54*$DK54*((EXP('Allometrics &amp; Decay rates'!$M$5)-1)/('Discounting metrics'!$D$4+'Allometrics &amp; Decay rates'!$M$5)*(1-EXP(-('Discounting metrics'!$D$4+'Allometrics &amp; Decay rates'!$M$5)*'Discounting metrics'!$E$4))-(1-EXP(-'Allometrics &amp; Decay rates'!$M$5))/1.55)</f>
        <v>2.1912960549476597</v>
      </c>
      <c r="FA54" s="550">
        <f>AP54*BZ54*$DK54*((EXP('Allometrics &amp; Decay rates'!$M$5)-1)/('Discounting metrics'!$D$4+'Allometrics &amp; Decay rates'!$M$5)*(1-EXP(-('Discounting metrics'!$D$4+'Allometrics &amp; Decay rates'!$M$5)*'Discounting metrics'!$E$4))-(1-EXP(-'Allometrics &amp; Decay rates'!$M$5))/1.55)</f>
        <v>1.9446835757401747E-3</v>
      </c>
      <c r="FB54" s="550">
        <f>AQ54*CA54*$DK54*((EXP('Allometrics &amp; Decay rates'!$M$5)-1)/('Discounting metrics'!$D$4+'Allometrics &amp; Decay rates'!$M$5)*(1-EXP(-('Discounting metrics'!$D$4+'Allometrics &amp; Decay rates'!$M$5)*'Discounting metrics'!$E$4))-(1-EXP(-'Allometrics &amp; Decay rates'!$M$5))/1.55)</f>
        <v>4.260875098732601E-3</v>
      </c>
      <c r="FC54" s="550">
        <f>AR54*CB54*$DK54*((EXP('Allometrics &amp; Decay rates'!$M$5)-1)/('Discounting metrics'!$D$4+'Allometrics &amp; Decay rates'!$M$5)*(1-EXP(-('Discounting metrics'!$D$4+'Allometrics &amp; Decay rates'!$M$5)*'Discounting metrics'!$E$4))-(1-EXP(-'Allometrics &amp; Decay rates'!$M$5))/1.55)</f>
        <v>1.0970950738609668E-5</v>
      </c>
      <c r="FD54" s="261">
        <f t="shared" si="492"/>
        <v>109.97978072277606</v>
      </c>
      <c r="FE54" s="154">
        <f>FD54/($CE54-$DN54)</f>
        <v>0.7956672513359081</v>
      </c>
      <c r="FF54" s="108">
        <f t="shared" si="493"/>
        <v>83.623352788144445</v>
      </c>
      <c r="FG54" s="126">
        <f>'Allometrics &amp; Decay rates'!$H$5*$AU54*CG54+'Allometrics &amp; Decay rates'!$H$6*$AV54*CH54+'Allometrics &amp; Decay rates'!$H$7*$AW54*CI54+'Allometrics &amp; Decay rates'!$H$8*$AX54*CJ54+'Allometrics &amp; Decay rates'!$H$9*$AY54*CK54+'Allometrics &amp; Decay rates'!$H$10*$AZ54*CL54+'Allometrics &amp; Decay rates'!$H$11*$BA54*CM54+'Allometrics &amp; Decay rates'!$H$12*$BB54*CN54+'Allometrics &amp; Decay rates'!$H$13*$BC54*CO54</f>
        <v>46.135509060211938</v>
      </c>
      <c r="FH54" s="97">
        <f t="shared" si="494"/>
        <v>42.487843727932507</v>
      </c>
      <c r="FI54" s="550">
        <f>AU54*CG54*('Allometrics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35.18617627388435</v>
      </c>
      <c r="FJ54" s="550">
        <f>AV54*CH54*('Allometrics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1.5080824259794401</v>
      </c>
      <c r="FK54" s="550">
        <f>AW54*CI54*('Allometrics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L54" s="550">
        <f>AX54*CJ54*('Allometrics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4.2579002115167679</v>
      </c>
      <c r="FM54" s="550">
        <f>AY54*CK54*('Allometrics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N54" s="550">
        <f>AZ54*CL54*('Allometrics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6.5310895709243576E-3</v>
      </c>
      <c r="FO54" s="550">
        <f>BA54*CM54*('Allometrics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P54" s="550">
        <f>BB54*CN54*('Allometrics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1.5291537269810254</v>
      </c>
      <c r="FQ54" s="550">
        <f>BC54*CO54*('Allometrics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R54" s="108">
        <f t="shared" si="495"/>
        <v>26.356427934631608</v>
      </c>
      <c r="FS54" s="550">
        <f>AU54*CQ54*$DK54*((EXP('Allometrics &amp; Decay rates'!$M$5)-1)/('Discounting metrics'!$D$4+'Allometrics &amp; Decay rates'!$M$5)*(1-EXP(-('Discounting metrics'!$D$4+'Allometrics &amp; Decay rates'!$M$5)*'Discounting metrics'!$E$4))-(1-EXP(-'Allometrics &amp; Decay rates'!$M$5))/1.55)</f>
        <v>19.864810366091394</v>
      </c>
      <c r="FT54" s="550">
        <f>AV54*CR54*$DK54*((EXP('Allometrics &amp; Decay rates'!$M$5)-1)/('Discounting metrics'!$D$4+'Allometrics &amp; Decay rates'!$M$5)*(1-EXP(-('Discounting metrics'!$D$4+'Allometrics &amp; Decay rates'!$M$5)*'Discounting metrics'!$E$4))-(1-EXP(-'Allometrics &amp; Decay rates'!$M$5))/1.55)</f>
        <v>0.38456402016762936</v>
      </c>
      <c r="FU54" s="550">
        <f>AW54*CS54*$DK54*((EXP('Allometrics &amp; Decay rates'!$M$5)-1)/('Discounting metrics'!$D$4+'Allometrics &amp; Decay rates'!$M$5)*(1-EXP(-('Discounting metrics'!$D$4+'Allometrics &amp; Decay rates'!$M$5)*'Discounting metrics'!$E$4))-(1-EXP(-'Allometrics &amp; Decay rates'!$M$5))/1.55)</f>
        <v>0</v>
      </c>
      <c r="FV54" s="550">
        <f>AX54*CT54*$DK54*((EXP('Allometrics &amp; Decay rates'!$M$5)-1)/('Discounting metrics'!$D$4+'Allometrics &amp; Decay rates'!$M$5)*(1-EXP(-('Discounting metrics'!$D$4+'Allometrics &amp; Decay rates'!$M$5)*'Discounting metrics'!$E$4))-(1-EXP(-'Allometrics &amp; Decay rates'!$M$5))/1.55)</f>
        <v>5.9994831678438985</v>
      </c>
      <c r="FW54" s="550">
        <f>AY54*CU54*$DK54*((EXP('Allometrics &amp; Decay rates'!$M$5)-1)/('Discounting metrics'!$D$4+'Allometrics &amp; Decay rates'!$M$5)*(1-EXP(-('Discounting metrics'!$D$4+'Allometrics &amp; Decay rates'!$M$5)*'Discounting metrics'!$E$4))-(1-EXP(-'Allometrics &amp; Decay rates'!$M$5))/1.55)</f>
        <v>0</v>
      </c>
      <c r="FX54" s="550">
        <f>AZ54*CV54*$DK54*((EXP('Allometrics &amp; Decay rates'!$M$5)-1)/('Discounting metrics'!$D$4+'Allometrics &amp; Decay rates'!$M$5)*(1-EXP(-('Discounting metrics'!$D$4+'Allometrics &amp; Decay rates'!$M$5)*'Discounting metrics'!$E$4))-(1-EXP(-'Allometrics &amp; Decay rates'!$M$5))/1.55)</f>
        <v>0.10757038052868363</v>
      </c>
      <c r="FY54" s="550">
        <f>BA54*CW54*$DK54*((EXP('Allometrics &amp; Decay rates'!$M$5)-1)/('Discounting metrics'!$D$4+'Allometrics &amp; Decay rates'!$M$5)*(1-EXP(-('Discounting metrics'!$D$4+'Allometrics &amp; Decay rates'!$M$5)*'Discounting metrics'!$E$4))-(1-EXP(-'Allometrics &amp; Decay rates'!$M$5))/1.55)</f>
        <v>0</v>
      </c>
      <c r="FZ54" s="68"/>
      <c r="GA54" s="293"/>
      <c r="GB54" s="293"/>
      <c r="GP54" s="32">
        <f t="shared" si="496"/>
        <v>9.5500000000000025</v>
      </c>
      <c r="GQ54" s="33">
        <v>9.5500000000000007</v>
      </c>
      <c r="GR54" s="99">
        <v>9.5500000000000007</v>
      </c>
      <c r="GS54" s="99"/>
      <c r="GT54" s="99"/>
      <c r="GU54" s="99"/>
      <c r="GV54" s="99"/>
      <c r="GW54" s="99"/>
      <c r="GX54" s="99"/>
      <c r="GY54" s="99"/>
      <c r="GZ54" s="99"/>
      <c r="HA54" s="99"/>
      <c r="HB54" s="99"/>
      <c r="HF54" s="97">
        <f>HG54*$LI54</f>
        <v>0.78101482928451116</v>
      </c>
      <c r="HG54" s="526">
        <f>EE54/'Discounting metrics'!E$4/M54</f>
        <v>2.2314709408128892</v>
      </c>
      <c r="HH54" s="527">
        <f>10^3*HG54/$LM54</f>
        <v>223.14709408128891</v>
      </c>
      <c r="HI54" s="528">
        <f>HG54/$LO54</f>
        <v>111.57354704064446</v>
      </c>
      <c r="HJ54" s="97">
        <f>HK54*$LI54</f>
        <v>0.7892907634847659</v>
      </c>
      <c r="HK54" s="526">
        <f>EH54/'Discounting metrics'!E$4/O54</f>
        <v>2.2551164670993313</v>
      </c>
      <c r="HL54" s="527">
        <f>10^3*HK54/$LM54</f>
        <v>225.51164670993313</v>
      </c>
      <c r="HM54" s="528">
        <f>HK54/$LO54</f>
        <v>112.75582335496657</v>
      </c>
      <c r="HN54" s="97">
        <f>HO54*$LI54</f>
        <v>0.35285578936834566</v>
      </c>
      <c r="HO54" s="526">
        <f>FD54/'Discounting metrics'!E$4/Q54</f>
        <v>1.0081593981952734</v>
      </c>
      <c r="HP54" s="527">
        <f>10^3*HO54/$LM54</f>
        <v>100.81593981952734</v>
      </c>
      <c r="HQ54" s="528">
        <f>HO54/$LO54</f>
        <v>50.407969909763672</v>
      </c>
      <c r="HR54" s="97">
        <f>HS54*$LI54</f>
        <v>0.61883474964781149</v>
      </c>
      <c r="HS54" s="263">
        <f>$IM$11*IE54</f>
        <v>1.7680992847080328</v>
      </c>
      <c r="HT54" s="527">
        <f>10^3*HS54/$LM54</f>
        <v>176.8099284708033</v>
      </c>
      <c r="HU54" s="528">
        <f>HS54/$LO54</f>
        <v>88.404964235401636</v>
      </c>
      <c r="HV54" s="97">
        <f>HW54*$LI54</f>
        <v>0.6235457441612885</v>
      </c>
      <c r="HW54" s="263">
        <f>$IM$11*IH54</f>
        <v>1.7815592690322528</v>
      </c>
      <c r="HX54" s="527">
        <f>10^3*HW54/$LM54</f>
        <v>178.15592690322529</v>
      </c>
      <c r="HY54" s="528">
        <f>HW54/$LO54</f>
        <v>89.077963451612632</v>
      </c>
      <c r="HZ54" s="97">
        <f>I54*$LI54</f>
        <v>0.93589999999999995</v>
      </c>
      <c r="IA54" s="263">
        <f>$IM$11*IK54</f>
        <v>1.0717411665674341</v>
      </c>
      <c r="IB54" s="527">
        <f>10^3*I54/$LM54</f>
        <v>267.39999999999998</v>
      </c>
      <c r="IC54" s="528">
        <f>I54/$LO54</f>
        <v>133.69999999999999</v>
      </c>
      <c r="ID54" s="97">
        <f>IE54*$LI54</f>
        <v>1.2405560366709469</v>
      </c>
      <c r="IE54" s="263">
        <f>GP54/G54</f>
        <v>3.5444458190598489</v>
      </c>
      <c r="IF54" s="68">
        <f>10^3*IE54/$LM54</f>
        <v>354.44458190598488</v>
      </c>
      <c r="IG54" s="97">
        <f>IH54*$LI54</f>
        <v>1.25</v>
      </c>
      <c r="IH54" s="263">
        <f>GQ54/I54</f>
        <v>3.5714285714285716</v>
      </c>
      <c r="II54" s="68">
        <f>10^3*IH54/$LM54</f>
        <v>357.14285714285717</v>
      </c>
      <c r="IJ54" s="97">
        <f>IK54*$LI54</f>
        <v>0.75196850393700798</v>
      </c>
      <c r="IK54" s="263">
        <f>GR54/K54</f>
        <v>2.1484814398200229</v>
      </c>
      <c r="IL54" s="68">
        <f>10^3*IK54/$LM54</f>
        <v>214.84814398200228</v>
      </c>
      <c r="IM54" s="60"/>
      <c r="IN54" s="60"/>
      <c r="IO54" s="60"/>
      <c r="IP54" s="554">
        <f>IR54*$V54</f>
        <v>7.1552816999999989</v>
      </c>
      <c r="IQ54" s="262">
        <f>IR54*$LI54</f>
        <v>0.21367341654970581</v>
      </c>
      <c r="IR54" s="166">
        <f>(IW54*Y54+JD54*AA54)/V54</f>
        <v>0.61049547585630237</v>
      </c>
      <c r="IS54" s="68">
        <f>10^3*IR54/$LM54</f>
        <v>61.049547585630236</v>
      </c>
      <c r="IT54" s="97">
        <f>IR54/$LO54</f>
        <v>30.524773792815118</v>
      </c>
      <c r="IU54" s="429">
        <f>(IX54*C54+JE54*D54)/B54</f>
        <v>3.0149425287356323E-2</v>
      </c>
      <c r="IV54" s="262">
        <f>IW54*$LI54</f>
        <v>0.21780353403141359</v>
      </c>
      <c r="IW54" s="436">
        <f>IX54*JB54/I54</f>
        <v>0.62229581151832458</v>
      </c>
      <c r="IX54" s="101">
        <v>3.0499999999999999E-2</v>
      </c>
      <c r="IY54" s="433">
        <v>1</v>
      </c>
      <c r="IZ54" s="433">
        <v>0</v>
      </c>
      <c r="JA54" s="434">
        <f>1-IY54-IZ54</f>
        <v>0</v>
      </c>
      <c r="JB54" s="430">
        <f>IY54*$JJ54+IZ54*$JK54+JA54*$JL54+'Discounting metrics'!$B$6*(IY54*$JM54+IZ54*$JN54+JA54*$JO54)/10^3+'Discounting metrics'!$B$5*(IY54*$JP54+IZ54*$JQ54+JA54*$JR54)/10^3</f>
        <v>54.558</v>
      </c>
      <c r="JC54" s="262">
        <f>JD54*$LI54</f>
        <v>0</v>
      </c>
      <c r="JD54" s="436">
        <f>JE54*JI54/K54</f>
        <v>0</v>
      </c>
      <c r="JE54" s="101">
        <v>0</v>
      </c>
      <c r="JF54" s="433">
        <v>1</v>
      </c>
      <c r="JG54" s="433">
        <v>0</v>
      </c>
      <c r="JH54" s="434">
        <f t="shared" si="497"/>
        <v>0</v>
      </c>
      <c r="JI54" s="430">
        <f>JF54*$JJ54+JG54*$JK54+JH54*$JL54+'Discounting metrics'!$B$6*(JF54*$JM54+JG54*$JN54+JH54*$JO54)/10^3+'Discounting metrics'!$B$5*(JF54*$JP54+JG54*$JQ54+JH54*$JR54)/10^3</f>
        <v>54.558</v>
      </c>
      <c r="JJ54" s="431">
        <v>51.3</v>
      </c>
      <c r="JK54" s="431">
        <v>29</v>
      </c>
      <c r="JL54" s="431">
        <v>29</v>
      </c>
      <c r="JM54" s="99">
        <v>5</v>
      </c>
      <c r="JN54" s="431">
        <v>13</v>
      </c>
      <c r="JO54" s="431">
        <v>13</v>
      </c>
      <c r="JP54" s="431">
        <v>52</v>
      </c>
      <c r="JQ54" s="431">
        <v>58.3</v>
      </c>
      <c r="JR54" s="431">
        <v>58.3</v>
      </c>
      <c r="JS54" s="554">
        <f>JV54+JW54+JT54+JU54+JX54</f>
        <v>3.1928090150338799</v>
      </c>
      <c r="JT54" s="554">
        <f>KJ54*$V54</f>
        <v>1.24589518106534</v>
      </c>
      <c r="JU54" s="554">
        <f>KL54*$V54</f>
        <v>0.1056083738362</v>
      </c>
      <c r="JV54" s="554">
        <f>KN54*$V54</f>
        <v>0.55358475486839998</v>
      </c>
      <c r="JW54" s="554">
        <f>KP54*$V54</f>
        <v>1.2877207052639401</v>
      </c>
      <c r="JX54" s="554"/>
      <c r="JY54" s="167">
        <f>JZ54*LI54</f>
        <v>9.5344731240000008E-2</v>
      </c>
      <c r="JZ54" s="166">
        <f>KF54+KD54+KH54</f>
        <v>0.27241351782857148</v>
      </c>
      <c r="KA54" s="68">
        <f>10^3*JZ54/$LM54</f>
        <v>27.241351782857144</v>
      </c>
      <c r="KB54" s="97">
        <f>JZ54/$LO54</f>
        <v>13.620675891428574</v>
      </c>
      <c r="KC54" s="473">
        <f>KD54*LI54</f>
        <v>4.035905142E-2</v>
      </c>
      <c r="KD54" s="269">
        <f>KJ54+KL54</f>
        <v>0.11531157548571429</v>
      </c>
      <c r="KE54" s="473">
        <f>KF54*LI54</f>
        <v>5.4985679820000008E-2</v>
      </c>
      <c r="KF54" s="269">
        <f>KN54+KP54</f>
        <v>0.15710194234285718</v>
      </c>
      <c r="KG54" s="49"/>
      <c r="KH54" s="49"/>
      <c r="KI54" s="435">
        <v>3.7205338819999996E-2</v>
      </c>
      <c r="KJ54" s="522">
        <f>KI54/$LI54</f>
        <v>0.10630096805714286</v>
      </c>
      <c r="KK54" s="435">
        <v>3.1537126000000001E-3</v>
      </c>
      <c r="KL54" s="522">
        <f>KK54/$LI54</f>
        <v>9.0106074285714287E-3</v>
      </c>
      <c r="KM54" s="435">
        <v>1.6531333200000001E-2</v>
      </c>
      <c r="KN54" s="522">
        <f>KM54/$LI54</f>
        <v>4.7232380571428575E-2</v>
      </c>
      <c r="KO54" s="435">
        <v>3.8454346620000003E-2</v>
      </c>
      <c r="KP54" s="522">
        <f>KO54/$LI54</f>
        <v>0.10986956177142859</v>
      </c>
      <c r="KQ54" s="599">
        <f>44/12*HG54+$JZ54+$IR54</f>
        <v>9.0649691099988008</v>
      </c>
      <c r="KR54" s="527">
        <f>10^3*KQ54/$LM54</f>
        <v>906.49691099988013</v>
      </c>
      <c r="KT54" s="599">
        <f>44/12*HK54+$JZ54+$IW54</f>
        <v>9.1634697087111103</v>
      </c>
      <c r="KU54" s="527">
        <f>10^3*KT54/$LM54</f>
        <v>916.34697087111113</v>
      </c>
      <c r="KW54" s="599">
        <f>44/12*HO54+$JZ54+$JD54</f>
        <v>3.968997977877907</v>
      </c>
      <c r="KX54" s="527">
        <f>10^3*KW54/$LM54</f>
        <v>396.8997977877907</v>
      </c>
      <c r="KZ54" s="599">
        <f>44/12*HS54+$JZ54+$IR54</f>
        <v>7.3659397042809935</v>
      </c>
      <c r="LA54" s="527">
        <f>10^3*KZ54/$LM54</f>
        <v>736.59397042809928</v>
      </c>
      <c r="LC54" s="599">
        <f>44/12*HW54+$JZ54+$IW54</f>
        <v>7.4270933157984897</v>
      </c>
      <c r="LD54" s="527">
        <f>10^3*LC54/$LM54</f>
        <v>742.70933157984905</v>
      </c>
      <c r="LF54" s="599">
        <f>44/12*I54+$JZ54+$JD54</f>
        <v>10.077080184495237</v>
      </c>
      <c r="LG54" s="527">
        <f>10^3*LF54/$LM54</f>
        <v>1007.7080184495237</v>
      </c>
      <c r="LI54" s="31">
        <v>0.35</v>
      </c>
      <c r="LJ54" s="32">
        <f>$LI54*LK54</f>
        <v>6.3</v>
      </c>
      <c r="LK54" s="27">
        <v>18</v>
      </c>
      <c r="LL54" s="32">
        <f>$LI54*LM54</f>
        <v>3.5</v>
      </c>
      <c r="LM54" s="33">
        <v>10</v>
      </c>
      <c r="LN54" s="36">
        <f>$LI54*LO54</f>
        <v>6.9999999999999993E-3</v>
      </c>
      <c r="LO54" s="35">
        <v>0.02</v>
      </c>
      <c r="LP54" s="36"/>
      <c r="LQ54" s="35"/>
    </row>
    <row r="55" spans="1:329" s="4" customFormat="1" x14ac:dyDescent="0.25">
      <c r="A55" s="102" t="s">
        <v>357</v>
      </c>
      <c r="B55" s="67">
        <f t="shared" si="468"/>
        <v>22.9</v>
      </c>
      <c r="C55" s="99">
        <v>20</v>
      </c>
      <c r="D55" s="99">
        <v>2.9</v>
      </c>
      <c r="E55" s="38">
        <f t="shared" si="469"/>
        <v>0.12663755458515286</v>
      </c>
      <c r="F55" s="108">
        <f>U55/B55</f>
        <v>9.4829694323144089</v>
      </c>
      <c r="G55" s="32">
        <f>V55/B55</f>
        <v>1.7069344978165937</v>
      </c>
      <c r="H55" s="99">
        <v>8.77</v>
      </c>
      <c r="I55" s="97">
        <f>$LI55*H55</f>
        <v>1.5785999999999998</v>
      </c>
      <c r="J55" s="98">
        <v>14.4</v>
      </c>
      <c r="K55" s="32">
        <f>$LI55*J55</f>
        <v>2.5920000000000001</v>
      </c>
      <c r="L55" s="32">
        <f>(F55/'Discounting metrics'!$D$4*(1-EXP(-'Discounting metrics'!$D$4*'Discounting metrics'!$E$4)))/'Discounting metrics'!$E$4</f>
        <v>2.3273206971498084</v>
      </c>
      <c r="M55" s="32">
        <f>(G55/'Discounting metrics'!$D$4*(1-EXP(-'Discounting metrics'!$D$4*'Discounting metrics'!$E$4)))/'Discounting metrics'!$E$4</f>
        <v>0.41891772548696549</v>
      </c>
      <c r="N55" s="32">
        <f>(H55/'Discounting metrics'!$D$4*(1-EXP(-'Discounting metrics'!$D$4*'Discounting metrics'!$E$4)))/'Discounting metrics'!$E$4</f>
        <v>2.15234296173645</v>
      </c>
      <c r="O55" s="32">
        <f>(I55/'Discounting metrics'!$D$4*(1-EXP(-'Discounting metrics'!$D$4*'Discounting metrics'!$E$4)))/'Discounting metrics'!$E$4</f>
        <v>0.38742173311256101</v>
      </c>
      <c r="P55" s="32">
        <f>(J55/'Discounting metrics'!$D$4*(1-EXP(-'Discounting metrics'!$D$4*'Discounting metrics'!$E$4)))/'Discounting metrics'!$E$4</f>
        <v>3.5340637000005568</v>
      </c>
      <c r="Q55" s="32">
        <f>(K55/'Discounting metrics'!$D$4*(1-EXP(-'Discounting metrics'!$D$4*'Discounting metrics'!$E$4)))/'Discounting metrics'!$E$4</f>
        <v>0.63613146600010018</v>
      </c>
      <c r="R55" s="32">
        <f>10/G55</f>
        <v>5.8584556190008401</v>
      </c>
      <c r="S55" s="32">
        <f>10/I55</f>
        <v>6.3347269732674532</v>
      </c>
      <c r="T55" s="32">
        <f>10/K55</f>
        <v>3.8580246913580245</v>
      </c>
      <c r="U55" s="107">
        <f t="shared" si="470"/>
        <v>217.15999999999997</v>
      </c>
      <c r="V55" s="68">
        <f t="shared" si="470"/>
        <v>39.088799999999992</v>
      </c>
      <c r="W55" s="68"/>
      <c r="X55" s="67">
        <f>C55*H55</f>
        <v>175.39999999999998</v>
      </c>
      <c r="Y55" s="67">
        <f t="shared" si="471"/>
        <v>31.571999999999996</v>
      </c>
      <c r="Z55" s="67">
        <f t="shared" si="471"/>
        <v>41.76</v>
      </c>
      <c r="AA55" s="67">
        <f>D55*K55</f>
        <v>7.5167999999999999</v>
      </c>
      <c r="AB55" s="38">
        <f t="shared" si="472"/>
        <v>0.19230060784674899</v>
      </c>
      <c r="AC55" s="294">
        <f t="shared" si="473"/>
        <v>6.136555447849177E-2</v>
      </c>
      <c r="AD55" s="294">
        <f t="shared" si="473"/>
        <v>0.36273939976225844</v>
      </c>
      <c r="AE55" s="294">
        <f t="shared" si="473"/>
        <v>0.1833546783989827</v>
      </c>
      <c r="AF55" s="294">
        <f t="shared" si="473"/>
        <v>3.8206058333665492E-2</v>
      </c>
      <c r="AG55" s="294">
        <f t="shared" si="473"/>
        <v>0.1527485101518937</v>
      </c>
      <c r="AH55" s="294">
        <f t="shared" si="473"/>
        <v>0.1705936530818814</v>
      </c>
      <c r="AI55" s="294">
        <f t="shared" si="473"/>
        <v>1.931361492809798E-2</v>
      </c>
      <c r="AJ55" s="294">
        <f t="shared" si="473"/>
        <v>5.8998165583425176E-3</v>
      </c>
      <c r="AK55" s="294">
        <f t="shared" si="473"/>
        <v>3.3031963684729037E-3</v>
      </c>
      <c r="AL55" s="433">
        <v>6.6070872446596027E-2</v>
      </c>
      <c r="AM55" s="433">
        <v>0.37927872857867845</v>
      </c>
      <c r="AN55" s="433">
        <v>0.20402251235010418</v>
      </c>
      <c r="AO55" s="433">
        <v>4.2046317774808821E-2</v>
      </c>
      <c r="AP55" s="433">
        <v>0.1471150993674126</v>
      </c>
      <c r="AQ55" s="433">
        <v>0.14522247012307071</v>
      </c>
      <c r="AR55" s="433">
        <v>7.5664566856888573E-3</v>
      </c>
      <c r="AS55" s="433">
        <v>2.5626025280251446E-3</v>
      </c>
      <c r="AT55" s="433">
        <v>3.2831307197472271E-3</v>
      </c>
      <c r="AU55" s="433">
        <v>2.891508573294509E-2</v>
      </c>
      <c r="AV55" s="433">
        <v>0.24867506309729259</v>
      </c>
      <c r="AW55" s="433">
        <v>4.0817892529179119E-2</v>
      </c>
      <c r="AX55" s="433">
        <v>1.1721510463711466E-2</v>
      </c>
      <c r="AY55" s="433">
        <v>0.19159961901038386</v>
      </c>
      <c r="AZ55" s="433">
        <v>0.34556732865988632</v>
      </c>
      <c r="BA55" s="433">
        <v>0.10032849935850573</v>
      </c>
      <c r="BB55" s="433">
        <v>2.891508573294509E-2</v>
      </c>
      <c r="BC55" s="433">
        <v>3.441580152787913E-3</v>
      </c>
      <c r="BD55" s="554">
        <f>BG55*$B55/10^3</f>
        <v>3.3042873684353755</v>
      </c>
      <c r="BE55" s="554">
        <f t="shared" si="474"/>
        <v>1.2885475670354403</v>
      </c>
      <c r="BF55" s="554">
        <f t="shared" si="474"/>
        <v>2.0157398013999348</v>
      </c>
      <c r="BG55" s="67">
        <f t="shared" si="475"/>
        <v>144.29202482250548</v>
      </c>
      <c r="BH55" s="67">
        <f>(BK55*$C55+CF55*$D55)/$B55</f>
        <v>56.268452708971196</v>
      </c>
      <c r="BI55" s="67">
        <f>(BU55*$C55+CP55*$D55)/$B55</f>
        <v>88.023572113534286</v>
      </c>
      <c r="BJ55" s="67">
        <f>BK55+BU55</f>
        <v>152.54468821499998</v>
      </c>
      <c r="BK55" s="68">
        <f t="shared" si="476"/>
        <v>59.864498110000007</v>
      </c>
      <c r="BL55" s="145">
        <v>139.85739339932195</v>
      </c>
      <c r="BM55" s="145">
        <v>103.94598227994665</v>
      </c>
      <c r="BN55" s="145">
        <v>40.128995598047879</v>
      </c>
      <c r="BO55" s="145">
        <v>36.92297166935586</v>
      </c>
      <c r="BP55" s="145">
        <v>7.0695156681542999</v>
      </c>
      <c r="BQ55" s="145">
        <v>1.5883354676760588</v>
      </c>
      <c r="BR55" s="145">
        <v>5.1095250532687438E-2</v>
      </c>
      <c r="BS55" s="145">
        <v>60.501384161000381</v>
      </c>
      <c r="BT55" s="145">
        <v>10.259262537859978</v>
      </c>
      <c r="BU55" s="68">
        <f t="shared" si="477"/>
        <v>92.68019010499998</v>
      </c>
      <c r="BV55" s="145">
        <v>129.93622881155551</v>
      </c>
      <c r="BW55" s="145">
        <v>99.010298153881351</v>
      </c>
      <c r="BX55" s="145">
        <v>114.68275598846215</v>
      </c>
      <c r="BY55" s="145">
        <v>129.74287140236513</v>
      </c>
      <c r="BZ55" s="145">
        <v>82.878508408911799</v>
      </c>
      <c r="CA55" s="145">
        <v>36.423874318604334</v>
      </c>
      <c r="CB55" s="145">
        <v>0.53784818562395553</v>
      </c>
      <c r="CC55" s="145">
        <v>50.491638318843648</v>
      </c>
      <c r="CD55" s="145">
        <v>22.512505991747577</v>
      </c>
      <c r="CE55" s="68">
        <f t="shared" si="478"/>
        <v>87.377104874267488</v>
      </c>
      <c r="CF55" s="68">
        <f t="shared" si="479"/>
        <v>31.468139598427619</v>
      </c>
      <c r="CG55" s="145">
        <v>142.54729000321163</v>
      </c>
      <c r="CH55" s="145">
        <v>92.777150887377246</v>
      </c>
      <c r="CI55" s="145">
        <v>45.111731659165102</v>
      </c>
      <c r="CJ55" s="145">
        <v>38.009873774083751</v>
      </c>
      <c r="CK55" s="145">
        <v>6.7931330730377333</v>
      </c>
      <c r="CL55" s="145">
        <v>1.5457786118033303</v>
      </c>
      <c r="CM55" s="145">
        <v>1.772966482744686E-2</v>
      </c>
      <c r="CN55" s="145">
        <v>4.290073157237364</v>
      </c>
      <c r="CO55" s="145">
        <v>7.7147034197985445</v>
      </c>
      <c r="CP55" s="68">
        <f t="shared" si="480"/>
        <v>55.908965275839869</v>
      </c>
      <c r="CQ55" s="145">
        <v>138.14474034037985</v>
      </c>
      <c r="CR55" s="145">
        <v>96.235233380491181</v>
      </c>
      <c r="CS55" s="145">
        <v>105.11353452664183</v>
      </c>
      <c r="CT55" s="145">
        <v>170.09746952846837</v>
      </c>
      <c r="CU55" s="145">
        <v>64.083345136184604</v>
      </c>
      <c r="CV55" s="145">
        <v>26.710661311095301</v>
      </c>
      <c r="CW55" s="145">
        <v>0.20779156189228379</v>
      </c>
      <c r="CX55" s="145">
        <v>4.310735949186709</v>
      </c>
      <c r="CY55" s="145">
        <v>12.992346984992004</v>
      </c>
      <c r="CZ55" s="554">
        <f>DC55*$B55/10^3</f>
        <v>1.5240201010499519</v>
      </c>
      <c r="DA55" s="554">
        <f t="shared" si="481"/>
        <v>1.221525E-2</v>
      </c>
      <c r="DB55" s="554">
        <f t="shared" si="481"/>
        <v>1.5118048510499515</v>
      </c>
      <c r="DC55" s="32">
        <f t="shared" si="482"/>
        <v>66.551096115718423</v>
      </c>
      <c r="DD55" s="32">
        <f t="shared" si="483"/>
        <v>0.53341703056768563</v>
      </c>
      <c r="DE55" s="67">
        <f t="shared" si="483"/>
        <v>66.017679085150732</v>
      </c>
      <c r="DF55" s="270"/>
      <c r="DG55" s="67">
        <f t="shared" si="484"/>
        <v>70.003455078749994</v>
      </c>
      <c r="DH55" s="32">
        <f>I55*0.5*2.5*0.25</f>
        <v>0.49331249999999993</v>
      </c>
      <c r="DI55" s="67">
        <f>(1-DK55)*BU55</f>
        <v>69.510142578749992</v>
      </c>
      <c r="DJ55" s="67"/>
      <c r="DK55" s="34">
        <f t="shared" si="485"/>
        <v>0.25</v>
      </c>
      <c r="DL55" s="159"/>
      <c r="DM55" s="159"/>
      <c r="DN55" s="68">
        <f t="shared" si="486"/>
        <v>42.741723956879902</v>
      </c>
      <c r="DO55" s="32">
        <f>K55*0.5*2.5*0.25</f>
        <v>0.81</v>
      </c>
      <c r="DP55" s="67">
        <f>(1-DR55)*CP55</f>
        <v>41.9317239568799</v>
      </c>
      <c r="DQ55" s="67"/>
      <c r="DR55" s="34">
        <f t="shared" si="487"/>
        <v>0.25</v>
      </c>
      <c r="DS55" s="294"/>
      <c r="DT55" s="294"/>
      <c r="DU55" s="294"/>
      <c r="DV55" s="67">
        <f t="shared" si="463"/>
        <v>77.740928706787059</v>
      </c>
      <c r="DW55" s="67">
        <f t="shared" si="463"/>
        <v>55.735035678403513</v>
      </c>
      <c r="DX55" s="67">
        <f t="shared" si="463"/>
        <v>22.005893028383554</v>
      </c>
      <c r="DY55" s="67">
        <f t="shared" si="464"/>
        <v>82.541233136249986</v>
      </c>
      <c r="DZ55" s="67">
        <f t="shared" si="464"/>
        <v>59.371185610000005</v>
      </c>
      <c r="EA55" s="67">
        <f>BU55-DI55</f>
        <v>23.170047526249988</v>
      </c>
      <c r="EB55" s="67">
        <f t="shared" si="465"/>
        <v>44.635380917387586</v>
      </c>
      <c r="EC55" s="67">
        <f t="shared" si="465"/>
        <v>30.658139598427621</v>
      </c>
      <c r="ED55" s="67">
        <f>CP55-DP55</f>
        <v>13.977241318959969</v>
      </c>
      <c r="EE55" s="68">
        <f>EF55+EG55</f>
        <v>57.239351407781655</v>
      </c>
      <c r="EF55" s="67">
        <f>(EJ55*$C55+FF55*$D55)/$B55</f>
        <v>40.079689939465716</v>
      </c>
      <c r="EG55" s="67">
        <f t="shared" si="488"/>
        <v>17.159661468315935</v>
      </c>
      <c r="EH55" s="261">
        <f t="shared" si="489"/>
        <v>60.339971153884264</v>
      </c>
      <c r="EI55" s="154">
        <f>EH55/($BJ55-$DG55)</f>
        <v>0.7310282250603366</v>
      </c>
      <c r="EJ55" s="108">
        <f>EK55+EL55-DH55</f>
        <v>42.271313132934495</v>
      </c>
      <c r="EK55" s="126">
        <f>'Allometrics &amp; Decay rates'!$H$5*$AL55*BL55+'Allometrics &amp; Decay rates'!$H$6*$AM55*BM55+'Allometrics &amp; Decay rates'!$H$7*$AN55*BN55+'Allometrics &amp; Decay rates'!$H$8*$AO55*BO55+'Allometrics &amp; Decay rates'!$H$9*$AP55*BP55+'Allometrics &amp; Decay rates'!$H$10*$AQ55*BQ55+'Allometrics &amp; Decay rates'!$H$11*$AR55*BR55+'Allometrics &amp; Decay rates'!$H$12*$AS55*BS55+'Allometrics &amp; Decay rates'!$H$13*$AT55*BT55</f>
        <v>26.138024813649242</v>
      </c>
      <c r="EL55" s="97">
        <f t="shared" si="490"/>
        <v>16.626600819285255</v>
      </c>
      <c r="EM55" s="550">
        <f>AL55*BL55*('Allometrics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3.6225307844827377</v>
      </c>
      <c r="EN55" s="550">
        <f>AM55*BM55*('Allometrics &amp; Decay rates'!$I$6*((EXP('Allometrics &amp; Decay rates'!$K$6)-1)/('Discounting metrics'!$D$4+'Allometrics &amp; Decay rates'!$K$6)*(1-EXP(-('Discounting metrics'!$D$4+'Allometrics &amp; Decay rates'!$K$6)*'Discounting metrics'!$E$4))-(1-EXP(-'Allometrics &amp; Decay rates'!$K$6))/1.55)+'Allometrics &amp; Decay rates'!$E$6*((EXP('Allometrics &amp; Decay rates'!$L$6)-1)/('Discounting metrics'!$D$4+'Allometrics &amp; Decay rates'!$L$6)*(1-EXP(-('Discounting metrics'!$D$4+'Allometrics &amp; Decay rates'!$L$6)*'Discounting metrics'!$E$4))-(1-EXP(-'Allometrics &amp; Decay rates'!$L$6))/1.55))</f>
        <v>9.6151547749835427</v>
      </c>
      <c r="EO55" s="550">
        <f>AN55*BN55*('Allometrics &amp; Decay rates'!$I$7*((EXP('Allometrics &amp; Decay rates'!$K$7)-1)/('Discounting metrics'!$D$4+'Allometrics &amp; Decay rates'!$K$7)*(1-EXP(-('Discounting metrics'!$D$4+'Allometrics &amp; Decay rates'!$K$7)*'Discounting metrics'!$E$4))-(1-EXP(-'Allometrics &amp; Decay rates'!$K$7))/1.55)+'Allometrics &amp; Decay rates'!$E$7*((EXP('Allometrics &amp; Decay rates'!$L$7)-1)/('Discounting metrics'!$D$4+'Allometrics &amp; Decay rates'!$L$7)*(1-EXP(-('Discounting metrics'!$D$4+'Allometrics &amp; Decay rates'!$L$7)*'Discounting metrics'!$E$4))-(1-EXP(-'Allometrics &amp; Decay rates'!$L$7))/1.55))</f>
        <v>1.7431526996303315</v>
      </c>
      <c r="EP55" s="550">
        <f>AO55*BO55*('Allometrics &amp; Decay rates'!$I$8*((EXP('Allometrics &amp; Decay rates'!$K$8)-1)/('Discounting metrics'!$D$4+'Allometrics &amp; Decay rates'!$K$8)*(1-EXP(-('Discounting metrics'!$D$4+'Allometrics &amp; Decay rates'!$K$8)*'Discounting metrics'!$E$4))-(1-EXP(-'Allometrics &amp; Decay rates'!$K$8))/1.55)+'Allometrics &amp; Decay rates'!$E$8*((EXP('Allometrics &amp; Decay rates'!$L$8)-1)/('Discounting metrics'!$D$4+'Allometrics &amp; Decay rates'!$L$8)*(1-EXP(-('Discounting metrics'!$D$4+'Allometrics &amp; Decay rates'!$L$8)*'Discounting metrics'!$E$4))-(1-EXP(-'Allometrics &amp; Decay rates'!$L$8))/1.55))</f>
        <v>0.87895919545807455</v>
      </c>
      <c r="EQ55" s="550">
        <f>AP55*BP55*('Allometrics &amp; Decay rates'!$I$9*((EXP('Allometrics &amp; Decay rates'!$K$9)-1)/('Discounting metrics'!$D$4+'Allometrics &amp; Decay rates'!$K$9)*(1-EXP(-('Discounting metrics'!$D$4+'Allometrics &amp; Decay rates'!$K$9)*'Discounting metrics'!$E$4))-(1-EXP(-'Allometrics &amp; Decay rates'!$K$9))/1.55)+'Allometrics &amp; Decay rates'!$E$9*((EXP('Allometrics &amp; Decay rates'!$L$9)-1)/('Discounting metrics'!$D$4+'Allometrics &amp; Decay rates'!$L$9)*(1-EXP(-('Discounting metrics'!$D$4+'Allometrics &amp; Decay rates'!$L$9)*'Discounting metrics'!$E$4))-(1-EXP(-'Allometrics &amp; Decay rates'!$L$9))/1.55))</f>
        <v>0.54510768936595977</v>
      </c>
      <c r="ER55" s="550">
        <f>AQ55*BQ55*('Allometrics &amp; Decay rates'!$I$10*((EXP('Allometrics &amp; Decay rates'!$K$10)-1)/('Discounting metrics'!$D$4+'Allometrics &amp; Decay rates'!$K$10)*(1-EXP(-('Discounting metrics'!$D$4+'Allometrics &amp; Decay rates'!$K$10)*'Discounting metrics'!$E$4))-(1-EXP(-'Allometrics &amp; Decay rates'!$K$10))/1.55)+'Allometrics &amp; Decay rates'!$E$10*((EXP('Allometrics &amp; Decay rates'!$L$10)-1)/('Discounting metrics'!$D$4+'Allometrics &amp; Decay rates'!$L$10)*(1-EXP(-('Discounting metrics'!$D$4+'Allometrics &amp; Decay rates'!$L$10)*'Discounting metrics'!$E$4))-(1-EXP(-'Allometrics &amp; Decay rates'!$L$10))/1.55))</f>
        <v>0.14674283708787167</v>
      </c>
      <c r="ES55" s="550">
        <f>AR55*BR55*('Allometrics &amp; Decay rates'!$I$11*((EXP('Allometrics &amp; Decay rates'!$K$11)-1)/('Discounting metrics'!$D$4+'Allometrics &amp; Decay rates'!$K$11)*(1-EXP(-('Discounting metrics'!$D$4+'Allometrics &amp; Decay rates'!$K$11)*'Discounting metrics'!$E$4))-(1-EXP(-'Allometrics &amp; Decay rates'!$K$11))/1.55)+'Allometrics &amp; Decay rates'!$E$11*((EXP('Allometrics &amp; Decay rates'!$L$11)-1)/('Discounting metrics'!$D$4+'Allometrics &amp; Decay rates'!$L$11)*(1-EXP(-('Discounting metrics'!$D$4+'Allometrics &amp; Decay rates'!$L$11)*'Discounting metrics'!$E$4))-(1-EXP(-'Allometrics &amp; Decay rates'!$L$11))/1.55))</f>
        <v>2.7441238446789478E-4</v>
      </c>
      <c r="ET55" s="550">
        <f>AS55*BS55*('Allometrics &amp; Decay rates'!$I$12*((EXP('Allometrics &amp; Decay rates'!$K$12)-1)/('Discounting metrics'!$D$4+'Allometrics &amp; Decay rates'!$K$12)*(1-EXP(-('Discounting metrics'!$D$4+'Allometrics &amp; Decay rates'!$K$12)*'Discounting metrics'!$E$4))-(1-EXP(-'Allometrics &amp; Decay rates'!$K$12))/1.55)+'Allometrics &amp; Decay rates'!$E$12*((EXP('Allometrics &amp; Decay rates'!$L$12)-1)/('Discounting metrics'!$D$4+'Allometrics &amp; Decay rates'!$L$12)*(1-EXP(-('Discounting metrics'!$D$4+'Allometrics &amp; Decay rates'!$L$12)*'Discounting metrics'!$E$4))-(1-EXP(-'Allometrics &amp; Decay rates'!$L$12))/1.55))</f>
        <v>6.3263651943700219E-2</v>
      </c>
      <c r="EU55" s="550">
        <f>AT55*BT55*('Allometrics &amp; Decay rates'!$I$13*((EXP('Allometrics &amp; Decay rates'!$K$13)-1)/('Discounting metrics'!$D$4+'Allometrics &amp; Decay rates'!$K$13)*(1-EXP(-('Discounting metrics'!$D$4+'Allometrics &amp; Decay rates'!$K$13)*'Discounting metrics'!$E$4))-(1-EXP(-'Allometrics &amp; Decay rates'!$K$13))/1.55)+'Allometrics &amp; Decay rates'!$E$13*((EXP('Allometrics &amp; Decay rates'!$L$13)-1)/('Discounting metrics'!$D$4+'Allometrics &amp; Decay rates'!$L$13)*(1-EXP(-('Discounting metrics'!$D$4+'Allometrics &amp; Decay rates'!$L$13)*'Discounting metrics'!$E$4))-(1-EXP(-'Allometrics &amp; Decay rates'!$L$13))/1.55))</f>
        <v>1.1414773948568997E-2</v>
      </c>
      <c r="EV55" s="108">
        <f t="shared" si="491"/>
        <v>18.068658020949773</v>
      </c>
      <c r="EW55" s="550">
        <f>AL55*BV55*$DK55*((EXP('Allometrics &amp; Decay rates'!$M$5)-1)/('Discounting metrics'!$D$4+'Allometrics &amp; Decay rates'!$M$5)*(1-EXP(-('Discounting metrics'!$D$4+'Allometrics &amp; Decay rates'!$M$5)*'Discounting metrics'!$E$4))-(1-EXP(-'Allometrics &amp; Decay rates'!$M$5))/1.55)</f>
        <v>1.6773859009511143</v>
      </c>
      <c r="EX55" s="550">
        <f>AM55*BW55*$DK55*((EXP('Allometrics &amp; Decay rates'!$M$5)-1)/('Discounting metrics'!$D$4+'Allometrics &amp; Decay rates'!$M$5)*(1-EXP(-('Discounting metrics'!$D$4+'Allometrics &amp; Decay rates'!$M$5)*'Discounting metrics'!$E$4))-(1-EXP(-'Allometrics &amp; Decay rates'!$M$5))/1.55)</f>
        <v>7.3372200402407364</v>
      </c>
      <c r="EY55" s="550">
        <f>AN55*BX55*$DK55*((EXP('Allometrics &amp; Decay rates'!$M$5)-1)/('Discounting metrics'!$D$4+'Allometrics &amp; Decay rates'!$M$5)*(1-EXP(-('Discounting metrics'!$D$4+'Allometrics &amp; Decay rates'!$M$5)*'Discounting metrics'!$E$4))-(1-EXP(-'Allometrics &amp; Decay rates'!$M$5))/1.55)</f>
        <v>4.5716071270788179</v>
      </c>
      <c r="EZ55" s="550">
        <f>AO55*BY55*$DK55*((EXP('Allometrics &amp; Decay rates'!$M$5)-1)/('Discounting metrics'!$D$4+'Allometrics &amp; Decay rates'!$M$5)*(1-EXP(-('Discounting metrics'!$D$4+'Allometrics &amp; Decay rates'!$M$5)*'Discounting metrics'!$E$4))-(1-EXP(-'Allometrics &amp; Decay rates'!$M$5))/1.55)</f>
        <v>1.0658698125483437</v>
      </c>
      <c r="FA55" s="550">
        <f>AP55*BZ55*$DK55*((EXP('Allometrics &amp; Decay rates'!$M$5)-1)/('Discounting metrics'!$D$4+'Allometrics &amp; Decay rates'!$M$5)*(1-EXP(-('Discounting metrics'!$D$4+'Allometrics &amp; Decay rates'!$M$5)*'Discounting metrics'!$E$4))-(1-EXP(-'Allometrics &amp; Decay rates'!$M$5))/1.55)</f>
        <v>2.3822748429596543</v>
      </c>
      <c r="FB55" s="550">
        <f>AQ55*CA55*$DK55*((EXP('Allometrics &amp; Decay rates'!$M$5)-1)/('Discounting metrics'!$D$4+'Allometrics &amp; Decay rates'!$M$5)*(1-EXP(-('Discounting metrics'!$D$4+'Allometrics &amp; Decay rates'!$M$5)*'Discounting metrics'!$E$4))-(1-EXP(-'Allometrics &amp; Decay rates'!$M$5))/1.55)</f>
        <v>1.0335051547075693</v>
      </c>
      <c r="FC55" s="550">
        <f>AR55*CB55*$DK55*((EXP('Allometrics &amp; Decay rates'!$M$5)-1)/('Discounting metrics'!$D$4+'Allometrics &amp; Decay rates'!$M$5)*(1-EXP(-('Discounting metrics'!$D$4+'Allometrics &amp; Decay rates'!$M$5)*'Discounting metrics'!$E$4))-(1-EXP(-'Allometrics &amp; Decay rates'!$M$5))/1.55)</f>
        <v>7.9514246353408968E-4</v>
      </c>
      <c r="FD55" s="261">
        <f t="shared" si="492"/>
        <v>35.855766951901515</v>
      </c>
      <c r="FE55" s="154">
        <f>FD55/($CE55-$DN55)</f>
        <v>0.80330370694638797</v>
      </c>
      <c r="FF55" s="108">
        <f t="shared" si="493"/>
        <v>24.965047225887922</v>
      </c>
      <c r="FG55" s="126">
        <f>'Allometrics &amp; Decay rates'!$H$5*$AU55*CG55+'Allometrics &amp; Decay rates'!$H$6*$AV55*CH55+'Allometrics &amp; Decay rates'!$H$7*$AW55*CI55+'Allometrics &amp; Decay rates'!$H$8*$AX55*CJ55+'Allometrics &amp; Decay rates'!$H$9*$AY55*CK55+'Allometrics &amp; Decay rates'!$H$10*$AZ55*CL55+'Allometrics &amp; Decay rates'!$H$11*$BA55*CM55+'Allometrics &amp; Decay rates'!$H$12*$BB55*CN55+'Allometrics &amp; Decay rates'!$H$13*$BC55*CO55</f>
        <v>13.438668845312812</v>
      </c>
      <c r="FH55" s="97">
        <f t="shared" si="494"/>
        <v>12.336378380575109</v>
      </c>
      <c r="FI55" s="550">
        <f>AU55*CG55*('Allometrics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1.6158463554641624</v>
      </c>
      <c r="FJ55" s="550">
        <f>AV55*CH55*('Allometrics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9.0446107667234052</v>
      </c>
      <c r="FK55" s="550">
        <f>AW55*CI55*('Allometrics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0.72186617056787761</v>
      </c>
      <c r="FL55" s="550">
        <f>AX55*CJ55*('Allometrics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0.17466127270228879</v>
      </c>
      <c r="FM55" s="550">
        <f>AY55*CK55*('Allometrics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0.51024807722530119</v>
      </c>
      <c r="FN55" s="550">
        <f>AZ55*CL55*('Allometrics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0.20940959801205589</v>
      </c>
      <c r="FO55" s="550">
        <f>BA55*CM55*('Allometrics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6.9733498703564232E-4</v>
      </c>
      <c r="FP55" s="550">
        <f>BB55*CN55*('Allometrics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4.8630170911284569E-2</v>
      </c>
      <c r="FQ55" s="550">
        <f>BC55*CO55*('Allometrics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1.0408633981694873E-2</v>
      </c>
      <c r="FR55" s="108">
        <f t="shared" si="495"/>
        <v>10.890719726013597</v>
      </c>
      <c r="FS55" s="550">
        <f>AU55*CQ55*$DK55*((EXP('Allometrics &amp; Decay rates'!$M$5)-1)/('Discounting metrics'!$D$4+'Allometrics &amp; Decay rates'!$M$5)*(1-EXP(-('Discounting metrics'!$D$4+'Allometrics &amp; Decay rates'!$M$5)*'Discounting metrics'!$E$4))-(1-EXP(-'Allometrics &amp; Decay rates'!$M$5))/1.55)</f>
        <v>0.78046157777785563</v>
      </c>
      <c r="FT55" s="550">
        <f>AV55*CR55*$DK55*((EXP('Allometrics &amp; Decay rates'!$M$5)-1)/('Discounting metrics'!$D$4+'Allometrics &amp; Decay rates'!$M$5)*(1-EXP(-('Discounting metrics'!$D$4+'Allometrics &amp; Decay rates'!$M$5)*'Discounting metrics'!$E$4))-(1-EXP(-'Allometrics &amp; Decay rates'!$M$5))/1.55)</f>
        <v>4.6758334066226084</v>
      </c>
      <c r="FU55" s="550">
        <f>AW55*CS55*$DK55*((EXP('Allometrics &amp; Decay rates'!$M$5)-1)/('Discounting metrics'!$D$4+'Allometrics &amp; Decay rates'!$M$5)*(1-EXP(-('Discounting metrics'!$D$4+'Allometrics &amp; Decay rates'!$M$5)*'Discounting metrics'!$E$4))-(1-EXP(-'Allometrics &amp; Decay rates'!$M$5))/1.55)</f>
        <v>0.83830471050553301</v>
      </c>
      <c r="FV55" s="550">
        <f>AX55*CT55*$DK55*((EXP('Allometrics &amp; Decay rates'!$M$5)-1)/('Discounting metrics'!$D$4+'Allometrics &amp; Decay rates'!$M$5)*(1-EXP(-('Discounting metrics'!$D$4+'Allometrics &amp; Decay rates'!$M$5)*'Discounting metrics'!$E$4))-(1-EXP(-'Allometrics &amp; Decay rates'!$M$5))/1.55)</f>
        <v>0.38955978835501248</v>
      </c>
      <c r="FW55" s="550">
        <f>AY55*CU55*$DK55*((EXP('Allometrics &amp; Decay rates'!$M$5)-1)/('Discounting metrics'!$D$4+'Allometrics &amp; Decay rates'!$M$5)*(1-EXP(-('Discounting metrics'!$D$4+'Allometrics &amp; Decay rates'!$M$5)*'Discounting metrics'!$E$4))-(1-EXP(-'Allometrics &amp; Decay rates'!$M$5))/1.55)</f>
        <v>2.3990124604698</v>
      </c>
      <c r="FX55" s="550">
        <f>AZ55*CV55*$DK55*((EXP('Allometrics &amp; Decay rates'!$M$5)-1)/('Discounting metrics'!$D$4+'Allometrics &amp; Decay rates'!$M$5)*(1-EXP(-('Discounting metrics'!$D$4+'Allometrics &amp; Decay rates'!$M$5)*'Discounting metrics'!$E$4))-(1-EXP(-'Allometrics &amp; Decay rates'!$M$5))/1.55)</f>
        <v>1.8034744962056886</v>
      </c>
      <c r="FY55" s="550">
        <f>BA55*CW55*$DK55*((EXP('Allometrics &amp; Decay rates'!$M$5)-1)/('Discounting metrics'!$D$4+'Allometrics &amp; Decay rates'!$M$5)*(1-EXP(-('Discounting metrics'!$D$4+'Allometrics &amp; Decay rates'!$M$5)*'Discounting metrics'!$E$4))-(1-EXP(-'Allometrics &amp; Decay rates'!$M$5))/1.55)</f>
        <v>4.0732860770986345E-3</v>
      </c>
      <c r="FZ55" s="68"/>
      <c r="GA55" s="293"/>
      <c r="GB55" s="293"/>
      <c r="GP55" s="32">
        <f t="shared" si="496"/>
        <v>5.4831004366812222</v>
      </c>
      <c r="GQ55" s="33">
        <v>5.63</v>
      </c>
      <c r="GR55" s="99">
        <v>4.47</v>
      </c>
      <c r="GS55" s="99"/>
      <c r="GT55" s="99"/>
      <c r="GU55" s="99"/>
      <c r="GV55" s="99"/>
      <c r="GW55" s="99"/>
      <c r="GX55" s="99"/>
      <c r="GY55" s="99"/>
      <c r="GZ55" s="99"/>
      <c r="HA55" s="99"/>
      <c r="HB55" s="99"/>
      <c r="HF55" s="97">
        <f>HG55*$LI55</f>
        <v>0.24594526864252431</v>
      </c>
      <c r="HG55" s="526">
        <f>EE55/'Discounting metrics'!E$4/M55</f>
        <v>1.3663626035695795</v>
      </c>
      <c r="HH55" s="527">
        <f>10^3*HG55/$LM55</f>
        <v>136.63626035695796</v>
      </c>
      <c r="HI55" s="528">
        <f>HG55/$LO55</f>
        <v>39.03893153055941</v>
      </c>
      <c r="HJ55" s="97">
        <f>HK55*$LI55</f>
        <v>0.28034552218947328</v>
      </c>
      <c r="HK55" s="526">
        <f>EH55/'Discounting metrics'!E$4/O55</f>
        <v>1.5574751232748516</v>
      </c>
      <c r="HL55" s="527">
        <f>10^3*HK55/$LM55</f>
        <v>155.74751232748514</v>
      </c>
      <c r="HM55" s="528">
        <f>HK55/$LO55</f>
        <v>44.499289236424325</v>
      </c>
      <c r="HN55" s="97">
        <f>HO55*$LI55</f>
        <v>0.10145761365845178</v>
      </c>
      <c r="HO55" s="526">
        <f>FD55/'Discounting metrics'!E$4/Q55</f>
        <v>0.56365340921362106</v>
      </c>
      <c r="HP55" s="527">
        <f>10^3*HO55/$LM55</f>
        <v>56.365340921362112</v>
      </c>
      <c r="HQ55" s="528">
        <f>HO55/$LO55</f>
        <v>16.104383120389173</v>
      </c>
      <c r="HR55" s="97">
        <f>HS55*$LI55</f>
        <v>0.28842981865582556</v>
      </c>
      <c r="HS55" s="263">
        <f>$IM$11*IE55</f>
        <v>1.6023878814212533</v>
      </c>
      <c r="HT55" s="527">
        <f>10^3*HS55/$LM55</f>
        <v>160.23878814212532</v>
      </c>
      <c r="HU55" s="528">
        <f>HS55/$LO55</f>
        <v>45.782510897750093</v>
      </c>
      <c r="HV55" s="97">
        <f>HW55*$LI55</f>
        <v>0.32023375504018736</v>
      </c>
      <c r="HW55" s="263">
        <f>$IM$11*IH55</f>
        <v>1.7790764168899298</v>
      </c>
      <c r="HX55" s="527">
        <f>10^3*HW55/$LM55</f>
        <v>177.90764168899298</v>
      </c>
      <c r="HY55" s="528">
        <f>HW55/$LO55</f>
        <v>50.830754768283704</v>
      </c>
      <c r="HZ55" s="97">
        <f>I55*$LI55</f>
        <v>0.28414799999999996</v>
      </c>
      <c r="IA55" s="263">
        <f>$IM$11*IK55</f>
        <v>0.86026218407437016</v>
      </c>
      <c r="IB55" s="527">
        <f>10^3*I55/$LM55</f>
        <v>157.85999999999996</v>
      </c>
      <c r="IC55" s="528">
        <f>I55/$LO55</f>
        <v>45.102857142857133</v>
      </c>
      <c r="ID55" s="97">
        <f>IE55*$LI55</f>
        <v>0.57820501013077918</v>
      </c>
      <c r="IE55" s="263">
        <f>GP55/G55</f>
        <v>3.2122500562821066</v>
      </c>
      <c r="IF55" s="68">
        <f>10^3*IE55/$LM55</f>
        <v>321.22500562821062</v>
      </c>
      <c r="IG55" s="97">
        <f>IH55*$LI55</f>
        <v>0.64196123147092365</v>
      </c>
      <c r="IH55" s="263">
        <f>GQ55/I55</f>
        <v>3.5664512859495758</v>
      </c>
      <c r="II55" s="68">
        <f>10^3*IH55/$LM55</f>
        <v>356.64512859495755</v>
      </c>
      <c r="IJ55" s="97">
        <f>IK55*$LI55</f>
        <v>0.31041666666666662</v>
      </c>
      <c r="IK55" s="263">
        <f>GR55/K55</f>
        <v>1.724537037037037</v>
      </c>
      <c r="IL55" s="68">
        <f>10^3*IK55/$LM55</f>
        <v>172.4537037037037</v>
      </c>
      <c r="IM55" s="60"/>
      <c r="IN55" s="60"/>
      <c r="IO55" s="60"/>
      <c r="IP55" s="554">
        <f>IR55*$V55</f>
        <v>7.3051270710000002</v>
      </c>
      <c r="IQ55" s="262">
        <f>IR55*$LI55</f>
        <v>3.3639376823540255E-2</v>
      </c>
      <c r="IR55" s="166">
        <f>(IW55*Y55+JD55*AA55)/V55</f>
        <v>0.18688542679744585</v>
      </c>
      <c r="IS55" s="68">
        <f>10^3*IR55/$LM55</f>
        <v>18.688542679744586</v>
      </c>
      <c r="IT55" s="97">
        <f>IR55/$LO55</f>
        <v>5.3395836227841666</v>
      </c>
      <c r="IU55" s="429">
        <f>(IX55*C55+JE55*D55)/B55</f>
        <v>7.4240174672489086E-3</v>
      </c>
      <c r="IV55" s="262">
        <f>IW55*$LI55</f>
        <v>3.654810718358039E-2</v>
      </c>
      <c r="IW55" s="436">
        <f>IX55*JB55/I55</f>
        <v>0.20304503990877995</v>
      </c>
      <c r="IX55" s="101">
        <v>7.4999999999999997E-3</v>
      </c>
      <c r="IY55" s="101">
        <v>0.4</v>
      </c>
      <c r="IZ55" s="101">
        <v>0.46700000000000003</v>
      </c>
      <c r="JA55" s="429">
        <f t="shared" ref="JA55" si="501">1-IY55-IZ55</f>
        <v>0.13299999999999995</v>
      </c>
      <c r="JB55" s="430">
        <f>IY55*$JJ55+IZ55*$JK55+JA55*$JL55+'Discounting metrics'!$B$6*(IY55*$JM55+IZ55*$JN55+JA55*$JO55)/10^3+'Discounting metrics'!$B$5*(IY55*$JP55+IZ55*$JQ55+JA55*$JR55)/10^3</f>
        <v>42.736920000000005</v>
      </c>
      <c r="JC55" s="262">
        <f>JD55*$LI55</f>
        <v>2.1422152083333333E-2</v>
      </c>
      <c r="JD55" s="436">
        <f>JE55*JI55/K55</f>
        <v>0.11901195601851852</v>
      </c>
      <c r="JE55" s="101">
        <v>6.8999999999999999E-3</v>
      </c>
      <c r="JF55" s="101">
        <v>0.5</v>
      </c>
      <c r="JG55" s="101">
        <v>0.5</v>
      </c>
      <c r="JH55" s="429">
        <f t="shared" si="497"/>
        <v>0</v>
      </c>
      <c r="JI55" s="430">
        <f>JF55*$JJ55+JG55*$JK55+JH55*$JL55+'Discounting metrics'!$B$6*(JF55*$JM55+JG55*$JN55+JH55*$JO55)/10^3+'Discounting metrics'!$B$5*(JF55*$JP55+JG55*$JQ55+JH55*$JR55)/10^3</f>
        <v>44.707100000000004</v>
      </c>
      <c r="JJ55" s="431">
        <v>51.3</v>
      </c>
      <c r="JK55" s="431">
        <v>29</v>
      </c>
      <c r="JL55" s="431">
        <v>29</v>
      </c>
      <c r="JM55" s="99">
        <v>5</v>
      </c>
      <c r="JN55" s="431">
        <v>13</v>
      </c>
      <c r="JO55" s="431">
        <v>13</v>
      </c>
      <c r="JP55" s="431">
        <v>52</v>
      </c>
      <c r="JQ55" s="431">
        <v>58.3</v>
      </c>
      <c r="JR55" s="431">
        <v>58.3</v>
      </c>
      <c r="JS55" s="554">
        <f>JV55+JW55+JT55+JU55+JX55</f>
        <v>49.496581201731004</v>
      </c>
      <c r="JT55" s="554">
        <f>KJ55*$V55</f>
        <v>20.459817071835413</v>
      </c>
      <c r="JU55" s="554">
        <f>KL55*$V55</f>
        <v>0.5405308712639999</v>
      </c>
      <c r="JV55" s="554">
        <f>KN55*$V55</f>
        <v>10.669723474379998</v>
      </c>
      <c r="JW55" s="554">
        <f>KP55*$V55</f>
        <v>17.826509784251598</v>
      </c>
      <c r="JX55" s="554"/>
      <c r="JY55" s="167">
        <f>JZ55*LI55</f>
        <v>0.22792678763000104</v>
      </c>
      <c r="JZ55" s="166">
        <f>KF55+KD55+KH55</f>
        <v>1.2662599312777836</v>
      </c>
      <c r="KA55" s="68">
        <f>10^3*JZ55/$LM55</f>
        <v>126.62599312777836</v>
      </c>
      <c r="KB55" s="97">
        <f>JZ55/$LO55</f>
        <v>36.178855179365243</v>
      </c>
      <c r="KC55" s="473">
        <f>KD55*LI55</f>
        <v>9.6704494120001011E-2</v>
      </c>
      <c r="KD55" s="269">
        <f>KJ55+KL55</f>
        <v>0.53724718955556117</v>
      </c>
      <c r="KE55" s="473">
        <f>KF55*LI55</f>
        <v>0.13122229351</v>
      </c>
      <c r="KF55" s="269">
        <f>KN55+KP55</f>
        <v>0.7290127417222223</v>
      </c>
      <c r="KG55" s="49"/>
      <c r="KH55" s="49"/>
      <c r="KI55" s="435">
        <v>9.4215403720001006E-2</v>
      </c>
      <c r="KJ55" s="522">
        <f>KI55/$LI55</f>
        <v>0.52341890955556114</v>
      </c>
      <c r="KK55" s="435">
        <v>2.4890903999999999E-3</v>
      </c>
      <c r="KL55" s="522">
        <f>KK55/$LI55</f>
        <v>1.382828E-2</v>
      </c>
      <c r="KM55" s="435">
        <v>4.91330055E-2</v>
      </c>
      <c r="KN55" s="522">
        <f>KM55/$LI55</f>
        <v>0.27296114166666668</v>
      </c>
      <c r="KO55" s="435">
        <v>8.2089288010000011E-2</v>
      </c>
      <c r="KP55" s="522">
        <f>KO55/$LI55</f>
        <v>0.45605160005555562</v>
      </c>
      <c r="KQ55" s="599">
        <f>44/12*HG55+$JZ55+$IR55</f>
        <v>6.4631415711636873</v>
      </c>
      <c r="KR55" s="527">
        <f>10^3*KQ55/$LM55</f>
        <v>646.31415711636873</v>
      </c>
      <c r="KT55" s="599">
        <f>44/12*HK55+$JZ55+$IW55</f>
        <v>7.1800470898610191</v>
      </c>
      <c r="KU55" s="527">
        <f>10^3*KT55/$LM55</f>
        <v>718.00470898610195</v>
      </c>
      <c r="KW55" s="599">
        <f>44/12*HO55+$JZ55+$JD55</f>
        <v>3.4520010544129125</v>
      </c>
      <c r="KX55" s="527">
        <f>10^3*KW55/$LM55</f>
        <v>345.20010544129127</v>
      </c>
      <c r="KZ55" s="599">
        <f>44/12*HS55+$JZ55+$IR55</f>
        <v>7.3285675899531579</v>
      </c>
      <c r="LA55" s="527">
        <f>10^3*KZ55/$LM55</f>
        <v>732.85675899531577</v>
      </c>
      <c r="LC55" s="599">
        <f>44/12*HW55+$JZ55+$IW55</f>
        <v>7.992585166449639</v>
      </c>
      <c r="LD55" s="527">
        <f>10^3*LC55/$LM55</f>
        <v>799.25851664496383</v>
      </c>
      <c r="LF55" s="599">
        <f>44/12*I55+$JZ55+$JD55</f>
        <v>7.1734718872963006</v>
      </c>
      <c r="LG55" s="527">
        <f>10^3*LF55/$LM55</f>
        <v>717.34718872963003</v>
      </c>
      <c r="LI55" s="31">
        <v>0.18</v>
      </c>
      <c r="LJ55" s="32">
        <f t="shared" si="498"/>
        <v>3.2399999999999998</v>
      </c>
      <c r="LK55" s="27">
        <v>18</v>
      </c>
      <c r="LL55" s="32">
        <f t="shared" si="499"/>
        <v>1.7999999999999998</v>
      </c>
      <c r="LM55" s="33">
        <v>10</v>
      </c>
      <c r="LN55" s="36">
        <f t="shared" si="500"/>
        <v>6.3E-3</v>
      </c>
      <c r="LO55" s="35">
        <v>3.5000000000000003E-2</v>
      </c>
      <c r="LP55" s="36"/>
      <c r="LQ55" s="35"/>
    </row>
    <row r="56" spans="1:329" s="4" customFormat="1" x14ac:dyDescent="0.25">
      <c r="A56" s="102" t="s">
        <v>358</v>
      </c>
      <c r="B56" s="67">
        <f t="shared" si="468"/>
        <v>23.6</v>
      </c>
      <c r="C56" s="99">
        <v>20.8</v>
      </c>
      <c r="D56" s="99">
        <v>2.8</v>
      </c>
      <c r="E56" s="38">
        <f t="shared" si="469"/>
        <v>0.11864406779661016</v>
      </c>
      <c r="F56" s="108">
        <f>U56/B56</f>
        <v>13.754237288135593</v>
      </c>
      <c r="G56" s="32">
        <f>V56/B56</f>
        <v>2.4757627118644066</v>
      </c>
      <c r="H56" s="99">
        <v>12.69</v>
      </c>
      <c r="I56" s="97">
        <f>$LI56*H56</f>
        <v>2.2841999999999998</v>
      </c>
      <c r="J56" s="99">
        <v>21.66</v>
      </c>
      <c r="K56" s="32">
        <f>$LI56*J56</f>
        <v>3.8988</v>
      </c>
      <c r="L56" s="32">
        <f>(F56/'Discounting metrics'!$D$4*(1-EXP(-'Discounting metrics'!$D$4*'Discounting metrics'!$E$4)))/'Discounting metrics'!$E$4</f>
        <v>3.375579911194035</v>
      </c>
      <c r="M56" s="32">
        <f>(G56/'Discounting metrics'!$D$4*(1-EXP(-'Discounting metrics'!$D$4*'Discounting metrics'!$E$4)))/'Discounting metrics'!$E$4</f>
        <v>0.60760438401492622</v>
      </c>
      <c r="N56" s="32">
        <f>(H56/'Discounting metrics'!$D$4*(1-EXP(-'Discounting metrics'!$D$4*'Discounting metrics'!$E$4)))/'Discounting metrics'!$E$4</f>
        <v>3.1143936356254911</v>
      </c>
      <c r="O56" s="32">
        <f>(I56/'Discounting metrics'!$D$4*(1-EXP(-'Discounting metrics'!$D$4*'Discounting metrics'!$E$4)))/'Discounting metrics'!$E$4</f>
        <v>0.56059085441258827</v>
      </c>
      <c r="P56" s="32">
        <f>(J56/'Discounting metrics'!$D$4*(1-EXP(-'Discounting metrics'!$D$4*'Discounting metrics'!$E$4)))/'Discounting metrics'!$E$4</f>
        <v>5.3158208154175046</v>
      </c>
      <c r="Q56" s="32">
        <f>(K56/'Discounting metrics'!$D$4*(1-EXP(-'Discounting metrics'!$D$4*'Discounting metrics'!$E$4)))/'Discounting metrics'!$E$4</f>
        <v>0.95684774677515083</v>
      </c>
      <c r="R56" s="32">
        <f>10/G56</f>
        <v>4.0391593071814889</v>
      </c>
      <c r="S56" s="32">
        <f>10/I56</f>
        <v>4.37790035898783</v>
      </c>
      <c r="T56" s="32">
        <f>10/K56</f>
        <v>2.5648917615676616</v>
      </c>
      <c r="U56" s="107">
        <f t="shared" si="470"/>
        <v>324.60000000000002</v>
      </c>
      <c r="V56" s="68">
        <f t="shared" si="470"/>
        <v>58.427999999999997</v>
      </c>
      <c r="W56" s="68"/>
      <c r="X56" s="67">
        <f>C56*H56</f>
        <v>263.952</v>
      </c>
      <c r="Y56" s="67">
        <f t="shared" si="471"/>
        <v>47.511359999999996</v>
      </c>
      <c r="Z56" s="67">
        <f t="shared" si="471"/>
        <v>60.647999999999996</v>
      </c>
      <c r="AA56" s="67">
        <f>D56*K56</f>
        <v>10.916639999999999</v>
      </c>
      <c r="AB56" s="38">
        <f t="shared" si="472"/>
        <v>0.18683918669131239</v>
      </c>
      <c r="AC56" s="294">
        <f t="shared" si="473"/>
        <v>0.33117247551138135</v>
      </c>
      <c r="AD56" s="294">
        <f t="shared" si="473"/>
        <v>0.31491618998486243</v>
      </c>
      <c r="AE56" s="294">
        <f t="shared" si="473"/>
        <v>2.8431107614217587E-2</v>
      </c>
      <c r="AF56" s="294">
        <f t="shared" si="473"/>
        <v>0.10434554416459997</v>
      </c>
      <c r="AG56" s="294">
        <f t="shared" si="473"/>
        <v>5.1001951628478155E-2</v>
      </c>
      <c r="AH56" s="294">
        <f t="shared" si="473"/>
        <v>9.6933339682212738E-2</v>
      </c>
      <c r="AI56" s="294">
        <f t="shared" si="473"/>
        <v>4.59855680944471E-2</v>
      </c>
      <c r="AJ56" s="294">
        <f t="shared" si="473"/>
        <v>2.3815667484895379E-2</v>
      </c>
      <c r="AK56" s="294">
        <f t="shared" si="473"/>
        <v>5.8350128488607953E-5</v>
      </c>
      <c r="AL56" s="433">
        <v>0.36202427074818044</v>
      </c>
      <c r="AM56" s="433">
        <v>0.33534739616748976</v>
      </c>
      <c r="AN56" s="433">
        <v>3.0895439329591493E-2</v>
      </c>
      <c r="AO56" s="433">
        <v>0.11273818023505817</v>
      </c>
      <c r="AP56" s="433">
        <v>3.2720261155242791E-2</v>
      </c>
      <c r="AQ56" s="433">
        <v>7.3151523260709686E-2</v>
      </c>
      <c r="AR56" s="433">
        <v>3.5974821419071518E-2</v>
      </c>
      <c r="AS56" s="433">
        <v>1.329250779505208E-2</v>
      </c>
      <c r="AT56" s="433">
        <v>6.620495347745902E-5</v>
      </c>
      <c r="AU56" s="433">
        <v>0.1019877108951599</v>
      </c>
      <c r="AV56" s="433">
        <v>0.16314151548534486</v>
      </c>
      <c r="AW56" s="433">
        <v>1.0124643442868609E-2</v>
      </c>
      <c r="AX56" s="433">
        <v>4.2000247641196121E-2</v>
      </c>
      <c r="AY56" s="433">
        <v>0.18680879514394089</v>
      </c>
      <c r="AZ56" s="433">
        <v>0.27359826167052104</v>
      </c>
      <c r="BA56" s="433">
        <v>0.12035111482580861</v>
      </c>
      <c r="BB56" s="433">
        <v>0.1019877108951599</v>
      </c>
      <c r="BC56" s="433">
        <v>0</v>
      </c>
      <c r="BD56" s="554">
        <f>BG56*$B56/10^3</f>
        <v>4.4065031606809892</v>
      </c>
      <c r="BE56" s="554">
        <f t="shared" si="474"/>
        <v>2.0942369892613648</v>
      </c>
      <c r="BF56" s="554">
        <f t="shared" si="474"/>
        <v>2.3122661714196249</v>
      </c>
      <c r="BG56" s="67">
        <f t="shared" si="475"/>
        <v>186.7162356220758</v>
      </c>
      <c r="BH56" s="67">
        <f>(BK56*$C56+CF56*$D56)/$B56</f>
        <v>88.738855477176457</v>
      </c>
      <c r="BI56" s="67">
        <f>(BU56*$C56+CP56*$D56)/$B56</f>
        <v>97.977380144899342</v>
      </c>
      <c r="BJ56" s="67">
        <f>BK56+BU56</f>
        <v>199.56124862457995</v>
      </c>
      <c r="BK56" s="68">
        <f t="shared" si="476"/>
        <v>95.924737726836298</v>
      </c>
      <c r="BL56" s="145">
        <v>132.69520886684069</v>
      </c>
      <c r="BM56" s="145">
        <v>124.55323480613771</v>
      </c>
      <c r="BN56" s="145">
        <v>38.38465260395423</v>
      </c>
      <c r="BO56" s="145">
        <v>34.73812511356963</v>
      </c>
      <c r="BP56" s="145">
        <v>6.1803233943588447</v>
      </c>
      <c r="BQ56" s="145">
        <v>1.0500567410778205</v>
      </c>
      <c r="BR56" s="145">
        <v>3.2437006229651892E-2</v>
      </c>
      <c r="BS56" s="145">
        <v>55.226263290881867</v>
      </c>
      <c r="BT56" s="145">
        <v>10.985830099056418</v>
      </c>
      <c r="BU56" s="68">
        <f t="shared" si="477"/>
        <v>103.63651089774365</v>
      </c>
      <c r="BV56" s="145">
        <v>129.94357184691671</v>
      </c>
      <c r="BW56" s="145">
        <v>89.307721485748885</v>
      </c>
      <c r="BX56" s="145">
        <v>124.49082567718722</v>
      </c>
      <c r="BY56" s="145">
        <v>153.6815237564395</v>
      </c>
      <c r="BZ56" s="145">
        <v>68.17828620708687</v>
      </c>
      <c r="CA56" s="145">
        <v>36.223879626836784</v>
      </c>
      <c r="CB56" s="145">
        <v>0.34014828708320616</v>
      </c>
      <c r="CC56" s="145">
        <v>43.464650130742612</v>
      </c>
      <c r="CD56" s="145">
        <v>31.173652538510584</v>
      </c>
      <c r="CE56" s="68">
        <f t="shared" si="478"/>
        <v>91.296139032044948</v>
      </c>
      <c r="CF56" s="68">
        <f t="shared" si="479"/>
        <v>35.358015908274808</v>
      </c>
      <c r="CG56" s="145">
        <v>139.28940096018025</v>
      </c>
      <c r="CH56" s="145">
        <v>82.417725974213269</v>
      </c>
      <c r="CI56" s="145">
        <v>43.141617646089273</v>
      </c>
      <c r="CJ56" s="145">
        <v>36.416868417425476</v>
      </c>
      <c r="CK56" s="145">
        <v>6.3617696541016491</v>
      </c>
      <c r="CL56" s="145">
        <v>1.1701668031063144</v>
      </c>
      <c r="CM56" s="145">
        <v>3.4262585079342836E-2</v>
      </c>
      <c r="CN56" s="145">
        <v>41.450399674222105</v>
      </c>
      <c r="CO56" s="145">
        <v>0</v>
      </c>
      <c r="CP56" s="68">
        <f t="shared" si="480"/>
        <v>55.938123123770133</v>
      </c>
      <c r="CQ56" s="145">
        <v>141.46988537824558</v>
      </c>
      <c r="CR56" s="145">
        <v>86.798705852431056</v>
      </c>
      <c r="CS56" s="145">
        <v>107.3557378607612</v>
      </c>
      <c r="CT56" s="145">
        <v>162.23018044123344</v>
      </c>
      <c r="CU56" s="145">
        <v>50.117965975160836</v>
      </c>
      <c r="CV56" s="145">
        <v>21.831277324407971</v>
      </c>
      <c r="CW56" s="145">
        <v>0.30041389484597214</v>
      </c>
      <c r="CX56" s="145">
        <v>39.977199898754009</v>
      </c>
      <c r="CY56" s="145">
        <v>0</v>
      </c>
      <c r="CZ56" s="554">
        <f>DC56*$B56/10^3</f>
        <v>1.7524583785647185</v>
      </c>
      <c r="DA56" s="554">
        <f t="shared" si="481"/>
        <v>1.8258750000000001E-2</v>
      </c>
      <c r="DB56" s="554">
        <f t="shared" si="481"/>
        <v>1.7341996285647185</v>
      </c>
      <c r="DC56" s="32">
        <f t="shared" si="482"/>
        <v>74.256710956132139</v>
      </c>
      <c r="DD56" s="32">
        <f t="shared" si="483"/>
        <v>0.77367584745762707</v>
      </c>
      <c r="DE56" s="67">
        <f t="shared" si="483"/>
        <v>73.483035108674514</v>
      </c>
      <c r="DF56" s="270"/>
      <c r="DG56" s="67">
        <f t="shared" si="484"/>
        <v>78.441195673307746</v>
      </c>
      <c r="DH56" s="32">
        <f>I56*0.5*2.5*0.25</f>
        <v>0.71381249999999996</v>
      </c>
      <c r="DI56" s="67">
        <f>(1-DK56)*BU56</f>
        <v>77.727383173307743</v>
      </c>
      <c r="DJ56" s="67"/>
      <c r="DK56" s="34">
        <f t="shared" si="485"/>
        <v>0.25</v>
      </c>
      <c r="DL56" s="159"/>
      <c r="DM56" s="159"/>
      <c r="DN56" s="68">
        <f t="shared" si="486"/>
        <v>43.1719673428276</v>
      </c>
      <c r="DO56" s="32">
        <f>K56*0.5*2.5*0.25</f>
        <v>1.218375</v>
      </c>
      <c r="DP56" s="67">
        <f>(1-DR56)*CP56</f>
        <v>41.953592342827598</v>
      </c>
      <c r="DQ56" s="67"/>
      <c r="DR56" s="34">
        <f t="shared" si="487"/>
        <v>0.25</v>
      </c>
      <c r="DS56" s="294"/>
      <c r="DT56" s="294"/>
      <c r="DU56" s="294"/>
      <c r="DV56" s="67">
        <f t="shared" si="463"/>
        <v>112.45952466594366</v>
      </c>
      <c r="DW56" s="67">
        <f t="shared" si="463"/>
        <v>87.965179629718833</v>
      </c>
      <c r="DX56" s="67">
        <f t="shared" si="463"/>
        <v>24.494345036224829</v>
      </c>
      <c r="DY56" s="67">
        <f t="shared" si="464"/>
        <v>121.1200529512722</v>
      </c>
      <c r="DZ56" s="67">
        <f t="shared" si="464"/>
        <v>95.210925226836295</v>
      </c>
      <c r="EA56" s="67">
        <f>BU56-DI56</f>
        <v>25.909127724435905</v>
      </c>
      <c r="EB56" s="67">
        <f t="shared" si="465"/>
        <v>48.124171689217349</v>
      </c>
      <c r="EC56" s="67">
        <f t="shared" si="465"/>
        <v>34.139640908274806</v>
      </c>
      <c r="ED56" s="67">
        <f>CP56-DP56</f>
        <v>13.984530780942535</v>
      </c>
      <c r="EE56" s="68">
        <f>EF56+EG56</f>
        <v>85.907506450915974</v>
      </c>
      <c r="EF56" s="67">
        <f>(EJ56*$C56+FF56*$D56)/$B56</f>
        <v>66.958493029135411</v>
      </c>
      <c r="EG56" s="67">
        <f t="shared" si="488"/>
        <v>18.949013421780563</v>
      </c>
      <c r="EH56" s="261">
        <f t="shared" si="489"/>
        <v>92.396695540219156</v>
      </c>
      <c r="EI56" s="154">
        <f>EH56/($BJ56-$DG56)</f>
        <v>0.76285217260754723</v>
      </c>
      <c r="EJ56" s="108">
        <f>EK56+EL56-DH56</f>
        <v>72.260895472663535</v>
      </c>
      <c r="EK56" s="126">
        <f>'Allometrics &amp; Decay rates'!$H$5*$AL56*BL56+'Allometrics &amp; Decay rates'!$H$6*$AM56*BM56+'Allometrics &amp; Decay rates'!$H$7*$AN56*BN56+'Allometrics &amp; Decay rates'!$H$8*$AO56*BO56+'Allometrics &amp; Decay rates'!$H$9*$AP56*BP56+'Allometrics &amp; Decay rates'!$H$10*$AQ56*BQ56+'Allometrics &amp; Decay rates'!$H$11*$AR56*BR56+'Allometrics &amp; Decay rates'!$H$12*$AS56*BS56+'Allometrics &amp; Decay rates'!$H$13*$AT56*BT56</f>
        <v>41.030032966109019</v>
      </c>
      <c r="EL56" s="97">
        <f t="shared" si="490"/>
        <v>31.944675006554519</v>
      </c>
      <c r="EM56" s="550">
        <f>AL56*BL56*('Allometrics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18.832567955274904</v>
      </c>
      <c r="EN56" s="550">
        <f>AM56*BM56*('Allometrics &amp; Decay rates'!$I$6*((EXP('Allometrics &amp; Decay rates'!$K$6)-1)/('Discounting metrics'!$D$4+'Allometrics &amp; Decay rates'!$K$6)*(1-EXP(-('Discounting metrics'!$D$4+'Allometrics &amp; Decay rates'!$K$6)*'Discounting metrics'!$E$4))-(1-EXP(-'Allometrics &amp; Decay rates'!$K$6))/1.55)+'Allometrics &amp; Decay rates'!$E$6*((EXP('Allometrics &amp; Decay rates'!$L$6)-1)/('Discounting metrics'!$D$4+'Allometrics &amp; Decay rates'!$L$6)*(1-EXP(-('Discounting metrics'!$D$4+'Allometrics &amp; Decay rates'!$L$6)*'Discounting metrics'!$E$4))-(1-EXP(-'Allometrics &amp; Decay rates'!$L$6))/1.55))</f>
        <v>10.186852905012296</v>
      </c>
      <c r="EO56" s="550">
        <f>AN56*BN56*('Allometrics &amp; Decay rates'!$I$7*((EXP('Allometrics &amp; Decay rates'!$K$7)-1)/('Discounting metrics'!$D$4+'Allometrics &amp; Decay rates'!$K$7)*(1-EXP(-('Discounting metrics'!$D$4+'Allometrics &amp; Decay rates'!$K$7)*'Discounting metrics'!$E$4))-(1-EXP(-'Allometrics &amp; Decay rates'!$K$7))/1.55)+'Allometrics &amp; Decay rates'!$E$7*((EXP('Allometrics &amp; Decay rates'!$L$7)-1)/('Discounting metrics'!$D$4+'Allometrics &amp; Decay rates'!$L$7)*(1-EXP(-('Discounting metrics'!$D$4+'Allometrics &amp; Decay rates'!$L$7)*'Discounting metrics'!$E$4))-(1-EXP(-'Allometrics &amp; Decay rates'!$L$7))/1.55))</f>
        <v>0.25249398781576154</v>
      </c>
      <c r="EP56" s="550">
        <f>AO56*BO56*('Allometrics &amp; Decay rates'!$I$8*((EXP('Allometrics &amp; Decay rates'!$K$8)-1)/('Discounting metrics'!$D$4+'Allometrics &amp; Decay rates'!$K$8)*(1-EXP(-('Discounting metrics'!$D$4+'Allometrics &amp; Decay rates'!$K$8)*'Discounting metrics'!$E$4))-(1-EXP(-'Allometrics &amp; Decay rates'!$K$8))/1.55)+'Allometrics &amp; Decay rates'!$E$8*((EXP('Allometrics &amp; Decay rates'!$L$8)-1)/('Discounting metrics'!$D$4+'Allometrics &amp; Decay rates'!$L$8)*(1-EXP(-('Discounting metrics'!$D$4+'Allometrics &amp; Decay rates'!$L$8)*'Discounting metrics'!$E$4))-(1-EXP(-'Allometrics &amp; Decay rates'!$L$8))/1.55))</f>
        <v>2.2172848725443735</v>
      </c>
      <c r="EQ56" s="550">
        <f>AP56*BP56*('Allometrics &amp; Decay rates'!$I$9*((EXP('Allometrics &amp; Decay rates'!$K$9)-1)/('Discounting metrics'!$D$4+'Allometrics &amp; Decay rates'!$K$9)*(1-EXP(-('Discounting metrics'!$D$4+'Allometrics &amp; Decay rates'!$K$9)*'Discounting metrics'!$E$4))-(1-EXP(-'Allometrics &amp; Decay rates'!$K$9))/1.55)+'Allometrics &amp; Decay rates'!$E$9*((EXP('Allometrics &amp; Decay rates'!$L$9)-1)/('Discounting metrics'!$D$4+'Allometrics &amp; Decay rates'!$L$9)*(1-EXP(-('Discounting metrics'!$D$4+'Allometrics &amp; Decay rates'!$L$9)*'Discounting metrics'!$E$4))-(1-EXP(-'Allometrics &amp; Decay rates'!$L$9))/1.55))</f>
        <v>0.1059896259756361</v>
      </c>
      <c r="ER56" s="550">
        <f>AQ56*BQ56*('Allometrics &amp; Decay rates'!$I$10*((EXP('Allometrics &amp; Decay rates'!$K$10)-1)/('Discounting metrics'!$D$4+'Allometrics &amp; Decay rates'!$K$10)*(1-EXP(-('Discounting metrics'!$D$4+'Allometrics &amp; Decay rates'!$K$10)*'Discounting metrics'!$E$4))-(1-EXP(-'Allometrics &amp; Decay rates'!$K$10))/1.55)+'Allometrics &amp; Decay rates'!$E$10*((EXP('Allometrics &amp; Decay rates'!$L$10)-1)/('Discounting metrics'!$D$4+'Allometrics &amp; Decay rates'!$L$10)*(1-EXP(-('Discounting metrics'!$D$4+'Allometrics &amp; Decay rates'!$L$10)*'Discounting metrics'!$E$4))-(1-EXP(-'Allometrics &amp; Decay rates'!$L$10))/1.55))</f>
        <v>4.8867148678811062E-2</v>
      </c>
      <c r="ES56" s="550">
        <f>AR56*BR56*('Allometrics &amp; Decay rates'!$I$11*((EXP('Allometrics &amp; Decay rates'!$K$11)-1)/('Discounting metrics'!$D$4+'Allometrics &amp; Decay rates'!$K$11)*(1-EXP(-('Discounting metrics'!$D$4+'Allometrics &amp; Decay rates'!$K$11)*'Discounting metrics'!$E$4))-(1-EXP(-'Allometrics &amp; Decay rates'!$K$11))/1.55)+'Allometrics &amp; Decay rates'!$E$11*((EXP('Allometrics &amp; Decay rates'!$L$11)-1)/('Discounting metrics'!$D$4+'Allometrics &amp; Decay rates'!$L$11)*(1-EXP(-('Discounting metrics'!$D$4+'Allometrics &amp; Decay rates'!$L$11)*'Discounting metrics'!$E$4))-(1-EXP(-'Allometrics &amp; Decay rates'!$L$11))/1.55))</f>
        <v>8.282663837097399E-4</v>
      </c>
      <c r="ET56" s="550">
        <f>AS56*BS56*('Allometrics &amp; Decay rates'!$I$12*((EXP('Allometrics &amp; Decay rates'!$K$12)-1)/('Discounting metrics'!$D$4+'Allometrics &amp; Decay rates'!$K$12)*(1-EXP(-('Discounting metrics'!$D$4+'Allometrics &amp; Decay rates'!$K$12)*'Discounting metrics'!$E$4))-(1-EXP(-'Allometrics &amp; Decay rates'!$K$12))/1.55)+'Allometrics &amp; Decay rates'!$E$12*((EXP('Allometrics &amp; Decay rates'!$L$12)-1)/('Discounting metrics'!$D$4+'Allometrics &amp; Decay rates'!$L$12)*(1-EXP(-('Discounting metrics'!$D$4+'Allometrics &amp; Decay rates'!$L$12)*'Discounting metrics'!$E$4))-(1-EXP(-'Allometrics &amp; Decay rates'!$L$12))/1.55))</f>
        <v>0.29954376221602924</v>
      </c>
      <c r="EU56" s="550">
        <f>AT56*BT56*('Allometrics &amp; Decay rates'!$I$13*((EXP('Allometrics &amp; Decay rates'!$K$13)-1)/('Discounting metrics'!$D$4+'Allometrics &amp; Decay rates'!$K$13)*(1-EXP(-('Discounting metrics'!$D$4+'Allometrics &amp; Decay rates'!$K$13)*'Discounting metrics'!$E$4))-(1-EXP(-'Allometrics &amp; Decay rates'!$K$13))/1.55)+'Allometrics &amp; Decay rates'!$E$13*((EXP('Allometrics &amp; Decay rates'!$L$13)-1)/('Discounting metrics'!$D$4+'Allometrics &amp; Decay rates'!$L$13)*(1-EXP(-('Discounting metrics'!$D$4+'Allometrics &amp; Decay rates'!$L$13)*'Discounting metrics'!$E$4))-(1-EXP(-'Allometrics &amp; Decay rates'!$L$13))/1.55))</f>
        <v>2.4648265300120038E-4</v>
      </c>
      <c r="EV56" s="108">
        <f t="shared" si="491"/>
        <v>20.135800067555621</v>
      </c>
      <c r="EW56" s="550">
        <f>AL56*BV56*$DK56*((EXP('Allometrics &amp; Decay rates'!$M$5)-1)/('Discounting metrics'!$D$4+'Allometrics &amp; Decay rates'!$M$5)*(1-EXP(-('Discounting metrics'!$D$4+'Allometrics &amp; Decay rates'!$M$5)*'Discounting metrics'!$E$4))-(1-EXP(-'Allometrics &amp; Decay rates'!$M$5))/1.55)</f>
        <v>9.1914742850895603</v>
      </c>
      <c r="EX56" s="550">
        <f>AM56*BW56*$DK56*((EXP('Allometrics &amp; Decay rates'!$M$5)-1)/('Discounting metrics'!$D$4+'Allometrics &amp; Decay rates'!$M$5)*(1-EXP(-('Discounting metrics'!$D$4+'Allometrics &amp; Decay rates'!$M$5)*'Discounting metrics'!$E$4))-(1-EXP(-'Allometrics &amp; Decay rates'!$M$5))/1.55)</f>
        <v>5.8516270211350863</v>
      </c>
      <c r="EY56" s="550">
        <f>AN56*BX56*$DK56*((EXP('Allometrics &amp; Decay rates'!$M$5)-1)/('Discounting metrics'!$D$4+'Allometrics &amp; Decay rates'!$M$5)*(1-EXP(-('Discounting metrics'!$D$4+'Allometrics &amp; Decay rates'!$M$5)*'Discounting metrics'!$E$4))-(1-EXP(-'Allometrics &amp; Decay rates'!$M$5))/1.55)</f>
        <v>0.75149208602511108</v>
      </c>
      <c r="EZ56" s="550">
        <f>AO56*BY56*$DK56*((EXP('Allometrics &amp; Decay rates'!$M$5)-1)/('Discounting metrics'!$D$4+'Allometrics &amp; Decay rates'!$M$5)*(1-EXP(-('Discounting metrics'!$D$4+'Allometrics &amp; Decay rates'!$M$5)*'Discounting metrics'!$E$4))-(1-EXP(-'Allometrics &amp; Decay rates'!$M$5))/1.55)</f>
        <v>3.3852080665825626</v>
      </c>
      <c r="FA56" s="550">
        <f>AP56*BZ56*$DK56*((EXP('Allometrics &amp; Decay rates'!$M$5)-1)/('Discounting metrics'!$D$4+'Allometrics &amp; Decay rates'!$M$5)*(1-EXP(-('Discounting metrics'!$D$4+'Allometrics &amp; Decay rates'!$M$5)*'Discounting metrics'!$E$4))-(1-EXP(-'Allometrics &amp; Decay rates'!$M$5))/1.55)</f>
        <v>0.4358685465707568</v>
      </c>
      <c r="FB56" s="550">
        <f>AQ56*CA56*$DK56*((EXP('Allometrics &amp; Decay rates'!$M$5)-1)/('Discounting metrics'!$D$4+'Allometrics &amp; Decay rates'!$M$5)*(1-EXP(-('Discounting metrics'!$D$4+'Allometrics &amp; Decay rates'!$M$5)*'Discounting metrics'!$E$4))-(1-EXP(-'Allometrics &amp; Decay rates'!$M$5))/1.55)</f>
        <v>0.51773917199694186</v>
      </c>
      <c r="FC56" s="550">
        <f>AR56*CB56*$DK56*((EXP('Allometrics &amp; Decay rates'!$M$5)-1)/('Discounting metrics'!$D$4+'Allometrics &amp; Decay rates'!$M$5)*(1-EXP(-('Discounting metrics'!$D$4+'Allometrics &amp; Decay rates'!$M$5)*'Discounting metrics'!$E$4))-(1-EXP(-'Allometrics &amp; Decay rates'!$M$5))/1.55)</f>
        <v>2.3908901556026615E-3</v>
      </c>
      <c r="FD56" s="261">
        <f t="shared" si="492"/>
        <v>37.702101787520945</v>
      </c>
      <c r="FE56" s="154">
        <f>FD56/($CE56-$DN56)</f>
        <v>0.78343378107364781</v>
      </c>
      <c r="FF56" s="108">
        <f t="shared" si="493"/>
        <v>27.569217734355071</v>
      </c>
      <c r="FG56" s="126">
        <f>'Allometrics &amp; Decay rates'!$H$5*$AU56*CG56+'Allometrics &amp; Decay rates'!$H$6*$AV56*CH56+'Allometrics &amp; Decay rates'!$H$7*$AW56*CI56+'Allometrics &amp; Decay rates'!$H$8*$AX56*CJ56+'Allometrics &amp; Decay rates'!$H$9*$AY56*CK56+'Allometrics &amp; Decay rates'!$H$10*$AZ56*CL56+'Allometrics &amp; Decay rates'!$H$11*$BA56*CM56+'Allometrics &amp; Decay rates'!$H$12*$BB56*CN56+'Allometrics &amp; Decay rates'!$H$13*$BC56*CO56</f>
        <v>14.926275586370025</v>
      </c>
      <c r="FH56" s="97">
        <f t="shared" si="494"/>
        <v>13.861317147985046</v>
      </c>
      <c r="FI56" s="550">
        <f>AU56*CG56*('Allometrics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5.5690680959499321</v>
      </c>
      <c r="FJ56" s="550">
        <f>AV56*CH56*('Allometrics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5.2711057997450821</v>
      </c>
      <c r="FK56" s="550">
        <f>AW56*CI56*('Allometrics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0.17123509404269113</v>
      </c>
      <c r="FL56" s="550">
        <f>AX56*CJ56*('Allometrics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0.59961302955758089</v>
      </c>
      <c r="FM56" s="550">
        <f>AY56*CK56*('Allometrics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0.46589910164722992</v>
      </c>
      <c r="FN56" s="550">
        <f>AZ56*CL56*('Allometrics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0.12550982397018484</v>
      </c>
      <c r="FO56" s="550">
        <f>BA56*CM56*('Allometrics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1.6165414986269639E-3</v>
      </c>
      <c r="FP56" s="550">
        <f>BB56*CN56*('Allometrics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1.6572696615737177</v>
      </c>
      <c r="FQ56" s="550">
        <f>BC56*CO56*('Allometrics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R56" s="108">
        <f t="shared" si="495"/>
        <v>10.132884053165872</v>
      </c>
      <c r="FS56" s="550">
        <f>AU56*CQ56*$DK56*((EXP('Allometrics &amp; Decay rates'!$M$5)-1)/('Discounting metrics'!$D$4+'Allometrics &amp; Decay rates'!$M$5)*(1-EXP(-('Discounting metrics'!$D$4+'Allometrics &amp; Decay rates'!$M$5)*'Discounting metrics'!$E$4))-(1-EXP(-'Allometrics &amp; Decay rates'!$M$5))/1.55)</f>
        <v>2.8190613974368257</v>
      </c>
      <c r="FT56" s="550">
        <f>AV56*CR56*$DK56*((EXP('Allometrics &amp; Decay rates'!$M$5)-1)/('Discounting metrics'!$D$4+'Allometrics &amp; Decay rates'!$M$5)*(1-EXP(-('Discounting metrics'!$D$4+'Allometrics &amp; Decay rates'!$M$5)*'Discounting metrics'!$E$4))-(1-EXP(-'Allometrics &amp; Decay rates'!$M$5))/1.55)</f>
        <v>2.7667532649521931</v>
      </c>
      <c r="FU56" s="550">
        <f>AW56*CS56*$DK56*((EXP('Allometrics &amp; Decay rates'!$M$5)-1)/('Discounting metrics'!$D$4+'Allometrics &amp; Decay rates'!$M$5)*(1-EXP(-('Discounting metrics'!$D$4+'Allometrics &amp; Decay rates'!$M$5)*'Discounting metrics'!$E$4))-(1-EXP(-'Allometrics &amp; Decay rates'!$M$5))/1.55)</f>
        <v>0.21237221061546233</v>
      </c>
      <c r="FV56" s="550">
        <f>AX56*CT56*$DK56*((EXP('Allometrics &amp; Decay rates'!$M$5)-1)/('Discounting metrics'!$D$4+'Allometrics &amp; Decay rates'!$M$5)*(1-EXP(-('Discounting metrics'!$D$4+'Allometrics &amp; Decay rates'!$M$5)*'Discounting metrics'!$E$4))-(1-EXP(-'Allometrics &amp; Decay rates'!$M$5))/1.55)</f>
        <v>1.3313007942652801</v>
      </c>
      <c r="FW56" s="550">
        <f>AY56*CU56*$DK56*((EXP('Allometrics &amp; Decay rates'!$M$5)-1)/('Discounting metrics'!$D$4+'Allometrics &amp; Decay rates'!$M$5)*(1-EXP(-('Discounting metrics'!$D$4+'Allometrics &amp; Decay rates'!$M$5)*'Discounting metrics'!$E$4))-(1-EXP(-'Allometrics &amp; Decay rates'!$M$5))/1.55)</f>
        <v>1.8292937271434777</v>
      </c>
      <c r="FX56" s="550">
        <f>AZ56*CV56*$DK56*((EXP('Allometrics &amp; Decay rates'!$M$5)-1)/('Discounting metrics'!$D$4+'Allometrics &amp; Decay rates'!$M$5)*(1-EXP(-('Discounting metrics'!$D$4+'Allometrics &amp; Decay rates'!$M$5)*'Discounting metrics'!$E$4))-(1-EXP(-'Allometrics &amp; Decay rates'!$M$5))/1.55)</f>
        <v>1.1670384614220872</v>
      </c>
      <c r="FY56" s="550">
        <f>BA56*CW56*$DK56*((EXP('Allometrics &amp; Decay rates'!$M$5)-1)/('Discounting metrics'!$D$4+'Allometrics &amp; Decay rates'!$M$5)*(1-EXP(-('Discounting metrics'!$D$4+'Allometrics &amp; Decay rates'!$M$5)*'Discounting metrics'!$E$4))-(1-EXP(-'Allometrics &amp; Decay rates'!$M$5))/1.55)</f>
        <v>7.0641973305444845E-3</v>
      </c>
      <c r="FZ56" s="68"/>
      <c r="GA56" s="293"/>
      <c r="GB56" s="293"/>
      <c r="GP56" s="32">
        <f t="shared" si="496"/>
        <v>6.5140677966101688</v>
      </c>
      <c r="GQ56" s="33">
        <v>6.8</v>
      </c>
      <c r="GR56" s="99">
        <v>4.3899999999999997</v>
      </c>
      <c r="GS56" s="99"/>
      <c r="GT56" s="99"/>
      <c r="GU56" s="99"/>
      <c r="GV56" s="99"/>
      <c r="GW56" s="99"/>
      <c r="GX56" s="99"/>
      <c r="GY56" s="99"/>
      <c r="GZ56" s="99"/>
      <c r="HA56" s="99"/>
      <c r="HB56" s="99"/>
      <c r="HF56" s="97">
        <f>HG56*$LI56</f>
        <v>0.25449703076508756</v>
      </c>
      <c r="HG56" s="526">
        <f>EE56/'Discounting metrics'!E$4/M56</f>
        <v>1.4138723931393753</v>
      </c>
      <c r="HH56" s="527">
        <f>10^3*HG56/$LM56</f>
        <v>141.38723931393753</v>
      </c>
      <c r="HI56" s="528">
        <f>HG56/$LO56</f>
        <v>40.39635408969643</v>
      </c>
      <c r="HJ56" s="97">
        <f>HK56*$LI56</f>
        <v>0.29667635613974769</v>
      </c>
      <c r="HK56" s="526">
        <f>EH56/'Discounting metrics'!E$4/O56</f>
        <v>1.6482019785541537</v>
      </c>
      <c r="HL56" s="527">
        <f>10^3*HK56/$LM56</f>
        <v>164.82019785541539</v>
      </c>
      <c r="HM56" s="528">
        <f>HK56/$LO56</f>
        <v>47.091485101547242</v>
      </c>
      <c r="HN56" s="97">
        <f>HO56*$LI56</f>
        <v>7.0924327769238071E-2</v>
      </c>
      <c r="HO56" s="526">
        <f>FD56/'Discounting metrics'!E$4/Q56</f>
        <v>0.39402404316243372</v>
      </c>
      <c r="HP56" s="527">
        <f>10^3*HO56/$LM56</f>
        <v>39.40240431624337</v>
      </c>
      <c r="HQ56" s="528">
        <f>HO56/$LO56</f>
        <v>11.257829804640963</v>
      </c>
      <c r="HR56" s="97">
        <f>HS56*$LI56</f>
        <v>0.23625122450130179</v>
      </c>
      <c r="HS56" s="263">
        <f>$IM$11*IE56</f>
        <v>1.31250680278501</v>
      </c>
      <c r="HT56" s="527">
        <f>10^3*HS56/$LM56</f>
        <v>131.25068027850099</v>
      </c>
      <c r="HU56" s="528">
        <f>HS56/$LO56</f>
        <v>37.500194365285992</v>
      </c>
      <c r="HV56" s="97">
        <f>HW56*$LI56</f>
        <v>0.26730408575550896</v>
      </c>
      <c r="HW56" s="263">
        <f>$IM$11*IH56</f>
        <v>1.4850226986417165</v>
      </c>
      <c r="HX56" s="527">
        <f>10^3*HW56/$LM56</f>
        <v>148.50226986417164</v>
      </c>
      <c r="HY56" s="528">
        <f>HW56/$LO56</f>
        <v>42.429219961191897</v>
      </c>
      <c r="HZ56" s="97">
        <f>I56*$LI56</f>
        <v>0.41115599999999997</v>
      </c>
      <c r="IA56" s="263">
        <f>$IM$11*IK56</f>
        <v>0.56168376256654484</v>
      </c>
      <c r="IB56" s="527">
        <f>10^3*I56/$LM56</f>
        <v>228.42</v>
      </c>
      <c r="IC56" s="528">
        <f>I56/$LO56</f>
        <v>65.262857142857129</v>
      </c>
      <c r="ID56" s="97">
        <f>IE56*$LI56</f>
        <v>0.47360443622920517</v>
      </c>
      <c r="IE56" s="263">
        <f>GP56/G56</f>
        <v>2.6311357568289178</v>
      </c>
      <c r="IF56" s="68">
        <f>10^3*IE56/$LM56</f>
        <v>263.11357568289179</v>
      </c>
      <c r="IG56" s="97">
        <f>IH56*$LI56</f>
        <v>0.53585500394011032</v>
      </c>
      <c r="IH56" s="263">
        <f>GQ56/I56</f>
        <v>2.9769722441117241</v>
      </c>
      <c r="II56" s="68">
        <f>10^3*IH56/$LM56</f>
        <v>297.69722441117244</v>
      </c>
      <c r="IJ56" s="97">
        <f>IK56*$LI56</f>
        <v>0.20267774699907662</v>
      </c>
      <c r="IK56" s="263">
        <f>GR56/K56</f>
        <v>1.1259874833282035</v>
      </c>
      <c r="IL56" s="68">
        <f>10^3*IK56/$LM56</f>
        <v>112.59874833282035</v>
      </c>
      <c r="IM56" s="60"/>
      <c r="IN56" s="60"/>
      <c r="IO56" s="60"/>
      <c r="IP56" s="554">
        <f>IR56*$V56</f>
        <v>22.408061759999995</v>
      </c>
      <c r="IQ56" s="262">
        <f>IR56*$LI56</f>
        <v>6.9032845841035098E-2</v>
      </c>
      <c r="IR56" s="166">
        <f>(IW56*Y56+JD56*AA56)/V56</f>
        <v>0.38351581022797282</v>
      </c>
      <c r="IS56" s="68">
        <f>10^3*IR56/$LM56</f>
        <v>38.351581022797276</v>
      </c>
      <c r="IT56" s="97">
        <f>IR56/$LO56</f>
        <v>10.95759457794208</v>
      </c>
      <c r="IU56" s="429">
        <f>(IX56*C56+JE56*D56)/B56</f>
        <v>1.7403389830508476E-2</v>
      </c>
      <c r="IV56" s="262">
        <f>IW56*$LI56</f>
        <v>6.4059432624113483E-2</v>
      </c>
      <c r="IW56" s="436">
        <f>IX56*JB56/I56</f>
        <v>0.35588573680063046</v>
      </c>
      <c r="IX56" s="101">
        <v>1.49E-2</v>
      </c>
      <c r="IY56" s="433">
        <v>1</v>
      </c>
      <c r="IZ56" s="433">
        <v>0</v>
      </c>
      <c r="JA56" s="434">
        <f>1-IY56-IZ56</f>
        <v>0</v>
      </c>
      <c r="JB56" s="430">
        <f>IY56*$JJ56+IZ56*$JK56+JA56*$JL56+'Discounting metrics'!$B$6*(IY56*$JM56+IZ56*$JN56+JA56*$JO56)/10^3+'Discounting metrics'!$B$5*(IY56*$JP56+IZ56*$JQ56+JA56*$JR56)/10^3</f>
        <v>54.558</v>
      </c>
      <c r="JC56" s="262">
        <f>JD56*$LI56</f>
        <v>9.0678116343490281E-2</v>
      </c>
      <c r="JD56" s="436">
        <f>JE56*JI56/K56</f>
        <v>0.50376731301939048</v>
      </c>
      <c r="JE56" s="101">
        <v>3.5999999999999997E-2</v>
      </c>
      <c r="JF56" s="433">
        <v>1</v>
      </c>
      <c r="JG56" s="433">
        <v>0</v>
      </c>
      <c r="JH56" s="434">
        <f t="shared" si="497"/>
        <v>0</v>
      </c>
      <c r="JI56" s="430">
        <f>JF56*$JJ56+JG56*$JK56+JH56*$JL56+'Discounting metrics'!$B$6*(JF56*$JM56+JG56*$JN56+JH56*$JO56)/10^3+'Discounting metrics'!$B$5*(JF56*$JP56+JG56*$JQ56+JH56*$JR56)/10^3</f>
        <v>54.558</v>
      </c>
      <c r="JJ56" s="431">
        <v>51.3</v>
      </c>
      <c r="JK56" s="431">
        <v>29</v>
      </c>
      <c r="JL56" s="431">
        <v>29</v>
      </c>
      <c r="JM56" s="99">
        <v>5</v>
      </c>
      <c r="JN56" s="431">
        <v>13</v>
      </c>
      <c r="JO56" s="431">
        <v>13</v>
      </c>
      <c r="JP56" s="431">
        <v>52</v>
      </c>
      <c r="JQ56" s="431">
        <v>58.3</v>
      </c>
      <c r="JR56" s="431">
        <v>58.3</v>
      </c>
      <c r="JS56" s="554">
        <f>JV56+JW56+JT56+JU56+JX56</f>
        <v>24.021999563878701</v>
      </c>
      <c r="JT56" s="554">
        <f>KJ56*$V56</f>
        <v>9.8762789962440003</v>
      </c>
      <c r="JU56" s="554">
        <f>KL56*$V56</f>
        <v>0.24112514987870159</v>
      </c>
      <c r="JV56" s="554">
        <f>KN56*$V56</f>
        <v>5.0263208307599996</v>
      </c>
      <c r="JW56" s="554">
        <f>KP56*$V56</f>
        <v>8.8782745869959996</v>
      </c>
      <c r="JX56" s="554"/>
      <c r="JY56" s="167">
        <f>JZ56*LI56</f>
        <v>7.4004927799995998E-2</v>
      </c>
      <c r="JZ56" s="166">
        <f>KF56+KD56+KH56</f>
        <v>0.41113848777775552</v>
      </c>
      <c r="KA56" s="68">
        <f>10^3*JZ56/$LM56</f>
        <v>41.113848777775551</v>
      </c>
      <c r="KB56" s="97">
        <f>JZ56/$LO56</f>
        <v>11.7468139365073</v>
      </c>
      <c r="KC56" s="473">
        <f>KD56*LI56</f>
        <v>3.1168835939996E-2</v>
      </c>
      <c r="KD56" s="269">
        <f>KJ56+KL56</f>
        <v>0.17316019966664445</v>
      </c>
      <c r="KE56" s="473">
        <f>KF56*LI56</f>
        <v>4.2836091859999995E-2</v>
      </c>
      <c r="KF56" s="269">
        <f>KN56+KP56</f>
        <v>0.2379782881111111</v>
      </c>
      <c r="KG56" s="49"/>
      <c r="KH56" s="49"/>
      <c r="KI56" s="435">
        <v>3.042599814E-2</v>
      </c>
      <c r="KJ56" s="522">
        <f>KI56/$LI56</f>
        <v>0.16903332300000001</v>
      </c>
      <c r="KK56" s="435">
        <v>7.4283779999599999E-4</v>
      </c>
      <c r="KL56" s="522">
        <f>KK56/$LI56</f>
        <v>4.1268766666444443E-3</v>
      </c>
      <c r="KM56" s="435">
        <v>1.54846606E-2</v>
      </c>
      <c r="KN56" s="522">
        <f>KM56/$LI56</f>
        <v>8.6025892222222219E-2</v>
      </c>
      <c r="KO56" s="435">
        <v>2.735143126E-2</v>
      </c>
      <c r="KP56" s="522">
        <f>KO56/$LI56</f>
        <v>0.1519523958888889</v>
      </c>
      <c r="KQ56" s="599">
        <f>44/12*HG56+$JZ56+$IR56</f>
        <v>5.9788530728501037</v>
      </c>
      <c r="KR56" s="527">
        <f>10^3*KQ56/$LM56</f>
        <v>597.88530728501041</v>
      </c>
      <c r="KT56" s="599">
        <f>44/12*HK56+$JZ56+$IW56</f>
        <v>6.8104314792769491</v>
      </c>
      <c r="KU56" s="527">
        <f>10^3*KT56/$LM56</f>
        <v>681.04314792769492</v>
      </c>
      <c r="KW56" s="599">
        <f>44/12*HO56+$JZ56+$JD56</f>
        <v>2.3596606257260695</v>
      </c>
      <c r="KX56" s="527">
        <f>10^3*KW56/$LM56</f>
        <v>235.96606257260697</v>
      </c>
      <c r="KZ56" s="599">
        <f>44/12*HS56+$JZ56+$IR56</f>
        <v>5.6071792415507646</v>
      </c>
      <c r="LA56" s="527">
        <f>10^3*KZ56/$LM56</f>
        <v>560.71792415507639</v>
      </c>
      <c r="LC56" s="599">
        <f>44/12*HW56+$JZ56+$IW56</f>
        <v>6.2121074529313463</v>
      </c>
      <c r="LD56" s="527">
        <f>10^3*LC56/$LM56</f>
        <v>621.21074529313466</v>
      </c>
      <c r="LF56" s="599">
        <f>44/12*I56+$JZ56+$JD56</f>
        <v>9.2903058007971442</v>
      </c>
      <c r="LG56" s="527">
        <f>10^3*LF56/$LM56</f>
        <v>929.03058007971447</v>
      </c>
      <c r="LI56" s="31">
        <v>0.18</v>
      </c>
      <c r="LJ56" s="97">
        <f t="shared" si="498"/>
        <v>3.2399999999999998</v>
      </c>
      <c r="LK56" s="98">
        <v>18</v>
      </c>
      <c r="LL56" s="97">
        <f t="shared" si="499"/>
        <v>1.7999999999999998</v>
      </c>
      <c r="LM56" s="33">
        <v>10</v>
      </c>
      <c r="LN56" s="100">
        <f t="shared" si="500"/>
        <v>6.3E-3</v>
      </c>
      <c r="LO56" s="35">
        <v>3.5000000000000003E-2</v>
      </c>
      <c r="LP56" s="36"/>
      <c r="LQ56" s="35"/>
    </row>
    <row r="57" spans="1:329" s="4" customFormat="1" x14ac:dyDescent="0.25">
      <c r="A57" s="14"/>
      <c r="C57" s="33"/>
      <c r="D57" s="33"/>
      <c r="E57" s="33"/>
      <c r="F57" s="153">
        <f>(U55+U56)/(B55+B56)</f>
        <v>11.650752688172043</v>
      </c>
      <c r="H57" s="99"/>
      <c r="I57" s="60"/>
      <c r="J57" s="99"/>
      <c r="M57" s="32"/>
      <c r="N57" s="32"/>
      <c r="O57" s="32"/>
      <c r="P57" s="32"/>
      <c r="Q57" s="32"/>
      <c r="U57" s="60"/>
      <c r="AC57" s="60"/>
      <c r="AD57" s="60"/>
      <c r="AE57" s="60"/>
      <c r="AF57" s="60"/>
      <c r="AG57" s="60"/>
      <c r="AH57" s="60"/>
      <c r="AI57" s="60"/>
      <c r="AJ57" s="60"/>
      <c r="AK57" s="60"/>
      <c r="AL57" s="602"/>
      <c r="AM57" s="602"/>
      <c r="AN57" s="602"/>
      <c r="AO57" s="602"/>
      <c r="AP57" s="602"/>
      <c r="AQ57" s="602"/>
      <c r="AR57" s="602"/>
      <c r="AS57" s="602"/>
      <c r="AT57" s="602"/>
      <c r="AU57" s="602"/>
      <c r="AV57" s="602"/>
      <c r="AW57" s="602"/>
      <c r="AX57" s="602"/>
      <c r="AY57" s="602"/>
      <c r="AZ57" s="602"/>
      <c r="BA57" s="602"/>
      <c r="BB57" s="602"/>
      <c r="BC57" s="602"/>
      <c r="BD57" s="60"/>
      <c r="BE57" s="60"/>
      <c r="BF57" s="60"/>
      <c r="BJ57" s="67"/>
      <c r="BK57" s="106"/>
      <c r="BL57" s="145"/>
      <c r="BM57" s="145"/>
      <c r="BN57" s="145"/>
      <c r="BO57" s="145"/>
      <c r="BP57" s="145"/>
      <c r="BQ57" s="145"/>
      <c r="BR57" s="145"/>
      <c r="BS57" s="145"/>
      <c r="BT57" s="145"/>
      <c r="BU57" s="106"/>
      <c r="BV57" s="145"/>
      <c r="BW57" s="145"/>
      <c r="BX57" s="145"/>
      <c r="BY57" s="145"/>
      <c r="BZ57" s="145"/>
      <c r="CA57" s="145"/>
      <c r="CB57" s="145"/>
      <c r="CC57" s="145"/>
      <c r="CD57" s="145"/>
      <c r="CE57" s="60"/>
      <c r="CF57" s="106"/>
      <c r="CG57" s="145"/>
      <c r="CH57" s="145"/>
      <c r="CI57" s="145"/>
      <c r="CJ57" s="145"/>
      <c r="CK57" s="145"/>
      <c r="CL57" s="145"/>
      <c r="CM57" s="145"/>
      <c r="CN57" s="145"/>
      <c r="CO57" s="145"/>
      <c r="CP57" s="106"/>
      <c r="CQ57" s="145"/>
      <c r="CR57" s="145"/>
      <c r="CS57" s="145"/>
      <c r="CT57" s="145"/>
      <c r="CU57" s="145"/>
      <c r="CV57" s="145"/>
      <c r="CW57" s="145"/>
      <c r="CX57" s="145"/>
      <c r="CY57" s="145"/>
      <c r="CZ57" s="60"/>
      <c r="DA57" s="60"/>
      <c r="DB57" s="60"/>
      <c r="DC57" s="32"/>
      <c r="DD57" s="32"/>
      <c r="DE57" s="67"/>
      <c r="DF57" s="270"/>
      <c r="DL57" s="123"/>
      <c r="DM57" s="123"/>
      <c r="DN57" s="60"/>
      <c r="DS57" s="60"/>
      <c r="DT57" s="60"/>
      <c r="DU57" s="60"/>
      <c r="EE57" s="60"/>
      <c r="EF57" s="60"/>
      <c r="EG57" s="60"/>
      <c r="EH57" s="60"/>
      <c r="EI57" s="123"/>
      <c r="EJ57" s="60"/>
      <c r="EK57" s="60"/>
      <c r="EL57" s="60"/>
      <c r="EM57" s="126"/>
      <c r="EN57" s="126"/>
      <c r="EO57" s="126"/>
      <c r="EP57" s="126"/>
      <c r="EQ57" s="126"/>
      <c r="ER57" s="126"/>
      <c r="ES57" s="126"/>
      <c r="ET57" s="126"/>
      <c r="EU57" s="126"/>
      <c r="EV57" s="60"/>
      <c r="EW57" s="542"/>
      <c r="EX57" s="542"/>
      <c r="EY57" s="542"/>
      <c r="EZ57" s="542"/>
      <c r="FA57" s="542"/>
      <c r="FB57" s="542"/>
      <c r="FC57" s="542"/>
      <c r="FD57" s="60"/>
      <c r="FE57" s="60"/>
      <c r="FF57" s="60"/>
      <c r="FG57" s="60"/>
      <c r="FH57" s="60"/>
      <c r="FI57" s="542"/>
      <c r="FJ57" s="542"/>
      <c r="FK57" s="542"/>
      <c r="FL57" s="542"/>
      <c r="FM57" s="542"/>
      <c r="FN57" s="542"/>
      <c r="FO57" s="542"/>
      <c r="FP57" s="542"/>
      <c r="FQ57" s="542"/>
      <c r="FR57" s="60"/>
      <c r="FS57" s="542"/>
      <c r="FT57" s="542"/>
      <c r="FU57" s="542"/>
      <c r="FV57" s="542"/>
      <c r="FW57" s="542"/>
      <c r="FX57" s="542"/>
      <c r="FY57" s="542"/>
      <c r="FZ57" s="60"/>
      <c r="GA57" s="60"/>
      <c r="GB57" s="60"/>
      <c r="GQ57" s="33"/>
      <c r="GR57" s="99"/>
      <c r="GS57" s="99"/>
      <c r="GT57" s="99"/>
      <c r="GU57" s="99"/>
      <c r="GV57" s="99"/>
      <c r="GW57" s="99"/>
      <c r="GX57" s="99"/>
      <c r="GY57" s="99"/>
      <c r="GZ57" s="99"/>
      <c r="HA57" s="99"/>
      <c r="HB57" s="99"/>
      <c r="HF57" s="60"/>
      <c r="HG57" s="264"/>
      <c r="HJ57" s="60"/>
      <c r="HK57" s="264"/>
      <c r="HN57" s="60"/>
      <c r="HO57" s="264"/>
      <c r="HR57" s="60"/>
      <c r="HS57" s="32"/>
      <c r="HV57" s="60"/>
      <c r="HW57" s="32"/>
      <c r="HZ57" s="60"/>
      <c r="IA57" s="32"/>
      <c r="ID57" s="60"/>
      <c r="IF57" s="60"/>
      <c r="IG57" s="60"/>
      <c r="II57" s="60"/>
      <c r="IJ57" s="60"/>
      <c r="IL57" s="60"/>
      <c r="IM57" s="60"/>
      <c r="IN57" s="60"/>
      <c r="IO57" s="60"/>
      <c r="IP57" s="97"/>
      <c r="IQ57" s="49"/>
      <c r="IS57" s="60"/>
      <c r="IT57" s="97"/>
      <c r="IU57" s="601"/>
      <c r="IV57" s="49"/>
      <c r="IW57" s="60"/>
      <c r="IX57" s="100"/>
      <c r="IY57" s="100"/>
      <c r="IZ57" s="100"/>
      <c r="JA57" s="100"/>
      <c r="JB57" s="100"/>
      <c r="JC57" s="49"/>
      <c r="JD57" s="60"/>
      <c r="JE57" s="100"/>
      <c r="JF57" s="100"/>
      <c r="JG57" s="100"/>
      <c r="JH57" s="100"/>
      <c r="JI57" s="100"/>
      <c r="JJ57" s="97"/>
      <c r="JK57" s="97"/>
      <c r="JL57" s="97"/>
      <c r="JM57" s="97"/>
      <c r="JN57" s="97"/>
      <c r="JO57" s="97"/>
      <c r="JP57" s="97"/>
      <c r="JQ57" s="97"/>
      <c r="JR57" s="97"/>
      <c r="JS57" s="97"/>
      <c r="JT57" s="97"/>
      <c r="JU57" s="97"/>
      <c r="JV57" s="97"/>
      <c r="JW57" s="97"/>
      <c r="JX57" s="97"/>
      <c r="JY57" s="522"/>
      <c r="KA57" s="60"/>
      <c r="KB57" s="97"/>
      <c r="KC57" s="49"/>
      <c r="KD57" s="49"/>
      <c r="KE57" s="49"/>
      <c r="KF57" s="49"/>
      <c r="KG57" s="49"/>
      <c r="KH57" s="49"/>
    </row>
    <row r="58" spans="1:329" s="4" customFormat="1" ht="13.8" x14ac:dyDescent="0.3">
      <c r="A58" s="15" t="s">
        <v>83</v>
      </c>
      <c r="B58" s="67">
        <f>B59</f>
        <v>45</v>
      </c>
      <c r="C58" s="67">
        <f t="shared" ref="C58:D58" si="502">C59</f>
        <v>36.4</v>
      </c>
      <c r="D58" s="67">
        <f t="shared" si="502"/>
        <v>8.6</v>
      </c>
      <c r="E58" s="33"/>
      <c r="G58" s="153">
        <f>V58/B58</f>
        <v>1.3892622222222222</v>
      </c>
      <c r="I58" s="153">
        <f>Y58/C58</f>
        <v>1.296</v>
      </c>
      <c r="K58" s="153">
        <f>AA58/D58</f>
        <v>1.784</v>
      </c>
      <c r="L58" s="153">
        <f t="shared" ref="L58:M58" si="503">L59</f>
        <v>4.2619281157444986</v>
      </c>
      <c r="M58" s="153">
        <f t="shared" si="503"/>
        <v>0.34095424925955986</v>
      </c>
      <c r="N58" s="153"/>
      <c r="O58" s="153">
        <f t="shared" ref="O58" si="504">O59</f>
        <v>0.31806573300005009</v>
      </c>
      <c r="P58" s="153"/>
      <c r="Q58" s="153">
        <f t="shared" ref="Q58" si="505">Q59</f>
        <v>0.43783122505562455</v>
      </c>
      <c r="U58" s="67">
        <f>U59</f>
        <v>781.45999999999992</v>
      </c>
      <c r="V58" s="67">
        <f>V59</f>
        <v>62.516799999999996</v>
      </c>
      <c r="W58" s="592">
        <f>V58/V$17</f>
        <v>1.6487044178449591E-2</v>
      </c>
      <c r="Y58" s="67">
        <f>Y59</f>
        <v>47.174399999999999</v>
      </c>
      <c r="AA58" s="67">
        <f>AA59</f>
        <v>15.3424</v>
      </c>
      <c r="AB58" s="154">
        <f>AA58/V58</f>
        <v>0.24541243313797251</v>
      </c>
      <c r="AC58" s="265">
        <f t="shared" ref="AC58:AK58" si="506">AC59</f>
        <v>0.15762976146943419</v>
      </c>
      <c r="AD58" s="265">
        <f t="shared" si="506"/>
        <v>0.44092631548042693</v>
      </c>
      <c r="AE58" s="265">
        <f t="shared" si="506"/>
        <v>9.013925394961006E-2</v>
      </c>
      <c r="AF58" s="265">
        <f t="shared" si="506"/>
        <v>0.10269012909799811</v>
      </c>
      <c r="AG58" s="265">
        <f t="shared" si="506"/>
        <v>7.673636792592084E-2</v>
      </c>
      <c r="AH58" s="265">
        <f t="shared" si="506"/>
        <v>7.839713832595524E-2</v>
      </c>
      <c r="AI58" s="265">
        <f t="shared" si="506"/>
        <v>2.3254640426344217E-2</v>
      </c>
      <c r="AJ58" s="265">
        <f t="shared" si="506"/>
        <v>2.8401363932732262E-2</v>
      </c>
      <c r="AK58" s="265">
        <f t="shared" si="506"/>
        <v>1.7765161027359681E-3</v>
      </c>
      <c r="AL58" s="603"/>
      <c r="AM58" s="603"/>
      <c r="AN58" s="603"/>
      <c r="AO58" s="603"/>
      <c r="AP58" s="603"/>
      <c r="AQ58" s="603"/>
      <c r="AR58" s="603"/>
      <c r="AS58" s="603"/>
      <c r="AT58" s="603"/>
      <c r="AU58" s="603"/>
      <c r="AV58" s="603"/>
      <c r="AW58" s="603"/>
      <c r="AX58" s="603"/>
      <c r="AY58" s="603"/>
      <c r="AZ58" s="603"/>
      <c r="BA58" s="603"/>
      <c r="BB58" s="603"/>
      <c r="BC58" s="603"/>
      <c r="BD58" s="67">
        <f>BD59</f>
        <v>8.0406469539595449</v>
      </c>
      <c r="BE58" s="67">
        <f t="shared" ref="BE58:BF58" si="507">BE59</f>
        <v>3.693855239050956</v>
      </c>
      <c r="BF58" s="67">
        <f t="shared" si="507"/>
        <v>4.346791714908588</v>
      </c>
      <c r="BG58" s="152">
        <f>BG59</f>
        <v>178.68104342132321</v>
      </c>
      <c r="BH58" s="152">
        <f t="shared" ref="BH58:BI58" si="508">BH59</f>
        <v>82.085671978910142</v>
      </c>
      <c r="BI58" s="152">
        <f t="shared" si="508"/>
        <v>96.595371442413068</v>
      </c>
      <c r="BJ58" s="152">
        <f>BJ59</f>
        <v>192.03700853545905</v>
      </c>
      <c r="BK58" s="144">
        <f t="shared" ref="BK58:CP58" si="509">BK59</f>
        <v>90.134102721825187</v>
      </c>
      <c r="BL58" s="144"/>
      <c r="BM58" s="144"/>
      <c r="BN58" s="144"/>
      <c r="BO58" s="144"/>
      <c r="BP58" s="144"/>
      <c r="BQ58" s="144"/>
      <c r="BR58" s="144"/>
      <c r="BS58" s="144"/>
      <c r="BT58" s="144"/>
      <c r="BU58" s="144">
        <f t="shared" si="509"/>
        <v>101.90290581363386</v>
      </c>
      <c r="BV58" s="144"/>
      <c r="BW58" s="144"/>
      <c r="BX58" s="144"/>
      <c r="BY58" s="144"/>
      <c r="BZ58" s="144"/>
      <c r="CA58" s="144"/>
      <c r="CB58" s="144"/>
      <c r="CC58" s="144"/>
      <c r="CD58" s="144"/>
      <c r="CE58" s="144">
        <f>CE59</f>
        <v>122.15114456614364</v>
      </c>
      <c r="CF58" s="144">
        <f t="shared" si="509"/>
        <v>48.020220927502265</v>
      </c>
      <c r="CG58" s="144"/>
      <c r="CH58" s="144"/>
      <c r="CI58" s="144"/>
      <c r="CJ58" s="144"/>
      <c r="CK58" s="144"/>
      <c r="CL58" s="144"/>
      <c r="CM58" s="144"/>
      <c r="CN58" s="144"/>
      <c r="CO58" s="144"/>
      <c r="CP58" s="144">
        <f t="shared" si="509"/>
        <v>74.130923638641377</v>
      </c>
      <c r="CQ58" s="144"/>
      <c r="CR58" s="144"/>
      <c r="CS58" s="144"/>
      <c r="CT58" s="144"/>
      <c r="CU58" s="144"/>
      <c r="CV58" s="144"/>
      <c r="CW58" s="144"/>
      <c r="CX58" s="144"/>
      <c r="CY58" s="144"/>
      <c r="CZ58" s="67">
        <f>CZ59</f>
        <v>3.2796302861814413</v>
      </c>
      <c r="DA58" s="67">
        <f t="shared" ref="DA58:DB58" si="510">DA59</f>
        <v>1.9536500000000002E-2</v>
      </c>
      <c r="DB58" s="67">
        <f t="shared" si="510"/>
        <v>3.2600937861814407</v>
      </c>
      <c r="DC58" s="153">
        <f>DC59</f>
        <v>72.880673026254243</v>
      </c>
      <c r="DD58" s="153">
        <f t="shared" ref="DD58:DE58" si="511">DD59</f>
        <v>0.43414444444444444</v>
      </c>
      <c r="DE58" s="152">
        <f t="shared" si="511"/>
        <v>72.446528581809801</v>
      </c>
      <c r="DF58" s="270"/>
      <c r="DG58" s="67">
        <f>DG59</f>
        <v>76.832179360225396</v>
      </c>
      <c r="DH58" s="32">
        <f t="shared" ref="DH58:DI58" si="512">DH59</f>
        <v>0.40500000000000003</v>
      </c>
      <c r="DI58" s="67">
        <f t="shared" si="512"/>
        <v>76.427179360225395</v>
      </c>
      <c r="DJ58" s="67"/>
      <c r="DL58" s="123"/>
      <c r="DM58" s="123"/>
      <c r="DN58" s="152">
        <f>DN59</f>
        <v>56.15569272898103</v>
      </c>
      <c r="DO58" s="32">
        <f t="shared" ref="DO58:DP58" si="513">DO59</f>
        <v>0.5575</v>
      </c>
      <c r="DP58" s="67">
        <f t="shared" si="513"/>
        <v>55.598192728981033</v>
      </c>
      <c r="DQ58" s="67"/>
      <c r="DS58" s="154"/>
      <c r="DT58" s="154"/>
      <c r="DU58" s="154"/>
      <c r="EE58" s="152">
        <f t="shared" ref="EE58" si="514">EE59</f>
        <v>78.534094957474778</v>
      </c>
      <c r="EF58" s="60"/>
      <c r="EG58" s="60"/>
      <c r="EH58" s="152">
        <f t="shared" ref="EH58" si="515">EH59</f>
        <v>84.552391160518994</v>
      </c>
      <c r="EI58" s="123"/>
      <c r="EJ58" s="60"/>
      <c r="EK58" s="60"/>
      <c r="EL58" s="60"/>
      <c r="EM58" s="126"/>
      <c r="EN58" s="126"/>
      <c r="EO58" s="126"/>
      <c r="EP58" s="126"/>
      <c r="EQ58" s="126"/>
      <c r="ER58" s="126"/>
      <c r="ES58" s="126"/>
      <c r="ET58" s="126"/>
      <c r="EU58" s="126"/>
      <c r="EV58" s="60"/>
      <c r="EW58" s="542"/>
      <c r="EX58" s="542"/>
      <c r="EY58" s="542"/>
      <c r="EZ58" s="542"/>
      <c r="FA58" s="542"/>
      <c r="FB58" s="542"/>
      <c r="FC58" s="542"/>
      <c r="FD58" s="152">
        <f t="shared" ref="FD58" si="516">FD59</f>
        <v>53.061306377148178</v>
      </c>
      <c r="FE58" s="60"/>
      <c r="FF58" s="60"/>
      <c r="FG58" s="60"/>
      <c r="FH58" s="60"/>
      <c r="FI58" s="542"/>
      <c r="FJ58" s="542"/>
      <c r="FK58" s="542"/>
      <c r="FL58" s="542"/>
      <c r="FM58" s="542"/>
      <c r="FN58" s="542"/>
      <c r="FO58" s="542"/>
      <c r="FP58" s="542"/>
      <c r="FQ58" s="542"/>
      <c r="FR58" s="60"/>
      <c r="FS58" s="542"/>
      <c r="FT58" s="542"/>
      <c r="FU58" s="542"/>
      <c r="FV58" s="542"/>
      <c r="FW58" s="542"/>
      <c r="FX58" s="542"/>
      <c r="FY58" s="542"/>
      <c r="FZ58" s="60"/>
      <c r="GA58" s="60"/>
      <c r="GB58" s="60"/>
      <c r="GP58" s="153">
        <f t="shared" ref="GP58:GR58" si="517">GP59</f>
        <v>6.0305333333333326</v>
      </c>
      <c r="GQ58" s="153">
        <f t="shared" si="517"/>
        <v>6.3</v>
      </c>
      <c r="GR58" s="153">
        <f t="shared" si="517"/>
        <v>4.8899999999999997</v>
      </c>
      <c r="GS58" s="153"/>
      <c r="GT58" s="153"/>
      <c r="GU58" s="153"/>
      <c r="GV58" s="153"/>
      <c r="GW58" s="153"/>
      <c r="GX58" s="153"/>
      <c r="GY58" s="153"/>
      <c r="GZ58" s="153"/>
      <c r="HA58" s="153"/>
      <c r="HB58" s="153"/>
      <c r="HF58" s="60"/>
      <c r="HG58" s="264"/>
      <c r="HJ58" s="60"/>
      <c r="HK58" s="264"/>
      <c r="HN58" s="60"/>
      <c r="HO58" s="264"/>
      <c r="HR58" s="60"/>
      <c r="HS58" s="32"/>
      <c r="HV58" s="60"/>
      <c r="HW58" s="32"/>
      <c r="HZ58" s="60"/>
      <c r="IA58" s="32"/>
      <c r="ID58" s="60"/>
      <c r="IF58" s="60"/>
      <c r="IG58" s="60"/>
      <c r="II58" s="60"/>
      <c r="IJ58" s="60"/>
      <c r="IL58" s="60"/>
      <c r="IM58" s="60"/>
      <c r="IN58" s="60"/>
      <c r="IO58" s="60"/>
      <c r="IP58" s="67">
        <f t="shared" ref="IP58" si="518">IP59</f>
        <v>24.478329031311997</v>
      </c>
      <c r="IQ58" s="49"/>
      <c r="IR58" s="153">
        <f>IR59</f>
        <v>0.39154801639418524</v>
      </c>
      <c r="IS58" s="60"/>
      <c r="IT58" s="97"/>
      <c r="IU58" s="265">
        <f>IU59</f>
        <v>1.0850666666666666E-2</v>
      </c>
      <c r="IV58" s="49"/>
      <c r="IW58" s="60"/>
      <c r="IX58" s="265">
        <f>IX59</f>
        <v>8.5000000000000006E-3</v>
      </c>
      <c r="IY58" s="265"/>
      <c r="IZ58" s="265"/>
      <c r="JA58" s="265"/>
      <c r="JB58" s="265"/>
      <c r="JC58" s="49"/>
      <c r="JD58" s="60"/>
      <c r="JE58" s="265">
        <f>JE59</f>
        <v>2.0799999999999999E-2</v>
      </c>
      <c r="JF58" s="265"/>
      <c r="JG58" s="265"/>
      <c r="JH58" s="265"/>
      <c r="JI58" s="265"/>
      <c r="JJ58" s="608"/>
      <c r="JK58" s="608"/>
      <c r="JL58" s="608"/>
      <c r="JM58" s="608"/>
      <c r="JN58" s="608"/>
      <c r="JO58" s="608"/>
      <c r="JP58" s="608"/>
      <c r="JQ58" s="608"/>
      <c r="JR58" s="608"/>
      <c r="JS58" s="67">
        <f>JS59</f>
        <v>159.40761550239361</v>
      </c>
      <c r="JT58" s="67">
        <f>JT59</f>
        <v>66.5043327638964</v>
      </c>
      <c r="JU58" s="67">
        <f>JU59</f>
        <v>4.5119542061239999</v>
      </c>
      <c r="JV58" s="67">
        <f t="shared" ref="JV58:JW58" si="519">JV59</f>
        <v>29.800125621183998</v>
      </c>
      <c r="JW58" s="67">
        <f t="shared" si="519"/>
        <v>58.591202911189207</v>
      </c>
      <c r="JX58" s="67"/>
      <c r="JY58" s="522"/>
      <c r="JZ58" s="153">
        <f>JZ59</f>
        <v>2.5498364520000001</v>
      </c>
      <c r="KA58" s="60"/>
      <c r="KB58" s="97"/>
      <c r="KC58" s="49"/>
      <c r="KD58" s="153">
        <f>KD59</f>
        <v>1.13595524675</v>
      </c>
      <c r="KE58" s="49"/>
      <c r="KF58" s="153">
        <f>KF59</f>
        <v>1.4138812052500001</v>
      </c>
      <c r="KG58" s="49"/>
      <c r="KH58" s="153">
        <f t="shared" ref="KH58:KQ58" si="520">KH59</f>
        <v>0</v>
      </c>
      <c r="KI58" s="267">
        <f>KI59</f>
        <v>8.5102670340000006E-2</v>
      </c>
      <c r="KJ58" s="267">
        <f>KJ59</f>
        <v>1.06378337925</v>
      </c>
      <c r="KK58" s="267">
        <f>KK59</f>
        <v>5.7737494E-3</v>
      </c>
      <c r="KL58" s="267">
        <f>KL59</f>
        <v>7.21718675E-2</v>
      </c>
      <c r="KM58" s="267">
        <f t="shared" si="520"/>
        <v>3.8133910399999998E-2</v>
      </c>
      <c r="KN58" s="267">
        <f t="shared" si="520"/>
        <v>0.47667387999999999</v>
      </c>
      <c r="KO58" s="267">
        <f t="shared" si="520"/>
        <v>7.4976586020000013E-2</v>
      </c>
      <c r="KP58" s="267">
        <f t="shared" si="520"/>
        <v>0.93720732525000017</v>
      </c>
      <c r="KQ58" s="153">
        <f t="shared" si="520"/>
        <v>11.387043931584863</v>
      </c>
      <c r="KZ58" s="153">
        <f>KZ59</f>
        <v>10.881032181377062</v>
      </c>
      <c r="LI58" s="16"/>
    </row>
    <row r="59" spans="1:329" s="4" customFormat="1" x14ac:dyDescent="0.25">
      <c r="A59" s="14" t="s">
        <v>83</v>
      </c>
      <c r="B59" s="67">
        <f>C59+D59</f>
        <v>45</v>
      </c>
      <c r="C59" s="33">
        <v>36.4</v>
      </c>
      <c r="D59" s="33">
        <v>8.6</v>
      </c>
      <c r="E59" s="38">
        <f>D59/B59</f>
        <v>0.19111111111111109</v>
      </c>
      <c r="F59" s="108">
        <f>U59/B59</f>
        <v>17.365777777777776</v>
      </c>
      <c r="G59" s="32">
        <f>V59/B59</f>
        <v>1.3892622222222222</v>
      </c>
      <c r="H59" s="33">
        <v>16.2</v>
      </c>
      <c r="I59" s="32">
        <f>$LI59*H59</f>
        <v>1.296</v>
      </c>
      <c r="J59" s="33">
        <v>22.3</v>
      </c>
      <c r="K59" s="32">
        <f>$LI59*J59</f>
        <v>1.784</v>
      </c>
      <c r="L59" s="32">
        <f>(F59/'Discounting metrics'!$D$4*(1-EXP(-'Discounting metrics'!$D$4*'Discounting metrics'!$E$4)))/'Discounting metrics'!$E$4</f>
        <v>4.2619281157444986</v>
      </c>
      <c r="M59" s="32">
        <f>(G59/'Discounting metrics'!$D$4*(1-EXP(-'Discounting metrics'!$D$4*'Discounting metrics'!$E$4)))/'Discounting metrics'!$E$4</f>
        <v>0.34095424925955986</v>
      </c>
      <c r="N59" s="32">
        <f>(H59/'Discounting metrics'!$D$4*(1-EXP(-'Discounting metrics'!$D$4*'Discounting metrics'!$E$4)))/'Discounting metrics'!$E$4</f>
        <v>3.9758216625006266</v>
      </c>
      <c r="O59" s="32">
        <f>(I59/'Discounting metrics'!$D$4*(1-EXP(-'Discounting metrics'!$D$4*'Discounting metrics'!$E$4)))/'Discounting metrics'!$E$4</f>
        <v>0.31806573300005009</v>
      </c>
      <c r="P59" s="32">
        <f>(J59/'Discounting metrics'!$D$4*(1-EXP(-'Discounting metrics'!$D$4*'Discounting metrics'!$E$4)))/'Discounting metrics'!$E$4</f>
        <v>5.4728903131953066</v>
      </c>
      <c r="Q59" s="32">
        <f>(K59/'Discounting metrics'!$D$4*(1-EXP(-'Discounting metrics'!$D$4*'Discounting metrics'!$E$4)))/'Discounting metrics'!$E$4</f>
        <v>0.43783122505562455</v>
      </c>
      <c r="R59" s="32">
        <f>10/G59</f>
        <v>7.198065160084969</v>
      </c>
      <c r="S59" s="32">
        <f>10/I59</f>
        <v>7.716049382716049</v>
      </c>
      <c r="T59" s="32">
        <f>10/K59</f>
        <v>5.6053811659192823</v>
      </c>
      <c r="U59" s="107">
        <f>X59+Z59</f>
        <v>781.45999999999992</v>
      </c>
      <c r="V59" s="68">
        <f>Y59+AA59</f>
        <v>62.516799999999996</v>
      </c>
      <c r="W59" s="68"/>
      <c r="X59" s="67">
        <f>C59*H59</f>
        <v>589.67999999999995</v>
      </c>
      <c r="Y59" s="67">
        <f>C59*I59</f>
        <v>47.174399999999999</v>
      </c>
      <c r="Z59" s="67">
        <f>D59*J59</f>
        <v>191.78</v>
      </c>
      <c r="AA59" s="67">
        <f>D59*K59</f>
        <v>15.3424</v>
      </c>
      <c r="AB59" s="38">
        <f>AA59/V59</f>
        <v>0.24541243313797251</v>
      </c>
      <c r="AC59" s="294">
        <f t="shared" ref="AC59:AK59" si="521">($C59*AL59+$D59*AU59)/$B59</f>
        <v>0.15762976146943419</v>
      </c>
      <c r="AD59" s="294">
        <f t="shared" si="521"/>
        <v>0.44092631548042693</v>
      </c>
      <c r="AE59" s="294">
        <f t="shared" si="521"/>
        <v>9.013925394961006E-2</v>
      </c>
      <c r="AF59" s="294">
        <f t="shared" si="521"/>
        <v>0.10269012909799811</v>
      </c>
      <c r="AG59" s="294">
        <f t="shared" si="521"/>
        <v>7.673636792592084E-2</v>
      </c>
      <c r="AH59" s="294">
        <f t="shared" si="521"/>
        <v>7.839713832595524E-2</v>
      </c>
      <c r="AI59" s="294">
        <f t="shared" si="521"/>
        <v>2.3254640426344217E-2</v>
      </c>
      <c r="AJ59" s="294">
        <f t="shared" si="521"/>
        <v>2.8401363932732262E-2</v>
      </c>
      <c r="AK59" s="294">
        <f t="shared" si="521"/>
        <v>1.7765161027359681E-3</v>
      </c>
      <c r="AL59" s="433">
        <v>0.16514396344004131</v>
      </c>
      <c r="AM59" s="433">
        <v>0.50326310923274187</v>
      </c>
      <c r="AN59" s="433">
        <v>9.8375602613234386E-2</v>
      </c>
      <c r="AO59" s="433">
        <v>0.10235435136748625</v>
      </c>
      <c r="AP59" s="433">
        <v>7.591513875840071E-2</v>
      </c>
      <c r="AQ59" s="433">
        <v>4.2445354151031817E-2</v>
      </c>
      <c r="AR59" s="433">
        <v>5.2129533125041443E-3</v>
      </c>
      <c r="AS59" s="433">
        <v>5.3835818699427595E-3</v>
      </c>
      <c r="AT59" s="433">
        <v>1.8603875485751938E-3</v>
      </c>
      <c r="AU59" s="433">
        <v>0.12582546475663203</v>
      </c>
      <c r="AV59" s="433">
        <v>0.17708221169155919</v>
      </c>
      <c r="AW59" s="433">
        <v>5.527842937333971E-2</v>
      </c>
      <c r="AX59" s="433">
        <v>0.10411132786435076</v>
      </c>
      <c r="AY59" s="433">
        <v>8.021226812333164E-2</v>
      </c>
      <c r="AZ59" s="433">
        <v>0.2305651550663288</v>
      </c>
      <c r="BA59" s="433">
        <v>9.9617130070969659E-2</v>
      </c>
      <c r="BB59" s="433">
        <v>0.12582546475663203</v>
      </c>
      <c r="BC59" s="433">
        <v>1.4215253319745946E-3</v>
      </c>
      <c r="BD59" s="554">
        <f>BG59*$B59/10^3</f>
        <v>8.0406469539595449</v>
      </c>
      <c r="BE59" s="554">
        <f t="shared" ref="BE59:BF59" si="522">BH59*$B59/10^3</f>
        <v>3.693855239050956</v>
      </c>
      <c r="BF59" s="554">
        <f t="shared" si="522"/>
        <v>4.346791714908588</v>
      </c>
      <c r="BG59" s="67">
        <f t="shared" ref="BG59" si="523">BH59+BI59</f>
        <v>178.68104342132321</v>
      </c>
      <c r="BH59" s="67">
        <f>(BK59*$C59+CF59*$D59)/$B59</f>
        <v>82.085671978910142</v>
      </c>
      <c r="BI59" s="67">
        <f>(BU59*$C59+CP59*$D59)/$B59</f>
        <v>96.595371442413068</v>
      </c>
      <c r="BJ59" s="67">
        <f>BK59+BU59</f>
        <v>192.03700853545905</v>
      </c>
      <c r="BK59" s="68">
        <f t="shared" ref="BK59" si="524">$AL59*BL59+$AM59*BM59+$AN59*BN59+$AO59*BO59+$AP59*BP59+$AQ59*BQ59+$AR59*BR59+$AS59*BS59+$AT59*BT59</f>
        <v>90.134102721825187</v>
      </c>
      <c r="BL59" s="145">
        <v>133.21044279504937</v>
      </c>
      <c r="BM59" s="145">
        <v>118.3092513655765</v>
      </c>
      <c r="BN59" s="145">
        <v>40.105653304062535</v>
      </c>
      <c r="BO59" s="145">
        <v>35.561519925949042</v>
      </c>
      <c r="BP59" s="145">
        <v>6.7319316459418408</v>
      </c>
      <c r="BQ59" s="145">
        <v>1.6048957464663687</v>
      </c>
      <c r="BR59" s="145">
        <v>2.2188669692843929E-2</v>
      </c>
      <c r="BS59" s="145">
        <v>75.431477336129618</v>
      </c>
      <c r="BT59" s="145">
        <v>12.816319118042459</v>
      </c>
      <c r="BU59" s="68">
        <f t="shared" ref="BU59" si="525">$AL59*BV59+$AM59*BW59+$AN59*BX59+$AO59*BY59+$AP59*BZ59+$AQ59*CA59+$AR59*CB59+$AS59*CC59+$AT59*CD59</f>
        <v>101.90290581363386</v>
      </c>
      <c r="BV59" s="145">
        <v>128.16877907021177</v>
      </c>
      <c r="BW59" s="145">
        <v>93.644490560777513</v>
      </c>
      <c r="BX59" s="145">
        <v>120.3857016194023</v>
      </c>
      <c r="BY59" s="145">
        <v>142.63285061302085</v>
      </c>
      <c r="BZ59" s="145">
        <v>71.199296232571612</v>
      </c>
      <c r="CA59" s="145">
        <v>32.313384551973435</v>
      </c>
      <c r="CB59" s="145">
        <v>0.25960567424171738</v>
      </c>
      <c r="CC59" s="145">
        <v>61.136901410619963</v>
      </c>
      <c r="CD59" s="145">
        <v>32.000313699300847</v>
      </c>
      <c r="CE59" s="68">
        <f>CF59+CP59</f>
        <v>122.15114456614364</v>
      </c>
      <c r="CF59" s="68">
        <f t="shared" ref="CF59" si="526">$AU59*CG59+$AV59*CH59+$AW59*CI59+$AX59*CJ59+$AY59*CK59+$AZ59*CL59+$BA59*CM59+$BB59*CN59+$BC59*CO59</f>
        <v>48.020220927502265</v>
      </c>
      <c r="CG59" s="145">
        <v>147.95709508011169</v>
      </c>
      <c r="CH59" s="145">
        <v>119.48435942954421</v>
      </c>
      <c r="CI59" s="145">
        <v>48.143591541788972</v>
      </c>
      <c r="CJ59" s="145">
        <v>33.171767823169382</v>
      </c>
      <c r="CK59" s="145">
        <v>6.5981018804687288</v>
      </c>
      <c r="CL59" s="145">
        <v>1.1422334415052542</v>
      </c>
      <c r="CM59" s="145">
        <v>4.5425141860819189E-2</v>
      </c>
      <c r="CN59" s="145">
        <v>10.446933664507094</v>
      </c>
      <c r="CO59" s="145">
        <v>12.953529685164977</v>
      </c>
      <c r="CP59" s="68">
        <f t="shared" ref="CP59" si="527">$AU59*CQ59+$AV59*CR59+$AW59*CS59+$AX59*CT59+$AY59*CU59+$AZ59*CV59+$BA59*CW59+$BB59*CX59+$BC59*CY59</f>
        <v>74.130923638641377</v>
      </c>
      <c r="CQ59" s="145">
        <v>141.97383954275443</v>
      </c>
      <c r="CR59" s="145">
        <v>113.56783499876411</v>
      </c>
      <c r="CS59" s="145">
        <v>124.22993511014084</v>
      </c>
      <c r="CT59" s="145">
        <v>175.33825912768646</v>
      </c>
      <c r="CU59" s="145">
        <v>62.220861424927264</v>
      </c>
      <c r="CV59" s="145">
        <v>21.13570401927894</v>
      </c>
      <c r="CW59" s="145">
        <v>0.39839541553186353</v>
      </c>
      <c r="CX59" s="145">
        <v>8.6557013804330225</v>
      </c>
      <c r="CY59" s="145">
        <v>29.118909857347571</v>
      </c>
      <c r="CZ59" s="554">
        <f>DC59*$B59/10^3</f>
        <v>3.2796302861814413</v>
      </c>
      <c r="DA59" s="554">
        <f t="shared" ref="DA59:DB59" si="528">DD59*$B59/10^3</f>
        <v>1.9536500000000002E-2</v>
      </c>
      <c r="DB59" s="554">
        <f t="shared" si="528"/>
        <v>3.2600937861814407</v>
      </c>
      <c r="DC59" s="32">
        <f t="shared" ref="DC59" si="529">DD59+DE59</f>
        <v>72.880673026254243</v>
      </c>
      <c r="DD59" s="32">
        <f>(DH59*$C59+DO59*$D59)/$B59</f>
        <v>0.43414444444444444</v>
      </c>
      <c r="DE59" s="67">
        <f>(DI59*$C59+DP59*$D59)/$B59</f>
        <v>72.446528581809801</v>
      </c>
      <c r="DF59" s="270"/>
      <c r="DG59" s="67">
        <f>DH59+DI59</f>
        <v>76.832179360225396</v>
      </c>
      <c r="DH59" s="32">
        <f>I59*0.5*2.5*0.25</f>
        <v>0.40500000000000003</v>
      </c>
      <c r="DI59" s="67">
        <f>(1-DK59)*BU59</f>
        <v>76.427179360225395</v>
      </c>
      <c r="DJ59" s="67"/>
      <c r="DK59" s="34">
        <f t="shared" ref="DK59" si="530">DK$17</f>
        <v>0.25</v>
      </c>
      <c r="DL59" s="159"/>
      <c r="DM59" s="159"/>
      <c r="DN59" s="68">
        <f>DO59+DP59</f>
        <v>56.15569272898103</v>
      </c>
      <c r="DO59" s="32">
        <f>K59*0.5*2.5*0.25</f>
        <v>0.5575</v>
      </c>
      <c r="DP59" s="67">
        <f>(1-DR59)*CP59</f>
        <v>55.598192728981033</v>
      </c>
      <c r="DQ59" s="67"/>
      <c r="DR59" s="34">
        <f t="shared" ref="DR59" si="531">DR$17</f>
        <v>0.25</v>
      </c>
      <c r="DS59" s="294"/>
      <c r="DT59" s="294"/>
      <c r="DU59" s="294"/>
      <c r="DV59" s="67">
        <f>BG59-DC59</f>
        <v>105.80037039506897</v>
      </c>
      <c r="DW59" s="67">
        <f>BH59-DD59</f>
        <v>81.6515275344657</v>
      </c>
      <c r="DX59" s="67">
        <f>BI59-DE59</f>
        <v>24.148842860603267</v>
      </c>
      <c r="DY59" s="67">
        <f>BJ59-DG59</f>
        <v>115.20482917523366</v>
      </c>
      <c r="DZ59" s="67">
        <f>BK59-DH59</f>
        <v>89.729102721825186</v>
      </c>
      <c r="EA59" s="67">
        <f>BU59-DI59</f>
        <v>25.47572645340847</v>
      </c>
      <c r="EB59" s="67">
        <f>CE59-DN59</f>
        <v>65.995451837162619</v>
      </c>
      <c r="EC59" s="67">
        <f>CF59-DO59</f>
        <v>47.462720927502268</v>
      </c>
      <c r="ED59" s="67">
        <f>CP59-DP59</f>
        <v>18.532730909660344</v>
      </c>
      <c r="EE59" s="68">
        <f>EF59+EG59</f>
        <v>78.534094957474778</v>
      </c>
      <c r="EF59" s="67">
        <f>(EJ59*$C59+FF59*$D59)/$B59</f>
        <v>59.764384993641549</v>
      </c>
      <c r="EG59" s="67">
        <f t="shared" ref="EG59" si="532">(EV59*$C59+FR59*$D59)/$B59</f>
        <v>18.769709963833233</v>
      </c>
      <c r="EH59" s="261">
        <f t="shared" ref="EH59" si="533">EJ59+EV59</f>
        <v>84.552391160518994</v>
      </c>
      <c r="EI59" s="154">
        <f>EH59/($BJ59-$DG59)</f>
        <v>0.73393096249385159</v>
      </c>
      <c r="EJ59" s="108">
        <f>EK59+EL59-DH59</f>
        <v>64.717964786951342</v>
      </c>
      <c r="EK59" s="126">
        <f>'Allometrics &amp; Decay rates'!$H$5*$AL59*BL59+'Allometrics &amp; Decay rates'!$H$6*$AM59*BM59+'Allometrics &amp; Decay rates'!$H$7*$AN59*BN59+'Allometrics &amp; Decay rates'!$H$8*$AO59*BO59+'Allometrics &amp; Decay rates'!$H$9*$AP59*BP59+'Allometrics &amp; Decay rates'!$H$10*$AQ59*BQ59+'Allometrics &amp; Decay rates'!$H$11*$AR59*BR59+'Allometrics &amp; Decay rates'!$H$12*$AS59*BS59+'Allometrics &amp; Decay rates'!$H$13*$AT59*BT59</f>
        <v>38.591682537014272</v>
      </c>
      <c r="EL59" s="97">
        <f>SUM(EM59:EU59)</f>
        <v>26.531282249937075</v>
      </c>
      <c r="EM59" s="550">
        <f>AL59*BL59*('Allometrics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8.6241755605328141</v>
      </c>
      <c r="EN59" s="550">
        <f>AM59*BM59*('Allometrics &amp; Decay rates'!$I$6*((EXP('Allometrics &amp; Decay rates'!$K$6)-1)/('Discounting metrics'!$D$4+'Allometrics &amp; Decay rates'!$K$6)*(1-EXP(-('Discounting metrics'!$D$4+'Allometrics &amp; Decay rates'!$K$6)*'Discounting metrics'!$E$4))-(1-EXP(-'Allometrics &amp; Decay rates'!$K$6))/1.55)+'Allometrics &amp; Decay rates'!$E$6*((EXP('Allometrics &amp; Decay rates'!$L$6)-1)/('Discounting metrics'!$D$4+'Allometrics &amp; Decay rates'!$L$6)*(1-EXP(-('Discounting metrics'!$D$4+'Allometrics &amp; Decay rates'!$L$6)*'Discounting metrics'!$E$4))-(1-EXP(-'Allometrics &amp; Decay rates'!$L$6))/1.55))</f>
        <v>14.521246176578344</v>
      </c>
      <c r="EO59" s="550">
        <f>AN59*BN59*('Allometrics &amp; Decay rates'!$I$7*((EXP('Allometrics &amp; Decay rates'!$K$7)-1)/('Discounting metrics'!$D$4+'Allometrics &amp; Decay rates'!$K$7)*(1-EXP(-('Discounting metrics'!$D$4+'Allometrics &amp; Decay rates'!$K$7)*'Discounting metrics'!$E$4))-(1-EXP(-'Allometrics &amp; Decay rates'!$K$7))/1.55)+'Allometrics &amp; Decay rates'!$E$7*((EXP('Allometrics &amp; Decay rates'!$L$7)-1)/('Discounting metrics'!$D$4+'Allometrics &amp; Decay rates'!$L$7)*(1-EXP(-('Discounting metrics'!$D$4+'Allometrics &amp; Decay rates'!$L$7)*'Discounting metrics'!$E$4))-(1-EXP(-'Allometrics &amp; Decay rates'!$L$7))/1.55))</f>
        <v>0.84002469338403052</v>
      </c>
      <c r="EP59" s="550">
        <f>AO59*BO59*('Allometrics &amp; Decay rates'!$I$8*((EXP('Allometrics &amp; Decay rates'!$K$8)-1)/('Discounting metrics'!$D$4+'Allometrics &amp; Decay rates'!$K$8)*(1-EXP(-('Discounting metrics'!$D$4+'Allometrics &amp; Decay rates'!$K$8)*'Discounting metrics'!$E$4))-(1-EXP(-'Allometrics &amp; Decay rates'!$K$8))/1.55)+'Allometrics &amp; Decay rates'!$E$8*((EXP('Allometrics &amp; Decay rates'!$L$8)-1)/('Discounting metrics'!$D$4+'Allometrics &amp; Decay rates'!$L$8)*(1-EXP(-('Discounting metrics'!$D$4+'Allometrics &amp; Decay rates'!$L$8)*'Discounting metrics'!$E$4))-(1-EXP(-'Allometrics &amp; Decay rates'!$L$8))/1.55))</f>
        <v>2.0607756963506518</v>
      </c>
      <c r="EQ59" s="550">
        <f>AP59*BP59*('Allometrics &amp; Decay rates'!$I$9*((EXP('Allometrics &amp; Decay rates'!$K$9)-1)/('Discounting metrics'!$D$4+'Allometrics &amp; Decay rates'!$K$9)*(1-EXP(-('Discounting metrics'!$D$4+'Allometrics &amp; Decay rates'!$K$9)*'Discounting metrics'!$E$4))-(1-EXP(-'Allometrics &amp; Decay rates'!$K$9))/1.55)+'Allometrics &amp; Decay rates'!$E$9*((EXP('Allometrics &amp; Decay rates'!$L$9)-1)/('Discounting metrics'!$D$4+'Allometrics &amp; Decay rates'!$L$9)*(1-EXP(-('Discounting metrics'!$D$4+'Allometrics &amp; Decay rates'!$L$9)*'Discounting metrics'!$E$4))-(1-EXP(-'Allometrics &amp; Decay rates'!$L$9))/1.55))</f>
        <v>0.26785729905358657</v>
      </c>
      <c r="ER59" s="550">
        <f>AQ59*BQ59*('Allometrics &amp; Decay rates'!$I$10*((EXP('Allometrics &amp; Decay rates'!$K$10)-1)/('Discounting metrics'!$D$4+'Allometrics &amp; Decay rates'!$K$10)*(1-EXP(-('Discounting metrics'!$D$4+'Allometrics &amp; Decay rates'!$K$10)*'Discounting metrics'!$E$4))-(1-EXP(-'Allometrics &amp; Decay rates'!$K$10))/1.55)+'Allometrics &amp; Decay rates'!$E$10*((EXP('Allometrics &amp; Decay rates'!$L$10)-1)/('Discounting metrics'!$D$4+'Allometrics &amp; Decay rates'!$L$10)*(1-EXP(-('Discounting metrics'!$D$4+'Allometrics &amp; Decay rates'!$L$10)*'Discounting metrics'!$E$4))-(1-EXP(-'Allometrics &amp; Decay rates'!$L$10))/1.55))</f>
        <v>4.3336900368671903E-2</v>
      </c>
      <c r="ES59" s="550">
        <f>AR59*BR59*('Allometrics &amp; Decay rates'!$I$11*((EXP('Allometrics &amp; Decay rates'!$K$11)-1)/('Discounting metrics'!$D$4+'Allometrics &amp; Decay rates'!$K$11)*(1-EXP(-('Discounting metrics'!$D$4+'Allometrics &amp; Decay rates'!$K$11)*'Discounting metrics'!$E$4))-(1-EXP(-'Allometrics &amp; Decay rates'!$K$11))/1.55)+'Allometrics &amp; Decay rates'!$E$11*((EXP('Allometrics &amp; Decay rates'!$L$11)-1)/('Discounting metrics'!$D$4+'Allometrics &amp; Decay rates'!$L$11)*(1-EXP(-('Discounting metrics'!$D$4+'Allometrics &amp; Decay rates'!$L$11)*'Discounting metrics'!$E$4))-(1-EXP(-'Allometrics &amp; Decay rates'!$L$11))/1.55))</f>
        <v>8.210048541562892E-5</v>
      </c>
      <c r="ET59" s="550">
        <f>AS59*BS59*('Allometrics &amp; Decay rates'!$I$12*((EXP('Allometrics &amp; Decay rates'!$K$12)-1)/('Discounting metrics'!$D$4+'Allometrics &amp; Decay rates'!$K$12)*(1-EXP(-('Discounting metrics'!$D$4+'Allometrics &amp; Decay rates'!$K$12)*'Discounting metrics'!$E$4))-(1-EXP(-'Allometrics &amp; Decay rates'!$K$12))/1.55)+'Allometrics &amp; Decay rates'!$E$12*((EXP('Allometrics &amp; Decay rates'!$L$12)-1)/('Discounting metrics'!$D$4+'Allometrics &amp; Decay rates'!$L$12)*(1-EXP(-('Discounting metrics'!$D$4+'Allometrics &amp; Decay rates'!$L$12)*'Discounting metrics'!$E$4))-(1-EXP(-'Allometrics &amp; Decay rates'!$L$12))/1.55))</f>
        <v>0.16570348135154986</v>
      </c>
      <c r="EU59" s="550">
        <f>AT59*BT59*('Allometrics &amp; Decay rates'!$I$13*((EXP('Allometrics &amp; Decay rates'!$K$13)-1)/('Discounting metrics'!$D$4+'Allometrics &amp; Decay rates'!$K$13)*(1-EXP(-('Discounting metrics'!$D$4+'Allometrics &amp; Decay rates'!$K$13)*'Discounting metrics'!$E$4))-(1-EXP(-'Allometrics &amp; Decay rates'!$K$13))/1.55)+'Allometrics &amp; Decay rates'!$E$13*((EXP('Allometrics &amp; Decay rates'!$L$13)-1)/('Discounting metrics'!$D$4+'Allometrics &amp; Decay rates'!$L$13)*(1-EXP(-('Discounting metrics'!$D$4+'Allometrics &amp; Decay rates'!$L$13)*'Discounting metrics'!$E$4))-(1-EXP(-'Allometrics &amp; Decay rates'!$L$13))/1.55))</f>
        <v>8.0803418320098512E-3</v>
      </c>
      <c r="EV59" s="108">
        <f t="shared" ref="EV59" si="534">SUM(EW59:FC59)</f>
        <v>19.834426373567645</v>
      </c>
      <c r="EW59" s="550">
        <f>AL59*BV59*$DK59*((EXP('Allometrics &amp; Decay rates'!$M$5)-1)/('Discounting metrics'!$D$4+'Allometrics &amp; Decay rates'!$M$5)*(1-EXP(-('Discounting metrics'!$D$4+'Allometrics &amp; Decay rates'!$M$5)*'Discounting metrics'!$E$4))-(1-EXP(-'Allometrics &amp; Decay rates'!$M$5))/1.55)</f>
        <v>4.1355915517700366</v>
      </c>
      <c r="EX59" s="550">
        <f>AM59*BW59*$DK59*((EXP('Allometrics &amp; Decay rates'!$M$5)-1)/('Discounting metrics'!$D$4+'Allometrics &amp; Decay rates'!$M$5)*(1-EXP(-('Discounting metrics'!$D$4+'Allometrics &amp; Decay rates'!$M$5)*'Discounting metrics'!$E$4))-(1-EXP(-'Allometrics &amp; Decay rates'!$M$5))/1.55)</f>
        <v>9.2080997771843229</v>
      </c>
      <c r="EY59" s="550">
        <f>AN59*BX59*$DK59*((EXP('Allometrics &amp; Decay rates'!$M$5)-1)/('Discounting metrics'!$D$4+'Allometrics &amp; Decay rates'!$M$5)*(1-EXP(-('Discounting metrics'!$D$4+'Allometrics &amp; Decay rates'!$M$5)*'Discounting metrics'!$E$4))-(1-EXP(-'Allometrics &amp; Decay rates'!$M$5))/1.55)</f>
        <v>2.3139554999691492</v>
      </c>
      <c r="EZ59" s="550">
        <f>AO59*BY59*$DK59*((EXP('Allometrics &amp; Decay rates'!$M$5)-1)/('Discounting metrics'!$D$4+'Allometrics &amp; Decay rates'!$M$5)*(1-EXP(-('Discounting metrics'!$D$4+'Allometrics &amp; Decay rates'!$M$5)*'Discounting metrics'!$E$4))-(1-EXP(-'Allometrics &amp; Decay rates'!$M$5))/1.55)</f>
        <v>2.8524534200204439</v>
      </c>
      <c r="FA59" s="550">
        <f>AP59*BZ59*$DK59*((EXP('Allometrics &amp; Decay rates'!$M$5)-1)/('Discounting metrics'!$D$4+'Allometrics &amp; Decay rates'!$M$5)*(1-EXP(-('Discounting metrics'!$D$4+'Allometrics &amp; Decay rates'!$M$5)*'Discounting metrics'!$E$4))-(1-EXP(-'Allometrics &amp; Decay rates'!$M$5))/1.55)</f>
        <v>1.0560799071198403</v>
      </c>
      <c r="FB59" s="550">
        <f>AQ59*CA59*$DK59*((EXP('Allometrics &amp; Decay rates'!$M$5)-1)/('Discounting metrics'!$D$4+'Allometrics &amp; Decay rates'!$M$5)*(1-EXP(-('Discounting metrics'!$D$4+'Allometrics &amp; Decay rates'!$M$5)*'Discounting metrics'!$E$4))-(1-EXP(-'Allometrics &amp; Decay rates'!$M$5))/1.55)</f>
        <v>0.26798179969329078</v>
      </c>
      <c r="FC59" s="550">
        <f>AR59*CB59*$DK59*((EXP('Allometrics &amp; Decay rates'!$M$5)-1)/('Discounting metrics'!$D$4+'Allometrics &amp; Decay rates'!$M$5)*(1-EXP(-('Discounting metrics'!$D$4+'Allometrics &amp; Decay rates'!$M$5)*'Discounting metrics'!$E$4))-(1-EXP(-'Allometrics &amp; Decay rates'!$M$5))/1.55)</f>
        <v>2.6441781055812119E-4</v>
      </c>
      <c r="FD59" s="261">
        <f t="shared" ref="FD59" si="535">FF59+FR59</f>
        <v>53.061306377148178</v>
      </c>
      <c r="FE59" s="154">
        <f>FD59/($CE59-$DN59)</f>
        <v>0.8040145934309505</v>
      </c>
      <c r="FF59" s="108">
        <f t="shared" ref="FF59" si="536">FG59+FH59-$DO59</f>
        <v>38.798070519632681</v>
      </c>
      <c r="FG59" s="126">
        <f>'Allometrics &amp; Decay rates'!$H$5*$AU59*CG59+'Allometrics &amp; Decay rates'!$H$6*$AV59*CH59+'Allometrics &amp; Decay rates'!$H$7*$AW59*CI59+'Allometrics &amp; Decay rates'!$H$8*$AX59*CJ59+'Allometrics &amp; Decay rates'!$H$9*$AY59*CK59+'Allometrics &amp; Decay rates'!$H$10*$AZ59*CL59+'Allometrics &amp; Decay rates'!$H$11*$BA59*CM59+'Allometrics &amp; Decay rates'!$H$12*$BB59*CN59+'Allometrics &amp; Decay rates'!$H$13*$BC59*CO59</f>
        <v>20.530319874371148</v>
      </c>
      <c r="FH59" s="97">
        <f t="shared" ref="FH59" si="537">SUM(FI59:FQ59)</f>
        <v>18.82525064526153</v>
      </c>
      <c r="FI59" s="550">
        <f>AU59*CG59*('Allometrics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7.2982872514809936</v>
      </c>
      <c r="FJ59" s="550">
        <f>AV59*CH59*('Allometrics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8.2947368111618065</v>
      </c>
      <c r="FK59" s="550">
        <f>AW59*CI59*('Allometrics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1.0433038119123332</v>
      </c>
      <c r="FL59" s="550">
        <f>AX59*CJ59*('Allometrics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1.3538894873982477</v>
      </c>
      <c r="FM59" s="550">
        <f>AY59*CK59*('Allometrics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0.20748008987522892</v>
      </c>
      <c r="FN59" s="550">
        <f>AZ59*CL59*('Allometrics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0.1032440798756263</v>
      </c>
      <c r="FO59" s="550">
        <f>BA59*CM59*('Allometrics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1.7739726972983603E-3</v>
      </c>
      <c r="FP59" s="550">
        <f>BB59*CN59*('Allometrics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0.51531643507502545</v>
      </c>
      <c r="FQ59" s="550">
        <f>BC59*CO59*('Allometrics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7.2187057849678483E-3</v>
      </c>
      <c r="FR59" s="108">
        <f t="shared" ref="FR59" si="538">SUM(FS59:FY59)</f>
        <v>14.263235857515498</v>
      </c>
      <c r="FS59" s="550">
        <f>AU59*CQ59*$DK59*((EXP('Allometrics &amp; Decay rates'!$M$5)-1)/('Discounting metrics'!$D$4+'Allometrics &amp; Decay rates'!$M$5)*(1-EXP(-('Discounting metrics'!$D$4+'Allometrics &amp; Decay rates'!$M$5)*'Discounting metrics'!$E$4))-(1-EXP(-'Allometrics &amp; Decay rates'!$M$5))/1.55)</f>
        <v>3.4903546685922668</v>
      </c>
      <c r="FT59" s="550">
        <f>AV59*CR59*$DK59*((EXP('Allometrics &amp; Decay rates'!$M$5)-1)/('Discounting metrics'!$D$4+'Allometrics &amp; Decay rates'!$M$5)*(1-EXP(-('Discounting metrics'!$D$4+'Allometrics &amp; Decay rates'!$M$5)*'Discounting metrics'!$E$4))-(1-EXP(-'Allometrics &amp; Decay rates'!$M$5))/1.55)</f>
        <v>3.929370433669519</v>
      </c>
      <c r="FU59" s="550">
        <f>AW59*CS59*$DK59*((EXP('Allometrics &amp; Decay rates'!$M$5)-1)/('Discounting metrics'!$D$4+'Allometrics &amp; Decay rates'!$M$5)*(1-EXP(-('Discounting metrics'!$D$4+'Allometrics &amp; Decay rates'!$M$5)*'Discounting metrics'!$E$4))-(1-EXP(-'Allometrics &amp; Decay rates'!$M$5))/1.55)</f>
        <v>1.3417593863356749</v>
      </c>
      <c r="FV59" s="550">
        <f>AX59*CT59*$DK59*((EXP('Allometrics &amp; Decay rates'!$M$5)-1)/('Discounting metrics'!$D$4+'Allometrics &amp; Decay rates'!$M$5)*(1-EXP(-('Discounting metrics'!$D$4+'Allometrics &amp; Decay rates'!$M$5)*'Discounting metrics'!$E$4))-(1-EXP(-'Allometrics &amp; Decay rates'!$M$5))/1.55)</f>
        <v>3.5667064298821387</v>
      </c>
      <c r="FW59" s="550">
        <f>AY59*CU59*$DK59*((EXP('Allometrics &amp; Decay rates'!$M$5)-1)/('Discounting metrics'!$D$4+'Allometrics &amp; Decay rates'!$M$5)*(1-EXP(-('Discounting metrics'!$D$4+'Allometrics &amp; Decay rates'!$M$5)*'Discounting metrics'!$E$4))-(1-EXP(-'Allometrics &amp; Decay rates'!$M$5))/1.55)</f>
        <v>0.97514568892564812</v>
      </c>
      <c r="FX59" s="550">
        <f>AZ59*CV59*$DK59*((EXP('Allometrics &amp; Decay rates'!$M$5)-1)/('Discounting metrics'!$D$4+'Allometrics &amp; Decay rates'!$M$5)*(1-EXP(-('Discounting metrics'!$D$4+'Allometrics &amp; Decay rates'!$M$5)*'Discounting metrics'!$E$4))-(1-EXP(-'Allometrics &amp; Decay rates'!$M$5))/1.55)</f>
        <v>0.95214497782713348</v>
      </c>
      <c r="FY59" s="550">
        <f>BA59*CW59*$DK59*((EXP('Allometrics &amp; Decay rates'!$M$5)-1)/('Discounting metrics'!$D$4+'Allometrics &amp; Decay rates'!$M$5)*(1-EXP(-('Discounting metrics'!$D$4+'Allometrics &amp; Decay rates'!$M$5)*'Discounting metrics'!$E$4))-(1-EXP(-'Allometrics &amp; Decay rates'!$M$5))/1.55)</f>
        <v>7.7542722831173833E-3</v>
      </c>
      <c r="FZ59" s="68"/>
      <c r="GA59" s="293"/>
      <c r="GB59" s="293"/>
      <c r="GP59" s="32">
        <f>(GQ59*$C59+GR59*$D59)/$B59</f>
        <v>6.0305333333333326</v>
      </c>
      <c r="GQ59" s="33">
        <v>6.3</v>
      </c>
      <c r="GR59" s="99">
        <v>4.8899999999999997</v>
      </c>
      <c r="GS59" s="99"/>
      <c r="GT59" s="99"/>
      <c r="GU59" s="99"/>
      <c r="GV59" s="99"/>
      <c r="GW59" s="99"/>
      <c r="GX59" s="99"/>
      <c r="GY59" s="99"/>
      <c r="GZ59" s="99"/>
      <c r="HA59" s="99"/>
      <c r="HB59" s="99"/>
      <c r="HF59" s="97">
        <f>HG59*$LI59</f>
        <v>0.18426893374234207</v>
      </c>
      <c r="HG59" s="526">
        <f>EE59/'Discounting metrics'!E$4/M59</f>
        <v>2.303361671779276</v>
      </c>
      <c r="HH59" s="527">
        <f>10^3*HG59/$LM59</f>
        <v>177.18166705994432</v>
      </c>
      <c r="HI59" s="528">
        <f>HG59/$LO59</f>
        <v>15.355744478528507</v>
      </c>
      <c r="HJ59" s="97">
        <f>HK59*$LI59</f>
        <v>0.21266645825190023</v>
      </c>
      <c r="HK59" s="526">
        <f>EH59/'Discounting metrics'!E$4/O59</f>
        <v>2.6583307281487527</v>
      </c>
      <c r="HL59" s="527">
        <f>10^3*HK59/$LM59</f>
        <v>204.48697908836559</v>
      </c>
      <c r="HM59" s="528">
        <f>HK59/$LO59</f>
        <v>17.722204854325017</v>
      </c>
      <c r="HN59" s="97">
        <f>HO59*$LI59</f>
        <v>9.6952987070133181E-2</v>
      </c>
      <c r="HO59" s="526">
        <f>FD59/'Discounting metrics'!E$4/Q59</f>
        <v>1.2119123383766648</v>
      </c>
      <c r="HP59" s="527">
        <f>10^3*HO59/$LM59</f>
        <v>93.224026028974222</v>
      </c>
      <c r="HQ59" s="528">
        <f>HO59/$LO59</f>
        <v>8.0794155891777653</v>
      </c>
      <c r="HR59" s="97">
        <f>HS59*$LI59</f>
        <v>0.17322867737417189</v>
      </c>
      <c r="HS59" s="263">
        <f>$IM$11*IE59</f>
        <v>2.1653584671771484</v>
      </c>
      <c r="HT59" s="527">
        <f>10^3*HS59/$LM59</f>
        <v>166.56603593670371</v>
      </c>
      <c r="HU59" s="528">
        <f>HS59/$LO59</f>
        <v>14.435723114514323</v>
      </c>
      <c r="HV59" s="97">
        <f>HW59*$LI59</f>
        <v>0.19399200929462307</v>
      </c>
      <c r="HW59" s="263">
        <f>$IM$11*IH59</f>
        <v>2.4249001161827883</v>
      </c>
      <c r="HX59" s="527">
        <f>10^3*HW59/$LM59</f>
        <v>186.53077816790679</v>
      </c>
      <c r="HY59" s="528">
        <f>HW59/$LO59</f>
        <v>16.166000774551922</v>
      </c>
      <c r="HZ59" s="97">
        <f>I59*$LI59</f>
        <v>0.10368000000000001</v>
      </c>
      <c r="IA59" s="263">
        <f>$IM$11*IK59</f>
        <v>1.3673267663447086</v>
      </c>
      <c r="IB59" s="527">
        <f>10^3*I59/$LM59</f>
        <v>99.692307692307693</v>
      </c>
      <c r="IC59" s="528">
        <f>I59/$LO59</f>
        <v>8.64</v>
      </c>
      <c r="ID59" s="97">
        <f>IE59*$LI59</f>
        <v>0.34726537506718186</v>
      </c>
      <c r="IE59" s="263">
        <f>GP59/G59</f>
        <v>4.3408171883397735</v>
      </c>
      <c r="IF59" s="68">
        <f>10^3*IE59/$LM59</f>
        <v>333.90901448767488</v>
      </c>
      <c r="IG59" s="97">
        <f>IH59*$LI59</f>
        <v>0.38888888888888884</v>
      </c>
      <c r="IH59" s="263">
        <f>GQ59/I59</f>
        <v>4.8611111111111107</v>
      </c>
      <c r="II59" s="68">
        <f>10^3*IH59/$LM59</f>
        <v>373.9316239316239</v>
      </c>
      <c r="IJ59" s="97">
        <f>IK59*$LI59</f>
        <v>0.21928251121076234</v>
      </c>
      <c r="IK59" s="263">
        <f>GR59/K59</f>
        <v>2.7410313901345291</v>
      </c>
      <c r="IL59" s="68">
        <f>10^3*IK59/$LM59</f>
        <v>210.84856847188684</v>
      </c>
      <c r="IM59" s="60"/>
      <c r="IN59" s="60"/>
      <c r="IO59" s="60"/>
      <c r="IP59" s="554">
        <f>IR59*$V59</f>
        <v>24.478329031311997</v>
      </c>
      <c r="IQ59" s="262">
        <f>IR59*$LI59</f>
        <v>3.1323841311534817E-2</v>
      </c>
      <c r="IR59" s="170">
        <f>(IW59*Y59+JD59*AA59)/V59</f>
        <v>0.39154801639418524</v>
      </c>
      <c r="IS59" s="68">
        <f>10^3*IR59/$LM59</f>
        <v>30.119078184168096</v>
      </c>
      <c r="IT59" s="97">
        <f>IR59/$LO59</f>
        <v>2.6103201092945683</v>
      </c>
      <c r="IU59" s="429">
        <f>(IX59*C59+JE59*D59)/B59</f>
        <v>1.0850666666666666E-2</v>
      </c>
      <c r="IV59" s="262">
        <f>IW59*$LI59</f>
        <v>2.595907114814815E-2</v>
      </c>
      <c r="IW59" s="436">
        <f>IX59*JB59/I59</f>
        <v>0.32448838935185187</v>
      </c>
      <c r="IX59" s="101">
        <v>8.5000000000000006E-3</v>
      </c>
      <c r="IY59" s="101">
        <v>0.74199999999999999</v>
      </c>
      <c r="IZ59" s="101">
        <v>0.25800000000000001</v>
      </c>
      <c r="JA59" s="429">
        <f>1-IY59-IZ59</f>
        <v>0</v>
      </c>
      <c r="JB59" s="430">
        <f>IY59*$JJ59+IZ59*$JK59+JA59*$JL59+'Discounting metrics'!$B$6*(IY59*$JM59+IZ59*$JN59+JA59*$JO59)/10^3+'Discounting metrics'!$B$5*(IY59*$JP59+IZ59*$JQ59+JA59*$JR59)/10^3</f>
        <v>49.474935599999995</v>
      </c>
      <c r="JC59" s="262">
        <f>JD59*$LI59</f>
        <v>4.7819292713901333E-2</v>
      </c>
      <c r="JD59" s="436">
        <f>JE59*JI59/K59</f>
        <v>0.59774115892376667</v>
      </c>
      <c r="JE59" s="101">
        <v>2.0799999999999999E-2</v>
      </c>
      <c r="JF59" s="101">
        <v>0.83299999999999996</v>
      </c>
      <c r="JG59" s="101">
        <v>0.16700000000000001</v>
      </c>
      <c r="JH59" s="429">
        <f>1-JF59-JG59</f>
        <v>0</v>
      </c>
      <c r="JI59" s="430">
        <f>JF59*$JJ59+JG59*$JK59+JH59*$JL59+'Discounting metrics'!$B$6*(JF59*$JM59+JG59*$JN59+JH59*$JO59)/10^3+'Discounting metrics'!$B$5*(JF59*$JP59+JG59*$JQ59+JH59*$JR59)/10^3</f>
        <v>51.267799399999994</v>
      </c>
      <c r="JJ59" s="431">
        <v>51.3</v>
      </c>
      <c r="JK59" s="431">
        <v>29</v>
      </c>
      <c r="JL59" s="431">
        <v>29</v>
      </c>
      <c r="JM59" s="99">
        <v>5</v>
      </c>
      <c r="JN59" s="431">
        <v>13</v>
      </c>
      <c r="JO59" s="431">
        <v>13</v>
      </c>
      <c r="JP59" s="431">
        <v>52</v>
      </c>
      <c r="JQ59" s="431">
        <v>58.3</v>
      </c>
      <c r="JR59" s="431">
        <v>58.3</v>
      </c>
      <c r="JS59" s="554">
        <f>JV59+JW59+JT59+JU59+JX59</f>
        <v>159.40761550239361</v>
      </c>
      <c r="JT59" s="554">
        <f>KJ59*$V59</f>
        <v>66.5043327638964</v>
      </c>
      <c r="JU59" s="554">
        <f>KL59*$V59</f>
        <v>4.5119542061239999</v>
      </c>
      <c r="JV59" s="554">
        <f>KN59*$V59</f>
        <v>29.800125621183998</v>
      </c>
      <c r="JW59" s="554">
        <f>KP59*$V59</f>
        <v>58.591202911189207</v>
      </c>
      <c r="JX59" s="554"/>
      <c r="JY59" s="167">
        <f>JZ59*LI59</f>
        <v>0.20398691616</v>
      </c>
      <c r="JZ59" s="170">
        <f>KF59+KD59+KH59</f>
        <v>2.5498364520000001</v>
      </c>
      <c r="KA59" s="68">
        <f>10^3*JZ59/$LM59</f>
        <v>196.14126553846154</v>
      </c>
      <c r="KB59" s="97">
        <f>JZ59/$LO59</f>
        <v>16.998909680000001</v>
      </c>
      <c r="KC59" s="473">
        <f>KD59*LI59</f>
        <v>9.0876419740000006E-2</v>
      </c>
      <c r="KD59" s="269">
        <f>KJ59+KL59</f>
        <v>1.13595524675</v>
      </c>
      <c r="KE59" s="473">
        <f>KF59*LI59</f>
        <v>0.11311049642000001</v>
      </c>
      <c r="KF59" s="269">
        <f>KN59+KP59</f>
        <v>1.4138812052500001</v>
      </c>
      <c r="KG59" s="49"/>
      <c r="KH59" s="49"/>
      <c r="KI59" s="435">
        <v>8.5102670340000006E-2</v>
      </c>
      <c r="KJ59" s="522">
        <f>KI59/$LI59</f>
        <v>1.06378337925</v>
      </c>
      <c r="KK59" s="435">
        <v>5.7737494E-3</v>
      </c>
      <c r="KL59" s="522">
        <f>KK59/$LI59</f>
        <v>7.21718675E-2</v>
      </c>
      <c r="KM59" s="435">
        <v>3.8133910399999998E-2</v>
      </c>
      <c r="KN59" s="522">
        <f>KM59/$LI59</f>
        <v>0.47667387999999999</v>
      </c>
      <c r="KO59" s="435">
        <v>7.4976586020000013E-2</v>
      </c>
      <c r="KP59" s="522">
        <f>KO59/$LI59</f>
        <v>0.93720732525000017</v>
      </c>
      <c r="KQ59" s="599">
        <f>44/12*HG59+$JZ59+$IR59</f>
        <v>11.387043931584863</v>
      </c>
      <c r="KR59" s="527">
        <f>10^3*KQ59/$LM59</f>
        <v>875.92645627575871</v>
      </c>
      <c r="KS59" s="528">
        <f>KQ59/$LO59</f>
        <v>75.913626210565752</v>
      </c>
      <c r="KT59" s="599">
        <f>44/12*HK59+$JZ59+$IW59</f>
        <v>12.621537511230613</v>
      </c>
      <c r="KU59" s="527">
        <f>10^3*KT59/$LM59</f>
        <v>970.88750086389337</v>
      </c>
      <c r="KV59" s="528">
        <f>KT59/$LO59</f>
        <v>84.143583408204094</v>
      </c>
      <c r="KW59" s="599">
        <f>44/12*HO59+$JZ59+$JD59</f>
        <v>7.5912561849715372</v>
      </c>
      <c r="KX59" s="527">
        <f>10^3*KW59/$LM59</f>
        <v>583.94278345934902</v>
      </c>
      <c r="KY59" s="528">
        <f>KW59/$LO59</f>
        <v>50.608374566476918</v>
      </c>
      <c r="KZ59" s="599">
        <f>44/12*HS59+$JZ59+$IR59</f>
        <v>10.881032181377062</v>
      </c>
      <c r="LA59" s="527">
        <f>10^3*KZ59/$LM59</f>
        <v>837.00247549054325</v>
      </c>
      <c r="LB59" s="528">
        <f>KZ59/$LO59</f>
        <v>72.540214542513752</v>
      </c>
      <c r="LC59" s="599">
        <f>44/12*HW59+$JZ59+$IW59</f>
        <v>11.765625267355411</v>
      </c>
      <c r="LD59" s="527">
        <f>10^3*LC59/$LM59</f>
        <v>905.04809748887772</v>
      </c>
      <c r="LE59" s="528">
        <f>LC59/$LO59</f>
        <v>78.437501782369409</v>
      </c>
      <c r="LF59" s="599">
        <f>44/12*I59+$JZ59+$JD59</f>
        <v>7.8995776109237665</v>
      </c>
      <c r="LG59" s="527">
        <f>10^3*LF59/$LM59</f>
        <v>607.65981622490517</v>
      </c>
      <c r="LH59" s="528">
        <f>LF59/$LO59</f>
        <v>52.663850739491778</v>
      </c>
      <c r="LI59" s="35">
        <v>0.08</v>
      </c>
      <c r="LJ59" s="32">
        <f t="shared" ref="LJ59" si="539">$LI59*LK59</f>
        <v>1.44</v>
      </c>
      <c r="LK59" s="27">
        <v>18</v>
      </c>
      <c r="LL59" s="32">
        <f t="shared" ref="LL59" si="540">$LI59*LM59</f>
        <v>1.04</v>
      </c>
      <c r="LM59" s="33">
        <v>13</v>
      </c>
      <c r="LN59" s="36">
        <f t="shared" ref="LN59" si="541">$LI59*LO59</f>
        <v>1.2E-2</v>
      </c>
      <c r="LO59" s="31">
        <v>0.15</v>
      </c>
      <c r="LP59" s="36"/>
      <c r="LQ59" s="35"/>
    </row>
    <row r="60" spans="1:329" s="4" customFormat="1" x14ac:dyDescent="0.25">
      <c r="A60" s="14"/>
      <c r="H60" s="33"/>
      <c r="J60" s="33"/>
      <c r="M60" s="32"/>
      <c r="N60" s="32"/>
      <c r="O60" s="32"/>
      <c r="P60" s="32"/>
      <c r="Q60" s="32"/>
      <c r="U60" s="60"/>
      <c r="AC60" s="60"/>
      <c r="AD60" s="60"/>
      <c r="AE60" s="60"/>
      <c r="AF60" s="60"/>
      <c r="AG60" s="60"/>
      <c r="AH60" s="60"/>
      <c r="AI60" s="60"/>
      <c r="AJ60" s="60"/>
      <c r="AK60" s="60"/>
      <c r="AL60" s="60"/>
      <c r="AM60" s="60"/>
      <c r="AN60" s="60"/>
      <c r="AO60" s="60"/>
      <c r="AP60" s="60"/>
      <c r="AQ60" s="60"/>
      <c r="AR60" s="60"/>
      <c r="AS60" s="60"/>
      <c r="AT60" s="60"/>
      <c r="AU60" s="60"/>
      <c r="AV60" s="60"/>
      <c r="AW60" s="60"/>
      <c r="AX60" s="60"/>
      <c r="AY60" s="60"/>
      <c r="AZ60" s="60"/>
      <c r="BA60" s="60"/>
      <c r="BB60" s="60"/>
      <c r="BC60" s="60"/>
      <c r="BD60" s="60"/>
      <c r="BE60" s="60"/>
      <c r="BF60" s="60"/>
      <c r="BJ60" s="67"/>
      <c r="BK60" s="106"/>
      <c r="BL60" s="145"/>
      <c r="BM60" s="145"/>
      <c r="BN60" s="145"/>
      <c r="BO60" s="145"/>
      <c r="BP60" s="145"/>
      <c r="BQ60" s="145"/>
      <c r="BR60" s="145"/>
      <c r="BS60" s="145"/>
      <c r="BT60" s="145"/>
      <c r="BU60" s="106"/>
      <c r="BV60" s="145"/>
      <c r="BW60" s="145"/>
      <c r="BX60" s="145"/>
      <c r="BY60" s="145"/>
      <c r="BZ60" s="145"/>
      <c r="CA60" s="145"/>
      <c r="CB60" s="145"/>
      <c r="CC60" s="145"/>
      <c r="CD60" s="145"/>
      <c r="CE60" s="60"/>
      <c r="CF60" s="106"/>
      <c r="CG60" s="145"/>
      <c r="CH60" s="145"/>
      <c r="CI60" s="145"/>
      <c r="CJ60" s="145"/>
      <c r="CK60" s="145"/>
      <c r="CL60" s="145"/>
      <c r="CM60" s="145"/>
      <c r="CN60" s="145"/>
      <c r="CO60" s="145"/>
      <c r="CP60" s="106"/>
      <c r="CQ60" s="145"/>
      <c r="CR60" s="145"/>
      <c r="CS60" s="145"/>
      <c r="CT60" s="145"/>
      <c r="CU60" s="145"/>
      <c r="CV60" s="145"/>
      <c r="CW60" s="145"/>
      <c r="CX60" s="145"/>
      <c r="CY60" s="145"/>
      <c r="CZ60" s="60"/>
      <c r="DA60" s="60"/>
      <c r="DB60" s="60"/>
      <c r="DC60" s="32"/>
      <c r="DD60" s="32"/>
      <c r="DE60" s="67"/>
      <c r="DF60" s="270"/>
      <c r="DL60" s="123"/>
      <c r="DM60" s="123"/>
      <c r="DN60" s="60"/>
      <c r="DS60" s="60"/>
      <c r="DT60" s="60"/>
      <c r="DU60" s="60"/>
      <c r="EE60" s="60"/>
      <c r="EF60" s="60"/>
      <c r="EG60" s="60"/>
      <c r="EH60" s="60"/>
      <c r="EI60" s="123"/>
      <c r="EJ60" s="60"/>
      <c r="EK60" s="60"/>
      <c r="EL60" s="60"/>
      <c r="EM60" s="126"/>
      <c r="EN60" s="126"/>
      <c r="EO60" s="126"/>
      <c r="EP60" s="126"/>
      <c r="EQ60" s="126"/>
      <c r="ER60" s="126"/>
      <c r="ES60" s="126"/>
      <c r="ET60" s="126"/>
      <c r="EU60" s="126"/>
      <c r="EV60" s="60"/>
      <c r="EW60" s="542"/>
      <c r="EX60" s="542"/>
      <c r="EY60" s="542"/>
      <c r="EZ60" s="542"/>
      <c r="FA60" s="542"/>
      <c r="FB60" s="542"/>
      <c r="FC60" s="542"/>
      <c r="FD60" s="60"/>
      <c r="FE60" s="60"/>
      <c r="FF60" s="60"/>
      <c r="FG60" s="60"/>
      <c r="FH60" s="60"/>
      <c r="FI60" s="542"/>
      <c r="FJ60" s="542"/>
      <c r="FK60" s="542"/>
      <c r="FL60" s="542"/>
      <c r="FM60" s="542"/>
      <c r="FN60" s="542"/>
      <c r="FO60" s="542"/>
      <c r="FP60" s="542"/>
      <c r="FQ60" s="542"/>
      <c r="FR60" s="60"/>
      <c r="FS60" s="542"/>
      <c r="FT60" s="542"/>
      <c r="FU60" s="542"/>
      <c r="FV60" s="542"/>
      <c r="FW60" s="542"/>
      <c r="FX60" s="542"/>
      <c r="FY60" s="542"/>
      <c r="FZ60" s="60"/>
      <c r="GA60" s="60"/>
      <c r="GB60" s="60"/>
      <c r="GQ60" s="33"/>
      <c r="GR60" s="99"/>
      <c r="GS60" s="99"/>
      <c r="GT60" s="99"/>
      <c r="GU60" s="99"/>
      <c r="GV60" s="99"/>
      <c r="GW60" s="99"/>
      <c r="GX60" s="99"/>
      <c r="GY60" s="99"/>
      <c r="GZ60" s="99"/>
      <c r="HA60" s="99"/>
      <c r="HB60" s="99"/>
      <c r="HF60" s="60"/>
      <c r="HG60" s="264"/>
      <c r="HI60" s="67"/>
      <c r="HJ60" s="60"/>
      <c r="HK60" s="264"/>
      <c r="HM60" s="67"/>
      <c r="HN60" s="60"/>
      <c r="HO60" s="264"/>
      <c r="HQ60" s="67"/>
      <c r="HR60" s="60"/>
      <c r="HS60" s="32"/>
      <c r="HU60" s="67"/>
      <c r="HV60" s="60"/>
      <c r="HW60" s="32"/>
      <c r="HY60" s="67"/>
      <c r="HZ60" s="60"/>
      <c r="IA60" s="32"/>
      <c r="IC60" s="67"/>
      <c r="ID60" s="60"/>
      <c r="IF60" s="60"/>
      <c r="IG60" s="60"/>
      <c r="II60" s="60"/>
      <c r="IJ60" s="60"/>
      <c r="IL60" s="60"/>
      <c r="IM60" s="60"/>
      <c r="IN60" s="60"/>
      <c r="IO60" s="60"/>
      <c r="IP60" s="97"/>
      <c r="IQ60" s="49"/>
      <c r="IS60" s="60"/>
      <c r="IT60" s="97"/>
      <c r="IU60" s="601"/>
      <c r="IV60" s="49"/>
      <c r="IW60" s="60"/>
      <c r="IX60" s="100"/>
      <c r="IY60" s="100"/>
      <c r="IZ60" s="100"/>
      <c r="JA60" s="100"/>
      <c r="JB60" s="100"/>
      <c r="JC60" s="49"/>
      <c r="JD60" s="60"/>
      <c r="JE60" s="100"/>
      <c r="JF60" s="100"/>
      <c r="JG60" s="100"/>
      <c r="JH60" s="100"/>
      <c r="JI60" s="100"/>
      <c r="JJ60" s="97"/>
      <c r="JK60" s="97"/>
      <c r="JL60" s="97"/>
      <c r="JM60" s="97"/>
      <c r="JN60" s="97"/>
      <c r="JO60" s="97"/>
      <c r="JP60" s="97"/>
      <c r="JQ60" s="97"/>
      <c r="JR60" s="97"/>
      <c r="JS60" s="97"/>
      <c r="JT60" s="97"/>
      <c r="JU60" s="97"/>
      <c r="JV60" s="97"/>
      <c r="JW60" s="97"/>
      <c r="JX60" s="97"/>
      <c r="JY60" s="522"/>
      <c r="KA60" s="60"/>
      <c r="KB60" s="97"/>
      <c r="KC60" s="49"/>
      <c r="KD60" s="49"/>
      <c r="KE60" s="49"/>
      <c r="KF60" s="49"/>
      <c r="KG60" s="49"/>
      <c r="KH60" s="49"/>
    </row>
    <row r="61" spans="1:329" s="4" customFormat="1" ht="13.8" x14ac:dyDescent="0.3">
      <c r="A61" s="15" t="s">
        <v>86</v>
      </c>
      <c r="B61" s="152">
        <f>B62+B63</f>
        <v>116.7</v>
      </c>
      <c r="C61" s="152">
        <f>C62+C63</f>
        <v>103.65902578796562</v>
      </c>
      <c r="D61" s="152">
        <f t="shared" ref="D61" si="542">D62+D63</f>
        <v>13.040974212034383</v>
      </c>
      <c r="E61" s="49"/>
      <c r="F61" s="49"/>
      <c r="G61" s="153">
        <f>V61/B61</f>
        <v>4.5221558474083121</v>
      </c>
      <c r="I61" s="153">
        <f>Y61/C61</f>
        <v>4.0676092544987155</v>
      </c>
      <c r="K61" s="153">
        <f>AA61/D61</f>
        <v>8.1352185089974292</v>
      </c>
      <c r="L61" s="153">
        <f>($B62*L62+$B63*L63)/$B61</f>
        <v>4.4393296739086052</v>
      </c>
      <c r="M61" s="153">
        <f>($B62*M62+$B63*M63)/$B61</f>
        <v>1.1098324184771513</v>
      </c>
      <c r="N61" s="153"/>
      <c r="O61" s="153">
        <f t="shared" ref="O61" si="543">($C62*O62+$C63*O63)/$C61</f>
        <v>0.99827709806321063</v>
      </c>
      <c r="P61" s="153"/>
      <c r="Q61" s="153">
        <f t="shared" ref="Q61" si="544">($C62*Q62+$C63*Q63)/$C61</f>
        <v>1.9965541961264213</v>
      </c>
      <c r="R61" s="49"/>
      <c r="S61" s="49"/>
      <c r="T61" s="49"/>
      <c r="U61" s="152">
        <f>U62+U63</f>
        <v>2110.9423495702003</v>
      </c>
      <c r="V61" s="152">
        <f>V62+V63</f>
        <v>527.73558739255009</v>
      </c>
      <c r="W61" s="265">
        <f>V61/V$17</f>
        <v>0.13917538875759825</v>
      </c>
      <c r="X61" s="60"/>
      <c r="Y61" s="152">
        <f>Y62+Y63</f>
        <v>421.64441260744991</v>
      </c>
      <c r="AA61" s="152">
        <f>AA62+AA63</f>
        <v>106.09117478510028</v>
      </c>
      <c r="AB61" s="154"/>
      <c r="AC61" s="265">
        <f t="shared" ref="AC61:AK61" si="545">($B62*AC62+$B63*AC63)/$B61</f>
        <v>3.403989885831224E-2</v>
      </c>
      <c r="AD61" s="265">
        <f t="shared" si="545"/>
        <v>0.27879387082316964</v>
      </c>
      <c r="AE61" s="265">
        <f t="shared" si="545"/>
        <v>0.35333863141372096</v>
      </c>
      <c r="AF61" s="265">
        <f t="shared" si="545"/>
        <v>4.3159863253691651E-2</v>
      </c>
      <c r="AG61" s="265">
        <f t="shared" si="545"/>
        <v>0.13178891213503555</v>
      </c>
      <c r="AH61" s="265">
        <f t="shared" si="545"/>
        <v>0.13000505197284176</v>
      </c>
      <c r="AI61" s="265">
        <f t="shared" si="545"/>
        <v>1.1645444513306812E-2</v>
      </c>
      <c r="AJ61" s="265">
        <f t="shared" si="545"/>
        <v>2.0243469977372958E-3</v>
      </c>
      <c r="AK61" s="265">
        <f t="shared" si="545"/>
        <v>1.5201821701308965E-2</v>
      </c>
      <c r="AL61" s="61"/>
      <c r="AM61" s="609"/>
      <c r="AN61" s="61"/>
      <c r="AO61" s="61"/>
      <c r="AP61" s="61"/>
      <c r="AQ61" s="61"/>
      <c r="AR61" s="61"/>
      <c r="AS61" s="61"/>
      <c r="AT61" s="61"/>
      <c r="AU61" s="61"/>
      <c r="AV61" s="61"/>
      <c r="AW61" s="61"/>
      <c r="AX61" s="61"/>
      <c r="AY61" s="61"/>
      <c r="AZ61" s="61"/>
      <c r="BA61" s="61"/>
      <c r="BB61" s="61"/>
      <c r="BC61" s="61"/>
      <c r="BD61" s="152">
        <f>BD62+BD63</f>
        <v>18.831844169799158</v>
      </c>
      <c r="BE61" s="152">
        <f t="shared" ref="BE61:BF61" si="546">BE62+BE63</f>
        <v>6.4429370470981118</v>
      </c>
      <c r="BF61" s="152">
        <f t="shared" si="546"/>
        <v>12.388907122701045</v>
      </c>
      <c r="BG61" s="152">
        <f>($B62*BG62+$B63*BG63)/$B61</f>
        <v>161.36970154069544</v>
      </c>
      <c r="BH61" s="152">
        <f>($B62*BH62+$B63*BH63)/$B61</f>
        <v>55.209400574962402</v>
      </c>
      <c r="BI61" s="152">
        <f>($B62*BI62+$B63*BI63)/$B61</f>
        <v>106.16030096573303</v>
      </c>
      <c r="BJ61" s="152">
        <f>($C62*BJ62+$C63*BJ63)/$C61</f>
        <v>168.8118646086333</v>
      </c>
      <c r="BK61" s="144">
        <f t="shared" ref="BK61:CF61" si="547">($C62*BK62+$C63*BK63)/$C61</f>
        <v>58.434478763073642</v>
      </c>
      <c r="BL61" s="552"/>
      <c r="BM61" s="553"/>
      <c r="BN61" s="552"/>
      <c r="BO61" s="552"/>
      <c r="BP61" s="552"/>
      <c r="BQ61" s="552"/>
      <c r="BR61" s="552"/>
      <c r="BS61" s="552"/>
      <c r="BT61" s="552"/>
      <c r="BU61" s="144">
        <f t="shared" si="547"/>
        <v>110.37738584555967</v>
      </c>
      <c r="BV61" s="552"/>
      <c r="BW61" s="553"/>
      <c r="BX61" s="552"/>
      <c r="BY61" s="552"/>
      <c r="BZ61" s="552"/>
      <c r="CA61" s="552"/>
      <c r="CB61" s="552"/>
      <c r="CC61" s="552"/>
      <c r="CD61" s="552"/>
      <c r="CE61" s="144"/>
      <c r="CF61" s="144">
        <f t="shared" si="547"/>
        <v>29.574163695103799</v>
      </c>
      <c r="CG61" s="552"/>
      <c r="CH61" s="553"/>
      <c r="CI61" s="552"/>
      <c r="CJ61" s="552"/>
      <c r="CK61" s="552"/>
      <c r="CL61" s="552"/>
      <c r="CM61" s="552"/>
      <c r="CN61" s="552"/>
      <c r="CO61" s="552"/>
      <c r="CP61" s="144">
        <f>($D62*CP62+$D63*CP63)/$D61</f>
        <v>72.639882690188088</v>
      </c>
      <c r="CQ61" s="552"/>
      <c r="CR61" s="553"/>
      <c r="CS61" s="552"/>
      <c r="CT61" s="552"/>
      <c r="CU61" s="552"/>
      <c r="CV61" s="552"/>
      <c r="CW61" s="552"/>
      <c r="CX61" s="552"/>
      <c r="CY61" s="552"/>
      <c r="CZ61" s="152">
        <f>CZ62+CZ63</f>
        <v>11.112632658457777</v>
      </c>
      <c r="DA61" s="152">
        <f t="shared" ref="DA61:DB61" si="548">DA62+DA63</f>
        <v>0.1649173710601719</v>
      </c>
      <c r="DB61" s="152">
        <f t="shared" si="548"/>
        <v>10.947715287397605</v>
      </c>
      <c r="DC61" s="153">
        <f>($B62*DC62+$B63*DC63)/$B61</f>
        <v>95.223930235285138</v>
      </c>
      <c r="DD61" s="153">
        <f>($B62*DD62+$B63*DD63)/$B61</f>
        <v>1.4131737023150979</v>
      </c>
      <c r="DE61" s="152">
        <f>($B62*DE62+$B63*DE63)/$B61</f>
        <v>93.810756532970046</v>
      </c>
      <c r="DF61" s="270"/>
      <c r="DG61" s="152">
        <f>($C62*DG62+$C63*DG63)/$C61</f>
        <v>98.829344502907901</v>
      </c>
      <c r="DH61" s="153">
        <f t="shared" ref="DH61:DI61" si="549">($C62*DH62+$C63*DH63)/$C61</f>
        <v>1.2711278920308484</v>
      </c>
      <c r="DI61" s="152">
        <f t="shared" si="549"/>
        <v>97.558216610877054</v>
      </c>
      <c r="DJ61" s="152"/>
      <c r="DL61" s="123"/>
      <c r="DM61" s="123"/>
      <c r="DN61" s="152">
        <f>($D62*DN62+$D63*DN63)/$D61</f>
        <v>66.565509133668357</v>
      </c>
      <c r="DO61" s="153">
        <f>($D62*DO62+$D63*DO63)/$D61</f>
        <v>2.5422557840616964</v>
      </c>
      <c r="DP61" s="152">
        <f>($D62*DP62+$D63*DP63)/$D61</f>
        <v>64.023253349606662</v>
      </c>
      <c r="DQ61" s="152"/>
      <c r="DS61" s="154"/>
      <c r="DT61" s="154"/>
      <c r="DU61" s="154"/>
      <c r="DV61" s="152">
        <f t="shared" ref="DV61:DX63" si="550">BG61-DC61</f>
        <v>66.145771305410307</v>
      </c>
      <c r="DW61" s="152">
        <f t="shared" si="550"/>
        <v>53.796226872647303</v>
      </c>
      <c r="DX61" s="152">
        <f t="shared" si="550"/>
        <v>12.349544432762983</v>
      </c>
      <c r="DY61" s="152">
        <f t="shared" ref="DY61:DZ63" si="551">BJ61-DG61</f>
        <v>69.982520105725399</v>
      </c>
      <c r="DZ61" s="152">
        <f t="shared" si="551"/>
        <v>57.163350871042795</v>
      </c>
      <c r="EA61" s="152">
        <f>BU61-DI61</f>
        <v>12.819169234682619</v>
      </c>
      <c r="EB61" s="152">
        <f t="shared" ref="EB61:EC63" si="552">CE61-DN61</f>
        <v>-66.565509133668357</v>
      </c>
      <c r="EC61" s="152">
        <f t="shared" si="552"/>
        <v>27.031907911042104</v>
      </c>
      <c r="ED61" s="152">
        <f>CP61-DP61</f>
        <v>8.6166293405814258</v>
      </c>
      <c r="EE61" s="152">
        <f>($B62*EE62+$B63*EE63)/$B61</f>
        <v>47.668613445211662</v>
      </c>
      <c r="EF61" s="144"/>
      <c r="EG61" s="144"/>
      <c r="EH61" s="152">
        <f t="shared" ref="EH61" si="553">($C62*EH62+$C63*EH63)/$C61</f>
        <v>50.041517420221552</v>
      </c>
      <c r="EI61" s="144"/>
      <c r="EJ61" s="144"/>
      <c r="EK61" s="144"/>
      <c r="EL61" s="144"/>
      <c r="EM61" s="550"/>
      <c r="EN61" s="550"/>
      <c r="EO61" s="550"/>
      <c r="EP61" s="550"/>
      <c r="EQ61" s="550"/>
      <c r="ER61" s="550"/>
      <c r="ES61" s="550"/>
      <c r="ET61" s="550"/>
      <c r="EU61" s="550"/>
      <c r="EV61" s="144"/>
      <c r="EW61" s="555"/>
      <c r="EX61" s="555"/>
      <c r="EY61" s="555"/>
      <c r="EZ61" s="555"/>
      <c r="FA61" s="555"/>
      <c r="FB61" s="555"/>
      <c r="FC61" s="555"/>
      <c r="FD61" s="152">
        <f t="shared" ref="FD61" si="554">($C62*FD62+$C63*FD63)/$C61</f>
        <v>28.807069028466376</v>
      </c>
      <c r="FE61" s="144"/>
      <c r="FF61" s="144"/>
      <c r="FG61" s="144"/>
      <c r="FH61" s="144"/>
      <c r="FI61" s="555"/>
      <c r="FJ61" s="555"/>
      <c r="FK61" s="555"/>
      <c r="FL61" s="555"/>
      <c r="FM61" s="555"/>
      <c r="FN61" s="555"/>
      <c r="FO61" s="555"/>
      <c r="FP61" s="555"/>
      <c r="FQ61" s="555"/>
      <c r="FR61" s="144"/>
      <c r="FS61" s="555"/>
      <c r="FT61" s="555"/>
      <c r="FU61" s="555"/>
      <c r="FV61" s="555"/>
      <c r="FW61" s="555"/>
      <c r="FX61" s="555"/>
      <c r="FY61" s="555"/>
      <c r="FZ61" s="60"/>
      <c r="GA61" s="60"/>
      <c r="GB61" s="60"/>
      <c r="GP61" s="153">
        <f>($B62*GP62+$B63*GP63)/$B61</f>
        <v>5.3424711073135871</v>
      </c>
      <c r="GQ61" s="153">
        <f t="shared" ref="GQ61" si="555">($C62*GQ62+$C63*GQ63)/$C61</f>
        <v>5.5404113110539841</v>
      </c>
      <c r="GR61" s="153">
        <f>($D62*GR62+$D63*GR63)/$D61</f>
        <v>3.7691002570694088</v>
      </c>
      <c r="GS61" s="153"/>
      <c r="GT61" s="153"/>
      <c r="GU61" s="153"/>
      <c r="GV61" s="153"/>
      <c r="GW61" s="153"/>
      <c r="GX61" s="153"/>
      <c r="GY61" s="153"/>
      <c r="GZ61" s="153"/>
      <c r="HA61" s="153"/>
      <c r="HB61" s="153"/>
      <c r="HF61" s="60"/>
      <c r="HG61" s="524">
        <f>EE61/'Discounting metrics'!E$4/M61</f>
        <v>0.42951181323951421</v>
      </c>
      <c r="HI61" s="67"/>
      <c r="HJ61" s="60"/>
      <c r="HK61" s="524">
        <f>EH61/'Discounting metrics'!E$4/O61</f>
        <v>0.50127882846665217</v>
      </c>
      <c r="HM61" s="67"/>
      <c r="HN61" s="60"/>
      <c r="HO61" s="524">
        <f>FD61/'Discounting metrics'!E$4/Q61</f>
        <v>0.14428393220858163</v>
      </c>
      <c r="HQ61" s="67"/>
      <c r="HR61" s="60"/>
      <c r="HS61" s="523">
        <f>$IM$11*IE61</f>
        <v>0.58932513335279535</v>
      </c>
      <c r="HU61" s="67"/>
      <c r="HV61" s="60"/>
      <c r="HW61" s="523">
        <f>$IM$11*IH61</f>
        <v>0.67945560701828556</v>
      </c>
      <c r="HY61" s="67"/>
      <c r="HZ61" s="60"/>
      <c r="IA61" s="523">
        <f>$IM$11*IK61</f>
        <v>0.23111427647712771</v>
      </c>
      <c r="IC61" s="67"/>
      <c r="ID61" s="60"/>
      <c r="IE61" s="523">
        <f>GP61/G61</f>
        <v>1.1813991573013578</v>
      </c>
      <c r="IF61" s="60"/>
      <c r="IG61" s="60"/>
      <c r="IH61" s="523">
        <f>GQ61/I61</f>
        <v>1.362080515704986</v>
      </c>
      <c r="II61" s="60"/>
      <c r="IJ61" s="60"/>
      <c r="IK61" s="523">
        <f>GR61/K61</f>
        <v>0.46330657903052519</v>
      </c>
      <c r="IL61" s="60"/>
      <c r="IM61" s="60"/>
      <c r="IN61" s="60"/>
      <c r="IO61" s="60"/>
      <c r="IP61" s="152">
        <f t="shared" ref="IP61" si="556">IP62+IP63</f>
        <v>97.354313419217192</v>
      </c>
      <c r="IQ61" s="49"/>
      <c r="IR61" s="473">
        <f>($V62*IR62+$V63*IR63)/$V61</f>
        <v>0.18447555128928855</v>
      </c>
      <c r="IS61" s="60"/>
      <c r="IT61" s="97"/>
      <c r="IU61" s="594">
        <f>($B62*IU62+$B63*IU63)/$B61</f>
        <v>2.6757006798712443E-2</v>
      </c>
      <c r="IV61" s="49"/>
      <c r="IW61" s="60"/>
      <c r="IX61" s="594">
        <f>($C62*IX62+$C63*IX63)/$C61</f>
        <v>2.9149100257069408E-2</v>
      </c>
      <c r="IY61" s="594"/>
      <c r="IZ61" s="594"/>
      <c r="JA61" s="594"/>
      <c r="JB61" s="594"/>
      <c r="JC61" s="49"/>
      <c r="JD61" s="60"/>
      <c r="JE61" s="594">
        <f>($D62*JE62+$D63*JE63)/$D61</f>
        <v>7.7429305912596396E-3</v>
      </c>
      <c r="JF61" s="594"/>
      <c r="JG61" s="594"/>
      <c r="JH61" s="594"/>
      <c r="JI61" s="594"/>
      <c r="JJ61" s="595"/>
      <c r="JK61" s="595"/>
      <c r="JL61" s="595"/>
      <c r="JM61" s="595"/>
      <c r="JN61" s="595"/>
      <c r="JO61" s="595"/>
      <c r="JP61" s="595"/>
      <c r="JQ61" s="595"/>
      <c r="JR61" s="595"/>
      <c r="JS61" s="152">
        <f>JS62+JS63</f>
        <v>138.47091517041221</v>
      </c>
      <c r="JT61" s="152">
        <f>JT62+JT63</f>
        <v>55.020876552304742</v>
      </c>
      <c r="JU61" s="152">
        <f>JU62+JU63</f>
        <v>9.2566414830607968</v>
      </c>
      <c r="JV61" s="152">
        <f t="shared" ref="JV61:JW61" si="557">JV62+JV63</f>
        <v>28.398986888543046</v>
      </c>
      <c r="JW61" s="152">
        <f t="shared" si="557"/>
        <v>45.794410246503631</v>
      </c>
      <c r="JX61" s="152"/>
      <c r="JY61" s="522"/>
      <c r="JZ61" s="473">
        <f>($V62*JZ62+$V63*JZ63)/$V61</f>
        <v>0.26238691965909089</v>
      </c>
      <c r="KA61" s="60"/>
      <c r="KB61" s="97"/>
      <c r="KC61" s="49"/>
      <c r="KD61" s="473">
        <f>($V62*KD62+$V63*KD63)/$V61</f>
        <v>0.12179871809090913</v>
      </c>
      <c r="KE61" s="49"/>
      <c r="KF61" s="473">
        <f>($V62*KF62+$V63*KF63)/$V61</f>
        <v>0.14058820156818183</v>
      </c>
      <c r="KG61" s="49"/>
      <c r="KH61" s="473">
        <f>($V62*KH62+$V63*KH63)/$V61</f>
        <v>0</v>
      </c>
      <c r="KJ61" s="269">
        <f>($V62*KJ62+$V63*KJ63)/$V61</f>
        <v>0.10425841627272729</v>
      </c>
      <c r="KL61" s="269">
        <f>($V62*KL62+$V63*KL63)/$V61</f>
        <v>1.7540301818181819E-2</v>
      </c>
      <c r="KN61" s="269">
        <f>($V62*KN62+$V63*KN63)/$V61</f>
        <v>5.3812908522727278E-2</v>
      </c>
      <c r="KP61" s="269">
        <f>($V62*KP62+$V63*KP63)/$V61</f>
        <v>8.677529304545456E-2</v>
      </c>
      <c r="KQ61" s="149">
        <f>($V62*KQ62+$V63*KQ63)/$V61</f>
        <v>2.0217391194932652</v>
      </c>
      <c r="KZ61" s="149">
        <f>($V62*KZ62+$V63*KZ63)/$V61</f>
        <v>2.607721293241962</v>
      </c>
    </row>
    <row r="62" spans="1:329" s="4" customFormat="1" x14ac:dyDescent="0.25">
      <c r="A62" s="14" t="s">
        <v>386</v>
      </c>
      <c r="B62" s="67">
        <f>C62+D62</f>
        <v>104.7</v>
      </c>
      <c r="C62" s="27">
        <v>93</v>
      </c>
      <c r="D62" s="27">
        <v>11.7</v>
      </c>
      <c r="E62" s="38">
        <f>D62/B62</f>
        <v>0.11174785100286531</v>
      </c>
      <c r="F62" s="108">
        <f>U62/B62</f>
        <v>16.453868194842407</v>
      </c>
      <c r="G62" s="169">
        <f>V62/B62</f>
        <v>4.1134670487106018</v>
      </c>
      <c r="H62" s="98">
        <v>14.8</v>
      </c>
      <c r="I62" s="32">
        <f>$LI62*H62</f>
        <v>3.7</v>
      </c>
      <c r="J62" s="60">
        <f>2*H62</f>
        <v>29.6</v>
      </c>
      <c r="K62" s="32">
        <f>$LI62*J62</f>
        <v>7.4</v>
      </c>
      <c r="L62" s="32">
        <f>(F62/'Discounting metrics'!$D$4*(1-EXP(-'Discounting metrics'!$D$4*'Discounting metrics'!$E$4)))/'Discounting metrics'!$E$4</f>
        <v>4.0381262716657114</v>
      </c>
      <c r="M62" s="32">
        <f>(G62/'Discounting metrics'!$D$4*(1-EXP(-'Discounting metrics'!$D$4*'Discounting metrics'!$E$4)))/'Discounting metrics'!$E$4</f>
        <v>1.0095315679164278</v>
      </c>
      <c r="N62" s="32">
        <f>(H62/'Discounting metrics'!$D$4*(1-EXP(-'Discounting metrics'!$D$4*'Discounting metrics'!$E$4)))/'Discounting metrics'!$E$4</f>
        <v>3.6322321361116834</v>
      </c>
      <c r="O62" s="32">
        <f>(I62/'Discounting metrics'!$D$4*(1-EXP(-'Discounting metrics'!$D$4*'Discounting metrics'!$E$4)))/'Discounting metrics'!$E$4</f>
        <v>0.90805803402792085</v>
      </c>
      <c r="P62" s="32">
        <f>(J62/'Discounting metrics'!$D$4*(1-EXP(-'Discounting metrics'!$D$4*'Discounting metrics'!$E$4)))/'Discounting metrics'!$E$4</f>
        <v>7.2644642722233668</v>
      </c>
      <c r="Q62" s="32">
        <f>(K62/'Discounting metrics'!$D$4*(1-EXP(-'Discounting metrics'!$D$4*'Discounting metrics'!$E$4)))/'Discounting metrics'!$E$4</f>
        <v>1.8161160680558417</v>
      </c>
      <c r="R62" s="32">
        <f>10/G62</f>
        <v>2.4310392867093897</v>
      </c>
      <c r="S62" s="32">
        <f>10/I62</f>
        <v>2.7027027027027026</v>
      </c>
      <c r="T62" s="32">
        <f>10/K62</f>
        <v>1.3513513513513513</v>
      </c>
      <c r="U62" s="107">
        <f>X62+Z62</f>
        <v>1722.72</v>
      </c>
      <c r="V62" s="67">
        <f>LI62*U62</f>
        <v>430.68</v>
      </c>
      <c r="W62" s="67"/>
      <c r="X62" s="67">
        <f>C62*H62</f>
        <v>1376.4</v>
      </c>
      <c r="Y62" s="67">
        <f>C62*I62</f>
        <v>344.1</v>
      </c>
      <c r="Z62" s="67">
        <f>D62*J62</f>
        <v>346.32</v>
      </c>
      <c r="AA62" s="67">
        <f>D62*K62</f>
        <v>86.58</v>
      </c>
      <c r="AB62" s="38">
        <f t="shared" ref="AB62:AB63" si="558">AA62/V62</f>
        <v>0.20103092783505153</v>
      </c>
      <c r="AC62" s="294">
        <f t="shared" ref="AC62:AK63" si="559">($C62*AL62+$D62*AU62)/$B62</f>
        <v>1.1768097191582031E-2</v>
      </c>
      <c r="AD62" s="294">
        <f t="shared" si="559"/>
        <v>0.26639540065849493</v>
      </c>
      <c r="AE62" s="294">
        <f t="shared" si="559"/>
        <v>0.38082340261891862</v>
      </c>
      <c r="AF62" s="294">
        <f t="shared" si="559"/>
        <v>3.4921589227052373E-2</v>
      </c>
      <c r="AG62" s="294">
        <f t="shared" si="559"/>
        <v>0.13790308742032695</v>
      </c>
      <c r="AH62" s="294">
        <f t="shared" si="559"/>
        <v>0.13852899093736151</v>
      </c>
      <c r="AI62" s="294">
        <f t="shared" si="559"/>
        <v>1.2246475126199186E-2</v>
      </c>
      <c r="AJ62" s="294">
        <f t="shared" si="559"/>
        <v>7.6540469538744914E-4</v>
      </c>
      <c r="AK62" s="294">
        <f t="shared" si="559"/>
        <v>1.6647552124677018E-2</v>
      </c>
      <c r="AL62" s="101">
        <v>1.3248599741490738E-2</v>
      </c>
      <c r="AM62" s="433">
        <v>0.27703576044808276</v>
      </c>
      <c r="AN62" s="433">
        <v>0.40585954330030166</v>
      </c>
      <c r="AO62" s="433">
        <v>3.9314950452391216E-2</v>
      </c>
      <c r="AP62" s="433">
        <v>0.13237828522188713</v>
      </c>
      <c r="AQ62" s="433">
        <v>9.8772080999569162E-2</v>
      </c>
      <c r="AR62" s="433">
        <v>1.3787160706591988E-2</v>
      </c>
      <c r="AS62" s="433">
        <v>8.6169754416199923E-4</v>
      </c>
      <c r="AT62" s="433">
        <v>1.8741921585523482E-2</v>
      </c>
      <c r="AU62" s="101">
        <v>0</v>
      </c>
      <c r="AV62" s="96">
        <v>0.18181818181818182</v>
      </c>
      <c r="AW62" s="96">
        <v>0.18181818181818182</v>
      </c>
      <c r="AX62" s="96">
        <v>0</v>
      </c>
      <c r="AY62" s="96">
        <v>0.18181818181818182</v>
      </c>
      <c r="AZ62" s="96">
        <v>0.45454545454545453</v>
      </c>
      <c r="BA62" s="96">
        <v>0</v>
      </c>
      <c r="BB62" s="96">
        <v>0</v>
      </c>
      <c r="BC62" s="96">
        <v>0</v>
      </c>
      <c r="BD62" s="554">
        <f>BG62*$B62/10^3</f>
        <v>16.490844974543165</v>
      </c>
      <c r="BE62" s="554">
        <f t="shared" ref="BE62:BF63" si="560">BH62*$B62/10^3</f>
        <v>5.4506120053976934</v>
      </c>
      <c r="BF62" s="554">
        <f t="shared" si="560"/>
        <v>11.040232969145471</v>
      </c>
      <c r="BG62" s="67">
        <f t="shared" ref="BG62:BG63" si="561">BH62+BI62</f>
        <v>157.50568266039318</v>
      </c>
      <c r="BH62" s="67">
        <f>(BK62*$C62+CF62*$D62)/$B62</f>
        <v>52.059331474667559</v>
      </c>
      <c r="BI62" s="67">
        <f>(BU62*$C62+CP62*$D62)/$B62</f>
        <v>105.4463511857256</v>
      </c>
      <c r="BJ62" s="67">
        <f>BK62+BU62</f>
        <v>164.92557087462302</v>
      </c>
      <c r="BK62" s="68">
        <f t="shared" ref="BK62:BK63" si="562">$AL62*BL62+$AM62*BM62+$AN62*BN62+$AO62*BO62+$AP62*BP62+$AQ62*BQ62+$AR62*BR62+$AS62*BS62+$AT62*BT62</f>
        <v>55.134855665661362</v>
      </c>
      <c r="BL62" s="106">
        <v>135.5040650406504</v>
      </c>
      <c r="BM62" s="106">
        <v>116.84214618973562</v>
      </c>
      <c r="BN62" s="106">
        <v>45.145700636942671</v>
      </c>
      <c r="BO62" s="106">
        <v>16.030136986301368</v>
      </c>
      <c r="BP62" s="106">
        <v>6.3295362082994311</v>
      </c>
      <c r="BQ62" s="106">
        <v>1.7971646673936752</v>
      </c>
      <c r="BR62" s="106">
        <v>3.125E-2</v>
      </c>
      <c r="BS62" s="106">
        <v>159.5</v>
      </c>
      <c r="BT62" s="106">
        <v>46.09195402298851</v>
      </c>
      <c r="BU62" s="68">
        <f t="shared" ref="BU62:BU63" si="563">$AL62*BV62+$AM62*BW62+$AN62*BX62+$AO62*BY62+$AP62*BZ62+$AQ62*CA62+$AR62*CB62+$AS62*CC62+$AT62*CD62</f>
        <v>109.79071520896167</v>
      </c>
      <c r="BV62" s="106">
        <v>133.29268292682926</v>
      </c>
      <c r="BW62" s="106">
        <v>109.86391912908242</v>
      </c>
      <c r="BX62" s="106">
        <v>129.66507430997876</v>
      </c>
      <c r="BY62" s="106">
        <v>95.372602739726034</v>
      </c>
      <c r="BZ62" s="106">
        <v>96.323026851098462</v>
      </c>
      <c r="CA62" s="106">
        <v>48.172300981461291</v>
      </c>
      <c r="CB62" s="106">
        <v>0.25</v>
      </c>
      <c r="CC62" s="106">
        <v>158.875</v>
      </c>
      <c r="CD62" s="106">
        <v>190.14367816091956</v>
      </c>
      <c r="CE62" s="68">
        <f>CF62+CP62</f>
        <v>98.527084034463471</v>
      </c>
      <c r="CF62" s="68">
        <f t="shared" ref="CF62:CF63" si="564">$AU62*CG62+$AV62*CH62+$AW62*CI62+$AX62*CJ62+$AY62*CK62+$AZ62*CL62+$BA62*CM62+$BB62*CN62+$BC62*CO62</f>
        <v>27.61285713599888</v>
      </c>
      <c r="CG62" s="106">
        <v>115.11111111111111</v>
      </c>
      <c r="CH62" s="106">
        <v>108.10493827160492</v>
      </c>
      <c r="CI62" s="106">
        <v>35.041420118343197</v>
      </c>
      <c r="CJ62" s="106">
        <v>14.739130434782609</v>
      </c>
      <c r="CK62" s="106">
        <v>5.4008264462809921</v>
      </c>
      <c r="CL62" s="106">
        <v>1.3294117647058825</v>
      </c>
      <c r="CM62" s="106">
        <v>4.1666666666666671E-2</v>
      </c>
      <c r="CN62" s="106"/>
      <c r="CO62" s="106">
        <v>46</v>
      </c>
      <c r="CP62" s="68">
        <f t="shared" ref="CP62:CP63" si="565">$AU62*CQ62+$AV62*CR62+$AW62*CS62+$AX62*CT62+$AY62*CU62+$AZ62*CV62+$BA62*CW62+$BB62*CX62+$BC62*CY62</f>
        <v>70.914226898464591</v>
      </c>
      <c r="CQ62" s="106">
        <v>124.77777777777779</v>
      </c>
      <c r="CR62" s="106">
        <v>108</v>
      </c>
      <c r="CS62" s="106">
        <v>116.62721893491124</v>
      </c>
      <c r="CT62" s="106">
        <v>76.565217391304344</v>
      </c>
      <c r="CU62" s="106">
        <v>82.847107438016536</v>
      </c>
      <c r="CV62" s="106">
        <v>33.021568627450982</v>
      </c>
      <c r="CW62" s="106">
        <v>0.45833333333333337</v>
      </c>
      <c r="CX62" s="106"/>
      <c r="CY62" s="106">
        <v>125</v>
      </c>
      <c r="CZ62" s="554">
        <f>DC62*$B62/10^3</f>
        <v>10.070797172230924</v>
      </c>
      <c r="DA62" s="554">
        <f t="shared" ref="DA62:DB63" si="566">DD62*$B62/10^3</f>
        <v>0.1345875</v>
      </c>
      <c r="DB62" s="554">
        <f t="shared" si="566"/>
        <v>9.9362096722309232</v>
      </c>
      <c r="DC62" s="32">
        <f t="shared" ref="DC62:DC63" si="567">DD62+DE62</f>
        <v>96.1871745198751</v>
      </c>
      <c r="DD62" s="32">
        <f>(DH62*$C62+DO62*$D62)/$B62</f>
        <v>1.2854584527220632</v>
      </c>
      <c r="DE62" s="67">
        <f>(DI62*$C62+DP62*$D62)/$B62</f>
        <v>94.901716067153032</v>
      </c>
      <c r="DF62" s="270"/>
      <c r="DG62" s="67">
        <f t="shared" ref="DG62:DG63" si="568">DH62+DI62</f>
        <v>99.967893688065502</v>
      </c>
      <c r="DH62" s="32">
        <f>I62*0.5*2.5*0.25</f>
        <v>1.15625</v>
      </c>
      <c r="DI62" s="67">
        <f>(1-DK62)*BU62</f>
        <v>98.811643688065502</v>
      </c>
      <c r="DJ62" s="67"/>
      <c r="DK62" s="257">
        <v>0.1</v>
      </c>
      <c r="DL62" s="96"/>
      <c r="DM62" s="96"/>
      <c r="DN62" s="68">
        <f>DO62+DP62</f>
        <v>66.135304208618123</v>
      </c>
      <c r="DO62" s="32">
        <f>K62*0.5*2.5*0.25</f>
        <v>2.3125</v>
      </c>
      <c r="DP62" s="67">
        <f>(1-DR62)*CP62</f>
        <v>63.82280420861813</v>
      </c>
      <c r="DQ62" s="67"/>
      <c r="DR62" s="510">
        <f>DK62</f>
        <v>0.1</v>
      </c>
      <c r="DS62" s="294"/>
      <c r="DT62" s="294"/>
      <c r="DU62" s="294"/>
      <c r="DV62" s="67">
        <f t="shared" si="550"/>
        <v>61.318508140518077</v>
      </c>
      <c r="DW62" s="67">
        <f t="shared" si="550"/>
        <v>50.773873021945498</v>
      </c>
      <c r="DX62" s="67">
        <f t="shared" si="550"/>
        <v>10.544635118572572</v>
      </c>
      <c r="DY62" s="67">
        <f t="shared" si="551"/>
        <v>64.957677186557518</v>
      </c>
      <c r="DZ62" s="67">
        <f t="shared" si="551"/>
        <v>53.978605665661362</v>
      </c>
      <c r="EA62" s="67">
        <f>BU62-DI62</f>
        <v>10.97907152089617</v>
      </c>
      <c r="EB62" s="67">
        <f t="shared" si="552"/>
        <v>32.391779825845347</v>
      </c>
      <c r="EC62" s="67">
        <f t="shared" si="552"/>
        <v>25.30035713599888</v>
      </c>
      <c r="ED62" s="67">
        <f>CP62-DP62</f>
        <v>7.0914226898464605</v>
      </c>
      <c r="EE62" s="68">
        <f>EF62+EG62</f>
        <v>43.813509744400314</v>
      </c>
      <c r="EF62" s="67">
        <f>(EJ62*$C62+FF62*$D62)/$B62</f>
        <v>35.829323175790279</v>
      </c>
      <c r="EG62" s="67">
        <f t="shared" ref="EG62:EG63" si="569">(EV62*$C62+FR62*$D62)/$B62</f>
        <v>7.9841865686100366</v>
      </c>
      <c r="EH62" s="261">
        <f t="shared" ref="EH62:EH63" si="570">EJ62+EV62</f>
        <v>46.017835788295685</v>
      </c>
      <c r="EI62" s="294">
        <f>EH62/($BJ62-$DG62)</f>
        <v>0.70842797620569342</v>
      </c>
      <c r="EJ62" s="108">
        <f>EK62+EL62-DH62</f>
        <v>37.726437749680436</v>
      </c>
      <c r="EK62" s="126">
        <f>'Allometrics &amp; Decay rates'!$H$5*$AL62*BL62+'Allometrics &amp; Decay rates'!$H$6*$AM62*BM62+'Allometrics &amp; Decay rates'!$H$7*$AN62*BN62+'Allometrics &amp; Decay rates'!$H$8*$AO62*BO62+'Allometrics &amp; Decay rates'!$H$9*$AP62*BP62+'Allometrics &amp; Decay rates'!$H$10*$AQ62*BQ62+'Allometrics &amp; Decay rates'!$H$11*$AR62*BR62+'Allometrics &amp; Decay rates'!$H$12*$AS62*BS62+'Allometrics &amp; Decay rates'!$H$13*$AT62*BT62</f>
        <v>25.125209958955615</v>
      </c>
      <c r="EL62" s="97">
        <f t="shared" ref="EL62:EL63" si="571">SUM(EM62:EU62)</f>
        <v>13.75747779072482</v>
      </c>
      <c r="EM62" s="126">
        <f>AL62*BL62*('Allometrics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0.70378323484426075</v>
      </c>
      <c r="EN62" s="126">
        <f>AM62*BM62*('Allometrics &amp; Decay rates'!$I$6*((EXP('Allometrics &amp; Decay rates'!$K$6)-1)/('Discounting metrics'!$D$4+'Allometrics &amp; Decay rates'!$K$6)*(1-EXP(-('Discounting metrics'!$D$4+'Allometrics &amp; Decay rates'!$K$6)*'Discounting metrics'!$E$4))-(1-EXP(-'Allometrics &amp; Decay rates'!$K$6))/1.55)+'Allometrics &amp; Decay rates'!$E$6*((EXP('Allometrics &amp; Decay rates'!$L$6)-1)/('Discounting metrics'!$D$4+'Allometrics &amp; Decay rates'!$L$6)*(1-EXP(-('Discounting metrics'!$D$4+'Allometrics &amp; Decay rates'!$L$6)*'Discounting metrics'!$E$4))-(1-EXP(-'Allometrics &amp; Decay rates'!$L$6))/1.55))</f>
        <v>7.8945148033742862</v>
      </c>
      <c r="EO62" s="126">
        <f>AN62*BN62*('Allometrics &amp; Decay rates'!$I$7*((EXP('Allometrics &amp; Decay rates'!$K$7)-1)/('Discounting metrics'!$D$4+'Allometrics &amp; Decay rates'!$K$7)*(1-EXP(-('Discounting metrics'!$D$4+'Allometrics &amp; Decay rates'!$K$7)*'Discounting metrics'!$E$4))-(1-EXP(-'Allometrics &amp; Decay rates'!$K$7))/1.55)+'Allometrics &amp; Decay rates'!$E$7*((EXP('Allometrics &amp; Decay rates'!$L$7)-1)/('Discounting metrics'!$D$4+'Allometrics &amp; Decay rates'!$L$7)*(1-EXP(-('Discounting metrics'!$D$4+'Allometrics &amp; Decay rates'!$L$7)*'Discounting metrics'!$E$4))-(1-EXP(-'Allometrics &amp; Decay rates'!$L$7))/1.55))</f>
        <v>3.9011370854564196</v>
      </c>
      <c r="EP62" s="126">
        <f>AO62*BO62*('Allometrics &amp; Decay rates'!$I$8*((EXP('Allometrics &amp; Decay rates'!$K$8)-1)/('Discounting metrics'!$D$4+'Allometrics &amp; Decay rates'!$K$8)*(1-EXP(-('Discounting metrics'!$D$4+'Allometrics &amp; Decay rates'!$K$8)*'Discounting metrics'!$E$4))-(1-EXP(-'Allometrics &amp; Decay rates'!$K$8))/1.55)+'Allometrics &amp; Decay rates'!$E$8*((EXP('Allometrics &amp; Decay rates'!$L$8)-1)/('Discounting metrics'!$D$4+'Allometrics &amp; Decay rates'!$L$8)*(1-EXP(-('Discounting metrics'!$D$4+'Allometrics &amp; Decay rates'!$L$8)*'Discounting metrics'!$E$4))-(1-EXP(-'Allometrics &amp; Decay rates'!$L$8))/1.55))</f>
        <v>0.35681168221931092</v>
      </c>
      <c r="EQ62" s="126">
        <f>AP62*BP62*('Allometrics &amp; Decay rates'!$I$9*((EXP('Allometrics &amp; Decay rates'!$K$9)-1)/('Discounting metrics'!$D$4+'Allometrics &amp; Decay rates'!$K$9)*(1-EXP(-('Discounting metrics'!$D$4+'Allometrics &amp; Decay rates'!$K$9)*'Discounting metrics'!$E$4))-(1-EXP(-'Allometrics &amp; Decay rates'!$K$9))/1.55)+'Allometrics &amp; Decay rates'!$E$9*((EXP('Allometrics &amp; Decay rates'!$L$9)-1)/('Discounting metrics'!$D$4+'Allometrics &amp; Decay rates'!$L$9)*(1-EXP(-('Discounting metrics'!$D$4+'Allometrics &amp; Decay rates'!$L$9)*'Discounting metrics'!$E$4))-(1-EXP(-'Allometrics &amp; Decay rates'!$L$9))/1.55))</f>
        <v>0.4391612749235988</v>
      </c>
      <c r="ER62" s="126">
        <f>AQ62*BQ62*('Allometrics &amp; Decay rates'!$I$10*((EXP('Allometrics &amp; Decay rates'!$K$10)-1)/('Discounting metrics'!$D$4+'Allometrics &amp; Decay rates'!$K$10)*(1-EXP(-('Discounting metrics'!$D$4+'Allometrics &amp; Decay rates'!$K$10)*'Discounting metrics'!$E$4))-(1-EXP(-'Allometrics &amp; Decay rates'!$K$10))/1.55)+'Allometrics &amp; Decay rates'!$E$10*((EXP('Allometrics &amp; Decay rates'!$L$10)-1)/('Discounting metrics'!$D$4+'Allometrics &amp; Decay rates'!$L$10)*(1-EXP(-('Discounting metrics'!$D$4+'Allometrics &amp; Decay rates'!$L$10)*'Discounting metrics'!$E$4))-(1-EXP(-'Allometrics &amp; Decay rates'!$L$10))/1.55))</f>
        <v>0.11292833723131063</v>
      </c>
      <c r="ES62" s="126">
        <f>AR62*BR62*('Allometrics &amp; Decay rates'!$I$11*((EXP('Allometrics &amp; Decay rates'!$K$11)-1)/('Discounting metrics'!$D$4+'Allometrics &amp; Decay rates'!$K$11)*(1-EXP(-('Discounting metrics'!$D$4+'Allometrics &amp; Decay rates'!$K$11)*'Discounting metrics'!$E$4))-(1-EXP(-'Allometrics &amp; Decay rates'!$K$11))/1.55)+'Allometrics &amp; Decay rates'!$E$11*((EXP('Allometrics &amp; Decay rates'!$L$11)-1)/('Discounting metrics'!$D$4+'Allometrics &amp; Decay rates'!$L$11)*(1-EXP(-('Discounting metrics'!$D$4+'Allometrics &amp; Decay rates'!$L$11)*'Discounting metrics'!$E$4))-(1-EXP(-'Allometrics &amp; Decay rates'!$L$11))/1.55))</f>
        <v>3.0581267657797689E-4</v>
      </c>
      <c r="ET62" s="126">
        <f>AS62*BS62*('Allometrics &amp; Decay rates'!$I$12*((EXP('Allometrics &amp; Decay rates'!$K$12)-1)/('Discounting metrics'!$D$4+'Allometrics &amp; Decay rates'!$K$12)*(1-EXP(-('Discounting metrics'!$D$4+'Allometrics &amp; Decay rates'!$K$12)*'Discounting metrics'!$E$4))-(1-EXP(-'Allometrics &amp; Decay rates'!$K$12))/1.55)+'Allometrics &amp; Decay rates'!$E$12*((EXP('Allometrics &amp; Decay rates'!$L$12)-1)/('Discounting metrics'!$D$4+'Allometrics &amp; Decay rates'!$L$12)*(1-EXP(-('Discounting metrics'!$D$4+'Allometrics &amp; Decay rates'!$L$12)*'Discounting metrics'!$E$4))-(1-EXP(-'Allometrics &amp; Decay rates'!$L$12))/1.55))</f>
        <v>5.6081967322060944E-2</v>
      </c>
      <c r="EU62" s="126">
        <f>AT62*BT62*('Allometrics &amp; Decay rates'!$I$13*((EXP('Allometrics &amp; Decay rates'!$K$13)-1)/('Discounting metrics'!$D$4+'Allometrics &amp; Decay rates'!$K$13)*(1-EXP(-('Discounting metrics'!$D$4+'Allometrics &amp; Decay rates'!$K$13)*'Discounting metrics'!$E$4))-(1-EXP(-'Allometrics &amp; Decay rates'!$K$13))/1.55)+'Allometrics &amp; Decay rates'!$E$13*((EXP('Allometrics &amp; Decay rates'!$L$13)-1)/('Discounting metrics'!$D$4+'Allometrics &amp; Decay rates'!$L$13)*(1-EXP(-('Discounting metrics'!$D$4+'Allometrics &amp; Decay rates'!$L$13)*'Discounting metrics'!$E$4))-(1-EXP(-'Allometrics &amp; Decay rates'!$L$13))/1.55))</f>
        <v>0.29275359267699513</v>
      </c>
      <c r="EV62" s="108">
        <f t="shared" ref="EV62:EV63" si="572">SUM(EW62:FC62)</f>
        <v>8.2913980386152524</v>
      </c>
      <c r="EW62" s="126">
        <f>AL62*BV62*$DK62*((EXP('Allometrics &amp; Decay rates'!$M$5)-1)/('Discounting metrics'!$D$4+'Allometrics &amp; Decay rates'!$M$5)*(1-EXP(-('Discounting metrics'!$D$4+'Allometrics &amp; Decay rates'!$M$5)*'Discounting metrics'!$E$4))-(1-EXP(-'Allometrics &amp; Decay rates'!$M$5))/1.55)</f>
        <v>0.13801585155161278</v>
      </c>
      <c r="EX62" s="126">
        <f>AM62*BW62*$DK62*((EXP('Allometrics &amp; Decay rates'!$M$5)-1)/('Discounting metrics'!$D$4+'Allometrics &amp; Decay rates'!$M$5)*(1-EXP(-('Discounting metrics'!$D$4+'Allometrics &amp; Decay rates'!$M$5)*'Discounting metrics'!$E$4))-(1-EXP(-'Allometrics &amp; Decay rates'!$M$5))/1.55)</f>
        <v>2.3787215110057471</v>
      </c>
      <c r="EY62" s="126">
        <f>AN62*BX62*$DK62*((EXP('Allometrics &amp; Decay rates'!$M$5)-1)/('Discounting metrics'!$D$4+'Allometrics &amp; Decay rates'!$M$5)*(1-EXP(-('Discounting metrics'!$D$4+'Allometrics &amp; Decay rates'!$M$5)*'Discounting metrics'!$E$4))-(1-EXP(-'Allometrics &amp; Decay rates'!$M$5))/1.55)</f>
        <v>4.112931303408593</v>
      </c>
      <c r="EZ62" s="126">
        <f>AO62*BY62*$DK62*((EXP('Allometrics &amp; Decay rates'!$M$5)-1)/('Discounting metrics'!$D$4+'Allometrics &amp; Decay rates'!$M$5)*(1-EXP(-('Discounting metrics'!$D$4+'Allometrics &amp; Decay rates'!$M$5)*'Discounting metrics'!$E$4))-(1-EXP(-'Allometrics &amp; Decay rates'!$M$5))/1.55)</f>
        <v>0.29304481905234481</v>
      </c>
      <c r="FA62" s="126">
        <f>AP62*BZ62*$DK62*((EXP('Allometrics &amp; Decay rates'!$M$5)-1)/('Discounting metrics'!$D$4+'Allometrics &amp; Decay rates'!$M$5)*(1-EXP(-('Discounting metrics'!$D$4+'Allometrics &amp; Decay rates'!$M$5)*'Discounting metrics'!$E$4))-(1-EXP(-'Allometrics &amp; Decay rates'!$M$5))/1.55)</f>
        <v>0.99655105352433504</v>
      </c>
      <c r="FB62" s="126">
        <f>AQ62*CA62*$DK62*((EXP('Allometrics &amp; Decay rates'!$M$5)-1)/('Discounting metrics'!$D$4+'Allometrics &amp; Decay rates'!$M$5)*(1-EXP(-('Discounting metrics'!$D$4+'Allometrics &amp; Decay rates'!$M$5)*'Discounting metrics'!$E$4))-(1-EXP(-'Allometrics &amp; Decay rates'!$M$5))/1.55)</f>
        <v>0.37186411872161901</v>
      </c>
      <c r="FC62" s="126">
        <f>AR62*CB62*$DK62*((EXP('Allometrics &amp; Decay rates'!$M$5)-1)/('Discounting metrics'!$D$4+'Allometrics &amp; Decay rates'!$M$5)*(1-EXP(-('Discounting metrics'!$D$4+'Allometrics &amp; Decay rates'!$M$5)*'Discounting metrics'!$E$4))-(1-EXP(-'Allometrics &amp; Decay rates'!$M$5))/1.55)</f>
        <v>2.6938135100040313E-4</v>
      </c>
      <c r="FD62" s="261">
        <f t="shared" ref="FD62:FD63" si="573">FF62+FR62</f>
        <v>26.291943754462729</v>
      </c>
      <c r="FE62" s="294">
        <f>FD62/($CE62-$DN62)</f>
        <v>0.81168567753366949</v>
      </c>
      <c r="FF62" s="108">
        <f t="shared" ref="FF62:FF63" si="574">FG62+FH62-$DO62</f>
        <v>20.749694511535168</v>
      </c>
      <c r="FG62" s="126">
        <f>'Allometrics &amp; Decay rates'!$H$5*$AU62*CG62+'Allometrics &amp; Decay rates'!$H$6*$AV62*CH62+'Allometrics &amp; Decay rates'!$H$7*$AW62*CI62+'Allometrics &amp; Decay rates'!$H$8*$AX62*CJ62+'Allometrics &amp; Decay rates'!$H$9*$AY62*CK62+'Allometrics &amp; Decay rates'!$H$10*$AZ62*CL62+'Allometrics &amp; Decay rates'!$H$11*$BA62*CM62+'Allometrics &amp; Decay rates'!$H$12*$BB62*CN62+'Allometrics &amp; Decay rates'!$H$13*$BC62*CO62</f>
        <v>12.237193156340126</v>
      </c>
      <c r="FH62" s="97">
        <f t="shared" ref="FH62:FH63" si="575">SUM(FI62:FQ62)</f>
        <v>10.82500135519504</v>
      </c>
      <c r="FI62" s="126">
        <f>AU62*CG62*('Allometrics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J62" s="126">
        <f>AV62*CH62*('Allometrics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7.7054757336723192</v>
      </c>
      <c r="FK62" s="126">
        <f>AW62*CI62*('Allometrics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2.4976732489031184</v>
      </c>
      <c r="FL62" s="126">
        <f>AX62*CJ62*('Allometrics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M62" s="126">
        <f>AY62*CK62*('Allometrics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0.38495870576270264</v>
      </c>
      <c r="FN62" s="126">
        <f>AZ62*CL62*('Allometrics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0.23689366685689878</v>
      </c>
      <c r="FO62" s="126">
        <f>BA62*CM62*('Allometrics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P62" s="126">
        <f>BB62*CN62*('Allometrics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Q62" s="126">
        <f>BC62*CO62*('Allometrics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R62" s="108">
        <f t="shared" ref="FR62:FR63" si="576">SUM(FS62:FY62)</f>
        <v>5.5422492429275607</v>
      </c>
      <c r="FS62" s="126">
        <f>AU62*CQ62*$DK62*((EXP('Allometrics &amp; Decay rates'!$M$5)-1)/('Discounting metrics'!$D$4+'Allometrics &amp; Decay rates'!$M$5)*(1-EXP(-('Discounting metrics'!$D$4+'Allometrics &amp; Decay rates'!$M$5)*'Discounting metrics'!$E$4))-(1-EXP(-'Allometrics &amp; Decay rates'!$M$5))/1.55)</f>
        <v>0</v>
      </c>
      <c r="FT62" s="126">
        <f>AV62*CR62*$DK62*((EXP('Allometrics &amp; Decay rates'!$M$5)-1)/('Discounting metrics'!$D$4+'Allometrics &amp; Decay rates'!$M$5)*(1-EXP(-('Discounting metrics'!$D$4+'Allometrics &amp; Decay rates'!$M$5)*'Discounting metrics'!$E$4))-(1-EXP(-'Allometrics &amp; Decay rates'!$M$5))/1.55)</f>
        <v>1.5346655566492964</v>
      </c>
      <c r="FU62" s="126">
        <f>AW62*CS62*$DK62*((EXP('Allometrics &amp; Decay rates'!$M$5)-1)/('Discounting metrics'!$D$4+'Allometrics &amp; Decay rates'!$M$5)*(1-EXP(-('Discounting metrics'!$D$4+'Allometrics &amp; Decay rates'!$M$5)*'Discounting metrics'!$E$4))-(1-EXP(-'Allometrics &amp; Decay rates'!$M$5))/1.55)</f>
        <v>1.657257183955601</v>
      </c>
      <c r="FV62" s="126">
        <f>AX62*CT62*$DK62*((EXP('Allometrics &amp; Decay rates'!$M$5)-1)/('Discounting metrics'!$D$4+'Allometrics &amp; Decay rates'!$M$5)*(1-EXP(-('Discounting metrics'!$D$4+'Allometrics &amp; Decay rates'!$M$5)*'Discounting metrics'!$E$4))-(1-EXP(-'Allometrics &amp; Decay rates'!$M$5))/1.55)</f>
        <v>0</v>
      </c>
      <c r="FW62" s="126">
        <f>AY62*CU62*$DK62*((EXP('Allometrics &amp; Decay rates'!$M$5)-1)/('Discounting metrics'!$D$4+'Allometrics &amp; Decay rates'!$M$5)*(1-EXP(-('Discounting metrics'!$D$4+'Allometrics &amp; Decay rates'!$M$5)*'Discounting metrics'!$E$4))-(1-EXP(-'Allometrics &amp; Decay rates'!$M$5))/1.55)</f>
        <v>1.1772463171587753</v>
      </c>
      <c r="FX62" s="126">
        <f>AZ62*CV62*$DK62*((EXP('Allometrics &amp; Decay rates'!$M$5)-1)/('Discounting metrics'!$D$4+'Allometrics &amp; Decay rates'!$M$5)*(1-EXP(-('Discounting metrics'!$D$4+'Allometrics &amp; Decay rates'!$M$5)*'Discounting metrics'!$E$4))-(1-EXP(-'Allometrics &amp; Decay rates'!$M$5))/1.55)</f>
        <v>1.1730801851638888</v>
      </c>
      <c r="FY62" s="126">
        <f>BA62*CW62*$DK62*((EXP('Allometrics &amp; Decay rates'!$M$5)-1)/('Discounting metrics'!$D$4+'Allometrics &amp; Decay rates'!$M$5)*(1-EXP(-('Discounting metrics'!$D$4+'Allometrics &amp; Decay rates'!$M$5)*'Discounting metrics'!$E$4))-(1-EXP(-'Allometrics &amp; Decay rates'!$M$5))/1.55)</f>
        <v>0</v>
      </c>
      <c r="FZ62" s="68"/>
      <c r="GA62" s="293"/>
      <c r="GB62" s="293"/>
      <c r="GP62" s="32">
        <f t="shared" ref="GP62:GP63" si="577">(GQ62*$C62+GR62*$D62)/$B62</f>
        <v>5.1833237822349565</v>
      </c>
      <c r="GQ62" s="33">
        <v>5.38</v>
      </c>
      <c r="GR62" s="99">
        <v>3.62</v>
      </c>
      <c r="GS62" s="99"/>
      <c r="GT62" s="99"/>
      <c r="GU62" s="99"/>
      <c r="GV62" s="99"/>
      <c r="GW62" s="99"/>
      <c r="GX62" s="99"/>
      <c r="GY62" s="99"/>
      <c r="GZ62" s="99"/>
      <c r="HA62" s="99"/>
      <c r="HB62" s="99"/>
      <c r="HF62" s="97">
        <f>HG62*$LI62</f>
        <v>0.10849960302585439</v>
      </c>
      <c r="HG62" s="526">
        <f>EE62/'Discounting metrics'!E$4/M62</f>
        <v>0.43399841210341755</v>
      </c>
      <c r="HI62" s="528">
        <f>HG62/$LO62</f>
        <v>3.4719872968273404</v>
      </c>
      <c r="HJ62" s="97">
        <f>HK62*$LI62</f>
        <v>0.12669299225340241</v>
      </c>
      <c r="HK62" s="526">
        <f>EH62/'Discounting metrics'!E$4/O62</f>
        <v>0.50677196901360966</v>
      </c>
      <c r="HM62" s="528">
        <f>HK62/$LO62</f>
        <v>4.0541757521088773</v>
      </c>
      <c r="HN62" s="97">
        <f>HO62*$LI62</f>
        <v>3.6192543275342999E-2</v>
      </c>
      <c r="HO62" s="526">
        <f>FD62/'Discounting metrics'!E$4/Q62</f>
        <v>0.144770173101372</v>
      </c>
      <c r="HQ62" s="528">
        <f>HO62/$LO62</f>
        <v>1.158161384810976</v>
      </c>
      <c r="HR62" s="97">
        <f>HS62*$LI62</f>
        <v>0.15714429928571852</v>
      </c>
      <c r="HS62" s="263">
        <f>$IM$11*IE62</f>
        <v>0.62857719714287408</v>
      </c>
      <c r="HU62" s="528">
        <f>HS62/$LO62</f>
        <v>5.0286175771429926</v>
      </c>
      <c r="HV62" s="97">
        <f>HW62*$LI62</f>
        <v>0.18133384343717465</v>
      </c>
      <c r="HW62" s="263">
        <f>$IM$11*IH62</f>
        <v>0.72533537374869861</v>
      </c>
      <c r="HY62" s="528">
        <f>HW62/$LO62</f>
        <v>5.8026829899895889</v>
      </c>
      <c r="HZ62" s="97">
        <f>I62*$LI62</f>
        <v>0.92500000000000004</v>
      </c>
      <c r="IA62" s="263">
        <f>$IM$11*IK62</f>
        <v>0.24402546960690422</v>
      </c>
      <c r="IC62" s="528">
        <f>I62/$LO62</f>
        <v>29.6</v>
      </c>
      <c r="ID62" s="97">
        <f>IE62*$LI62</f>
        <v>0.31502159375870714</v>
      </c>
      <c r="IE62" s="263">
        <f>GP62/G62</f>
        <v>1.2600863750348286</v>
      </c>
      <c r="IF62" s="60"/>
      <c r="IG62" s="97">
        <f>IH62*$LI62</f>
        <v>0.36351351351351346</v>
      </c>
      <c r="IH62" s="263">
        <f>GQ62/I62</f>
        <v>1.4540540540540539</v>
      </c>
      <c r="II62" s="60"/>
      <c r="IJ62" s="97">
        <f>IK62*$LI62</f>
        <v>0.1222972972972973</v>
      </c>
      <c r="IK62" s="263">
        <f>GR62/K62</f>
        <v>0.48918918918918919</v>
      </c>
      <c r="IL62" s="60"/>
      <c r="IM62" s="60"/>
      <c r="IN62" s="60"/>
      <c r="IO62" s="60"/>
      <c r="IP62" s="554">
        <f>IR62*$V62</f>
        <v>90.149730277200007</v>
      </c>
      <c r="IQ62" s="522">
        <f>IR62*$LI62</f>
        <v>5.2329879653803292E-2</v>
      </c>
      <c r="IR62" s="167">
        <f>(IW62*Y62+JD62*AA62)/V62</f>
        <v>0.20931951861521317</v>
      </c>
      <c r="IS62" s="68"/>
      <c r="IT62" s="97">
        <f>IR62/$LO62</f>
        <v>1.6745561489217053</v>
      </c>
      <c r="IU62" s="429">
        <f>(IX62*C62+JE62*D62)/B62</f>
        <v>2.8429799426934094E-2</v>
      </c>
      <c r="IV62" s="262">
        <f>IW62*$LI62</f>
        <v>6.3437189324324322E-2</v>
      </c>
      <c r="IW62" s="436">
        <f>IX62*JB62/I62</f>
        <v>0.25374875729729729</v>
      </c>
      <c r="IX62" s="101">
        <v>3.1E-2</v>
      </c>
      <c r="IY62" s="101">
        <v>0.33</v>
      </c>
      <c r="IZ62" s="101">
        <v>0.33</v>
      </c>
      <c r="JA62" s="429">
        <f>1-IY62-IZ62</f>
        <v>0.33999999999999991</v>
      </c>
      <c r="JB62" s="430">
        <f>IY62*$JJ62+IZ62*$JK62+JA62*$JL62+'Discounting metrics'!$B$6*(IY62*$JM62+IZ62*$JN62+JA62*$JO62)/10^3+'Discounting metrics'!$B$5*(IY62*$JP62+IZ62*$JQ62+JA62*$JR62)/10^3</f>
        <v>30.286142000000002</v>
      </c>
      <c r="JC62" s="262">
        <f>JD62*$LI62</f>
        <v>8.1854437837837832E-3</v>
      </c>
      <c r="JD62" s="436">
        <f>JE62*JI62/K62</f>
        <v>3.2741775135135133E-2</v>
      </c>
      <c r="JE62" s="101">
        <v>8.0000000000000002E-3</v>
      </c>
      <c r="JF62" s="101">
        <v>0.33</v>
      </c>
      <c r="JG62" s="101">
        <v>0.33</v>
      </c>
      <c r="JH62" s="429">
        <f>1-JF62-JG62</f>
        <v>0.33999999999999991</v>
      </c>
      <c r="JI62" s="430">
        <f>JF62*$JJ62+JG62*$JK62+JH62*$JL62+'Discounting metrics'!$B$6*(JF62*$JM62+JG62*$JN62+JH62*$JO62)/10^3+'Discounting metrics'!$B$5*(JF62*$JP62+JG62*$JQ62+JH62*$JR62)/10^3</f>
        <v>30.286142000000002</v>
      </c>
      <c r="JJ62" s="431">
        <v>35.200000000000003</v>
      </c>
      <c r="JK62" s="431">
        <v>22.4</v>
      </c>
      <c r="JL62" s="431">
        <v>20.9</v>
      </c>
      <c r="JM62" s="99">
        <v>5</v>
      </c>
      <c r="JN62" s="431">
        <v>8.1999999999999993</v>
      </c>
      <c r="JO62" s="431">
        <v>9.5</v>
      </c>
      <c r="JP62" s="431">
        <v>52</v>
      </c>
      <c r="JQ62" s="431">
        <v>58.3</v>
      </c>
      <c r="JR62" s="431">
        <v>58.3</v>
      </c>
      <c r="JS62" s="554">
        <f>JV62+JW62+JT62+JU62+JX62</f>
        <v>113.00479855877728</v>
      </c>
      <c r="JT62" s="554">
        <f>KJ62*$V62</f>
        <v>44.902014720338187</v>
      </c>
      <c r="JU62" s="554">
        <f>KL62*$V62</f>
        <v>7.5542571870545459</v>
      </c>
      <c r="JV62" s="554">
        <f>KN62*$V62</f>
        <v>23.176143442568183</v>
      </c>
      <c r="JW62" s="554">
        <f>KP62*$V62</f>
        <v>37.372383208816366</v>
      </c>
      <c r="JX62" s="554"/>
      <c r="JY62" s="166">
        <f>JZ62*LI62</f>
        <v>6.5596729914772722E-2</v>
      </c>
      <c r="JZ62" s="167">
        <f>KF62+KD62+KH62</f>
        <v>0.26238691965909089</v>
      </c>
      <c r="KA62" s="68"/>
      <c r="KB62" s="97">
        <f>JZ62/$LO62</f>
        <v>2.0990953572727271</v>
      </c>
      <c r="KC62" s="522">
        <f>KD62*LI62</f>
        <v>3.0449679522727275E-2</v>
      </c>
      <c r="KD62" s="436">
        <f>KJ62+KL62</f>
        <v>0.1217987180909091</v>
      </c>
      <c r="KE62" s="522">
        <f>KF62*LI62</f>
        <v>3.5147050392045451E-2</v>
      </c>
      <c r="KF62" s="436">
        <f>KN62+KP62</f>
        <v>0.1405882015681818</v>
      </c>
      <c r="KI62" s="409"/>
      <c r="KJ62" s="409">
        <f>KJ63</f>
        <v>0.10425841627272728</v>
      </c>
      <c r="KK62" s="409"/>
      <c r="KL62" s="409">
        <f>KL63</f>
        <v>1.7540301818181819E-2</v>
      </c>
      <c r="KM62" s="435"/>
      <c r="KN62" s="409">
        <f>KN63</f>
        <v>5.3812908522727271E-2</v>
      </c>
      <c r="KO62" s="409"/>
      <c r="KP62" s="409">
        <f>KP63</f>
        <v>8.6775293045454546E-2</v>
      </c>
      <c r="KQ62" s="599">
        <f>44/12*HG62+$JZ62+$IR62</f>
        <v>2.0630339493201681</v>
      </c>
      <c r="KS62" s="528">
        <f>KQ62/$LO62</f>
        <v>16.504271594561345</v>
      </c>
      <c r="KT62" s="599">
        <f>44/12*HK62+$JZ62+$IW62</f>
        <v>2.3742995633396231</v>
      </c>
      <c r="KV62" s="528">
        <f>KT62/$LO62</f>
        <v>18.994396506716985</v>
      </c>
      <c r="KW62" s="599">
        <f>44/12*HO62+$JZ62+$JD62</f>
        <v>0.82595266283258995</v>
      </c>
      <c r="KY62" s="528">
        <f>KW62/$LO62</f>
        <v>6.6076213026607196</v>
      </c>
      <c r="KZ62" s="599">
        <f>44/12*HS62+$JZ62+$IR62</f>
        <v>2.7764894944648422</v>
      </c>
      <c r="LB62" s="528">
        <f>KZ62/$LO62</f>
        <v>22.211915955718737</v>
      </c>
      <c r="LC62" s="599">
        <f>44/12*HW62+$JZ62+$IW62</f>
        <v>3.1756987140349495</v>
      </c>
      <c r="LE62" s="528">
        <f>LC62/$LO62</f>
        <v>25.405589712279596</v>
      </c>
      <c r="LF62" s="599">
        <f>44/12*I62+$JZ62+$JD62</f>
        <v>13.861795361460892</v>
      </c>
      <c r="LH62" s="528">
        <f>LF62/$LO62</f>
        <v>110.89436289168714</v>
      </c>
      <c r="LI62" s="31">
        <v>0.25</v>
      </c>
      <c r="LJ62" s="32">
        <f t="shared" ref="LJ62:LJ63" si="578">$LI62*LK62</f>
        <v>4.5</v>
      </c>
      <c r="LK62" s="27">
        <v>18</v>
      </c>
      <c r="LO62" s="35">
        <v>0.125</v>
      </c>
    </row>
    <row r="63" spans="1:329" s="4" customFormat="1" x14ac:dyDescent="0.25">
      <c r="A63" s="14" t="s">
        <v>84</v>
      </c>
      <c r="B63" s="105">
        <v>12</v>
      </c>
      <c r="C63" s="67">
        <f>C62/B62*B63</f>
        <v>10.659025787965616</v>
      </c>
      <c r="D63" s="32">
        <f>D62/B62*B63</f>
        <v>1.3409742120343837</v>
      </c>
      <c r="E63" s="38">
        <f>D63/B63</f>
        <v>0.11174785100286531</v>
      </c>
      <c r="F63" s="108">
        <f>U63/B63</f>
        <v>32.351862464183377</v>
      </c>
      <c r="G63" s="32">
        <f>V63/B63</f>
        <v>8.0879656160458442</v>
      </c>
      <c r="H63" s="98">
        <v>29.1</v>
      </c>
      <c r="I63" s="32">
        <f>$LI63*H63</f>
        <v>7.2750000000000004</v>
      </c>
      <c r="J63" s="60">
        <f>2*H63</f>
        <v>58.2</v>
      </c>
      <c r="K63" s="32">
        <f>$LI63*J63</f>
        <v>14.55</v>
      </c>
      <c r="L63" s="32">
        <f>(F63/'Discounting metrics'!$D$4*(1-EXP(-'Discounting metrics'!$D$4*'Discounting metrics'!$E$4)))/'Discounting metrics'!$E$4</f>
        <v>7.9398293584778505</v>
      </c>
      <c r="M63" s="32">
        <f>(G63/'Discounting metrics'!$D$4*(1-EXP(-'Discounting metrics'!$D$4*'Discounting metrics'!$E$4)))/'Discounting metrics'!$E$4</f>
        <v>1.9849573396194626</v>
      </c>
      <c r="N63" s="32">
        <f>(H63/'Discounting metrics'!$D$4*(1-EXP(-'Discounting metrics'!$D$4*'Discounting metrics'!$E$4)))/'Discounting metrics'!$E$4</f>
        <v>7.141753727084458</v>
      </c>
      <c r="O63" s="32">
        <f>(I63/'Discounting metrics'!$D$4*(1-EXP(-'Discounting metrics'!$D$4*'Discounting metrics'!$E$4)))/'Discounting metrics'!$E$4</f>
        <v>1.7854384317711145</v>
      </c>
      <c r="P63" s="32">
        <f>(J63/'Discounting metrics'!$D$4*(1-EXP(-'Discounting metrics'!$D$4*'Discounting metrics'!$E$4)))/'Discounting metrics'!$E$4</f>
        <v>14.283507454168916</v>
      </c>
      <c r="Q63" s="32">
        <f>(K63/'Discounting metrics'!$D$4*(1-EXP(-'Discounting metrics'!$D$4*'Discounting metrics'!$E$4)))/'Discounting metrics'!$E$4</f>
        <v>3.570876863542229</v>
      </c>
      <c r="R63" s="32">
        <f>10/G63</f>
        <v>1.2364048605944664</v>
      </c>
      <c r="S63" s="32">
        <f>10/I63</f>
        <v>1.3745704467353952</v>
      </c>
      <c r="T63" s="32">
        <f>10/K63</f>
        <v>0.6872852233676976</v>
      </c>
      <c r="U63" s="107">
        <f>X63+Z63</f>
        <v>388.22234957020055</v>
      </c>
      <c r="V63" s="67">
        <f>LI63*U63</f>
        <v>97.055587392550137</v>
      </c>
      <c r="W63" s="67"/>
      <c r="X63" s="67">
        <f>C63*H63</f>
        <v>310.17765042979943</v>
      </c>
      <c r="Y63" s="67">
        <f>C63*I63</f>
        <v>77.544412607449857</v>
      </c>
      <c r="Z63" s="67">
        <f>D63*J63</f>
        <v>78.044699140401136</v>
      </c>
      <c r="AA63" s="67">
        <f>D63*K63</f>
        <v>19.511174785100284</v>
      </c>
      <c r="AB63" s="38">
        <f t="shared" si="558"/>
        <v>0.20103092783505153</v>
      </c>
      <c r="AC63" s="294">
        <f t="shared" si="559"/>
        <v>0.22836136840053334</v>
      </c>
      <c r="AD63" s="294">
        <f t="shared" si="559"/>
        <v>0.38697052300995649</v>
      </c>
      <c r="AE63" s="294">
        <f t="shared" si="559"/>
        <v>0.11353400264837125</v>
      </c>
      <c r="AF63" s="294">
        <f t="shared" si="559"/>
        <v>0.11503880413611935</v>
      </c>
      <c r="AG63" s="294">
        <f t="shared" si="559"/>
        <v>7.8442732770867996E-2</v>
      </c>
      <c r="AH63" s="294">
        <f t="shared" si="559"/>
        <v>5.5633684507407029E-2</v>
      </c>
      <c r="AI63" s="294">
        <f t="shared" si="559"/>
        <v>6.4014524158208562E-3</v>
      </c>
      <c r="AJ63" s="294">
        <f t="shared" si="559"/>
        <v>1.3008618585739708E-2</v>
      </c>
      <c r="AK63" s="294">
        <f t="shared" si="559"/>
        <v>2.5878237574226818E-3</v>
      </c>
      <c r="AL63" s="294">
        <f>AL20</f>
        <v>0.25105641895177455</v>
      </c>
      <c r="AM63" s="294">
        <f t="shared" ref="AM63:BC63" si="579">AM20</f>
        <v>0.38743634269437044</v>
      </c>
      <c r="AN63" s="294">
        <f t="shared" si="579"/>
        <v>0.12084238467810281</v>
      </c>
      <c r="AO63" s="294">
        <f t="shared" si="579"/>
        <v>0.1233258093424815</v>
      </c>
      <c r="AP63" s="294">
        <f t="shared" si="579"/>
        <v>6.2266308536683891E-2</v>
      </c>
      <c r="AQ63" s="294">
        <f t="shared" si="579"/>
        <v>4.2394618122719357E-2</v>
      </c>
      <c r="AR63" s="294">
        <f t="shared" si="579"/>
        <v>1.2195328505599501E-3</v>
      </c>
      <c r="AS63" s="294">
        <f t="shared" si="579"/>
        <v>8.6109038377004364E-3</v>
      </c>
      <c r="AT63" s="294">
        <f t="shared" si="579"/>
        <v>2.8339261829481779E-3</v>
      </c>
      <c r="AU63" s="294">
        <f t="shared" si="579"/>
        <v>4.7964812736821114E-2</v>
      </c>
      <c r="AV63" s="294">
        <f t="shared" si="579"/>
        <v>0.3832678537235894</v>
      </c>
      <c r="AW63" s="294">
        <f t="shared" si="579"/>
        <v>5.544173523255623E-2</v>
      </c>
      <c r="AX63" s="294">
        <f t="shared" si="579"/>
        <v>4.9167737111189519E-2</v>
      </c>
      <c r="AY63" s="294">
        <f t="shared" si="579"/>
        <v>0.20702456642720329</v>
      </c>
      <c r="AZ63" s="294">
        <f t="shared" si="579"/>
        <v>0.16086728910364242</v>
      </c>
      <c r="BA63" s="294">
        <f t="shared" si="579"/>
        <v>4.7591069473022947E-2</v>
      </c>
      <c r="BB63" s="294">
        <f t="shared" si="579"/>
        <v>4.7964812736821114E-2</v>
      </c>
      <c r="BC63" s="294">
        <f t="shared" si="579"/>
        <v>6.3162499042515E-4</v>
      </c>
      <c r="BD63" s="554">
        <f>BG63*$B63/10^3</f>
        <v>2.3409991952559932</v>
      </c>
      <c r="BE63" s="554">
        <f t="shared" si="560"/>
        <v>0.99232504170041858</v>
      </c>
      <c r="BF63" s="554">
        <f t="shared" si="560"/>
        <v>1.3486741535555746</v>
      </c>
      <c r="BG63" s="67">
        <f t="shared" si="561"/>
        <v>195.08326627133277</v>
      </c>
      <c r="BH63" s="67">
        <f>(BK63*$C63+CF63*$D63)/$B63</f>
        <v>82.693753475034882</v>
      </c>
      <c r="BI63" s="67">
        <f>(BU63*$C63+CP63*$D63)/$B63</f>
        <v>112.38951279629788</v>
      </c>
      <c r="BJ63" s="67">
        <f>BK63+BU63</f>
        <v>202.71977743787295</v>
      </c>
      <c r="BK63" s="68">
        <f t="shared" si="562"/>
        <v>87.223690287995794</v>
      </c>
      <c r="BL63" s="554">
        <f>BL20</f>
        <v>128.50192058793397</v>
      </c>
      <c r="BM63" s="554">
        <f t="shared" ref="BM63:BT63" si="580">BM20</f>
        <v>116.03169734223715</v>
      </c>
      <c r="BN63" s="554">
        <f t="shared" si="580"/>
        <v>39.787156768564927</v>
      </c>
      <c r="BO63" s="554">
        <f t="shared" si="580"/>
        <v>32.82921097598976</v>
      </c>
      <c r="BP63" s="554">
        <f t="shared" si="580"/>
        <v>6.7028722220978052</v>
      </c>
      <c r="BQ63" s="554">
        <f t="shared" si="580"/>
        <v>1.7594710318225142</v>
      </c>
      <c r="BR63" s="554">
        <f t="shared" si="580"/>
        <v>5.1369438812536972E-2</v>
      </c>
      <c r="BS63" s="554">
        <f t="shared" si="580"/>
        <v>72.21742689015872</v>
      </c>
      <c r="BT63" s="554">
        <f t="shared" si="580"/>
        <v>13.064111371529073</v>
      </c>
      <c r="BU63" s="68">
        <f t="shared" si="563"/>
        <v>115.49608714987716</v>
      </c>
      <c r="BV63" s="554">
        <f t="shared" ref="BV63:CD63" si="581">BV20</f>
        <v>129.17929689549746</v>
      </c>
      <c r="BW63" s="554">
        <f t="shared" si="581"/>
        <v>113.92602867899528</v>
      </c>
      <c r="BX63" s="554">
        <f t="shared" si="581"/>
        <v>112.82393094509492</v>
      </c>
      <c r="BY63" s="554">
        <f t="shared" si="581"/>
        <v>146.34588584457663</v>
      </c>
      <c r="BZ63" s="554">
        <f t="shared" si="581"/>
        <v>82.811568206790454</v>
      </c>
      <c r="CA63" s="554">
        <f t="shared" si="581"/>
        <v>34.200322626154474</v>
      </c>
      <c r="CB63" s="554">
        <f t="shared" si="581"/>
        <v>0.59622114056002107</v>
      </c>
      <c r="CC63" s="554">
        <f t="shared" si="581"/>
        <v>65.89933982521606</v>
      </c>
      <c r="CD63" s="554">
        <f t="shared" si="581"/>
        <v>24.387945169318545</v>
      </c>
      <c r="CE63" s="68">
        <f>CF63+CP63</f>
        <v>134.38279289626982</v>
      </c>
      <c r="CF63" s="68">
        <f t="shared" si="564"/>
        <v>46.686563423294224</v>
      </c>
      <c r="CG63" s="144">
        <f t="shared" ref="CG63:CO63" si="582">CG20</f>
        <v>141.04990922844877</v>
      </c>
      <c r="CH63" s="144">
        <f t="shared" si="582"/>
        <v>89.712017513903831</v>
      </c>
      <c r="CI63" s="144">
        <f t="shared" si="582"/>
        <v>36.155098494271463</v>
      </c>
      <c r="CJ63" s="144">
        <f t="shared" si="582"/>
        <v>32.685977661127012</v>
      </c>
      <c r="CK63" s="144">
        <f t="shared" si="582"/>
        <v>7.0874378276741536</v>
      </c>
      <c r="CL63" s="144">
        <f t="shared" si="582"/>
        <v>1.6163565160569393</v>
      </c>
      <c r="CM63" s="144">
        <f t="shared" si="582"/>
        <v>3.8829309949370838E-2</v>
      </c>
      <c r="CN63" s="144">
        <f t="shared" si="582"/>
        <v>4.075944083182641</v>
      </c>
      <c r="CO63" s="144">
        <f t="shared" si="582"/>
        <v>1.8351436147386055</v>
      </c>
      <c r="CP63" s="68">
        <f t="shared" si="565"/>
        <v>87.696229472975602</v>
      </c>
      <c r="CQ63" s="144">
        <f t="shared" ref="CQ63:CY63" si="583">CQ20</f>
        <v>140.40804778988257</v>
      </c>
      <c r="CR63" s="144">
        <f t="shared" si="583"/>
        <v>106.71992594020023</v>
      </c>
      <c r="CS63" s="144">
        <f t="shared" si="583"/>
        <v>135.17796938033845</v>
      </c>
      <c r="CT63" s="144">
        <f t="shared" si="583"/>
        <v>161.04910882730724</v>
      </c>
      <c r="CU63" s="144">
        <f t="shared" si="583"/>
        <v>88.597943122608967</v>
      </c>
      <c r="CV63" s="144">
        <f t="shared" si="583"/>
        <v>38.079049544636817</v>
      </c>
      <c r="CW63" s="144">
        <f t="shared" si="583"/>
        <v>0.32825333736135615</v>
      </c>
      <c r="CX63" s="144">
        <f t="shared" si="583"/>
        <v>3.3456837749038484</v>
      </c>
      <c r="CY63" s="144">
        <f t="shared" si="583"/>
        <v>4.1545230258700068</v>
      </c>
      <c r="CZ63" s="554">
        <f>DC63*$B63/10^3</f>
        <v>1.0418354862268528</v>
      </c>
      <c r="DA63" s="554">
        <f t="shared" si="566"/>
        <v>3.0329871060171917E-2</v>
      </c>
      <c r="DB63" s="554">
        <f t="shared" si="566"/>
        <v>1.011505615166681</v>
      </c>
      <c r="DC63" s="32">
        <f t="shared" si="567"/>
        <v>86.819623852237754</v>
      </c>
      <c r="DD63" s="32">
        <f>(DH63*$C63+DO63*$D63)/$B63</f>
        <v>2.5274892550143266</v>
      </c>
      <c r="DE63" s="67">
        <f>(DI63*$C63+DP63*$D63)/$B63</f>
        <v>84.292134597223423</v>
      </c>
      <c r="DF63" s="270"/>
      <c r="DG63" s="67">
        <f t="shared" si="568"/>
        <v>88.895502862407866</v>
      </c>
      <c r="DH63" s="32">
        <f>I63*0.5*2.5*0.25</f>
        <v>2.2734375</v>
      </c>
      <c r="DI63" s="67">
        <f>(1-DK63)*BU63</f>
        <v>86.622065362407866</v>
      </c>
      <c r="DJ63" s="67"/>
      <c r="DK63" s="34">
        <f t="shared" ref="DK63" si="584">DK$17</f>
        <v>0.25</v>
      </c>
      <c r="DL63" s="159"/>
      <c r="DM63" s="159"/>
      <c r="DN63" s="68">
        <f>DO63+DP63</f>
        <v>70.319047104731709</v>
      </c>
      <c r="DO63" s="32">
        <f>K63*0.5*2.5*0.25</f>
        <v>4.546875</v>
      </c>
      <c r="DP63" s="67">
        <f>(1-DR63)*CP63</f>
        <v>65.772172104731709</v>
      </c>
      <c r="DQ63" s="67"/>
      <c r="DR63" s="34">
        <f t="shared" ref="DR63" si="585">DR$17</f>
        <v>0.25</v>
      </c>
      <c r="DS63" s="294"/>
      <c r="DT63" s="294"/>
      <c r="DU63" s="294"/>
      <c r="DV63" s="67">
        <f t="shared" si="550"/>
        <v>108.26364241909502</v>
      </c>
      <c r="DW63" s="67">
        <f t="shared" si="550"/>
        <v>80.166264220020551</v>
      </c>
      <c r="DX63" s="67">
        <f t="shared" si="550"/>
        <v>28.097378199074456</v>
      </c>
      <c r="DY63" s="67">
        <f t="shared" si="551"/>
        <v>113.82427457546508</v>
      </c>
      <c r="DZ63" s="67">
        <f t="shared" si="551"/>
        <v>84.950252787995794</v>
      </c>
      <c r="EA63" s="67">
        <f>BU63-DI63</f>
        <v>28.874021787469289</v>
      </c>
      <c r="EB63" s="67">
        <f t="shared" si="552"/>
        <v>64.063745791538111</v>
      </c>
      <c r="EC63" s="67">
        <f t="shared" si="552"/>
        <v>42.139688423294224</v>
      </c>
      <c r="ED63" s="67">
        <f>CP63-DP63</f>
        <v>21.924057368243894</v>
      </c>
      <c r="EE63" s="68">
        <f>EF63+EG63</f>
        <v>81.304393234790766</v>
      </c>
      <c r="EF63" s="67">
        <f>(EJ63*$C63+FF63*$D63)/$B63</f>
        <v>59.459132289136988</v>
      </c>
      <c r="EG63" s="67">
        <f t="shared" si="569"/>
        <v>21.845260945653774</v>
      </c>
      <c r="EH63" s="261">
        <f t="shared" si="570"/>
        <v>85.148139658774824</v>
      </c>
      <c r="EI63" s="154">
        <f>EH63/($BJ63-$DG63)</f>
        <v>0.7480666138778852</v>
      </c>
      <c r="EJ63" s="108">
        <f>EK63+EL63-DH63</f>
        <v>62.706236280362049</v>
      </c>
      <c r="EK63" s="126">
        <f>'Allometrics &amp; Decay rates'!$H$5*$AL63*BL63+'Allometrics &amp; Decay rates'!$H$6*$AM63*BM63+'Allometrics &amp; Decay rates'!$H$7*$AN63*BN63+'Allometrics &amp; Decay rates'!$H$8*$AO63*BO63+'Allometrics &amp; Decay rates'!$H$9*$AP63*BP63+'Allometrics &amp; Decay rates'!$H$10*$AQ63*BQ63+'Allometrics &amp; Decay rates'!$H$11*$AR63*BR63+'Allometrics &amp; Decay rates'!$H$12*$AS63*BS63+'Allometrics &amp; Decay rates'!$H$13*$AT63*BT63</f>
        <v>37.519983993076771</v>
      </c>
      <c r="EL63" s="97">
        <f t="shared" si="571"/>
        <v>27.459689787285274</v>
      </c>
      <c r="EM63" s="550">
        <f>AL63*BL63*('Allometrics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12.647292474003343</v>
      </c>
      <c r="EN63" s="550">
        <f>AM63*BM63*('Allometrics &amp; Decay rates'!$I$6*((EXP('Allometrics &amp; Decay rates'!$K$6)-1)/('Discounting metrics'!$D$4+'Allometrics &amp; Decay rates'!$K$6)*(1-EXP(-('Discounting metrics'!$D$4+'Allometrics &amp; Decay rates'!$K$6)*'Discounting metrics'!$E$4))-(1-EXP(-'Allometrics &amp; Decay rates'!$K$6))/1.55)+'Allometrics &amp; Decay rates'!$E$6*((EXP('Allometrics &amp; Decay rates'!$L$6)-1)/('Discounting metrics'!$D$4+'Allometrics &amp; Decay rates'!$L$6)*(1-EXP(-('Discounting metrics'!$D$4+'Allometrics &amp; Decay rates'!$L$6)*'Discounting metrics'!$E$4))-(1-EXP(-'Allometrics &amp; Decay rates'!$L$6))/1.55))</f>
        <v>10.963951028096449</v>
      </c>
      <c r="EO63" s="550">
        <f>AN63*BN63*('Allometrics &amp; Decay rates'!$I$7*((EXP('Allometrics &amp; Decay rates'!$K$7)-1)/('Discounting metrics'!$D$4+'Allometrics &amp; Decay rates'!$K$7)*(1-EXP(-('Discounting metrics'!$D$4+'Allometrics &amp; Decay rates'!$K$7)*'Discounting metrics'!$E$4))-(1-EXP(-'Allometrics &amp; Decay rates'!$K$7))/1.55)+'Allometrics &amp; Decay rates'!$E$7*((EXP('Allometrics &amp; Decay rates'!$L$7)-1)/('Discounting metrics'!$D$4+'Allometrics &amp; Decay rates'!$L$7)*(1-EXP(-('Discounting metrics'!$D$4+'Allometrics &amp; Decay rates'!$L$7)*'Discounting metrics'!$E$4))-(1-EXP(-'Allometrics &amp; Decay rates'!$L$7))/1.55))</f>
        <v>1.0236729889091345</v>
      </c>
      <c r="EP63" s="550">
        <f>AO63*BO63*('Allometrics &amp; Decay rates'!$I$8*((EXP('Allometrics &amp; Decay rates'!$K$8)-1)/('Discounting metrics'!$D$4+'Allometrics &amp; Decay rates'!$K$8)*(1-EXP(-('Discounting metrics'!$D$4+'Allometrics &amp; Decay rates'!$K$8)*'Discounting metrics'!$E$4))-(1-EXP(-'Allometrics &amp; Decay rates'!$K$8))/1.55)+'Allometrics &amp; Decay rates'!$E$8*((EXP('Allometrics &amp; Decay rates'!$L$8)-1)/('Discounting metrics'!$D$4+'Allometrics &amp; Decay rates'!$L$8)*(1-EXP(-('Discounting metrics'!$D$4+'Allometrics &amp; Decay rates'!$L$8)*'Discounting metrics'!$E$4))-(1-EXP(-'Allometrics &amp; Decay rates'!$L$8))/1.55))</f>
        <v>2.2922317191143442</v>
      </c>
      <c r="EQ63" s="550">
        <f>AP63*BP63*('Allometrics &amp; Decay rates'!$I$9*((EXP('Allometrics &amp; Decay rates'!$K$9)-1)/('Discounting metrics'!$D$4+'Allometrics &amp; Decay rates'!$K$9)*(1-EXP(-('Discounting metrics'!$D$4+'Allometrics &amp; Decay rates'!$K$9)*'Discounting metrics'!$E$4))-(1-EXP(-'Allometrics &amp; Decay rates'!$K$9))/1.55)+'Allometrics &amp; Decay rates'!$E$9*((EXP('Allometrics &amp; Decay rates'!$L$9)-1)/('Discounting metrics'!$D$4+'Allometrics &amp; Decay rates'!$L$9)*(1-EXP(-('Discounting metrics'!$D$4+'Allometrics &amp; Decay rates'!$L$9)*'Discounting metrics'!$E$4))-(1-EXP(-'Allometrics &amp; Decay rates'!$L$9))/1.55))</f>
        <v>0.21875070292906329</v>
      </c>
      <c r="ER63" s="550">
        <f>AQ63*BQ63*('Allometrics &amp; Decay rates'!$I$10*((EXP('Allometrics &amp; Decay rates'!$K$10)-1)/('Discounting metrics'!$D$4+'Allometrics &amp; Decay rates'!$K$10)*(1-EXP(-('Discounting metrics'!$D$4+'Allometrics &amp; Decay rates'!$K$10)*'Discounting metrics'!$E$4))-(1-EXP(-'Allometrics &amp; Decay rates'!$K$10))/1.55)+'Allometrics &amp; Decay rates'!$E$10*((EXP('Allometrics &amp; Decay rates'!$L$10)-1)/('Discounting metrics'!$D$4+'Allometrics &amp; Decay rates'!$L$10)*(1-EXP(-('Discounting metrics'!$D$4+'Allometrics &amp; Decay rates'!$L$10)*'Discounting metrics'!$E$4))-(1-EXP(-'Allometrics &amp; Decay rates'!$L$10))/1.55))</f>
        <v>4.7454096227555566E-2</v>
      </c>
      <c r="ES63" s="550">
        <f>AR63*BR63*('Allometrics &amp; Decay rates'!$I$11*((EXP('Allometrics &amp; Decay rates'!$K$11)-1)/('Discounting metrics'!$D$4+'Allometrics &amp; Decay rates'!$K$11)*(1-EXP(-('Discounting metrics'!$D$4+'Allometrics &amp; Decay rates'!$K$11)*'Discounting metrics'!$E$4))-(1-EXP(-'Allometrics &amp; Decay rates'!$K$11))/1.55)+'Allometrics &amp; Decay rates'!$E$11*((EXP('Allometrics &amp; Decay rates'!$L$11)-1)/('Discounting metrics'!$D$4+'Allometrics &amp; Decay rates'!$L$11)*(1-EXP(-('Discounting metrics'!$D$4+'Allometrics &amp; Decay rates'!$L$11)*'Discounting metrics'!$E$4))-(1-EXP(-'Allometrics &amp; Decay rates'!$L$11))/1.55))</f>
        <v>4.4466090648790934E-5</v>
      </c>
      <c r="ET63" s="550">
        <f>AS63*BS63*('Allometrics &amp; Decay rates'!$I$12*((EXP('Allometrics &amp; Decay rates'!$K$12)-1)/('Discounting metrics'!$D$4+'Allometrics &amp; Decay rates'!$K$12)*(1-EXP(-('Discounting metrics'!$D$4+'Allometrics &amp; Decay rates'!$K$12)*'Discounting metrics'!$E$4))-(1-EXP(-'Allometrics &amp; Decay rates'!$K$12))/1.55)+'Allometrics &amp; Decay rates'!$E$12*((EXP('Allometrics &amp; Decay rates'!$L$12)-1)/('Discounting metrics'!$D$4+'Allometrics &amp; Decay rates'!$L$12)*(1-EXP(-('Discounting metrics'!$D$4+'Allometrics &amp; Decay rates'!$L$12)*'Discounting metrics'!$E$4))-(1-EXP(-'Allometrics &amp; Decay rates'!$L$12))/1.55))</f>
        <v>0.25374555728613829</v>
      </c>
      <c r="EU63" s="550">
        <f>AT63*BT63*('Allometrics &amp; Decay rates'!$I$13*((EXP('Allometrics &amp; Decay rates'!$K$13)-1)/('Discounting metrics'!$D$4+'Allometrics &amp; Decay rates'!$K$13)*(1-EXP(-('Discounting metrics'!$D$4+'Allometrics &amp; Decay rates'!$K$13)*'Discounting metrics'!$E$4))-(1-EXP(-'Allometrics &amp; Decay rates'!$K$13))/1.55)+'Allometrics &amp; Decay rates'!$E$13*((EXP('Allometrics &amp; Decay rates'!$L$13)-1)/('Discounting metrics'!$D$4+'Allometrics &amp; Decay rates'!$L$13)*(1-EXP(-('Discounting metrics'!$D$4+'Allometrics &amp; Decay rates'!$L$13)*'Discounting metrics'!$E$4))-(1-EXP(-'Allometrics &amp; Decay rates'!$L$13))/1.55))</f>
        <v>1.2546754628596517E-2</v>
      </c>
      <c r="EV63" s="108">
        <f t="shared" si="572"/>
        <v>22.441903378412778</v>
      </c>
      <c r="EW63" s="550">
        <f>AL63*BV63*$DK63*((EXP('Allometrics &amp; Decay rates'!$M$5)-1)/('Discounting metrics'!$D$4+'Allometrics &amp; Decay rates'!$M$5)*(1-EXP(-('Discounting metrics'!$D$4+'Allometrics &amp; Decay rates'!$M$5)*'Discounting metrics'!$E$4))-(1-EXP(-'Allometrics &amp; Decay rates'!$M$5))/1.55)</f>
        <v>6.3366093670159387</v>
      </c>
      <c r="EX63" s="550">
        <f>AM63*BW63*$DK63*((EXP('Allometrics &amp; Decay rates'!$M$5)-1)/('Discounting metrics'!$D$4+'Allometrics &amp; Decay rates'!$M$5)*(1-EXP(-('Discounting metrics'!$D$4+'Allometrics &amp; Decay rates'!$M$5)*'Discounting metrics'!$E$4))-(1-EXP(-'Allometrics &amp; Decay rates'!$M$5))/1.55)</f>
        <v>8.6241440881127325</v>
      </c>
      <c r="EY63" s="550">
        <f>AN63*BX63*$DK63*((EXP('Allometrics &amp; Decay rates'!$M$5)-1)/('Discounting metrics'!$D$4+'Allometrics &amp; Decay rates'!$M$5)*(1-EXP(-('Discounting metrics'!$D$4+'Allometrics &amp; Decay rates'!$M$5)*'Discounting metrics'!$E$4))-(1-EXP(-'Allometrics &amp; Decay rates'!$M$5))/1.55)</f>
        <v>2.6638710789915923</v>
      </c>
      <c r="EZ63" s="550">
        <f>AO63*BY63*$DK63*((EXP('Allometrics &amp; Decay rates'!$M$5)-1)/('Discounting metrics'!$D$4+'Allometrics &amp; Decay rates'!$M$5)*(1-EXP(-('Discounting metrics'!$D$4+'Allometrics &amp; Decay rates'!$M$5)*'Discounting metrics'!$E$4))-(1-EXP(-'Allometrics &amp; Decay rates'!$M$5))/1.55)</f>
        <v>3.5263643381587464</v>
      </c>
      <c r="FA63" s="550">
        <f>AP63*BZ63*$DK63*((EXP('Allometrics &amp; Decay rates'!$M$5)-1)/('Discounting metrics'!$D$4+'Allometrics &amp; Decay rates'!$M$5)*(1-EXP(-('Discounting metrics'!$D$4+'Allometrics &amp; Decay rates'!$M$5)*'Discounting metrics'!$E$4))-(1-EXP(-'Allometrics &amp; Decay rates'!$M$5))/1.55)</f>
        <v>1.0074808898164453</v>
      </c>
      <c r="FB63" s="550">
        <f>AQ63*CA63*$DK63*((EXP('Allometrics &amp; Decay rates'!$M$5)-1)/('Discounting metrics'!$D$4+'Allometrics &amp; Decay rates'!$M$5)*(1-EXP(-('Discounting metrics'!$D$4+'Allometrics &amp; Decay rates'!$M$5)*'Discounting metrics'!$E$4))-(1-EXP(-'Allometrics &amp; Decay rates'!$M$5))/1.55)</f>
        <v>0.28329154920166766</v>
      </c>
      <c r="FC63" s="550">
        <f>AR63*CB63*$DK63*((EXP('Allometrics &amp; Decay rates'!$M$5)-1)/('Discounting metrics'!$D$4+'Allometrics &amp; Decay rates'!$M$5)*(1-EXP(-('Discounting metrics'!$D$4+'Allometrics &amp; Decay rates'!$M$5)*'Discounting metrics'!$E$4))-(1-EXP(-'Allometrics &amp; Decay rates'!$M$5))/1.55)</f>
        <v>1.4206711565231675E-4</v>
      </c>
      <c r="FD63" s="261">
        <f t="shared" si="573"/>
        <v>50.751537044148215</v>
      </c>
      <c r="FE63" s="154">
        <f>FD63/($CE63-$DN63)</f>
        <v>0.79220370924442185</v>
      </c>
      <c r="FF63" s="108">
        <f t="shared" si="574"/>
        <v>33.648818512732703</v>
      </c>
      <c r="FG63" s="126">
        <f>'Allometrics &amp; Decay rates'!$H$5*$AU63*CG63+'Allometrics &amp; Decay rates'!$H$6*$AV63*CH63+'Allometrics &amp; Decay rates'!$H$7*$AW63*CI63+'Allometrics &amp; Decay rates'!$H$8*$AX63*CJ63+'Allometrics &amp; Decay rates'!$H$9*$AY63*CK63+'Allometrics &amp; Decay rates'!$H$10*$AZ63*CL63+'Allometrics &amp; Decay rates'!$H$11*$BA63*CM63+'Allometrics &amp; Decay rates'!$H$12*$BB63*CN63+'Allometrics &amp; Decay rates'!$H$13*$BC63*CO63</f>
        <v>19.893273381507225</v>
      </c>
      <c r="FH63" s="97">
        <f t="shared" si="575"/>
        <v>18.302420131225478</v>
      </c>
      <c r="FI63" s="550">
        <f>AU63*CG63*('Allometrics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2.652236073684036</v>
      </c>
      <c r="FJ63" s="550">
        <f>AV63*CH63*('Allometrics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13.479371151486131</v>
      </c>
      <c r="FK63" s="550">
        <f>AW63*CI63*('Allometrics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0.78581981731392081</v>
      </c>
      <c r="FL63" s="550">
        <f>AX63*CJ63*('Allometrics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0.63002577007165206</v>
      </c>
      <c r="FM63" s="550">
        <f>AY63*CK63*('Allometrics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0.57521176392652917</v>
      </c>
      <c r="FN63" s="550">
        <f>AZ63*CL63*('Allometrics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0.10193457465081393</v>
      </c>
      <c r="FO63" s="550">
        <f>BA63*CM63*('Allometrics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7.2443888002164301E-4</v>
      </c>
      <c r="FP63" s="550">
        <f>BB63*CN63*('Allometrics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7.6642133205681154E-2</v>
      </c>
      <c r="FQ63" s="550">
        <f>BC63*CO63*('Allometrics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4.5440800669743384E-4</v>
      </c>
      <c r="FR63" s="108">
        <f t="shared" si="576"/>
        <v>17.102718531415512</v>
      </c>
      <c r="FS63" s="550">
        <f>AU63*CQ63*$DK63*((EXP('Allometrics &amp; Decay rates'!$M$5)-1)/('Discounting metrics'!$D$4+'Allometrics &amp; Decay rates'!$M$5)*(1-EXP(-('Discounting metrics'!$D$4+'Allometrics &amp; Decay rates'!$M$5)*'Discounting metrics'!$E$4))-(1-EXP(-'Allometrics &amp; Decay rates'!$M$5))/1.55)</f>
        <v>1.3158532063978015</v>
      </c>
      <c r="FT63" s="550">
        <f>AV63*CR63*$DK63*((EXP('Allometrics &amp; Decay rates'!$M$5)-1)/('Discounting metrics'!$D$4+'Allometrics &amp; Decay rates'!$M$5)*(1-EXP(-('Discounting metrics'!$D$4+'Allometrics &amp; Decay rates'!$M$5)*'Discounting metrics'!$E$4))-(1-EXP(-'Allometrics &amp; Decay rates'!$M$5))/1.55)</f>
        <v>7.9917262426001541</v>
      </c>
      <c r="FU63" s="550">
        <f>AW63*CS63*$DK63*((EXP('Allometrics &amp; Decay rates'!$M$5)-1)/('Discounting metrics'!$D$4+'Allometrics &amp; Decay rates'!$M$5)*(1-EXP(-('Discounting metrics'!$D$4+'Allometrics &amp; Decay rates'!$M$5)*'Discounting metrics'!$E$4))-(1-EXP(-'Allometrics &amp; Decay rates'!$M$5))/1.55)</f>
        <v>1.4643180695213889</v>
      </c>
      <c r="FV63" s="550">
        <f>AX63*CT63*$DK63*((EXP('Allometrics &amp; Decay rates'!$M$5)-1)/('Discounting metrics'!$D$4+'Allometrics &amp; Decay rates'!$M$5)*(1-EXP(-('Discounting metrics'!$D$4+'Allometrics &amp; Decay rates'!$M$5)*'Discounting metrics'!$E$4))-(1-EXP(-'Allometrics &amp; Decay rates'!$M$5))/1.55)</f>
        <v>1.5471457747762587</v>
      </c>
      <c r="FW63" s="550">
        <f>AY63*CU63*$DK63*((EXP('Allometrics &amp; Decay rates'!$M$5)-1)/('Discounting metrics'!$D$4+'Allometrics &amp; Decay rates'!$M$5)*(1-EXP(-('Discounting metrics'!$D$4+'Allometrics &amp; Decay rates'!$M$5)*'Discounting metrics'!$E$4))-(1-EXP(-'Allometrics &amp; Decay rates'!$M$5))/1.55)</f>
        <v>3.5837541762311491</v>
      </c>
      <c r="FX63" s="550">
        <f>AZ63*CV63*$DK63*((EXP('Allometrics &amp; Decay rates'!$M$5)-1)/('Discounting metrics'!$D$4+'Allometrics &amp; Decay rates'!$M$5)*(1-EXP(-('Discounting metrics'!$D$4+'Allometrics &amp; Decay rates'!$M$5)*'Discounting metrics'!$E$4))-(1-EXP(-'Allometrics &amp; Decay rates'!$M$5))/1.55)</f>
        <v>1.1968687612786133</v>
      </c>
      <c r="FY63" s="550">
        <f>BA63*CW63*$DK63*((EXP('Allometrics &amp; Decay rates'!$M$5)-1)/('Discounting metrics'!$D$4+'Allometrics &amp; Decay rates'!$M$5)*(1-EXP(-('Discounting metrics'!$D$4+'Allometrics &amp; Decay rates'!$M$5)*'Discounting metrics'!$E$4))-(1-EXP(-'Allometrics &amp; Decay rates'!$M$5))/1.55)</f>
        <v>3.0523006101480276E-3</v>
      </c>
      <c r="FZ63" s="68"/>
      <c r="GA63" s="293"/>
      <c r="GB63" s="293"/>
      <c r="GP63" s="32">
        <f t="shared" si="577"/>
        <v>6.7310315186246426</v>
      </c>
      <c r="GQ63" s="32">
        <f>GQ20</f>
        <v>6.94</v>
      </c>
      <c r="GR63" s="97">
        <f>GR20</f>
        <v>5.07</v>
      </c>
      <c r="GS63" s="97"/>
      <c r="GT63" s="97"/>
      <c r="GU63" s="97"/>
      <c r="GV63" s="97"/>
      <c r="GW63" s="97"/>
      <c r="GX63" s="97"/>
      <c r="GY63" s="97"/>
      <c r="GZ63" s="97"/>
      <c r="HA63" s="97"/>
      <c r="HB63" s="97"/>
      <c r="HF63" s="97">
        <f>HG63*$LI63</f>
        <v>0.10240068087606567</v>
      </c>
      <c r="HG63" s="526">
        <f>EE63/'Discounting metrics'!E$4/M63</f>
        <v>0.40960272350426269</v>
      </c>
      <c r="HI63" s="528">
        <f>HG63/$LO63</f>
        <v>4.8188555706383847</v>
      </c>
      <c r="HJ63" s="97">
        <f>HK63*$LI63</f>
        <v>0.11922581331229355</v>
      </c>
      <c r="HK63" s="526">
        <f>EH63/'Discounting metrics'!E$4/O63</f>
        <v>0.47690325324917421</v>
      </c>
      <c r="HM63" s="528">
        <f>HK63/$LO63</f>
        <v>5.6106265088138141</v>
      </c>
      <c r="HN63" s="97">
        <f>HO63*$LI63</f>
        <v>3.5531564783365166E-2</v>
      </c>
      <c r="HO63" s="526">
        <f>FD63/'Discounting metrics'!E$4/Q63</f>
        <v>0.14212625913346066</v>
      </c>
      <c r="HQ63" s="528">
        <f>HO63/$LO63</f>
        <v>1.672073636864243</v>
      </c>
      <c r="HR63" s="97">
        <f>HS63*$LI63</f>
        <v>0.10378644659238373</v>
      </c>
      <c r="HS63" s="263">
        <f>$IM$11*IE63</f>
        <v>0.41514578636953492</v>
      </c>
      <c r="HU63" s="528">
        <f>HS63/$LO63</f>
        <v>4.8840680749357048</v>
      </c>
      <c r="HV63" s="97">
        <f>HW63*$LI63</f>
        <v>0.11896652823310906</v>
      </c>
      <c r="HW63" s="263">
        <f>$IM$11*IH63</f>
        <v>0.47586611293243625</v>
      </c>
      <c r="HY63" s="528">
        <f>HW63/$LO63</f>
        <v>5.5984248580286611</v>
      </c>
      <c r="HZ63" s="97">
        <f>I63*$LI63</f>
        <v>1.8187500000000001</v>
      </c>
      <c r="IA63" s="263">
        <f>$IM$11*IK63</f>
        <v>0.1738214115682602</v>
      </c>
      <c r="IC63" s="528">
        <f>I63/$LO63</f>
        <v>85.588235294117652</v>
      </c>
      <c r="ID63" s="97">
        <f>IE63*$LI63</f>
        <v>0.20805700216105152</v>
      </c>
      <c r="IE63" s="263">
        <f>GP63/G63</f>
        <v>0.8322280086442061</v>
      </c>
      <c r="IF63" s="60"/>
      <c r="IG63" s="97">
        <f>IH63*$LI63</f>
        <v>0.23848797250859108</v>
      </c>
      <c r="IH63" s="263">
        <f>GQ63/I63</f>
        <v>0.95395189003436431</v>
      </c>
      <c r="II63" s="60"/>
      <c r="IJ63" s="97">
        <f>IK63*$LI63</f>
        <v>8.7113402061855666E-2</v>
      </c>
      <c r="IK63" s="263">
        <f>GR63/K63</f>
        <v>0.34845360824742266</v>
      </c>
      <c r="IL63" s="60"/>
      <c r="IM63" s="60"/>
      <c r="IN63" s="60"/>
      <c r="IO63" s="60"/>
      <c r="IP63" s="554">
        <f>IR63*$V63</f>
        <v>7.2045831420171904</v>
      </c>
      <c r="IQ63" s="522">
        <f>IR63*$LI63</f>
        <v>1.8557878365306264E-2</v>
      </c>
      <c r="IR63" s="167">
        <f>(IW63*Y63+JD63*AA63)/V63</f>
        <v>7.4231513461225057E-2</v>
      </c>
      <c r="IS63" s="68"/>
      <c r="IT63" s="97">
        <f>IR63/$LO63</f>
        <v>0.87331192307323591</v>
      </c>
      <c r="IU63" s="429">
        <f>(IX63*C63+JE63*D63)/B63</f>
        <v>1.2161891117478509E-2</v>
      </c>
      <c r="IV63" s="262">
        <f>IW63*$LI63</f>
        <v>2.2084601924398619E-2</v>
      </c>
      <c r="IW63" s="436">
        <f>IX63*JB63/I63</f>
        <v>8.8338407697594476E-2</v>
      </c>
      <c r="IX63" s="429">
        <f>IX20</f>
        <v>1.2999999999999999E-2</v>
      </c>
      <c r="IY63" s="429">
        <f t="shared" ref="IY63:JA63" si="586">IY20</f>
        <v>0.74</v>
      </c>
      <c r="IZ63" s="429">
        <f t="shared" si="586"/>
        <v>0.26</v>
      </c>
      <c r="JA63" s="429">
        <f t="shared" si="586"/>
        <v>0</v>
      </c>
      <c r="JB63" s="430">
        <f>IY63*$JJ63+IZ63*$JK63+JA63*$JL63+'Discounting metrics'!$B$6*(IY63*$JM63+IZ63*$JN63+JA63*$JO63)/10^3+'Discounting metrics'!$B$5*(IY63*$JP63+IZ63*$JQ63+JA63*$JR63)/10^3</f>
        <v>49.435531999999995</v>
      </c>
      <c r="JC63" s="262">
        <f>JD63*$LI63</f>
        <v>4.5414129381443295E-3</v>
      </c>
      <c r="JD63" s="436">
        <f>JE63*JI63/K63</f>
        <v>1.8165651752577318E-2</v>
      </c>
      <c r="JE63" s="429">
        <f>JE20</f>
        <v>5.4999999999999997E-3</v>
      </c>
      <c r="JF63" s="429">
        <f t="shared" ref="JF63:JH63" si="587">JF20</f>
        <v>0.67</v>
      </c>
      <c r="JG63" s="429">
        <f t="shared" si="587"/>
        <v>0.33</v>
      </c>
      <c r="JH63" s="429">
        <f t="shared" si="587"/>
        <v>0</v>
      </c>
      <c r="JI63" s="430">
        <f>JF63*$JJ63+JG63*$JK63+JH63*$JL63+'Discounting metrics'!$B$6*(JF63*$JM63+JG63*$JN63+JH63*$JO63)/10^3+'Discounting metrics'!$B$5*(JF63*$JP63+JG63*$JQ63+JH63*$JR63)/10^3</f>
        <v>48.056406000000003</v>
      </c>
      <c r="JJ63" s="431">
        <v>51.3</v>
      </c>
      <c r="JK63" s="431">
        <v>29</v>
      </c>
      <c r="JL63" s="431">
        <v>29</v>
      </c>
      <c r="JM63" s="99">
        <v>5</v>
      </c>
      <c r="JN63" s="431">
        <v>13</v>
      </c>
      <c r="JO63" s="431">
        <v>13</v>
      </c>
      <c r="JP63" s="431">
        <v>52</v>
      </c>
      <c r="JQ63" s="431">
        <v>58.3</v>
      </c>
      <c r="JR63" s="431">
        <v>58.3</v>
      </c>
      <c r="JS63" s="554">
        <f>JV63+JW63+JT63+JU63+JX63</f>
        <v>25.466116611634931</v>
      </c>
      <c r="JT63" s="554">
        <f>KJ63*$V63</f>
        <v>10.118861831966553</v>
      </c>
      <c r="JU63" s="554">
        <f>KL63*$V63</f>
        <v>1.7023842960062516</v>
      </c>
      <c r="JV63" s="554">
        <f>KN63*$V63</f>
        <v>5.2228434459748625</v>
      </c>
      <c r="JW63" s="554">
        <f>KP63*$V63</f>
        <v>8.4220270376872612</v>
      </c>
      <c r="JX63" s="554"/>
      <c r="JY63" s="166">
        <f>JZ63*LI63</f>
        <v>6.5596729914772722E-2</v>
      </c>
      <c r="JZ63" s="167">
        <f>KF63+KD63+KH63</f>
        <v>0.26238691965909089</v>
      </c>
      <c r="KA63" s="68"/>
      <c r="KB63" s="97">
        <f>JZ63/$LO63</f>
        <v>3.0869049371657749</v>
      </c>
      <c r="KC63" s="269">
        <f>KD63*LI63</f>
        <v>3.0449679522727275E-2</v>
      </c>
      <c r="KD63" s="473">
        <f>KJ63+KL63</f>
        <v>0.1217987180909091</v>
      </c>
      <c r="KE63" s="269">
        <f>KF63*LI63</f>
        <v>3.5147050392045451E-2</v>
      </c>
      <c r="KF63" s="473">
        <f>KN63+KP63</f>
        <v>0.1405882015681818</v>
      </c>
      <c r="KG63" s="49"/>
      <c r="KH63" s="49"/>
      <c r="KI63" s="409"/>
      <c r="KJ63" s="409">
        <f>0.5*KJ20</f>
        <v>0.10425841627272728</v>
      </c>
      <c r="KK63" s="409"/>
      <c r="KL63" s="409">
        <f>0.5*KL20</f>
        <v>1.7540301818181819E-2</v>
      </c>
      <c r="KM63" s="435"/>
      <c r="KN63" s="409">
        <f>0.5*KN20</f>
        <v>5.3812908522727271E-2</v>
      </c>
      <c r="KO63" s="409"/>
      <c r="KP63" s="409">
        <f>0.5*KP20</f>
        <v>8.6775293045454546E-2</v>
      </c>
      <c r="KQ63" s="599">
        <f>44/12*HG63+$JZ63+$IR63</f>
        <v>1.838495085969279</v>
      </c>
      <c r="KS63" s="528">
        <f>KQ63/$LO63</f>
        <v>21.629353952579752</v>
      </c>
      <c r="KT63" s="599">
        <f>44/12*HK63+$JZ63+$IW63</f>
        <v>2.0993705892703241</v>
      </c>
      <c r="KV63" s="528">
        <f>KT63/$LO63</f>
        <v>24.698477520827339</v>
      </c>
      <c r="KW63" s="599">
        <f>44/12*HO63+$JZ63+$JD63</f>
        <v>0.80168218823435733</v>
      </c>
      <c r="KY63" s="528">
        <f>KW63/$LO63</f>
        <v>9.4315551556983213</v>
      </c>
      <c r="KZ63" s="599">
        <f>44/12*HS63+$JZ63+$IR63</f>
        <v>1.8588196498086105</v>
      </c>
      <c r="LB63" s="528">
        <f>KZ63/$LO63</f>
        <v>21.868466468336592</v>
      </c>
      <c r="LC63" s="599">
        <f>44/12*HW63+$JZ63+$IW63</f>
        <v>2.0955677414422849</v>
      </c>
      <c r="LE63" s="528">
        <f>LC63/$LO63</f>
        <v>24.653738134615114</v>
      </c>
      <c r="LF63" s="599">
        <f>44/12*I63+$JZ63+$JD63</f>
        <v>26.955552571411669</v>
      </c>
      <c r="LH63" s="528">
        <f>LF63/$LO63</f>
        <v>317.12414789896081</v>
      </c>
      <c r="LI63" s="31">
        <v>0.25</v>
      </c>
      <c r="LJ63" s="32">
        <f t="shared" si="578"/>
        <v>4.5</v>
      </c>
      <c r="LK63" s="27">
        <v>18</v>
      </c>
      <c r="LO63" s="35">
        <v>8.5000000000000006E-2</v>
      </c>
    </row>
    <row r="64" spans="1:329" s="4" customFormat="1" x14ac:dyDescent="0.25">
      <c r="A64" s="14"/>
      <c r="H64" s="33"/>
      <c r="J64" s="33"/>
      <c r="M64" s="32"/>
      <c r="N64" s="32"/>
      <c r="O64" s="32"/>
      <c r="P64" s="32"/>
      <c r="Q64" s="32"/>
      <c r="U64" s="60"/>
      <c r="X64" s="60"/>
      <c r="Y64" s="60"/>
      <c r="AC64" s="60"/>
      <c r="AD64" s="60"/>
      <c r="AE64" s="60"/>
      <c r="AF64" s="60"/>
      <c r="AG64" s="60"/>
      <c r="AH64" s="60"/>
      <c r="AI64" s="60"/>
      <c r="AJ64" s="60"/>
      <c r="AK64" s="60"/>
      <c r="AL64" s="60"/>
      <c r="AM64" s="60"/>
      <c r="AN64" s="60"/>
      <c r="AO64" s="60"/>
      <c r="AP64" s="60"/>
      <c r="AQ64" s="60"/>
      <c r="AR64" s="60"/>
      <c r="AS64" s="60"/>
      <c r="AT64" s="60"/>
      <c r="AU64" s="60"/>
      <c r="AV64" s="60"/>
      <c r="AW64" s="60"/>
      <c r="AX64" s="60"/>
      <c r="AY64" s="60"/>
      <c r="AZ64" s="60"/>
      <c r="BA64" s="60"/>
      <c r="BB64" s="60"/>
      <c r="BC64" s="60"/>
      <c r="BD64" s="60"/>
      <c r="BE64" s="60"/>
      <c r="BF64" s="60"/>
      <c r="BJ64" s="67"/>
      <c r="BK64" s="106"/>
      <c r="BL64" s="145"/>
      <c r="BM64" s="145"/>
      <c r="BN64" s="145"/>
      <c r="BO64" s="145"/>
      <c r="BP64" s="145"/>
      <c r="BQ64" s="145"/>
      <c r="BR64" s="145"/>
      <c r="BS64" s="145"/>
      <c r="BT64" s="145"/>
      <c r="BU64" s="106"/>
      <c r="BV64" s="145"/>
      <c r="BW64" s="145"/>
      <c r="BX64" s="145"/>
      <c r="BY64" s="145"/>
      <c r="BZ64" s="145"/>
      <c r="CA64" s="145"/>
      <c r="CB64" s="145"/>
      <c r="CC64" s="145"/>
      <c r="CD64" s="145"/>
      <c r="CE64" s="60"/>
      <c r="CF64" s="106"/>
      <c r="CG64" s="145"/>
      <c r="CH64" s="145"/>
      <c r="CI64" s="145"/>
      <c r="CJ64" s="145"/>
      <c r="CK64" s="145"/>
      <c r="CL64" s="145"/>
      <c r="CM64" s="145"/>
      <c r="CN64" s="145"/>
      <c r="CO64" s="145"/>
      <c r="CP64" s="106"/>
      <c r="CQ64" s="145"/>
      <c r="CR64" s="145"/>
      <c r="CS64" s="145"/>
      <c r="CT64" s="145"/>
      <c r="CU64" s="145"/>
      <c r="CV64" s="145"/>
      <c r="CW64" s="145"/>
      <c r="CX64" s="145"/>
      <c r="CY64" s="145"/>
      <c r="CZ64" s="60"/>
      <c r="DA64" s="60"/>
      <c r="DB64" s="60"/>
      <c r="DC64" s="32"/>
      <c r="DD64" s="32"/>
      <c r="DE64" s="67"/>
      <c r="DF64" s="270"/>
      <c r="DL64" s="123"/>
      <c r="DM64" s="123"/>
      <c r="DN64" s="60"/>
      <c r="DS64" s="60"/>
      <c r="DT64" s="60"/>
      <c r="DU64" s="60"/>
      <c r="EE64" s="60"/>
      <c r="EF64" s="60"/>
      <c r="EG64" s="60"/>
      <c r="EH64" s="60"/>
      <c r="EI64" s="123"/>
      <c r="EJ64" s="60"/>
      <c r="EK64" s="60"/>
      <c r="EL64" s="60"/>
      <c r="EM64" s="126"/>
      <c r="EN64" s="126"/>
      <c r="EO64" s="126"/>
      <c r="EP64" s="126"/>
      <c r="EQ64" s="126"/>
      <c r="ER64" s="126"/>
      <c r="ES64" s="126"/>
      <c r="ET64" s="126"/>
      <c r="EU64" s="126"/>
      <c r="EV64" s="60"/>
      <c r="EW64" s="542"/>
      <c r="EX64" s="542"/>
      <c r="EY64" s="542"/>
      <c r="EZ64" s="542"/>
      <c r="FA64" s="542"/>
      <c r="FB64" s="542"/>
      <c r="FC64" s="542"/>
      <c r="FD64" s="60"/>
      <c r="FE64" s="60"/>
      <c r="FF64" s="60"/>
      <c r="FG64" s="60"/>
      <c r="FH64" s="60"/>
      <c r="FI64" s="542"/>
      <c r="FJ64" s="542"/>
      <c r="FK64" s="542"/>
      <c r="FL64" s="542"/>
      <c r="FM64" s="542"/>
      <c r="FN64" s="542"/>
      <c r="FO64" s="542"/>
      <c r="FP64" s="542"/>
      <c r="FQ64" s="542"/>
      <c r="FR64" s="60"/>
      <c r="FS64" s="542"/>
      <c r="FT64" s="542"/>
      <c r="FU64" s="542"/>
      <c r="FV64" s="542"/>
      <c r="FW64" s="542"/>
      <c r="FX64" s="542"/>
      <c r="FY64" s="542"/>
      <c r="FZ64" s="60"/>
      <c r="GA64" s="60"/>
      <c r="GB64" s="60"/>
      <c r="GQ64" s="33"/>
      <c r="GR64" s="99"/>
      <c r="GS64" s="99"/>
      <c r="GT64" s="99"/>
      <c r="GU64" s="99"/>
      <c r="GV64" s="99"/>
      <c r="GW64" s="99"/>
      <c r="GX64" s="99"/>
      <c r="GY64" s="99"/>
      <c r="GZ64" s="99"/>
      <c r="HA64" s="99"/>
      <c r="HB64" s="99"/>
      <c r="HF64" s="60"/>
      <c r="HG64" s="264"/>
      <c r="HH64" s="97"/>
      <c r="HI64" s="97"/>
      <c r="HJ64" s="60"/>
      <c r="HK64" s="264"/>
      <c r="HL64" s="97"/>
      <c r="HM64" s="97"/>
      <c r="HN64" s="60"/>
      <c r="HO64" s="264"/>
      <c r="HP64" s="97"/>
      <c r="HQ64" s="97"/>
      <c r="HR64" s="60"/>
      <c r="HS64" s="32"/>
      <c r="HT64" s="97"/>
      <c r="HU64" s="97"/>
      <c r="HV64" s="60"/>
      <c r="HW64" s="32"/>
      <c r="HX64" s="97"/>
      <c r="HY64" s="97"/>
      <c r="HZ64" s="60"/>
      <c r="IA64" s="32"/>
      <c r="IB64" s="97"/>
      <c r="IC64" s="97"/>
      <c r="ID64" s="60"/>
      <c r="IF64" s="60"/>
      <c r="IG64" s="60"/>
      <c r="II64" s="60"/>
      <c r="IJ64" s="60"/>
      <c r="IL64" s="60"/>
      <c r="IM64" s="60"/>
      <c r="IN64" s="60"/>
      <c r="IO64" s="60"/>
      <c r="IP64" s="97"/>
      <c r="IQ64" s="49"/>
      <c r="IS64" s="97"/>
      <c r="IT64" s="97"/>
      <c r="IU64" s="601"/>
      <c r="IV64" s="49"/>
      <c r="IW64" s="60"/>
      <c r="IX64" s="100"/>
      <c r="IY64" s="100"/>
      <c r="IZ64" s="100"/>
      <c r="JA64" s="100"/>
      <c r="JB64" s="100"/>
      <c r="JC64" s="49"/>
      <c r="JD64" s="60"/>
      <c r="JE64" s="100"/>
      <c r="JF64" s="100"/>
      <c r="JG64" s="100"/>
      <c r="JH64" s="100"/>
      <c r="JI64" s="100"/>
      <c r="JJ64" s="97"/>
      <c r="JK64" s="97"/>
      <c r="JL64" s="97"/>
      <c r="JM64" s="97"/>
      <c r="JN64" s="97"/>
      <c r="JO64" s="97"/>
      <c r="JP64" s="97"/>
      <c r="JQ64" s="97"/>
      <c r="JR64" s="97"/>
      <c r="JS64" s="97"/>
      <c r="JT64" s="97"/>
      <c r="JU64" s="97"/>
      <c r="JV64" s="97"/>
      <c r="JW64" s="97"/>
      <c r="JX64" s="97"/>
      <c r="JY64" s="522"/>
      <c r="KA64" s="97"/>
      <c r="KB64" s="97"/>
      <c r="KC64" s="49"/>
      <c r="KD64" s="49"/>
      <c r="KE64" s="49"/>
      <c r="KF64" s="49"/>
      <c r="KG64" s="49"/>
      <c r="KH64" s="49"/>
      <c r="KQ64" s="60"/>
      <c r="KR64" s="60"/>
      <c r="KS64" s="60"/>
    </row>
    <row r="65" spans="1:329" s="4" customFormat="1" ht="13.8" x14ac:dyDescent="0.3">
      <c r="A65" s="15" t="s">
        <v>309</v>
      </c>
      <c r="B65" s="152">
        <f>B66+B67+B68+B69</f>
        <v>55.489999999999995</v>
      </c>
      <c r="C65" s="152">
        <f>C66+C67+C68+C69</f>
        <v>39</v>
      </c>
      <c r="D65" s="152">
        <f>D66+D67+D68+D69</f>
        <v>16.490000000000002</v>
      </c>
      <c r="F65" s="153"/>
      <c r="G65" s="153">
        <f>V65/B65</f>
        <v>1.4085320598306004</v>
      </c>
      <c r="I65" s="153">
        <f>Y65/C65</f>
        <v>0.93852923076923078</v>
      </c>
      <c r="K65" s="153">
        <f>AA65/D65</f>
        <v>2.5201215281989082</v>
      </c>
      <c r="L65" s="153">
        <f>($B66*L66+$B67*L67+$B68*L68+$B69*L69)/$B65</f>
        <v>0.3802191437917341</v>
      </c>
      <c r="M65" s="153">
        <f>($B66*M66+$B67*M67+$B68*M68+$B69*M69)/$B65</f>
        <v>0.34568347381488446</v>
      </c>
      <c r="N65" s="153"/>
      <c r="O65" s="153">
        <f t="shared" ref="O65" si="588">($C66*O66+$C67*O67+$C68*O68+$C69*O69)/$C65</f>
        <v>0.23033486707298501</v>
      </c>
      <c r="P65" s="153"/>
      <c r="Q65" s="153">
        <f>($D66*Q66+$D67*Q67+$D68*Q68+$D69*Q69)/$D65</f>
        <v>0.61849097308317302</v>
      </c>
      <c r="U65" s="152">
        <f>U66+U67+U68+U69</f>
        <v>85.967999999999989</v>
      </c>
      <c r="V65" s="152">
        <f>V66+V67+V68+V69</f>
        <v>78.159444000000008</v>
      </c>
      <c r="W65" s="592">
        <f>V65/V$17</f>
        <v>2.0612350699188969E-2</v>
      </c>
      <c r="Y65" s="152">
        <f>Y66+Y67+Y68+Y69</f>
        <v>36.602640000000001</v>
      </c>
      <c r="AA65" s="152">
        <f>AA66+AA67+AA68+AA69</f>
        <v>41.556804</v>
      </c>
      <c r="AB65" s="154"/>
      <c r="AC65" s="265">
        <f t="shared" ref="AC65:AK65" si="589">($B66*AC66+$B67*AC67+$B68*AC68+$B69*AC69)/$B65</f>
        <v>0.36957615599694965</v>
      </c>
      <c r="AD65" s="265">
        <f t="shared" si="589"/>
        <v>0.19023825955619542</v>
      </c>
      <c r="AE65" s="265">
        <f t="shared" si="589"/>
        <v>1.3387528957409076E-3</v>
      </c>
      <c r="AF65" s="265">
        <f t="shared" si="589"/>
        <v>0.14046256745597349</v>
      </c>
      <c r="AG65" s="265">
        <f t="shared" si="589"/>
        <v>4.8279294814403254E-2</v>
      </c>
      <c r="AH65" s="265">
        <f t="shared" si="589"/>
        <v>0.18102972732070741</v>
      </c>
      <c r="AI65" s="265">
        <f t="shared" si="589"/>
        <v>5.4626418586498554E-2</v>
      </c>
      <c r="AJ65" s="265">
        <f t="shared" si="589"/>
        <v>1.443965421860941E-2</v>
      </c>
      <c r="AK65" s="265">
        <f t="shared" si="589"/>
        <v>0</v>
      </c>
      <c r="AL65" s="154"/>
      <c r="AM65" s="154"/>
      <c r="AN65" s="154"/>
      <c r="AO65" s="154"/>
      <c r="AP65" s="154"/>
      <c r="AQ65" s="154"/>
      <c r="AR65" s="154"/>
      <c r="AS65" s="154"/>
      <c r="AT65" s="154"/>
      <c r="AU65" s="154"/>
      <c r="AV65" s="154"/>
      <c r="AW65" s="154"/>
      <c r="AX65" s="154"/>
      <c r="AY65" s="154"/>
      <c r="AZ65" s="154"/>
      <c r="BA65" s="154"/>
      <c r="BB65" s="154"/>
      <c r="BC65" s="154"/>
      <c r="BD65" s="152">
        <f>BD66+BD67+BD68+BD69</f>
        <v>9.3587682596157649</v>
      </c>
      <c r="BE65" s="152">
        <f t="shared" ref="BE65:BF65" si="590">BE66+BE67+BE68+BE69</f>
        <v>4.1839821434118747</v>
      </c>
      <c r="BF65" s="152">
        <f t="shared" si="590"/>
        <v>5.1747861162038911</v>
      </c>
      <c r="BG65" s="152">
        <f>($B66*BG66+$B67*BG67+$B68*BG68+$B69*BG69)/$B65</f>
        <v>168.65684374870725</v>
      </c>
      <c r="BH65" s="152">
        <f>($B66*BH66+$B67*BH67+$B68*BH68+$B69*BH69)/$B65</f>
        <v>75.400651350006768</v>
      </c>
      <c r="BI65" s="152">
        <f>($B66*BI66+$B67*BI67+$B68*BI68+$B69*BI69)/$B65</f>
        <v>93.256192398700506</v>
      </c>
      <c r="BJ65" s="152">
        <f>($C66*BJ66+$C67*BJ67+$C68*BJ68+$C69*BJ69)/$C65</f>
        <v>210.46307208806488</v>
      </c>
      <c r="BK65" s="144">
        <f t="shared" ref="BK65:BU65" si="591">($C66*BK66+$C67*BK67+$C68*BK68+$C69*BK69)/$C65</f>
        <v>94.988611051642437</v>
      </c>
      <c r="BL65" s="144"/>
      <c r="BM65" s="144"/>
      <c r="BN65" s="144"/>
      <c r="BO65" s="144"/>
      <c r="BP65" s="144"/>
      <c r="BQ65" s="144"/>
      <c r="BR65" s="144"/>
      <c r="BS65" s="144"/>
      <c r="BT65" s="144"/>
      <c r="BU65" s="144">
        <f t="shared" si="591"/>
        <v>115.47446103642244</v>
      </c>
      <c r="BV65" s="144"/>
      <c r="BW65" s="144"/>
      <c r="BX65" s="144"/>
      <c r="BY65" s="144"/>
      <c r="BZ65" s="144"/>
      <c r="CA65" s="144"/>
      <c r="CB65" s="144"/>
      <c r="CC65" s="144"/>
      <c r="CD65" s="144"/>
      <c r="CE65" s="144">
        <f>($D66*CE66+$D67*CE67+$D68*CE68+$D69*CE69)/$D65</f>
        <v>69.782198191706186</v>
      </c>
      <c r="CF65" s="144">
        <f>($D66*CF66+$D67*CF67+$D68*CF68+$D69*CF69)/$D65</f>
        <v>29.07376060629591</v>
      </c>
      <c r="CG65" s="144"/>
      <c r="CH65" s="144"/>
      <c r="CI65" s="144"/>
      <c r="CJ65" s="144"/>
      <c r="CK65" s="144"/>
      <c r="CL65" s="144"/>
      <c r="CM65" s="144"/>
      <c r="CN65" s="144"/>
      <c r="CO65" s="144"/>
      <c r="CP65" s="144">
        <f>($D66*CP66+$D67*CP67+$D68*CP68+$D69*CP69)/$D65</f>
        <v>40.708437585410266</v>
      </c>
      <c r="CQ65" s="144"/>
      <c r="CR65" s="144"/>
      <c r="CS65" s="144"/>
      <c r="CT65" s="144"/>
      <c r="CU65" s="144"/>
      <c r="CV65" s="144"/>
      <c r="CW65" s="144"/>
      <c r="CX65" s="144"/>
      <c r="CY65" s="144"/>
      <c r="CZ65" s="152">
        <f>CZ66+CZ67+CZ68+CZ69</f>
        <v>4.0230001871529177</v>
      </c>
      <c r="DA65" s="152">
        <f t="shared" ref="DA65:DB65" si="592">DA66+DA67+DA68+DA69</f>
        <v>0.1419106</v>
      </c>
      <c r="DB65" s="152">
        <f t="shared" si="592"/>
        <v>3.8810895871529185</v>
      </c>
      <c r="DC65" s="153">
        <f>($B66*DC66+$B67*DC67+$B68*DC68+$B69*DC69)/$B65</f>
        <v>72.499552841105029</v>
      </c>
      <c r="DD65" s="153">
        <f>($B66*DD66+$B67*DD67+$B68*DD68+$B69*DD69)/$B65</f>
        <v>2.5574085420796542</v>
      </c>
      <c r="DE65" s="152">
        <f>($B66*DE66+$B67*DE67+$B68*DE68+$B69*DE69)/$B65</f>
        <v>69.942144299025387</v>
      </c>
      <c r="DF65" s="270"/>
      <c r="DG65" s="152">
        <f>($C66*DG66+$C67*DG67+$C68*DG68+$C69*DG69)/$C65</f>
        <v>89.512111802957847</v>
      </c>
      <c r="DH65" s="153">
        <f t="shared" ref="DH65:DI65" si="593">($C66*DH66+$C67*DH67+$C68*DH68+$C69*DH69)/$C65</f>
        <v>2.9062660256410258</v>
      </c>
      <c r="DI65" s="152">
        <f t="shared" si="593"/>
        <v>86.60584577731683</v>
      </c>
      <c r="DJ65" s="152"/>
      <c r="DL65" s="123"/>
      <c r="DM65" s="123"/>
      <c r="DN65" s="152">
        <f>($D66*DN66+$D67*DN67+$D68*DN68+$D69*DN69)/$D65</f>
        <v>32.263664453460365</v>
      </c>
      <c r="DO65" s="153">
        <f>($D66*DO66+$D67*DO67+$D68*DO68+$D69*DO69)/$D65</f>
        <v>1.7323362644026683</v>
      </c>
      <c r="DP65" s="152">
        <f>($D66*DP66+$D67*DP67+$D68*DP68+$D69*DP69)/$D65</f>
        <v>30.5313281890577</v>
      </c>
      <c r="DQ65" s="152"/>
      <c r="DS65" s="154"/>
      <c r="DT65" s="154"/>
      <c r="DU65" s="154"/>
      <c r="DV65" s="152">
        <f t="shared" ref="DV65:DX69" si="594">BG65-DC65</f>
        <v>96.157290907602217</v>
      </c>
      <c r="DW65" s="152">
        <f t="shared" si="594"/>
        <v>72.843242807927112</v>
      </c>
      <c r="DX65" s="152">
        <f t="shared" si="594"/>
        <v>23.314048099675119</v>
      </c>
      <c r="DY65" s="152">
        <f t="shared" ref="DY65:DZ69" si="595">BJ65-DG65</f>
        <v>120.95096028510703</v>
      </c>
      <c r="DZ65" s="152">
        <f t="shared" si="595"/>
        <v>92.082345026001406</v>
      </c>
      <c r="EA65" s="152">
        <f>BU65-DI65</f>
        <v>28.86861525910561</v>
      </c>
      <c r="EB65" s="152">
        <f t="shared" ref="EB65:EC69" si="596">CE65-DN65</f>
        <v>37.518533738245821</v>
      </c>
      <c r="EC65" s="152">
        <f t="shared" si="596"/>
        <v>27.341424341893241</v>
      </c>
      <c r="ED65" s="152">
        <f>CP65-DP65</f>
        <v>10.177109396352567</v>
      </c>
      <c r="EE65" s="152">
        <f>($B66*EE66+$B67*EE67+$B68*EE68+$B69*EE69)/$B65</f>
        <v>76.014837468559961</v>
      </c>
      <c r="EF65" s="144"/>
      <c r="EG65" s="144"/>
      <c r="EH65" s="152">
        <f t="shared" ref="EH65" si="597">($C66*EH66+$C67*EH67+$C68*EH68+$C69*EH69)/$C65</f>
        <v>95.538345042618602</v>
      </c>
      <c r="EI65" s="144"/>
      <c r="EJ65" s="144"/>
      <c r="EK65" s="144"/>
      <c r="EL65" s="144"/>
      <c r="EM65" s="550"/>
      <c r="EN65" s="550"/>
      <c r="EO65" s="550"/>
      <c r="EP65" s="550"/>
      <c r="EQ65" s="550"/>
      <c r="ER65" s="550"/>
      <c r="ES65" s="550"/>
      <c r="ET65" s="550"/>
      <c r="EU65" s="550"/>
      <c r="EV65" s="144"/>
      <c r="EW65" s="555"/>
      <c r="EX65" s="555"/>
      <c r="EY65" s="555"/>
      <c r="EZ65" s="555"/>
      <c r="FA65" s="555"/>
      <c r="FB65" s="555"/>
      <c r="FC65" s="555"/>
      <c r="FD65" s="152">
        <f>($D66*FD66+$D67*FD67+$D68*FD68+$D69*FD69)/$D65</f>
        <v>29.840380501410998</v>
      </c>
      <c r="FE65" s="144"/>
      <c r="FF65" s="144"/>
      <c r="FG65" s="144"/>
      <c r="FH65" s="144"/>
      <c r="FI65" s="555"/>
      <c r="FJ65" s="555"/>
      <c r="FK65" s="555"/>
      <c r="FL65" s="555"/>
      <c r="FM65" s="555"/>
      <c r="FN65" s="555"/>
      <c r="FO65" s="555"/>
      <c r="FP65" s="555"/>
      <c r="FQ65" s="555"/>
      <c r="FR65" s="144"/>
      <c r="FS65" s="555"/>
      <c r="FT65" s="555"/>
      <c r="FU65" s="555"/>
      <c r="FV65" s="555"/>
      <c r="FW65" s="555"/>
      <c r="FX65" s="555"/>
      <c r="FY65" s="555"/>
      <c r="FZ65" s="60"/>
      <c r="GA65" s="60"/>
      <c r="GB65" s="60"/>
      <c r="GP65" s="153">
        <f>($B66*GP66+$B67*GP67+$B68*GP68+$B69*GP69)/$B65</f>
        <v>6.379136781402055</v>
      </c>
      <c r="GQ65" s="153">
        <f t="shared" ref="GQ65:GR65" si="598">($C66*GQ66+$C67*GQ67+$C68*GQ68+$C69*GQ69)/$C65</f>
        <v>7.7983076923076924</v>
      </c>
      <c r="GR65" s="153">
        <f t="shared" si="598"/>
        <v>6.0817435897435894</v>
      </c>
      <c r="GS65" s="153"/>
      <c r="GT65" s="153"/>
      <c r="GU65" s="153"/>
      <c r="GV65" s="153"/>
      <c r="GW65" s="153"/>
      <c r="GX65" s="153"/>
      <c r="GY65" s="153"/>
      <c r="GZ65" s="153"/>
      <c r="HA65" s="153"/>
      <c r="HB65" s="153"/>
      <c r="HC65" s="49"/>
      <c r="HD65" s="49"/>
      <c r="HE65" s="49"/>
      <c r="HF65" s="123"/>
      <c r="HG65" s="524">
        <f>EE65/'Discounting metrics'!E$4/M65</f>
        <v>2.1989722745399845</v>
      </c>
      <c r="HH65" s="149"/>
      <c r="HI65" s="149"/>
      <c r="HJ65" s="123"/>
      <c r="HK65" s="524">
        <f>EH65/'Discounting metrics'!E$4/O65</f>
        <v>4.1478021220445909</v>
      </c>
      <c r="HL65" s="149"/>
      <c r="HM65" s="149"/>
      <c r="HN65" s="123"/>
      <c r="HO65" s="524">
        <f>FD65/'Discounting metrics'!E$4/Q65</f>
        <v>0.48247075220284807</v>
      </c>
      <c r="HP65" s="149"/>
      <c r="HQ65" s="149"/>
      <c r="HR65" s="123"/>
      <c r="HS65" s="525">
        <f>$IM$11*IE65</f>
        <v>2.2591937833175759</v>
      </c>
      <c r="HT65" s="149"/>
      <c r="HU65" s="149"/>
      <c r="HV65" s="123"/>
      <c r="HW65" s="525">
        <f>$IM$11*IH65</f>
        <v>4.1448695800029576</v>
      </c>
      <c r="HX65" s="149"/>
      <c r="HY65" s="149"/>
      <c r="HZ65" s="123"/>
      <c r="IA65" s="525">
        <f>$IM$11*IK65</f>
        <v>1.2038293518884611</v>
      </c>
      <c r="IB65" s="149"/>
      <c r="IC65" s="149"/>
      <c r="ID65" s="123"/>
      <c r="IE65" s="525">
        <f>GP65/G65</f>
        <v>4.5289255128273425</v>
      </c>
      <c r="IF65" s="123"/>
      <c r="IG65" s="123"/>
      <c r="IH65" s="525">
        <f>GQ65/I65</f>
        <v>8.3090727881923279</v>
      </c>
      <c r="II65" s="123"/>
      <c r="IJ65" s="123"/>
      <c r="IK65" s="525">
        <f>GR65/K65</f>
        <v>2.4132739321068049</v>
      </c>
      <c r="IL65" s="123"/>
      <c r="IM65" s="123"/>
      <c r="IN65" s="123"/>
      <c r="IO65" s="123"/>
      <c r="IP65" s="152">
        <f t="shared" ref="IP65" si="599">IP66+IP67+IP68+IP69</f>
        <v>27.691731269999998</v>
      </c>
      <c r="IQ65" s="49"/>
      <c r="IR65" s="472">
        <f>($V66*IR66+$V67*IR67+$V68*IR68+$V69*IR69)/$V65</f>
        <v>0.35429795623929972</v>
      </c>
      <c r="IS65" s="149"/>
      <c r="IT65" s="149"/>
      <c r="IU65" s="594">
        <f>($B66*IU66+$B67*IU67+$B68*IU68+$B69*IU69)/$B65</f>
        <v>9.1469634168318634E-3</v>
      </c>
      <c r="IV65" s="49"/>
      <c r="IW65" s="60"/>
      <c r="IX65" s="594">
        <f>($C66*IX66+$C67*IX67+$C68*IX68+$C69*IX69)/$C65</f>
        <v>1.0706666666666666E-2</v>
      </c>
      <c r="IY65" s="594"/>
      <c r="IZ65" s="594"/>
      <c r="JA65" s="594"/>
      <c r="JB65" s="594"/>
      <c r="JC65" s="49"/>
      <c r="JD65" s="60"/>
      <c r="JE65" s="594">
        <f>($D66*JE66+$D67*JE67+$D68*JE68+$D69*JE69)/$D65</f>
        <v>5.4581564584596717E-3</v>
      </c>
      <c r="JF65" s="594"/>
      <c r="JG65" s="594"/>
      <c r="JH65" s="594"/>
      <c r="JI65" s="594"/>
      <c r="JJ65" s="595"/>
      <c r="JK65" s="595"/>
      <c r="JL65" s="595"/>
      <c r="JM65" s="595"/>
      <c r="JN65" s="595"/>
      <c r="JO65" s="595"/>
      <c r="JP65" s="595"/>
      <c r="JQ65" s="595"/>
      <c r="JR65" s="595"/>
      <c r="JS65" s="152">
        <f>JS66+JS67+JS68+JS69</f>
        <v>90.860789873117596</v>
      </c>
      <c r="JT65" s="152">
        <f>JT66+JT67+JT68+JT69</f>
        <v>33.403839172260717</v>
      </c>
      <c r="JU65" s="152">
        <f>JU66+JU67+JU68+JU69</f>
        <v>4.8960327569527999</v>
      </c>
      <c r="JV65" s="152">
        <f t="shared" ref="JV65:JW65" si="600">JV66+JV67+JV68+JV69</f>
        <v>22.8783504099856</v>
      </c>
      <c r="JW65" s="152">
        <f t="shared" si="600"/>
        <v>29.682567533918476</v>
      </c>
      <c r="JX65" s="152"/>
      <c r="JY65" s="522"/>
      <c r="JZ65" s="472">
        <f>($V66*JZ66+$V67*JZ67+$V68*JZ68+$V69*JZ69)/$V65</f>
        <v>1.1625055811952498</v>
      </c>
      <c r="KA65" s="149"/>
      <c r="KB65" s="149"/>
      <c r="KC65" s="123"/>
      <c r="KD65" s="149">
        <f>($V66*KD66+$V67*KD67+$V68*KD68+$V69*KD69)/$V65</f>
        <v>0.49002231808626379</v>
      </c>
      <c r="KE65" s="49"/>
      <c r="KF65" s="149">
        <f>($V66*KF66+$V67*KF67+$V68*KF68+$V69*KF69)/$V65</f>
        <v>0.6724832631089861</v>
      </c>
      <c r="KG65" s="123"/>
      <c r="KH65" s="149">
        <f>($V66*KH66+$V67*KH67+$V68*KH68+$V69*KH69)/$V65</f>
        <v>0</v>
      </c>
      <c r="KI65" s="149">
        <f>($U66*KI66+$U67*KI67+$U68*KI68+$U69*KI69)/$U65</f>
        <v>0.38856131551578171</v>
      </c>
      <c r="KJ65" s="149">
        <f>($V66*KJ66+$V67*KJ67+$V68*KJ68+$V69*KJ69)/$V65</f>
        <v>0.42738071642706049</v>
      </c>
      <c r="KK65" s="149">
        <f>($U66*KK66+$U67*KK67+$U68*KK68+$U69*KK69)/$U65</f>
        <v>5.6951804822175697E-2</v>
      </c>
      <c r="KL65" s="149">
        <f>($V66*KL66+$V67*KL67+$V68*KL68+$V69*KL69)/$V65</f>
        <v>6.2641601659203197E-2</v>
      </c>
      <c r="KM65" s="149">
        <f>($U66*KM66+$U67*KM67+$U68*KM68+$U69*KM69)/$U65</f>
        <v>0.26612635410833801</v>
      </c>
      <c r="KN65" s="149">
        <f>($V66*KN66+$V67*KN67+$V68*KN68+$V69*KN69)/$V65</f>
        <v>0.29271383263659856</v>
      </c>
      <c r="KO65" s="149">
        <f>($U66*KO66+$U67*KO67+$U68*KO68+$U69*KO69)/$U65</f>
        <v>0.34527460838821977</v>
      </c>
      <c r="KP65" s="149">
        <f>($V66*KP66+$V67*KP67+$V68*KP68+$V69*KP69)/$V65</f>
        <v>0.37976943047238759</v>
      </c>
      <c r="KQ65" s="149">
        <f>($V66*KQ66+$V67*KQ67+$V68*KQ68+$V69*KQ69)/$V65</f>
        <v>9.5797018774144913</v>
      </c>
      <c r="KR65" s="60"/>
      <c r="KS65" s="60"/>
      <c r="KT65" s="149"/>
      <c r="KZ65" s="149">
        <f>($V66*KZ66+$V67*KZ67+$V68*KZ68+$V69*KZ69)/$V65</f>
        <v>9.8005140762656637</v>
      </c>
      <c r="LI65" s="16"/>
    </row>
    <row r="66" spans="1:329" s="4" customFormat="1" x14ac:dyDescent="0.25">
      <c r="A66" s="14" t="s">
        <v>471</v>
      </c>
      <c r="B66" s="67">
        <f t="shared" ref="B66:B69" si="601">C66+D66</f>
        <v>10.51</v>
      </c>
      <c r="C66" s="33">
        <v>10</v>
      </c>
      <c r="D66" s="33">
        <v>0.51</v>
      </c>
      <c r="E66" s="38">
        <f t="shared" ref="E66:E69" si="602">D66/B66</f>
        <v>4.8525214081826834E-2</v>
      </c>
      <c r="F66" s="108">
        <f>U66/B66</f>
        <v>0.72386298763082779</v>
      </c>
      <c r="G66" s="32">
        <f>V66/B66</f>
        <v>0.65147668886774512</v>
      </c>
      <c r="H66" s="33">
        <v>0.67</v>
      </c>
      <c r="I66" s="32">
        <f>$LI66*H66</f>
        <v>0.60300000000000009</v>
      </c>
      <c r="J66" s="33">
        <v>1.78</v>
      </c>
      <c r="K66" s="32">
        <f>$LI66*J66</f>
        <v>1.6020000000000001</v>
      </c>
      <c r="L66" s="32">
        <f>(F66/'Discounting metrics'!$D$4*(1-EXP(-'Discounting metrics'!$D$4*'Discounting metrics'!$E$4)))/'Discounting metrics'!$E$4</f>
        <v>0.17765124363611531</v>
      </c>
      <c r="M66" s="32">
        <f>(G66/'Discounting metrics'!$D$4*(1-EXP(-'Discounting metrics'!$D$4*'Discounting metrics'!$E$4)))/'Discounting metrics'!$E$4</f>
        <v>0.15988611927250379</v>
      </c>
      <c r="N66" s="32">
        <f>(H66/'Discounting metrics'!$D$4*(1-EXP(-'Discounting metrics'!$D$4*'Discounting metrics'!$E$4)))/'Discounting metrics'!$E$4</f>
        <v>0.16443213048613703</v>
      </c>
      <c r="O66" s="32">
        <f>(I66/'Discounting metrics'!$D$4*(1-EXP(-'Discounting metrics'!$D$4*'Discounting metrics'!$E$4)))/'Discounting metrics'!$E$4</f>
        <v>0.14798891743752335</v>
      </c>
      <c r="P66" s="32">
        <f>(J66/'Discounting metrics'!$D$4*(1-EXP(-'Discounting metrics'!$D$4*'Discounting metrics'!$E$4)))/'Discounting metrics'!$E$4</f>
        <v>0.43684954069451332</v>
      </c>
      <c r="Q66" s="32">
        <f>(K66/'Discounting metrics'!$D$4*(1-EXP(-'Discounting metrics'!$D$4*'Discounting metrics'!$E$4)))/'Discounting metrics'!$E$4</f>
        <v>0.39316458662506198</v>
      </c>
      <c r="R66" s="32">
        <f>10/G66</f>
        <v>15.349743392015794</v>
      </c>
      <c r="S66" s="32">
        <f>10/I66</f>
        <v>16.583747927031506</v>
      </c>
      <c r="T66" s="32">
        <f>10/K66</f>
        <v>6.2421972534332077</v>
      </c>
      <c r="U66" s="108">
        <f t="shared" ref="U66:V69" si="603">X66+Z66</f>
        <v>7.6078000000000001</v>
      </c>
      <c r="V66" s="68">
        <f t="shared" si="603"/>
        <v>6.8470200000000014</v>
      </c>
      <c r="W66" s="68"/>
      <c r="X66" s="67">
        <f>C66*H66</f>
        <v>6.7</v>
      </c>
      <c r="Y66" s="67">
        <f t="shared" ref="Y66:Z69" si="604">C66*I66</f>
        <v>6.0300000000000011</v>
      </c>
      <c r="Z66" s="67">
        <f t="shared" si="604"/>
        <v>0.90780000000000005</v>
      </c>
      <c r="AA66" s="67">
        <f>D66*K66</f>
        <v>0.81702000000000008</v>
      </c>
      <c r="AB66" s="38">
        <f t="shared" ref="AB66:AB69" si="605">AA66/V66</f>
        <v>0.11932490338862745</v>
      </c>
      <c r="AC66" s="294">
        <f t="shared" ref="AC66:AK69" si="606">($C66*AL66+$D66*AU66)/$B66</f>
        <v>0.76610486953026102</v>
      </c>
      <c r="AD66" s="294">
        <f t="shared" si="606"/>
        <v>0.10160699497725167</v>
      </c>
      <c r="AE66" s="294">
        <f t="shared" si="606"/>
        <v>4.5226921816641469E-6</v>
      </c>
      <c r="AF66" s="294">
        <f t="shared" si="606"/>
        <v>8.9944508252901609E-2</v>
      </c>
      <c r="AG66" s="294">
        <f t="shared" si="606"/>
        <v>5.0850787431161622E-4</v>
      </c>
      <c r="AH66" s="294">
        <f t="shared" si="606"/>
        <v>4.871224293203592E-4</v>
      </c>
      <c r="AI66" s="294">
        <f t="shared" si="606"/>
        <v>2.3033138685372287E-3</v>
      </c>
      <c r="AJ66" s="294">
        <f t="shared" si="606"/>
        <v>3.9030663702714796E-2</v>
      </c>
      <c r="AK66" s="294">
        <f t="shared" si="606"/>
        <v>0</v>
      </c>
      <c r="AL66" s="96">
        <v>0.78411832799860204</v>
      </c>
      <c r="AM66" s="96">
        <v>0.10303976381121234</v>
      </c>
      <c r="AN66" s="96">
        <v>4.7533494829290185E-6</v>
      </c>
      <c r="AO66" s="96">
        <v>9.1720702012678748E-2</v>
      </c>
      <c r="AP66" s="96">
        <v>3.4156063985142448E-4</v>
      </c>
      <c r="AQ66" s="96">
        <v>2.8133436147878148E-4</v>
      </c>
      <c r="AR66" s="96">
        <v>5.2023915002425954E-4</v>
      </c>
      <c r="AS66" s="96">
        <v>1.9963337673850928E-2</v>
      </c>
      <c r="AT66" s="96">
        <v>0</v>
      </c>
      <c r="AU66" s="96">
        <v>0.41289980152357492</v>
      </c>
      <c r="AV66" s="96">
        <v>7.3513488429003251E-2</v>
      </c>
      <c r="AW66" s="96">
        <v>0</v>
      </c>
      <c r="AX66" s="96">
        <v>5.5117179629820261E-2</v>
      </c>
      <c r="AY66" s="96">
        <v>3.7819830598055707E-3</v>
      </c>
      <c r="AZ66" s="96">
        <v>4.5221825830767852E-3</v>
      </c>
      <c r="BA66" s="96">
        <v>3.7265563251144461E-2</v>
      </c>
      <c r="BB66" s="96">
        <v>0.41289980152357492</v>
      </c>
      <c r="BC66" s="96">
        <v>0</v>
      </c>
      <c r="BD66" s="554">
        <f>BG66*$B66/10^3</f>
        <v>3.0747306631158313</v>
      </c>
      <c r="BE66" s="554">
        <f t="shared" ref="BE66:BF69" si="607">BH66*$B66/10^3</f>
        <v>1.5491089226144406</v>
      </c>
      <c r="BF66" s="554">
        <f t="shared" si="607"/>
        <v>1.5256217405013908</v>
      </c>
      <c r="BG66" s="67">
        <f t="shared" ref="BG66:BG69" si="608">BH66+BI66</f>
        <v>292.55286994441781</v>
      </c>
      <c r="BH66" s="67">
        <f>(BK66*$C66+CF66*$D66)/$B66</f>
        <v>147.39380805085068</v>
      </c>
      <c r="BI66" s="67">
        <f>(BU66*$C66+CP66*$D66)/$B66</f>
        <v>145.15906189356716</v>
      </c>
      <c r="BJ66" s="67">
        <f>BK66+BU66</f>
        <v>294.38152428813567</v>
      </c>
      <c r="BK66" s="68">
        <f t="shared" ref="BK66:BK69" si="609">$AL66*BL66+$AM66*BM66+$AN66*BN66+$AO66*BO66+$AP66*BP66+$AQ66*BQ66+$AR66*BR66+$AS66*BS66+$AT66*BT66</f>
        <v>148.23889940279165</v>
      </c>
      <c r="BL66" s="145">
        <v>158.1597416044462</v>
      </c>
      <c r="BM66" s="145">
        <v>173.98349609778842</v>
      </c>
      <c r="BN66" s="145">
        <v>79.494765145012124</v>
      </c>
      <c r="BO66" s="145">
        <v>46.461219109635984</v>
      </c>
      <c r="BP66" s="145">
        <v>10.26897469457788</v>
      </c>
      <c r="BQ66" s="145">
        <v>3.2911807446241643</v>
      </c>
      <c r="BR66" s="145">
        <v>4.6763139511913167E-2</v>
      </c>
      <c r="BS66" s="145">
        <v>101.65823571663827</v>
      </c>
      <c r="BT66" s="145">
        <v>0</v>
      </c>
      <c r="BU66" s="68">
        <f t="shared" ref="BU66:BU69" si="610">$AL66*BV66+$AM66*BW66+$AN66*BX66+$AO66*BY66+$AP66*BZ66+$AQ66*CA66+$AR66*CB66+$AS66*CC66+$AT66*CD66</f>
        <v>146.14262488534402</v>
      </c>
      <c r="BV66" s="145">
        <v>150.49766324553386</v>
      </c>
      <c r="BW66" s="145">
        <v>122.18806455274306</v>
      </c>
      <c r="BX66" s="145">
        <v>159.82852517282123</v>
      </c>
      <c r="BY66" s="145">
        <v>151.14407732565741</v>
      </c>
      <c r="BZ66" s="145">
        <v>102.63136732841335</v>
      </c>
      <c r="CA66" s="145">
        <v>121.55432275288989</v>
      </c>
      <c r="CB66" s="145">
        <v>0.38282876721854725</v>
      </c>
      <c r="CC66" s="145">
        <v>80.706318944746059</v>
      </c>
      <c r="CD66" s="145">
        <v>0</v>
      </c>
      <c r="CE66" s="68">
        <f t="shared" ref="CE66:CE69" si="611">CF66+CP66</f>
        <v>256.69690242053883</v>
      </c>
      <c r="CF66" s="68">
        <f t="shared" ref="CF66:CF69" si="612">$AU66*CG66+$AV66*CH66+$AW66*CI66+$AX66*CJ66+$AY66*CK66+$AZ66*CL66+$BA66*CM66+$BB66*CN66+$BC66*CO66</f>
        <v>130.82338938534181</v>
      </c>
      <c r="CG66" s="145">
        <v>255.90534783686138</v>
      </c>
      <c r="CH66" s="145">
        <v>240.97040144636443</v>
      </c>
      <c r="CI66" s="145">
        <v>0</v>
      </c>
      <c r="CJ66" s="145">
        <v>57.462610280287301</v>
      </c>
      <c r="CK66" s="145">
        <v>5.4034343023211564</v>
      </c>
      <c r="CL66" s="145">
        <v>1.4182871444609981</v>
      </c>
      <c r="CM66" s="145">
        <v>5.2255841304926352E-2</v>
      </c>
      <c r="CN66" s="145">
        <v>10.292021003510158</v>
      </c>
      <c r="CO66" s="145">
        <v>0</v>
      </c>
      <c r="CP66" s="68">
        <f t="shared" ref="CP66:CP69" si="613">$AU66*CQ66+$AV66*CR66+$AW66*CS66+$AX66*CT66+$AY66*CU66+$AZ66*CV66+$BA66*CW66+$BB66*CX66+$BC66*CY66</f>
        <v>125.87351303519702</v>
      </c>
      <c r="CQ66" s="145">
        <v>239.69803476802934</v>
      </c>
      <c r="CR66" s="145">
        <v>168.13599443787763</v>
      </c>
      <c r="CS66" s="145">
        <v>0</v>
      </c>
      <c r="CT66" s="145">
        <v>188.97854347353143</v>
      </c>
      <c r="CU66" s="145">
        <v>54.558948295281574</v>
      </c>
      <c r="CV66" s="145">
        <v>25.65557746855572</v>
      </c>
      <c r="CW66" s="145">
        <v>0.53947301394847402</v>
      </c>
      <c r="CX66" s="145">
        <v>9.1633617695652951</v>
      </c>
      <c r="CY66" s="145">
        <v>0</v>
      </c>
      <c r="CZ66" s="554">
        <f>DC66*$B66/10^3</f>
        <v>1.1967663053760429</v>
      </c>
      <c r="DA66" s="554">
        <f t="shared" ref="DA66:DB69" si="614">DD66*$B66/10^3</f>
        <v>5.2549999999999999E-2</v>
      </c>
      <c r="DB66" s="554">
        <f t="shared" si="614"/>
        <v>1.144216305376043</v>
      </c>
      <c r="DC66" s="32">
        <f t="shared" ref="DC66:DC69" si="615">DD66+DE66</f>
        <v>113.86929642017536</v>
      </c>
      <c r="DD66" s="32">
        <f t="shared" ref="DD66:DE69" si="616">(DH66*$C66+DO66*$D66)/$B66</f>
        <v>5</v>
      </c>
      <c r="DE66" s="67">
        <f t="shared" si="616"/>
        <v>108.86929642017536</v>
      </c>
      <c r="DF66" s="270"/>
      <c r="DG66" s="67">
        <f t="shared" ref="DG66:DG69" si="617">DH66+DI66</f>
        <v>114.60696866400801</v>
      </c>
      <c r="DH66" s="33">
        <v>5</v>
      </c>
      <c r="DI66" s="67">
        <f>(1-DK66)*BU66</f>
        <v>109.60696866400801</v>
      </c>
      <c r="DJ66" s="67"/>
      <c r="DK66" s="34">
        <f t="shared" ref="DK66:DK69" si="618">DK$17</f>
        <v>0.25</v>
      </c>
      <c r="DL66" s="159"/>
      <c r="DM66" s="159"/>
      <c r="DN66" s="68">
        <f t="shared" ref="DN66:DN69" si="619">DO66+DP66</f>
        <v>99.405134776397773</v>
      </c>
      <c r="DO66" s="33">
        <v>5</v>
      </c>
      <c r="DP66" s="67">
        <f>(1-DR66)*CP66</f>
        <v>94.405134776397773</v>
      </c>
      <c r="DQ66" s="67"/>
      <c r="DR66" s="34">
        <f t="shared" ref="DR66:DR69" si="620">DR$17</f>
        <v>0.25</v>
      </c>
      <c r="DS66" s="294"/>
      <c r="DT66" s="294"/>
      <c r="DU66" s="294"/>
      <c r="DV66" s="67">
        <f t="shared" si="594"/>
        <v>178.68357352424243</v>
      </c>
      <c r="DW66" s="67">
        <f t="shared" si="594"/>
        <v>142.39380805085068</v>
      </c>
      <c r="DX66" s="67">
        <f t="shared" si="594"/>
        <v>36.289765473391796</v>
      </c>
      <c r="DY66" s="67">
        <f t="shared" si="595"/>
        <v>179.77455562412766</v>
      </c>
      <c r="DZ66" s="67">
        <f t="shared" si="595"/>
        <v>143.23889940279165</v>
      </c>
      <c r="EA66" s="67">
        <f>BU66-DI66</f>
        <v>36.535656221336012</v>
      </c>
      <c r="EB66" s="67">
        <f t="shared" si="596"/>
        <v>157.29176764414106</v>
      </c>
      <c r="EC66" s="67">
        <f t="shared" si="596"/>
        <v>125.82338938534181</v>
      </c>
      <c r="ED66" s="67">
        <f>CP66-DP66</f>
        <v>31.468378258799248</v>
      </c>
      <c r="EE66" s="68">
        <f>EF66+EG66</f>
        <v>142.51474111771194</v>
      </c>
      <c r="EF66" s="67">
        <f>(EJ66*$C66+FF66*$D66)/$B66</f>
        <v>114.4881375104016</v>
      </c>
      <c r="EG66" s="67">
        <f t="shared" ref="EG66:EG69" si="621">(EV66*$C66+FR66*$D66)/$B66</f>
        <v>28.026603607310321</v>
      </c>
      <c r="EH66" s="261">
        <f t="shared" ref="EH66:EH69" si="622">EJ66+EV66</f>
        <v>143.33442388424842</v>
      </c>
      <c r="EI66" s="154">
        <f>EH66/($BJ66-$DG66)</f>
        <v>0.79730094943987406</v>
      </c>
      <c r="EJ66" s="108">
        <f>EK66+EL66-DH66</f>
        <v>115.09504952591718</v>
      </c>
      <c r="EK66" s="126">
        <f>'Allometrics &amp; Decay rates'!$H$5*$AL66*BL66+'Allometrics &amp; Decay rates'!$H$6*$AM66*BM66+'Allometrics &amp; Decay rates'!$H$7*$AN66*BN66+'Allometrics &amp; Decay rates'!$H$8*$AO66*BO66+'Allometrics &amp; Decay rates'!$H$9*$AP66*BP66+'Allometrics &amp; Decay rates'!$H$10*$AQ66*BQ66+'Allometrics &amp; Decay rates'!$H$11*$AR66*BR66+'Allometrics &amp; Decay rates'!$H$12*$AS66*BS66+'Allometrics &amp; Decay rates'!$H$13*$AT66*BT66</f>
        <v>63.861827536539366</v>
      </c>
      <c r="EL66" s="97">
        <f t="shared" ref="EL66:EL69" si="623">SUM(EM66:EU66)</f>
        <v>56.23322198937781</v>
      </c>
      <c r="EM66" s="550">
        <f>AL66*BL66*('Allometrics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48.617672680809228</v>
      </c>
      <c r="EN66" s="550">
        <f>AM66*BM66*('Allometrics &amp; Decay rates'!$I$6*((EXP('Allometrics &amp; Decay rates'!$K$6)-1)/('Discounting metrics'!$D$4+'Allometrics &amp; Decay rates'!$K$6)*(1-EXP(-('Discounting metrics'!$D$4+'Allometrics &amp; Decay rates'!$K$6)*'Discounting metrics'!$E$4))-(1-EXP(-'Allometrics &amp; Decay rates'!$K$6))/1.55)+'Allometrics &amp; Decay rates'!$E$6*((EXP('Allometrics &amp; Decay rates'!$L$6)-1)/('Discounting metrics'!$D$4+'Allometrics &amp; Decay rates'!$L$6)*(1-EXP(-('Discounting metrics'!$D$4+'Allometrics &amp; Decay rates'!$L$6)*'Discounting metrics'!$E$4))-(1-EXP(-'Allometrics &amp; Decay rates'!$L$6))/1.55))</f>
        <v>4.3722299349836717</v>
      </c>
      <c r="EO66" s="550">
        <f>AN66*BN66*('Allometrics &amp; Decay rates'!$I$7*((EXP('Allometrics &amp; Decay rates'!$K$7)-1)/('Discounting metrics'!$D$4+'Allometrics &amp; Decay rates'!$K$7)*(1-EXP(-('Discounting metrics'!$D$4+'Allometrics &amp; Decay rates'!$K$7)*'Discounting metrics'!$E$4))-(1-EXP(-'Allometrics &amp; Decay rates'!$K$7))/1.55)+'Allometrics &amp; Decay rates'!$E$7*((EXP('Allometrics &amp; Decay rates'!$L$7)-1)/('Discounting metrics'!$D$4+'Allometrics &amp; Decay rates'!$L$7)*(1-EXP(-('Discounting metrics'!$D$4+'Allometrics &amp; Decay rates'!$L$7)*'Discounting metrics'!$E$4))-(1-EXP(-'Allometrics &amp; Decay rates'!$L$7))/1.55))</f>
        <v>8.045208963825085E-5</v>
      </c>
      <c r="EP66" s="550">
        <f>AO66*BO66*('Allometrics &amp; Decay rates'!$I$8*((EXP('Allometrics &amp; Decay rates'!$K$8)-1)/('Discounting metrics'!$D$4+'Allometrics &amp; Decay rates'!$K$8)*(1-EXP(-('Discounting metrics'!$D$4+'Allometrics &amp; Decay rates'!$K$8)*'Discounting metrics'!$E$4))-(1-EXP(-'Allometrics &amp; Decay rates'!$K$8))/1.55)+'Allometrics &amp; Decay rates'!$E$8*((EXP('Allometrics &amp; Decay rates'!$L$8)-1)/('Discounting metrics'!$D$4+'Allometrics &amp; Decay rates'!$L$8)*(1-EXP(-('Discounting metrics'!$D$4+'Allometrics &amp; Decay rates'!$L$8)*'Discounting metrics'!$E$4))-(1-EXP(-'Allometrics &amp; Decay rates'!$L$8))/1.55))</f>
        <v>2.4126930319331841</v>
      </c>
      <c r="EQ66" s="550">
        <f>AP66*BP66*('Allometrics &amp; Decay rates'!$I$9*((EXP('Allometrics &amp; Decay rates'!$K$9)-1)/('Discounting metrics'!$D$4+'Allometrics &amp; Decay rates'!$K$9)*(1-EXP(-('Discounting metrics'!$D$4+'Allometrics &amp; Decay rates'!$K$9)*'Discounting metrics'!$E$4))-(1-EXP(-'Allometrics &amp; Decay rates'!$K$9))/1.55)+'Allometrics &amp; Decay rates'!$E$9*((EXP('Allometrics &amp; Decay rates'!$L$9)-1)/('Discounting metrics'!$D$4+'Allometrics &amp; Decay rates'!$L$9)*(1-EXP(-('Discounting metrics'!$D$4+'Allometrics &amp; Decay rates'!$L$9)*'Discounting metrics'!$E$4))-(1-EXP(-'Allometrics &amp; Decay rates'!$L$9))/1.55))</f>
        <v>1.8383588899508511E-3</v>
      </c>
      <c r="ER66" s="550">
        <f>AQ66*BQ66*('Allometrics &amp; Decay rates'!$I$10*((EXP('Allometrics &amp; Decay rates'!$K$10)-1)/('Discounting metrics'!$D$4+'Allometrics &amp; Decay rates'!$K$10)*(1-EXP(-('Discounting metrics'!$D$4+'Allometrics &amp; Decay rates'!$K$10)*'Discounting metrics'!$E$4))-(1-EXP(-'Allometrics &amp; Decay rates'!$K$10))/1.55)+'Allometrics &amp; Decay rates'!$E$10*((EXP('Allometrics &amp; Decay rates'!$L$10)-1)/('Discounting metrics'!$D$4+'Allometrics &amp; Decay rates'!$L$10)*(1-EXP(-('Discounting metrics'!$D$4+'Allometrics &amp; Decay rates'!$L$10)*'Discounting metrics'!$E$4))-(1-EXP(-'Allometrics &amp; Decay rates'!$L$10))/1.55))</f>
        <v>5.8905435415107326E-4</v>
      </c>
      <c r="ES66" s="550">
        <f>AR66*BR66*('Allometrics &amp; Decay rates'!$I$11*((EXP('Allometrics &amp; Decay rates'!$K$11)-1)/('Discounting metrics'!$D$4+'Allometrics &amp; Decay rates'!$K$11)*(1-EXP(-('Discounting metrics'!$D$4+'Allometrics &amp; Decay rates'!$K$11)*'Discounting metrics'!$E$4))-(1-EXP(-'Allometrics &amp; Decay rates'!$K$11))/1.55)+'Allometrics &amp; Decay rates'!$E$11*((EXP('Allometrics &amp; Decay rates'!$L$11)-1)/('Discounting metrics'!$D$4+'Allometrics &amp; Decay rates'!$L$11)*(1-EXP(-('Discounting metrics'!$D$4+'Allometrics &amp; Decay rates'!$L$11)*'Discounting metrics'!$E$4))-(1-EXP(-'Allometrics &amp; Decay rates'!$L$11))/1.55))</f>
        <v>1.7267812179717803E-5</v>
      </c>
      <c r="ET66" s="550">
        <f>AS66*BS66*('Allometrics &amp; Decay rates'!$I$12*((EXP('Allometrics &amp; Decay rates'!$K$12)-1)/('Discounting metrics'!$D$4+'Allometrics &amp; Decay rates'!$K$12)*(1-EXP(-('Discounting metrics'!$D$4+'Allometrics &amp; Decay rates'!$K$12)*'Discounting metrics'!$E$4))-(1-EXP(-'Allometrics &amp; Decay rates'!$K$12))/1.55)+'Allometrics &amp; Decay rates'!$E$12*((EXP('Allometrics &amp; Decay rates'!$L$12)-1)/('Discounting metrics'!$D$4+'Allometrics &amp; Decay rates'!$L$12)*(1-EXP(-('Discounting metrics'!$D$4+'Allometrics &amp; Decay rates'!$L$12)*'Discounting metrics'!$E$4))-(1-EXP(-'Allometrics &amp; Decay rates'!$L$12))/1.55))</f>
        <v>0.82810120850580482</v>
      </c>
      <c r="EU66" s="550">
        <f>AT66*BT66*('Allometrics &amp; Decay rates'!$I$13*((EXP('Allometrics &amp; Decay rates'!$K$13)-1)/('Discounting metrics'!$D$4+'Allometrics &amp; Decay rates'!$K$13)*(1-EXP(-('Discounting metrics'!$D$4+'Allometrics &amp; Decay rates'!$K$13)*'Discounting metrics'!$E$4))-(1-EXP(-'Allometrics &amp; Decay rates'!$K$13))/1.55)+'Allometrics &amp; Decay rates'!$E$13*((EXP('Allometrics &amp; Decay rates'!$L$13)-1)/('Discounting metrics'!$D$4+'Allometrics &amp; Decay rates'!$L$13)*(1-EXP(-('Discounting metrics'!$D$4+'Allometrics &amp; Decay rates'!$L$13)*'Discounting metrics'!$E$4))-(1-EXP(-'Allometrics &amp; Decay rates'!$L$13))/1.55))</f>
        <v>0</v>
      </c>
      <c r="EV66" s="108">
        <f t="shared" ref="EV66:EV69" si="624">SUM(EW66:FC66)</f>
        <v>28.239374358331254</v>
      </c>
      <c r="EW66" s="550">
        <f>AL66*BV66*$DK66*((EXP('Allometrics &amp; Decay rates'!$M$5)-1)/('Discounting metrics'!$D$4+'Allometrics &amp; Decay rates'!$M$5)*(1-EXP(-('Discounting metrics'!$D$4+'Allometrics &amp; Decay rates'!$M$5)*'Discounting metrics'!$E$4))-(1-EXP(-'Allometrics &amp; Decay rates'!$M$5))/1.55)</f>
        <v>23.057066425461631</v>
      </c>
      <c r="EX66" s="550">
        <f>AM66*BW66*$DK66*((EXP('Allometrics &amp; Decay rates'!$M$5)-1)/('Discounting metrics'!$D$4+'Allometrics &amp; Decay rates'!$M$5)*(1-EXP(-('Discounting metrics'!$D$4+'Allometrics &amp; Decay rates'!$M$5)*'Discounting metrics'!$E$4))-(1-EXP(-'Allometrics &amp; Decay rates'!$M$5))/1.55)</f>
        <v>2.4599502781359681</v>
      </c>
      <c r="EY66" s="550">
        <f>AN66*BX66*$DK66*((EXP('Allometrics &amp; Decay rates'!$M$5)-1)/('Discounting metrics'!$D$4+'Allometrics &amp; Decay rates'!$M$5)*(1-EXP(-('Discounting metrics'!$D$4+'Allometrics &amp; Decay rates'!$M$5)*'Discounting metrics'!$E$4))-(1-EXP(-'Allometrics &amp; Decay rates'!$M$5))/1.55)</f>
        <v>1.4843855812001958E-4</v>
      </c>
      <c r="EZ66" s="550">
        <f>AO66*BY66*$DK66*((EXP('Allometrics &amp; Decay rates'!$M$5)-1)/('Discounting metrics'!$D$4+'Allometrics &amp; Decay rates'!$M$5)*(1-EXP(-('Discounting metrics'!$D$4+'Allometrics &amp; Decay rates'!$M$5)*'Discounting metrics'!$E$4))-(1-EXP(-'Allometrics &amp; Decay rates'!$M$5))/1.55)</f>
        <v>2.7086394073390658</v>
      </c>
      <c r="FA66" s="550">
        <f>AP66*BZ66*$DK66*((EXP('Allometrics &amp; Decay rates'!$M$5)-1)/('Discounting metrics'!$D$4+'Allometrics &amp; Decay rates'!$M$5)*(1-EXP(-('Discounting metrics'!$D$4+'Allometrics &amp; Decay rates'!$M$5)*'Discounting metrics'!$E$4))-(1-EXP(-'Allometrics &amp; Decay rates'!$M$5))/1.55)</f>
        <v>6.8492122093174405E-3</v>
      </c>
      <c r="FB66" s="550">
        <f>AQ66*CA66*$DK66*((EXP('Allometrics &amp; Decay rates'!$M$5)-1)/('Discounting metrics'!$D$4+'Allometrics &amp; Decay rates'!$M$5)*(1-EXP(-('Discounting metrics'!$D$4+'Allometrics &amp; Decay rates'!$M$5)*'Discounting metrics'!$E$4))-(1-EXP(-'Allometrics &amp; Decay rates'!$M$5))/1.55)</f>
        <v>6.6816831279746369E-3</v>
      </c>
      <c r="FC66" s="550">
        <f>AR66*CB66*$DK66*((EXP('Allometrics &amp; Decay rates'!$M$5)-1)/('Discounting metrics'!$D$4+'Allometrics &amp; Decay rates'!$M$5)*(1-EXP(-('Discounting metrics'!$D$4+'Allometrics &amp; Decay rates'!$M$5)*'Discounting metrics'!$E$4))-(1-EXP(-'Allometrics &amp; Decay rates'!$M$5))/1.55)</f>
        <v>3.8913499173300668E-5</v>
      </c>
      <c r="FD66" s="261">
        <f t="shared" ref="FD66:FD69" si="625">FF66+FR66</f>
        <v>126.44253000915288</v>
      </c>
      <c r="FE66" s="154">
        <f>FD66/($CE66-$DN66)</f>
        <v>0.8038725224019232</v>
      </c>
      <c r="FF66" s="108">
        <f t="shared" ref="FF66:FF69" si="626">FG66+FH66-$DO66</f>
        <v>102.58790191205696</v>
      </c>
      <c r="FG66" s="126">
        <f>'Allometrics &amp; Decay rates'!$H$5*$AU66*CG66+'Allometrics &amp; Decay rates'!$H$6*$AV66*CH66+'Allometrics &amp; Decay rates'!$H$7*$AW66*CI66+'Allometrics &amp; Decay rates'!$H$8*$AX66*CJ66+'Allometrics &amp; Decay rates'!$H$9*$AY66*CK66+'Allometrics &amp; Decay rates'!$H$10*$AZ66*CL66+'Allometrics &amp; Decay rates'!$H$11*$BA66*CM66+'Allometrics &amp; Decay rates'!$H$12*$BB66*CN66+'Allometrics &amp; Decay rates'!$H$13*$BC66*CO66</f>
        <v>56.301526133822783</v>
      </c>
      <c r="FH66" s="97">
        <f t="shared" ref="FH66:FH69" si="627">SUM(FI66:FQ66)</f>
        <v>51.286375778234181</v>
      </c>
      <c r="FI66" s="550">
        <f>AU66*CG66*('Allometrics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41.42291420316544</v>
      </c>
      <c r="FJ66" s="550">
        <f>AV66*CH66*('Allometrics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6.9446017654772501</v>
      </c>
      <c r="FK66" s="550">
        <f>AW66*CI66*('Allometrics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L66" s="550">
        <f>AX66*CJ66*('Allometrics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1.2416207162854265</v>
      </c>
      <c r="FM66" s="550">
        <f>AY66*CK66*('Allometrics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8.0113566875080564E-3</v>
      </c>
      <c r="FN66" s="550">
        <f>AZ66*CL66*('Allometrics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2.5143681853825044E-3</v>
      </c>
      <c r="FO66" s="550">
        <f>BA66*CM66*('Allometrics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7.6341229017370461E-4</v>
      </c>
      <c r="FP66" s="550">
        <f>BB66*CN66*('Allometrics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1.6659499561429982</v>
      </c>
      <c r="FQ66" s="550">
        <f>BC66*CO66*('Allometrics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R66" s="108">
        <f t="shared" ref="FR66:FR69" si="628">SUM(FS66:FY66)</f>
        <v>23.854628097095908</v>
      </c>
      <c r="FS66" s="550">
        <f>AU66*CQ66*$DK66*((EXP('Allometrics &amp; Decay rates'!$M$5)-1)/('Discounting metrics'!$D$4+'Allometrics &amp; Decay rates'!$M$5)*(1-EXP(-('Discounting metrics'!$D$4+'Allometrics &amp; Decay rates'!$M$5)*'Discounting metrics'!$E$4))-(1-EXP(-'Allometrics &amp; Decay rates'!$M$5))/1.55)</f>
        <v>19.337567215289695</v>
      </c>
      <c r="FT66" s="550">
        <f>AV66*CR66*$DK66*((EXP('Allometrics &amp; Decay rates'!$M$5)-1)/('Discounting metrics'!$D$4+'Allometrics &amp; Decay rates'!$M$5)*(1-EXP(-('Discounting metrics'!$D$4+'Allometrics &amp; Decay rates'!$M$5)*'Discounting metrics'!$E$4))-(1-EXP(-'Allometrics &amp; Decay rates'!$M$5))/1.55)</f>
        <v>2.4150182523110053</v>
      </c>
      <c r="FU66" s="550">
        <f>AW66*CS66*$DK66*((EXP('Allometrics &amp; Decay rates'!$M$5)-1)/('Discounting metrics'!$D$4+'Allometrics &amp; Decay rates'!$M$5)*(1-EXP(-('Discounting metrics'!$D$4+'Allometrics &amp; Decay rates'!$M$5)*'Discounting metrics'!$E$4))-(1-EXP(-'Allometrics &amp; Decay rates'!$M$5))/1.55)</f>
        <v>0</v>
      </c>
      <c r="FV66" s="550">
        <f>AX66*CT66*$DK66*((EXP('Allometrics &amp; Decay rates'!$M$5)-1)/('Discounting metrics'!$D$4+'Allometrics &amp; Decay rates'!$M$5)*(1-EXP(-('Discounting metrics'!$D$4+'Allometrics &amp; Decay rates'!$M$5)*'Discounting metrics'!$E$4))-(1-EXP(-'Allometrics &amp; Decay rates'!$M$5))/1.55)</f>
        <v>2.0351300764828113</v>
      </c>
      <c r="FW66" s="550">
        <f>AY66*CU66*$DK66*((EXP('Allometrics &amp; Decay rates'!$M$5)-1)/('Discounting metrics'!$D$4+'Allometrics &amp; Decay rates'!$M$5)*(1-EXP(-('Discounting metrics'!$D$4+'Allometrics &amp; Decay rates'!$M$5)*'Discounting metrics'!$E$4))-(1-EXP(-'Allometrics &amp; Decay rates'!$M$5))/1.55)</f>
        <v>4.0316076265501176E-2</v>
      </c>
      <c r="FX66" s="550">
        <f>AZ66*CV66*$DK66*((EXP('Allometrics &amp; Decay rates'!$M$5)-1)/('Discounting metrics'!$D$4+'Allometrics &amp; Decay rates'!$M$5)*(1-EXP(-('Discounting metrics'!$D$4+'Allometrics &amp; Decay rates'!$M$5)*'Discounting metrics'!$E$4))-(1-EXP(-'Allometrics &amp; Decay rates'!$M$5))/1.55)</f>
        <v>2.266848918943699E-2</v>
      </c>
      <c r="FY66" s="550">
        <f>BA66*CW66*$DK66*((EXP('Allometrics &amp; Decay rates'!$M$5)-1)/('Discounting metrics'!$D$4+'Allometrics &amp; Decay rates'!$M$5)*(1-EXP(-('Discounting metrics'!$D$4+'Allometrics &amp; Decay rates'!$M$5)*'Discounting metrics'!$E$4))-(1-EXP(-'Allometrics &amp; Decay rates'!$M$5))/1.55)</f>
        <v>3.9279875574561906E-3</v>
      </c>
      <c r="FZ66" s="68"/>
      <c r="GA66" s="293"/>
      <c r="GB66" s="293"/>
      <c r="GP66" s="32">
        <f t="shared" ref="GP66:GP69" si="629">(GQ66*$C66+GR66*$D66)/$B66</f>
        <v>9.8356517602283553</v>
      </c>
      <c r="GQ66" s="33">
        <v>9.89</v>
      </c>
      <c r="GR66" s="99">
        <v>8.77</v>
      </c>
      <c r="GS66" s="99"/>
      <c r="GT66" s="99"/>
      <c r="GU66" s="99"/>
      <c r="GV66" s="99"/>
      <c r="GW66" s="99"/>
      <c r="GX66" s="99"/>
      <c r="GY66" s="99"/>
      <c r="GZ66" s="99"/>
      <c r="HA66" s="99"/>
      <c r="HB66" s="99"/>
      <c r="HF66" s="97">
        <f>HG66*$LI66</f>
        <v>8.0221639995735803</v>
      </c>
      <c r="HG66" s="526">
        <f>EE66/'Discounting metrics'!E$4/M66</f>
        <v>8.9135155550817551</v>
      </c>
      <c r="HH66" s="97"/>
      <c r="HI66" s="97"/>
      <c r="HJ66" s="97">
        <f>HK66*$LI66</f>
        <v>8.7169352766084049</v>
      </c>
      <c r="HK66" s="526">
        <f>EH66/'Discounting metrics'!E$4/O66</f>
        <v>9.6854836406760043</v>
      </c>
      <c r="HL66" s="97"/>
      <c r="HM66" s="97"/>
      <c r="HN66" s="97">
        <f>HO66*$LI66</f>
        <v>2.8944182889177741</v>
      </c>
      <c r="HO66" s="526">
        <f>FD66/'Discounting metrics'!E$4/Q66</f>
        <v>3.2160203210197489</v>
      </c>
      <c r="HP66" s="97"/>
      <c r="HQ66" s="97"/>
      <c r="HR66" s="97">
        <f>HS66*$LI66</f>
        <v>6.7780548539616312</v>
      </c>
      <c r="HS66" s="263">
        <f>$IM$11*IE66</f>
        <v>7.5311720599573677</v>
      </c>
      <c r="HT66" s="97"/>
      <c r="HU66" s="97"/>
      <c r="HV66" s="97">
        <f>HW66*$LI66</f>
        <v>7.363423772841962</v>
      </c>
      <c r="HW66" s="263">
        <f>$IM$11*IH66</f>
        <v>8.1815819698244017</v>
      </c>
      <c r="HX66" s="97"/>
      <c r="HY66" s="97"/>
      <c r="HZ66" s="97">
        <f>I66*$LI66</f>
        <v>0.54270000000000007</v>
      </c>
      <c r="IA66" s="263">
        <f>$IM$11*IK66</f>
        <v>2.7308345449660418</v>
      </c>
      <c r="IB66" s="97"/>
      <c r="IC66" s="97"/>
      <c r="ID66" s="97">
        <f>IE66*$LI66</f>
        <v>13.587725755146034</v>
      </c>
      <c r="IE66" s="263">
        <f>GP66/G66</f>
        <v>15.097473061273371</v>
      </c>
      <c r="IF66" s="60"/>
      <c r="IG66" s="97">
        <f>IH66*$LI66</f>
        <v>14.761194029850746</v>
      </c>
      <c r="IH66" s="263">
        <f>GQ66/I66</f>
        <v>16.401326699834161</v>
      </c>
      <c r="II66" s="60"/>
      <c r="IJ66" s="97">
        <f>IK66*$LI66</f>
        <v>4.9269662921348312</v>
      </c>
      <c r="IK66" s="263">
        <f>GR66/K66</f>
        <v>5.4744069912609232</v>
      </c>
      <c r="IL66" s="60"/>
      <c r="IM66" s="60"/>
      <c r="IN66" s="60"/>
      <c r="IO66" s="60"/>
      <c r="IP66" s="554">
        <f>IR66*$V66</f>
        <v>13.038707303999999</v>
      </c>
      <c r="IQ66" s="262">
        <f>IR66*$LI66</f>
        <v>1.713860420095165</v>
      </c>
      <c r="IR66" s="166">
        <f>(IW66*Y66+JD66*AA66)/V66</f>
        <v>1.9042893556612945</v>
      </c>
      <c r="IS66" s="97"/>
      <c r="IT66" s="97"/>
      <c r="IU66" s="429">
        <f>(IX66*C66+JE66*D66)/B66</f>
        <v>2.2739105613701235E-2</v>
      </c>
      <c r="IV66" s="262">
        <f>IW66*$LI66</f>
        <v>1.7018838805970147</v>
      </c>
      <c r="IW66" s="436">
        <f>IX66*JB66/I66</f>
        <v>1.8909820895522385</v>
      </c>
      <c r="IX66" s="101">
        <v>2.0899999999999998E-2</v>
      </c>
      <c r="IY66" s="433">
        <v>1</v>
      </c>
      <c r="IZ66" s="433">
        <v>0</v>
      </c>
      <c r="JA66" s="434">
        <f>1-IY66-IZ66</f>
        <v>0</v>
      </c>
      <c r="JB66" s="430">
        <f>IY66*$JJ66+IZ66*$JK66+JA66*$JL66+'Discounting metrics'!$B$6*(IY66*$JM66+IZ66*$JN66+JA66*$JO66)/10^3+'Discounting metrics'!$B$5*(IY66*$JP66+IZ66*$JQ66+JA66*$JR66)/10^3</f>
        <v>54.558</v>
      </c>
      <c r="JC66" s="262">
        <f>JD66*$LI66</f>
        <v>1.8022530337078653</v>
      </c>
      <c r="JD66" s="436">
        <f>JE66*JI66/K66</f>
        <v>2.002503370786517</v>
      </c>
      <c r="JE66" s="101">
        <v>5.8799999999999998E-2</v>
      </c>
      <c r="JF66" s="433">
        <v>1</v>
      </c>
      <c r="JG66" s="433">
        <v>0</v>
      </c>
      <c r="JH66" s="434">
        <f t="shared" ref="JH66:JH69" si="630">1-JF66-JG66</f>
        <v>0</v>
      </c>
      <c r="JI66" s="430">
        <f>JF66*$JJ66+JG66*$JK66+JH66*$JL66+'Discounting metrics'!$B$6*(JF66*$JM66+JG66*$JN66+JH66*$JO66)/10^3+'Discounting metrics'!$B$5*(JF66*$JP66+JG66*$JQ66+JH66*$JR66)/10^3</f>
        <v>54.558</v>
      </c>
      <c r="JJ66" s="431">
        <v>51.3</v>
      </c>
      <c r="JK66" s="431">
        <v>29</v>
      </c>
      <c r="JL66" s="431">
        <v>29</v>
      </c>
      <c r="JM66" s="99">
        <v>5</v>
      </c>
      <c r="JN66" s="431">
        <v>13</v>
      </c>
      <c r="JO66" s="431">
        <v>13</v>
      </c>
      <c r="JP66" s="431">
        <v>52</v>
      </c>
      <c r="JQ66" s="431">
        <v>58.3</v>
      </c>
      <c r="JR66" s="431">
        <v>58.3</v>
      </c>
      <c r="JS66" s="554">
        <f>JV66+JW66+JT66+JU66+JX66</f>
        <v>5.1961946748624657</v>
      </c>
      <c r="JT66" s="554">
        <f>KJ66*$V66</f>
        <v>1.3503693140704203</v>
      </c>
      <c r="JU66" s="554">
        <f>KL66*$V66</f>
        <v>0.10816234907348</v>
      </c>
      <c r="JV66" s="554">
        <f>KN66*$V66</f>
        <v>1.7130665588534801</v>
      </c>
      <c r="JW66" s="554">
        <f>KP66*$V66</f>
        <v>2.0245964528650848</v>
      </c>
      <c r="JX66" s="554"/>
      <c r="JY66" s="167">
        <f>JZ66*LI66</f>
        <v>0.68300884288000008</v>
      </c>
      <c r="JZ66" s="166">
        <f>KF66+KD66+KH66</f>
        <v>0.75889871431111122</v>
      </c>
      <c r="KA66" s="97"/>
      <c r="KB66" s="97"/>
      <c r="KC66" s="473">
        <f>KD66*LI66</f>
        <v>0.19171530050000002</v>
      </c>
      <c r="KD66" s="269">
        <f>KJ66+KL66</f>
        <v>0.21301700055555556</v>
      </c>
      <c r="KE66" s="473">
        <f>KF66*LI66</f>
        <v>0.49129354238000006</v>
      </c>
      <c r="KF66" s="269">
        <f>KN66+KP66</f>
        <v>0.54588171375555561</v>
      </c>
      <c r="KG66" s="49"/>
      <c r="KH66" s="49"/>
      <c r="KI66" s="435">
        <v>0.17749800390000001</v>
      </c>
      <c r="KJ66" s="522">
        <f>KI66/$LI66</f>
        <v>0.19722000433333334</v>
      </c>
      <c r="KK66" s="435">
        <v>1.42172966E-2</v>
      </c>
      <c r="KL66" s="522">
        <f>KK66/$LI66</f>
        <v>1.579699622222222E-2</v>
      </c>
      <c r="KM66" s="435">
        <v>0.22517239659999999</v>
      </c>
      <c r="KN66" s="522">
        <f>KM66/$LI66</f>
        <v>0.25019155177777774</v>
      </c>
      <c r="KO66" s="435">
        <v>0.26612114578000001</v>
      </c>
      <c r="KP66" s="522">
        <f>KO66/$LI66</f>
        <v>0.29569016197777781</v>
      </c>
      <c r="KQ66" s="610">
        <f>44/12*HG66+$JZ66+$IR66</f>
        <v>35.346078438605502</v>
      </c>
      <c r="KR66" s="60"/>
      <c r="KS66" s="60"/>
      <c r="KT66" s="610">
        <f>44/12*HK66+$JZ66+$IW66</f>
        <v>38.163320819675363</v>
      </c>
      <c r="KW66" s="610">
        <f>44/12*HO66+$JZ66+$JD66</f>
        <v>14.553476595503374</v>
      </c>
      <c r="KZ66" s="610">
        <f>44/12*HS66+$JZ66+$IR66</f>
        <v>30.27748562314942</v>
      </c>
      <c r="LC66" s="610">
        <f>44/12*HW66+$JZ66+$IW66</f>
        <v>32.649014693219485</v>
      </c>
      <c r="LF66" s="610">
        <f>44/12*I66+$JZ66+$JD66</f>
        <v>4.9724020850976283</v>
      </c>
      <c r="LI66" s="31">
        <v>0.9</v>
      </c>
      <c r="LJ66" s="32">
        <f>$LI66*LK66</f>
        <v>18.900000000000002</v>
      </c>
      <c r="LK66" s="27">
        <v>21</v>
      </c>
      <c r="LL66" s="32"/>
      <c r="LM66" s="33"/>
      <c r="LN66" s="34">
        <f>$LI66*LO66</f>
        <v>0.11700000000000001</v>
      </c>
      <c r="LO66" s="42">
        <v>0.13</v>
      </c>
      <c r="LP66" s="34">
        <f>$LI66*LQ66</f>
        <v>0.11700000000000001</v>
      </c>
      <c r="LQ66" s="42">
        <v>0.13</v>
      </c>
    </row>
    <row r="67" spans="1:329" s="4" customFormat="1" x14ac:dyDescent="0.25">
      <c r="A67" s="14" t="s">
        <v>473</v>
      </c>
      <c r="B67" s="67">
        <f t="shared" si="601"/>
        <v>2.69</v>
      </c>
      <c r="C67" s="33">
        <v>2.6</v>
      </c>
      <c r="D67" s="33">
        <v>0.09</v>
      </c>
      <c r="E67" s="38">
        <f t="shared" si="602"/>
        <v>3.3457249070631967E-2</v>
      </c>
      <c r="F67" s="108">
        <f>U67/B67</f>
        <v>1.3457249070631971</v>
      </c>
      <c r="G67" s="32">
        <f>V67/B67</f>
        <v>1.2111524163568774</v>
      </c>
      <c r="H67" s="33">
        <v>1.33</v>
      </c>
      <c r="I67" s="32">
        <f>$LI67*H67</f>
        <v>1.1970000000000001</v>
      </c>
      <c r="J67" s="33">
        <v>1.8</v>
      </c>
      <c r="K67" s="32">
        <f>$LI67*J67</f>
        <v>1.62</v>
      </c>
      <c r="L67" s="32">
        <f>(F67/'Discounting metrics'!$D$4*(1-EXP(-'Discounting metrics'!$D$4*'Discounting metrics'!$E$4)))/'Discounting metrics'!$E$4</f>
        <v>0.33026927390546307</v>
      </c>
      <c r="M67" s="32">
        <f>(G67/'Discounting metrics'!$D$4*(1-EXP(-'Discounting metrics'!$D$4*'Discounting metrics'!$E$4)))/'Discounting metrics'!$E$4</f>
        <v>0.29724234651491677</v>
      </c>
      <c r="N67" s="32">
        <f>(H67/'Discounting metrics'!$D$4*(1-EXP(-'Discounting metrics'!$D$4*'Discounting metrics'!$E$4)))/'Discounting metrics'!$E$4</f>
        <v>0.32641005006949586</v>
      </c>
      <c r="O67" s="32">
        <f>(I67/'Discounting metrics'!$D$4*(1-EXP(-'Discounting metrics'!$D$4*'Discounting metrics'!$E$4)))/'Discounting metrics'!$E$4</f>
        <v>0.29376904506254631</v>
      </c>
      <c r="P67" s="32">
        <f>(J67/'Discounting metrics'!$D$4*(1-EXP(-'Discounting metrics'!$D$4*'Discounting metrics'!$E$4)))/'Discounting metrics'!$E$4</f>
        <v>0.4417579625000696</v>
      </c>
      <c r="Q67" s="32">
        <f>(K67/'Discounting metrics'!$D$4*(1-EXP(-'Discounting metrics'!$D$4*'Discounting metrics'!$E$4)))/'Discounting metrics'!$E$4</f>
        <v>0.39758216625006265</v>
      </c>
      <c r="R67" s="32">
        <f>10/G67</f>
        <v>8.2565991405770411</v>
      </c>
      <c r="S67" s="32">
        <f>10/I67</f>
        <v>8.3542188805346704</v>
      </c>
      <c r="T67" s="32">
        <f>10/K67</f>
        <v>6.1728395061728394</v>
      </c>
      <c r="U67" s="108">
        <f t="shared" si="603"/>
        <v>3.62</v>
      </c>
      <c r="V67" s="68">
        <f t="shared" si="603"/>
        <v>3.258</v>
      </c>
      <c r="W67" s="68"/>
      <c r="X67" s="67">
        <f>C67*H67</f>
        <v>3.4580000000000002</v>
      </c>
      <c r="Y67" s="67">
        <f t="shared" si="604"/>
        <v>3.1122000000000001</v>
      </c>
      <c r="Z67" s="67">
        <f t="shared" si="604"/>
        <v>0.16200000000000001</v>
      </c>
      <c r="AA67" s="67">
        <f>D67*K67</f>
        <v>0.14580000000000001</v>
      </c>
      <c r="AB67" s="38">
        <f t="shared" si="605"/>
        <v>4.4751381215469614E-2</v>
      </c>
      <c r="AC67" s="294">
        <f t="shared" si="606"/>
        <v>0.39104362700009732</v>
      </c>
      <c r="AD67" s="294">
        <f t="shared" si="606"/>
        <v>0.54520237747634026</v>
      </c>
      <c r="AE67" s="294">
        <f t="shared" si="606"/>
        <v>1.6532234360359107E-2</v>
      </c>
      <c r="AF67" s="294">
        <f t="shared" si="606"/>
        <v>2.7511951298760124E-2</v>
      </c>
      <c r="AG67" s="294">
        <f t="shared" si="606"/>
        <v>3.3691628975502708E-3</v>
      </c>
      <c r="AH67" s="294">
        <f t="shared" si="606"/>
        <v>2.0257173866992488E-3</v>
      </c>
      <c r="AI67" s="294">
        <f t="shared" si="606"/>
        <v>2.3787073512308231E-5</v>
      </c>
      <c r="AJ67" s="294">
        <f t="shared" si="606"/>
        <v>1.4291142506681408E-2</v>
      </c>
      <c r="AK67" s="294">
        <f t="shared" si="606"/>
        <v>0</v>
      </c>
      <c r="AL67" s="96">
        <v>0.39110799145188491</v>
      </c>
      <c r="AM67" s="96">
        <v>0.55940528657825717</v>
      </c>
      <c r="AN67" s="96">
        <v>1.6249287832030456E-2</v>
      </c>
      <c r="AO67" s="96">
        <v>2.7806334478944986E-2</v>
      </c>
      <c r="AP67" s="96">
        <v>3.1323726929043073E-3</v>
      </c>
      <c r="AQ67" s="96">
        <v>9.6004169083974914E-4</v>
      </c>
      <c r="AR67" s="96">
        <v>2.4610472210811208E-5</v>
      </c>
      <c r="AS67" s="96">
        <v>1.3140748029276588E-3</v>
      </c>
      <c r="AT67" s="96">
        <v>0</v>
      </c>
      <c r="AU67" s="96">
        <v>0.389184209504012</v>
      </c>
      <c r="AV67" s="96">
        <v>0.1348961145320734</v>
      </c>
      <c r="AW67" s="96">
        <v>2.4706245178742307E-2</v>
      </c>
      <c r="AX67" s="96">
        <v>1.9007548315641845E-2</v>
      </c>
      <c r="AY67" s="96">
        <v>1.0209768809544762E-2</v>
      </c>
      <c r="AZ67" s="96">
        <v>3.2811904155973681E-2</v>
      </c>
      <c r="BA67" s="96">
        <v>0</v>
      </c>
      <c r="BB67" s="96">
        <v>0.389184209504012</v>
      </c>
      <c r="BC67" s="96">
        <v>0</v>
      </c>
      <c r="BD67" s="554">
        <f>BG67*$B67/10^3</f>
        <v>0.72296955278215835</v>
      </c>
      <c r="BE67" s="554">
        <f t="shared" si="607"/>
        <v>0.39973911050836142</v>
      </c>
      <c r="BF67" s="554">
        <f t="shared" si="607"/>
        <v>0.32323044227379688</v>
      </c>
      <c r="BG67" s="67">
        <f t="shared" si="608"/>
        <v>268.76191553240085</v>
      </c>
      <c r="BH67" s="67">
        <f>(BK67*$C67+CF67*$D67)/$B67</f>
        <v>148.60189981723474</v>
      </c>
      <c r="BI67" s="67">
        <f>(BU67*$C67+CP67*$D67)/$B67</f>
        <v>120.16001571516613</v>
      </c>
      <c r="BJ67" s="67">
        <f>BK67+BU67</f>
        <v>268.73248264591439</v>
      </c>
      <c r="BK67" s="68">
        <f t="shared" si="609"/>
        <v>148.69175264591439</v>
      </c>
      <c r="BL67" s="145">
        <v>170.79084761648861</v>
      </c>
      <c r="BM67" s="145">
        <v>142.42473866901329</v>
      </c>
      <c r="BN67" s="145">
        <v>50.970207466682751</v>
      </c>
      <c r="BO67" s="145">
        <v>45.768201319758184</v>
      </c>
      <c r="BP67" s="145">
        <v>7.1662835230208612</v>
      </c>
      <c r="BQ67" s="145">
        <v>1.7553550266218576</v>
      </c>
      <c r="BR67" s="145">
        <v>5.2174809227875416E-2</v>
      </c>
      <c r="BS67" s="145">
        <v>72.998941784131716</v>
      </c>
      <c r="BT67" s="145">
        <v>0</v>
      </c>
      <c r="BU67" s="68">
        <f t="shared" si="610"/>
        <v>120.04073000000002</v>
      </c>
      <c r="BV67" s="145">
        <v>152.82333606552584</v>
      </c>
      <c r="BW67" s="145">
        <v>98.172629496701177</v>
      </c>
      <c r="BX67" s="145">
        <v>87.571153044035981</v>
      </c>
      <c r="BY67" s="145">
        <v>130.21694872692137</v>
      </c>
      <c r="BZ67" s="145">
        <v>65.538762120745474</v>
      </c>
      <c r="CA67" s="145">
        <v>32.099773287566649</v>
      </c>
      <c r="CB67" s="145">
        <v>0.41265530934774192</v>
      </c>
      <c r="CC67" s="145">
        <v>54.844700431009919</v>
      </c>
      <c r="CD67" s="145">
        <v>0</v>
      </c>
      <c r="CE67" s="68">
        <f t="shared" si="611"/>
        <v>269.61219891978607</v>
      </c>
      <c r="CF67" s="68">
        <f t="shared" si="612"/>
        <v>146.00615143315505</v>
      </c>
      <c r="CG67" s="145">
        <v>257.67872778398481</v>
      </c>
      <c r="CH67" s="145">
        <v>184.95198990258675</v>
      </c>
      <c r="CI67" s="145">
        <v>90.747585047467339</v>
      </c>
      <c r="CJ67" s="145">
        <v>46.039710480190031</v>
      </c>
      <c r="CK67" s="145">
        <v>6.7042848019214469</v>
      </c>
      <c r="CL67" s="145">
        <v>2.3870037735427783</v>
      </c>
      <c r="CM67" s="145">
        <v>0</v>
      </c>
      <c r="CN67" s="145">
        <v>44.987563139250312</v>
      </c>
      <c r="CO67" s="145">
        <v>0</v>
      </c>
      <c r="CP67" s="68">
        <f t="shared" si="613"/>
        <v>123.60604748663101</v>
      </c>
      <c r="CQ67" s="145">
        <v>206.28918136459487</v>
      </c>
      <c r="CR67" s="145">
        <v>141.427904965892</v>
      </c>
      <c r="CS67" s="145">
        <v>199.75897114036064</v>
      </c>
      <c r="CT67" s="145">
        <v>215.93151846289973</v>
      </c>
      <c r="CU67" s="145">
        <v>62.852670018013562</v>
      </c>
      <c r="CV67" s="145">
        <v>41.402086174725611</v>
      </c>
      <c r="CW67" s="145">
        <v>0</v>
      </c>
      <c r="CX67" s="145">
        <v>33.926518389502128</v>
      </c>
      <c r="CY67" s="145">
        <v>0</v>
      </c>
      <c r="CZ67" s="554">
        <f>DC67*$B67/10^3</f>
        <v>0.24914783170534766</v>
      </c>
      <c r="DA67" s="554">
        <f t="shared" si="614"/>
        <v>6.7250000000000001E-3</v>
      </c>
      <c r="DB67" s="554">
        <f t="shared" si="614"/>
        <v>0.24242283170534765</v>
      </c>
      <c r="DC67" s="32">
        <f t="shared" si="615"/>
        <v>92.62001178637459</v>
      </c>
      <c r="DD67" s="32">
        <f t="shared" si="616"/>
        <v>2.5</v>
      </c>
      <c r="DE67" s="67">
        <f t="shared" si="616"/>
        <v>90.12001178637459</v>
      </c>
      <c r="DF67" s="270"/>
      <c r="DG67" s="67">
        <f t="shared" si="617"/>
        <v>92.530547500000011</v>
      </c>
      <c r="DH67" s="33">
        <v>2.5</v>
      </c>
      <c r="DI67" s="67">
        <f>(1-DK67)*BU67</f>
        <v>90.030547500000011</v>
      </c>
      <c r="DJ67" s="67"/>
      <c r="DK67" s="34">
        <f t="shared" si="618"/>
        <v>0.25</v>
      </c>
      <c r="DL67" s="159"/>
      <c r="DM67" s="159"/>
      <c r="DN67" s="68">
        <f t="shared" si="619"/>
        <v>95.204535614973253</v>
      </c>
      <c r="DO67" s="33">
        <v>2.5</v>
      </c>
      <c r="DP67" s="67">
        <f>(1-DR67)*CP67</f>
        <v>92.704535614973253</v>
      </c>
      <c r="DQ67" s="67"/>
      <c r="DR67" s="34">
        <f t="shared" si="620"/>
        <v>0.25</v>
      </c>
      <c r="DS67" s="294"/>
      <c r="DT67" s="294"/>
      <c r="DU67" s="294"/>
      <c r="DV67" s="67">
        <f t="shared" si="594"/>
        <v>176.14190374602626</v>
      </c>
      <c r="DW67" s="67">
        <f t="shared" si="594"/>
        <v>146.10189981723474</v>
      </c>
      <c r="DX67" s="67">
        <f t="shared" si="594"/>
        <v>30.040003928791535</v>
      </c>
      <c r="DY67" s="67">
        <f t="shared" si="595"/>
        <v>176.20193514591438</v>
      </c>
      <c r="DZ67" s="67">
        <f t="shared" si="595"/>
        <v>146.19175264591439</v>
      </c>
      <c r="EA67" s="67">
        <f>BU67-DI67</f>
        <v>30.010182500000013</v>
      </c>
      <c r="EB67" s="67">
        <f t="shared" si="596"/>
        <v>174.40766330481281</v>
      </c>
      <c r="EC67" s="67">
        <f t="shared" si="596"/>
        <v>143.50615143315505</v>
      </c>
      <c r="ED67" s="67">
        <f>CP67-DP67</f>
        <v>30.90151187165776</v>
      </c>
      <c r="EE67" s="68">
        <f>EF67+EG67</f>
        <v>131.5378702085257</v>
      </c>
      <c r="EF67" s="67">
        <f>(EJ67*$C67+FF67*$D67)/$B67</f>
        <v>108.16024966083086</v>
      </c>
      <c r="EG67" s="67">
        <f t="shared" si="621"/>
        <v>23.37762054769486</v>
      </c>
      <c r="EH67" s="261">
        <f t="shared" si="622"/>
        <v>131.27751785766463</v>
      </c>
      <c r="EI67" s="154">
        <f>EH67/($BJ67-$DG67)</f>
        <v>0.74504015945654944</v>
      </c>
      <c r="EJ67" s="108">
        <f>EK67+EL67-DH67</f>
        <v>107.83736191418996</v>
      </c>
      <c r="EK67" s="126">
        <f>'Allometrics &amp; Decay rates'!$H$5*$AL67*BL67+'Allometrics &amp; Decay rates'!$H$6*$AM67*BM67+'Allometrics &amp; Decay rates'!$H$7*$AN67*BN67+'Allometrics &amp; Decay rates'!$H$8*$AO67*BO67+'Allometrics &amp; Decay rates'!$H$9*$AP67*BP67+'Allometrics &amp; Decay rates'!$H$10*$AQ67*BQ67+'Allometrics &amp; Decay rates'!$H$11*$AR67*BR67+'Allometrics &amp; Decay rates'!$H$12*$AS67*BS67+'Allometrics &amp; Decay rates'!$H$13*$AT67*BT67</f>
        <v>63.770675825026949</v>
      </c>
      <c r="EL67" s="97">
        <f t="shared" si="623"/>
        <v>46.566686089163007</v>
      </c>
      <c r="EM67" s="550">
        <f>AL67*BL67*('Allometrics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26.186526609288769</v>
      </c>
      <c r="EN67" s="550">
        <f>AM67*BM67*('Allometrics &amp; Decay rates'!$I$6*((EXP('Allometrics &amp; Decay rates'!$K$6)-1)/('Discounting metrics'!$D$4+'Allometrics &amp; Decay rates'!$K$6)*(1-EXP(-('Discounting metrics'!$D$4+'Allometrics &amp; Decay rates'!$K$6)*'Discounting metrics'!$E$4))-(1-EXP(-'Allometrics &amp; Decay rates'!$K$6))/1.55)+'Allometrics &amp; Decay rates'!$E$6*((EXP('Allometrics &amp; Decay rates'!$L$6)-1)/('Discounting metrics'!$D$4+'Allometrics &amp; Decay rates'!$L$6)*(1-EXP(-('Discounting metrics'!$D$4+'Allometrics &amp; Decay rates'!$L$6)*'Discounting metrics'!$E$4))-(1-EXP(-'Allometrics &amp; Decay rates'!$L$6))/1.55))</f>
        <v>19.431310111640077</v>
      </c>
      <c r="EO67" s="550">
        <f>AN67*BN67*('Allometrics &amp; Decay rates'!$I$7*((EXP('Allometrics &amp; Decay rates'!$K$7)-1)/('Discounting metrics'!$D$4+'Allometrics &amp; Decay rates'!$K$7)*(1-EXP(-('Discounting metrics'!$D$4+'Allometrics &amp; Decay rates'!$K$7)*'Discounting metrics'!$E$4))-(1-EXP(-'Allometrics &amp; Decay rates'!$K$7))/1.55)+'Allometrics &amp; Decay rates'!$E$7*((EXP('Allometrics &amp; Decay rates'!$L$7)-1)/('Discounting metrics'!$D$4+'Allometrics &amp; Decay rates'!$L$7)*(1-EXP(-('Discounting metrics'!$D$4+'Allometrics &amp; Decay rates'!$L$7)*'Discounting metrics'!$E$4))-(1-EXP(-'Allometrics &amp; Decay rates'!$L$7))/1.55))</f>
        <v>0.17633957299641426</v>
      </c>
      <c r="EP67" s="550">
        <f>AO67*BO67*('Allometrics &amp; Decay rates'!$I$8*((EXP('Allometrics &amp; Decay rates'!$K$8)-1)/('Discounting metrics'!$D$4+'Allometrics &amp; Decay rates'!$K$8)*(1-EXP(-('Discounting metrics'!$D$4+'Allometrics &amp; Decay rates'!$K$8)*'Discounting metrics'!$E$4))-(1-EXP(-'Allometrics &amp; Decay rates'!$K$8))/1.55)+'Allometrics &amp; Decay rates'!$E$8*((EXP('Allometrics &amp; Decay rates'!$L$8)-1)/('Discounting metrics'!$D$4+'Allometrics &amp; Decay rates'!$L$8)*(1-EXP(-('Discounting metrics'!$D$4+'Allometrics &amp; Decay rates'!$L$8)*'Discounting metrics'!$E$4))-(1-EXP(-'Allometrics &amp; Decay rates'!$L$8))/1.55))</f>
        <v>0.72052936699225034</v>
      </c>
      <c r="EQ67" s="550">
        <f>AP67*BP67*('Allometrics &amp; Decay rates'!$I$9*((EXP('Allometrics &amp; Decay rates'!$K$9)-1)/('Discounting metrics'!$D$4+'Allometrics &amp; Decay rates'!$K$9)*(1-EXP(-('Discounting metrics'!$D$4+'Allometrics &amp; Decay rates'!$K$9)*'Discounting metrics'!$E$4))-(1-EXP(-'Allometrics &amp; Decay rates'!$K$9))/1.55)+'Allometrics &amp; Decay rates'!$E$9*((EXP('Allometrics &amp; Decay rates'!$L$9)-1)/('Discounting metrics'!$D$4+'Allometrics &amp; Decay rates'!$L$9)*(1-EXP(-('Discounting metrics'!$D$4+'Allometrics &amp; Decay rates'!$L$9)*'Discounting metrics'!$E$4))-(1-EXP(-'Allometrics &amp; Decay rates'!$L$9))/1.55))</f>
        <v>1.1765294785721057E-2</v>
      </c>
      <c r="ER67" s="550">
        <f>AQ67*BQ67*('Allometrics &amp; Decay rates'!$I$10*((EXP('Allometrics &amp; Decay rates'!$K$10)-1)/('Discounting metrics'!$D$4+'Allometrics &amp; Decay rates'!$K$10)*(1-EXP(-('Discounting metrics'!$D$4+'Allometrics &amp; Decay rates'!$K$10)*'Discounting metrics'!$E$4))-(1-EXP(-'Allometrics &amp; Decay rates'!$K$10))/1.55)+'Allometrics &amp; Decay rates'!$E$10*((EXP('Allometrics &amp; Decay rates'!$L$10)-1)/('Discounting metrics'!$D$4+'Allometrics &amp; Decay rates'!$L$10)*(1-EXP(-('Discounting metrics'!$D$4+'Allometrics &amp; Decay rates'!$L$10)*'Discounting metrics'!$E$4))-(1-EXP(-'Allometrics &amp; Decay rates'!$L$10))/1.55))</f>
        <v>1.0721015364566688E-3</v>
      </c>
      <c r="ES67" s="550">
        <f>AR67*BR67*('Allometrics &amp; Decay rates'!$I$11*((EXP('Allometrics &amp; Decay rates'!$K$11)-1)/('Discounting metrics'!$D$4+'Allometrics &amp; Decay rates'!$K$11)*(1-EXP(-('Discounting metrics'!$D$4+'Allometrics &amp; Decay rates'!$K$11)*'Discounting metrics'!$E$4))-(1-EXP(-'Allometrics &amp; Decay rates'!$K$11))/1.55)+'Allometrics &amp; Decay rates'!$E$11*((EXP('Allometrics &amp; Decay rates'!$L$11)-1)/('Discounting metrics'!$D$4+'Allometrics &amp; Decay rates'!$L$11)*(1-EXP(-('Discounting metrics'!$D$4+'Allometrics &amp; Decay rates'!$L$11)*'Discounting metrics'!$E$4))-(1-EXP(-'Allometrics &amp; Decay rates'!$L$11))/1.55))</f>
        <v>9.1140507148392935E-7</v>
      </c>
      <c r="ET67" s="550">
        <f>AS67*BS67*('Allometrics &amp; Decay rates'!$I$12*((EXP('Allometrics &amp; Decay rates'!$K$12)-1)/('Discounting metrics'!$D$4+'Allometrics &amp; Decay rates'!$K$12)*(1-EXP(-('Discounting metrics'!$D$4+'Allometrics &amp; Decay rates'!$K$12)*'Discounting metrics'!$E$4))-(1-EXP(-'Allometrics &amp; Decay rates'!$K$12))/1.55)+'Allometrics &amp; Decay rates'!$E$12*((EXP('Allometrics &amp; Decay rates'!$L$12)-1)/('Discounting metrics'!$D$4+'Allometrics &amp; Decay rates'!$L$12)*(1-EXP(-('Discounting metrics'!$D$4+'Allometrics &amp; Decay rates'!$L$12)*'Discounting metrics'!$E$4))-(1-EXP(-'Allometrics &amp; Decay rates'!$L$12))/1.55))</f>
        <v>3.9142120518241265E-2</v>
      </c>
      <c r="EU67" s="550">
        <f>AT67*BT67*('Allometrics &amp; Decay rates'!$I$13*((EXP('Allometrics &amp; Decay rates'!$K$13)-1)/('Discounting metrics'!$D$4+'Allometrics &amp; Decay rates'!$K$13)*(1-EXP(-('Discounting metrics'!$D$4+'Allometrics &amp; Decay rates'!$K$13)*'Discounting metrics'!$E$4))-(1-EXP(-'Allometrics &amp; Decay rates'!$K$13))/1.55)+'Allometrics &amp; Decay rates'!$E$13*((EXP('Allometrics &amp; Decay rates'!$L$13)-1)/('Discounting metrics'!$D$4+'Allometrics &amp; Decay rates'!$L$13)*(1-EXP(-('Discounting metrics'!$D$4+'Allometrics &amp; Decay rates'!$L$13)*'Discounting metrics'!$E$4))-(1-EXP(-'Allometrics &amp; Decay rates'!$L$13))/1.55))</f>
        <v>0</v>
      </c>
      <c r="EV67" s="108">
        <f t="shared" si="624"/>
        <v>23.440155943474664</v>
      </c>
      <c r="EW67" s="550">
        <f>AL67*BV67*$DK67*((EXP('Allometrics &amp; Decay rates'!$M$5)-1)/('Discounting metrics'!$D$4+'Allometrics &amp; Decay rates'!$M$5)*(1-EXP(-('Discounting metrics'!$D$4+'Allometrics &amp; Decay rates'!$M$5)*'Discounting metrics'!$E$4))-(1-EXP(-'Allometrics &amp; Decay rates'!$M$5))/1.55)</f>
        <v>11.678284594888867</v>
      </c>
      <c r="EX67" s="550">
        <f>AM67*BW67*$DK67*((EXP('Allometrics &amp; Decay rates'!$M$5)-1)/('Discounting metrics'!$D$4+'Allometrics &amp; Decay rates'!$M$5)*(1-EXP(-('Discounting metrics'!$D$4+'Allometrics &amp; Decay rates'!$M$5)*'Discounting metrics'!$E$4))-(1-EXP(-'Allometrics &amp; Decay rates'!$M$5))/1.55)</f>
        <v>10.730245997803621</v>
      </c>
      <c r="EY67" s="550">
        <f>AN67*BX67*$DK67*((EXP('Allometrics &amp; Decay rates'!$M$5)-1)/('Discounting metrics'!$D$4+'Allometrics &amp; Decay rates'!$M$5)*(1-EXP(-('Discounting metrics'!$D$4+'Allometrics &amp; Decay rates'!$M$5)*'Discounting metrics'!$E$4))-(1-EXP(-'Allometrics &amp; Decay rates'!$M$5))/1.55)</f>
        <v>0.27802771376893709</v>
      </c>
      <c r="EZ67" s="550">
        <f>AO67*BY67*$DK67*((EXP('Allometrics &amp; Decay rates'!$M$5)-1)/('Discounting metrics'!$D$4+'Allometrics &amp; Decay rates'!$M$5)*(1-EXP(-('Discounting metrics'!$D$4+'Allometrics &amp; Decay rates'!$M$5)*'Discounting metrics'!$E$4))-(1-EXP(-'Allometrics &amp; Decay rates'!$M$5))/1.55)</f>
        <v>0.7074633495618633</v>
      </c>
      <c r="FA67" s="550">
        <f>AP67*BZ67*$DK67*((EXP('Allometrics &amp; Decay rates'!$M$5)-1)/('Discounting metrics'!$D$4+'Allometrics &amp; Decay rates'!$M$5)*(1-EXP(-('Discounting metrics'!$D$4+'Allometrics &amp; Decay rates'!$M$5)*'Discounting metrics'!$E$4))-(1-EXP(-'Allometrics &amp; Decay rates'!$M$5))/1.55)</f>
        <v>4.0111079697046831E-2</v>
      </c>
      <c r="FB67" s="550">
        <f>AQ67*CA67*$DK67*((EXP('Allometrics &amp; Decay rates'!$M$5)-1)/('Discounting metrics'!$D$4+'Allometrics &amp; Decay rates'!$M$5)*(1-EXP(-('Discounting metrics'!$D$4+'Allometrics &amp; Decay rates'!$M$5)*'Discounting metrics'!$E$4))-(1-EXP(-'Allometrics &amp; Decay rates'!$M$5))/1.55)</f>
        <v>6.0212234875021038E-3</v>
      </c>
      <c r="FC67" s="550">
        <f>AR67*CB67*$DK67*((EXP('Allometrics &amp; Decay rates'!$M$5)-1)/('Discounting metrics'!$D$4+'Allometrics &amp; Decay rates'!$M$5)*(1-EXP(-('Discounting metrics'!$D$4+'Allometrics &amp; Decay rates'!$M$5)*'Discounting metrics'!$E$4))-(1-EXP(-'Allometrics &amp; Decay rates'!$M$5))/1.55)</f>
        <v>1.9842668311086479E-6</v>
      </c>
      <c r="FD67" s="261">
        <f t="shared" si="625"/>
        <v>139.0591603445128</v>
      </c>
      <c r="FE67" s="154">
        <f>FD67/($CE67-$DN67)</f>
        <v>0.79732253565876099</v>
      </c>
      <c r="FF67" s="108">
        <f t="shared" si="626"/>
        <v>117.4881178971234</v>
      </c>
      <c r="FG67" s="126">
        <f>'Allometrics &amp; Decay rates'!$H$5*$AU67*CG67+'Allometrics &amp; Decay rates'!$H$6*$AV67*CH67+'Allometrics &amp; Decay rates'!$H$7*$AW67*CI67+'Allometrics &amp; Decay rates'!$H$8*$AX67*CJ67+'Allometrics &amp; Decay rates'!$H$9*$AY67*CK67+'Allometrics &amp; Decay rates'!$H$10*$AZ67*CL67+'Allometrics &amp; Decay rates'!$H$11*$BA67*CM67+'Allometrics &amp; Decay rates'!$H$12*$BB67*CN67+'Allometrics &amp; Decay rates'!$H$13*$BC67*CO67</f>
        <v>62.749680768131192</v>
      </c>
      <c r="FH67" s="97">
        <f t="shared" si="627"/>
        <v>57.238437128992217</v>
      </c>
      <c r="FI67" s="550">
        <f>AU67*CG67*('Allometrics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39.314285958414096</v>
      </c>
      <c r="FJ67" s="550">
        <f>AV67*CH67*('Allometrics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9.7808154034884787</v>
      </c>
      <c r="FK67" s="550">
        <f>AW67*CI67*('Allometrics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0.8789383961630387</v>
      </c>
      <c r="FL67" s="550">
        <f>AX67*CJ67*('Allometrics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0.3430641212109411</v>
      </c>
      <c r="FM67" s="550">
        <f>AY67*CK67*('Allometrics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2.6833972882905344E-2</v>
      </c>
      <c r="FN67" s="550">
        <f>AZ67*CL67*('Allometrics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3.0704438046603402E-2</v>
      </c>
      <c r="FO67" s="550">
        <f>BA67*CM67*('Allometrics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P67" s="550">
        <f>BB67*CN67*('Allometrics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6.8637948387861503</v>
      </c>
      <c r="FQ67" s="550">
        <f>BC67*CO67*('Allometrics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R67" s="108">
        <f t="shared" si="628"/>
        <v>21.571042447389413</v>
      </c>
      <c r="FS67" s="550">
        <f>AU67*CQ67*$DK67*((EXP('Allometrics &amp; Decay rates'!$M$5)-1)/('Discounting metrics'!$D$4+'Allometrics &amp; Decay rates'!$M$5)*(1-EXP(-('Discounting metrics'!$D$4+'Allometrics &amp; Decay rates'!$M$5)*'Discounting metrics'!$E$4))-(1-EXP(-'Allometrics &amp; Decay rates'!$M$5))/1.55)</f>
        <v>15.686438545130184</v>
      </c>
      <c r="FT67" s="550">
        <f>AV67*CR67*$DK67*((EXP('Allometrics &amp; Decay rates'!$M$5)-1)/('Discounting metrics'!$D$4+'Allometrics &amp; Decay rates'!$M$5)*(1-EXP(-('Discounting metrics'!$D$4+'Allometrics &amp; Decay rates'!$M$5)*'Discounting metrics'!$E$4))-(1-EXP(-'Allometrics &amp; Decay rates'!$M$5))/1.55)</f>
        <v>3.727582271175129</v>
      </c>
      <c r="FU67" s="550">
        <f>AW67*CS67*$DK67*((EXP('Allometrics &amp; Decay rates'!$M$5)-1)/('Discounting metrics'!$D$4+'Allometrics &amp; Decay rates'!$M$5)*(1-EXP(-('Discounting metrics'!$D$4+'Allometrics &amp; Decay rates'!$M$5)*'Discounting metrics'!$E$4))-(1-EXP(-'Allometrics &amp; Decay rates'!$M$5))/1.55)</f>
        <v>0.96428570413373882</v>
      </c>
      <c r="FV67" s="550">
        <f>AX67*CT67*$DK67*((EXP('Allometrics &amp; Decay rates'!$M$5)-1)/('Discounting metrics'!$D$4+'Allometrics &amp; Decay rates'!$M$5)*(1-EXP(-('Discounting metrics'!$D$4+'Allometrics &amp; Decay rates'!$M$5)*'Discounting metrics'!$E$4))-(1-EXP(-'Allometrics &amp; Decay rates'!$M$5))/1.55)</f>
        <v>0.80192699030352121</v>
      </c>
      <c r="FW67" s="550">
        <f>AY67*CU67*$DK67*((EXP('Allometrics &amp; Decay rates'!$M$5)-1)/('Discounting metrics'!$D$4+'Allometrics &amp; Decay rates'!$M$5)*(1-EXP(-('Discounting metrics'!$D$4+'Allometrics &amp; Decay rates'!$M$5)*'Discounting metrics'!$E$4))-(1-EXP(-'Allometrics &amp; Decay rates'!$M$5))/1.55)</f>
        <v>0.12538117292886408</v>
      </c>
      <c r="FX67" s="550">
        <f>AZ67*CV67*$DK67*((EXP('Allometrics &amp; Decay rates'!$M$5)-1)/('Discounting metrics'!$D$4+'Allometrics &amp; Decay rates'!$M$5)*(1-EXP(-('Discounting metrics'!$D$4+'Allometrics &amp; Decay rates'!$M$5)*'Discounting metrics'!$E$4))-(1-EXP(-'Allometrics &amp; Decay rates'!$M$5))/1.55)</f>
        <v>0.26542776371797427</v>
      </c>
      <c r="FY67" s="550">
        <f>BA67*CW67*$DK67*((EXP('Allometrics &amp; Decay rates'!$M$5)-1)/('Discounting metrics'!$D$4+'Allometrics &amp; Decay rates'!$M$5)*(1-EXP(-('Discounting metrics'!$D$4+'Allometrics &amp; Decay rates'!$M$5)*'Discounting metrics'!$E$4))-(1-EXP(-'Allometrics &amp; Decay rates'!$M$5))/1.55)</f>
        <v>0</v>
      </c>
      <c r="FZ67" s="68"/>
      <c r="GA67" s="293"/>
      <c r="GB67" s="293"/>
      <c r="GP67" s="32">
        <f t="shared" si="629"/>
        <v>8.1090706319702601</v>
      </c>
      <c r="GQ67" s="33">
        <v>8.09</v>
      </c>
      <c r="GR67" s="99">
        <v>8.66</v>
      </c>
      <c r="GS67" s="99"/>
      <c r="GT67" s="99"/>
      <c r="GU67" s="99"/>
      <c r="GV67" s="99"/>
      <c r="GW67" s="99"/>
      <c r="GX67" s="99"/>
      <c r="GY67" s="99"/>
      <c r="GZ67" s="99"/>
      <c r="HA67" s="99"/>
      <c r="HB67" s="99"/>
      <c r="HF67" s="97">
        <f>HG67*$LI67</f>
        <v>3.9827462195643832</v>
      </c>
      <c r="HG67" s="526">
        <f>EE67/'Discounting metrics'!E$4/M67</f>
        <v>4.4252735772937593</v>
      </c>
      <c r="HH67" s="97"/>
      <c r="HI67" s="97"/>
      <c r="HJ67" s="97">
        <f>HK67*$LI67</f>
        <v>4.0218589418344921</v>
      </c>
      <c r="HK67" s="526">
        <f>EH67/'Discounting metrics'!E$4/O67</f>
        <v>4.4687321575938803</v>
      </c>
      <c r="HL67" s="97"/>
      <c r="HM67" s="97"/>
      <c r="HN67" s="97">
        <f>HO67*$LI67</f>
        <v>3.1478586046876491</v>
      </c>
      <c r="HO67" s="526">
        <f>FD67/'Discounting metrics'!E$4/Q67</f>
        <v>3.4976206718751657</v>
      </c>
      <c r="HP67" s="97"/>
      <c r="HQ67" s="97"/>
      <c r="HR67" s="97">
        <f>HS67*$LI67</f>
        <v>3.0058901073343312</v>
      </c>
      <c r="HS67" s="263">
        <f>$IM$11*IE67</f>
        <v>3.3398778970381455</v>
      </c>
      <c r="HT67" s="97"/>
      <c r="HU67" s="97"/>
      <c r="HV67" s="97">
        <f>HW67*$LI67</f>
        <v>3.0342767339938788</v>
      </c>
      <c r="HW67" s="263">
        <f>$IM$11*IH67</f>
        <v>3.3714185933265317</v>
      </c>
      <c r="HX67" s="97"/>
      <c r="HY67" s="97"/>
      <c r="HZ67" s="97">
        <f>I67*$LI67</f>
        <v>1.0773000000000001</v>
      </c>
      <c r="IA67" s="263">
        <f>$IM$11*IK67</f>
        <v>2.666620318240374</v>
      </c>
      <c r="IB67" s="97"/>
      <c r="IC67" s="97"/>
      <c r="ID67" s="97">
        <f>IE67*$LI67</f>
        <v>6.0258011049723752</v>
      </c>
      <c r="IE67" s="263">
        <f>GP67/G67</f>
        <v>6.6953345610804167</v>
      </c>
      <c r="IF67" s="60"/>
      <c r="IG67" s="97">
        <f>IH67*$LI67</f>
        <v>6.0827067669172932</v>
      </c>
      <c r="IH67" s="263">
        <f>GQ67/I67</f>
        <v>6.7585630743525478</v>
      </c>
      <c r="II67" s="60"/>
      <c r="IJ67" s="97">
        <f>IK67*$LI67</f>
        <v>4.8111111111111109</v>
      </c>
      <c r="IK67" s="263">
        <f>GR67/K67</f>
        <v>5.3456790123456788</v>
      </c>
      <c r="IL67" s="60"/>
      <c r="IM67" s="60"/>
      <c r="IN67" s="60"/>
      <c r="IO67" s="60"/>
      <c r="IP67" s="554">
        <f>IR67*$V67</f>
        <v>1.0910508840000002</v>
      </c>
      <c r="IQ67" s="262">
        <f>IR67*$LI67</f>
        <v>0.30139527182320447</v>
      </c>
      <c r="IR67" s="166">
        <f>(IW67*Y67+JD67*AA67)/V67</f>
        <v>0.33488363535911608</v>
      </c>
      <c r="IS67" s="97"/>
      <c r="IT67" s="97"/>
      <c r="IU67" s="429">
        <f>(IX67*C67+JE67*D67)/B67</f>
        <v>7.4342007434944233E-3</v>
      </c>
      <c r="IV67" s="262">
        <f>IW67*$LI67</f>
        <v>0</v>
      </c>
      <c r="IW67" s="436">
        <f>IX67*JB67/I67</f>
        <v>0</v>
      </c>
      <c r="IX67" s="101">
        <v>0</v>
      </c>
      <c r="IY67" s="433">
        <v>1</v>
      </c>
      <c r="IZ67" s="433">
        <v>0</v>
      </c>
      <c r="JA67" s="434">
        <f>1-IY67-IZ67</f>
        <v>0</v>
      </c>
      <c r="JB67" s="430">
        <f>IY67*$JJ67+IZ67*$JK67+JA67*$JL67+'Discounting metrics'!$B$6*(IY67*$JM67+IZ67*$JN67+JA67*$JO67)/10^3+'Discounting metrics'!$B$5*(IY67*$JP67+IZ67*$JQ67+JA67*$JR67)/10^3</f>
        <v>54.558</v>
      </c>
      <c r="JC67" s="262">
        <f>JD67*$LI67</f>
        <v>6.7348819999999998</v>
      </c>
      <c r="JD67" s="436">
        <f>JE67*JI67/K67</f>
        <v>7.4832022222222223</v>
      </c>
      <c r="JE67" s="101">
        <v>0.22220000000000001</v>
      </c>
      <c r="JF67" s="433">
        <v>1</v>
      </c>
      <c r="JG67" s="433">
        <v>0</v>
      </c>
      <c r="JH67" s="434">
        <f t="shared" si="630"/>
        <v>0</v>
      </c>
      <c r="JI67" s="430">
        <f>JF67*$JJ67+JG67*$JK67+JH67*$JL67+'Discounting metrics'!$B$6*(JF67*$JM67+JG67*$JN67+JH67*$JO67)/10^3+'Discounting metrics'!$B$5*(JF67*$JP67+JG67*$JQ67+JH67*$JR67)/10^3</f>
        <v>54.558</v>
      </c>
      <c r="JJ67" s="431">
        <v>51.3</v>
      </c>
      <c r="JK67" s="431">
        <v>29</v>
      </c>
      <c r="JL67" s="431">
        <v>29</v>
      </c>
      <c r="JM67" s="99">
        <v>5</v>
      </c>
      <c r="JN67" s="431">
        <v>13</v>
      </c>
      <c r="JO67" s="431">
        <v>13</v>
      </c>
      <c r="JP67" s="431">
        <v>52</v>
      </c>
      <c r="JQ67" s="431">
        <v>58.3</v>
      </c>
      <c r="JR67" s="431">
        <v>58.3</v>
      </c>
      <c r="JS67" s="554">
        <f>JV67+JW67+JT67+JU67+JX67</f>
        <v>3.4846411895080003</v>
      </c>
      <c r="JT67" s="554">
        <f>KJ67*$V67</f>
        <v>0.85596028238160005</v>
      </c>
      <c r="JU67" s="554">
        <f>KL67*$V67</f>
        <v>0.127544692248</v>
      </c>
      <c r="JV67" s="554">
        <f>KN67*$V67</f>
        <v>1.2197501418600001</v>
      </c>
      <c r="JW67" s="554">
        <f>KP67*$V67</f>
        <v>1.2813860730184001</v>
      </c>
      <c r="JX67" s="554"/>
      <c r="JY67" s="167">
        <f>JZ67*LI67</f>
        <v>0.96260806339999994</v>
      </c>
      <c r="JZ67" s="166">
        <f>KF67+KD67+KH67</f>
        <v>1.0695645148888888</v>
      </c>
      <c r="KA67" s="97"/>
      <c r="KB67" s="97"/>
      <c r="KC67" s="473">
        <f>KD67*LI67</f>
        <v>0.27168645708</v>
      </c>
      <c r="KD67" s="269">
        <f>KJ67+KL67</f>
        <v>0.30187384119999999</v>
      </c>
      <c r="KE67" s="473">
        <f>KF67*LI67</f>
        <v>0.69092160631999999</v>
      </c>
      <c r="KF67" s="269">
        <f>KN67+KP67</f>
        <v>0.76769067368888888</v>
      </c>
      <c r="KG67" s="49"/>
      <c r="KH67" s="49"/>
      <c r="KI67" s="435">
        <v>0.23645311668000002</v>
      </c>
      <c r="KJ67" s="522">
        <f>KI67/$LI67</f>
        <v>0.2627256852</v>
      </c>
      <c r="KK67" s="435">
        <v>3.52333404E-2</v>
      </c>
      <c r="KL67" s="522">
        <f>KK67/$LI67</f>
        <v>3.9148155999999996E-2</v>
      </c>
      <c r="KM67" s="435">
        <v>0.33694755300000001</v>
      </c>
      <c r="KN67" s="522">
        <f>KM67/$LI67</f>
        <v>0.37438617000000002</v>
      </c>
      <c r="KO67" s="435">
        <v>0.35397405332000004</v>
      </c>
      <c r="KP67" s="522">
        <f>KO67/$LI67</f>
        <v>0.39330450368888892</v>
      </c>
      <c r="KQ67" s="610">
        <f>44/12*HG67+$JZ67+$IR67</f>
        <v>17.630451266991788</v>
      </c>
      <c r="KR67" s="60"/>
      <c r="KS67" s="60"/>
      <c r="KT67" s="610">
        <f>44/12*HK67+$JZ67+$IW67</f>
        <v>17.454915759399782</v>
      </c>
      <c r="KW67" s="610">
        <f>44/12*HO67+$JZ67+$JD67</f>
        <v>21.377375867320051</v>
      </c>
      <c r="KZ67" s="610">
        <f>44/12*HS67+$JZ67+$IR67</f>
        <v>13.650667106054538</v>
      </c>
      <c r="LC67" s="610">
        <f>44/12*HW67+$JZ67+$IW67</f>
        <v>13.431432690419504</v>
      </c>
      <c r="LF67" s="610">
        <f>44/12*I67+$JZ67+$JD67</f>
        <v>12.941766737111111</v>
      </c>
      <c r="LI67" s="31">
        <v>0.9</v>
      </c>
      <c r="LJ67" s="32">
        <f t="shared" ref="LJ67:LJ69" si="631">$LI67*LK67</f>
        <v>15.75</v>
      </c>
      <c r="LK67" s="27">
        <v>17.5</v>
      </c>
      <c r="LL67" s="32"/>
      <c r="LM67" s="33"/>
      <c r="LN67" s="34">
        <f>$LI67*LO67</f>
        <v>0.13500000000000001</v>
      </c>
      <c r="LO67" s="42">
        <v>0.15</v>
      </c>
      <c r="LP67" s="36">
        <f>$LI67*LQ67</f>
        <v>2.7E-2</v>
      </c>
      <c r="LQ67" s="35">
        <v>0.03</v>
      </c>
    </row>
    <row r="68" spans="1:329" s="4" customFormat="1" x14ac:dyDescent="0.25">
      <c r="A68" s="14" t="s">
        <v>472</v>
      </c>
      <c r="B68" s="67">
        <f t="shared" si="601"/>
        <v>8.49</v>
      </c>
      <c r="C68" s="33">
        <v>8.4</v>
      </c>
      <c r="D68" s="33">
        <v>0.09</v>
      </c>
      <c r="E68" s="38">
        <f t="shared" si="602"/>
        <v>1.0600706713780918E-2</v>
      </c>
      <c r="F68" s="108">
        <f>U68/B68</f>
        <v>0.48106007067137807</v>
      </c>
      <c r="G68" s="32">
        <f>V68/B68</f>
        <v>0.44257526501766786</v>
      </c>
      <c r="H68" s="33">
        <v>0.48</v>
      </c>
      <c r="I68" s="32">
        <f>$LI68*H68</f>
        <v>0.44159999999999999</v>
      </c>
      <c r="J68" s="33">
        <v>0.57999999999999996</v>
      </c>
      <c r="K68" s="32">
        <f>$LI68*J68</f>
        <v>0.53359999999999996</v>
      </c>
      <c r="L68" s="32">
        <f>(F68/'Discounting metrics'!$D$4*(1-EXP(-'Discounting metrics'!$D$4*'Discounting metrics'!$E$4)))/'Discounting metrics'!$E$4</f>
        <v>0.11806228703329304</v>
      </c>
      <c r="M68" s="32">
        <f>(G68/'Discounting metrics'!$D$4*(1-EXP(-'Discounting metrics'!$D$4*'Discounting metrics'!$E$4)))/'Discounting metrics'!$E$4</f>
        <v>0.10861730407062958</v>
      </c>
      <c r="N68" s="32">
        <f>(H68/'Discounting metrics'!$D$4*(1-EXP(-'Discounting metrics'!$D$4*'Discounting metrics'!$E$4)))/'Discounting metrics'!$E$4</f>
        <v>0.1178021233333519</v>
      </c>
      <c r="O68" s="32">
        <f>(I68/'Discounting metrics'!$D$4*(1-EXP(-'Discounting metrics'!$D$4*'Discounting metrics'!$E$4)))/'Discounting metrics'!$E$4</f>
        <v>0.10837795346668373</v>
      </c>
      <c r="P68" s="32">
        <f>(J68/'Discounting metrics'!$D$4*(1-EXP(-'Discounting metrics'!$D$4*'Discounting metrics'!$E$4)))/'Discounting metrics'!$E$4</f>
        <v>0.14234423236113353</v>
      </c>
      <c r="Q68" s="32">
        <f>(K68/'Discounting metrics'!$D$4*(1-EXP(-'Discounting metrics'!$D$4*'Discounting metrics'!$E$4)))/'Discounting metrics'!$E$4</f>
        <v>0.13095669377224284</v>
      </c>
      <c r="R68" s="32">
        <f>10/G68</f>
        <v>22.595026858540759</v>
      </c>
      <c r="S68" s="32">
        <f>10/I68</f>
        <v>22.644927536231883</v>
      </c>
      <c r="T68" s="32">
        <f>10/K68</f>
        <v>18.740629685157423</v>
      </c>
      <c r="U68" s="108">
        <f t="shared" si="603"/>
        <v>4.0842000000000001</v>
      </c>
      <c r="V68" s="68">
        <f t="shared" si="603"/>
        <v>3.7574640000000001</v>
      </c>
      <c r="W68" s="68"/>
      <c r="X68" s="67">
        <f>C68*H68</f>
        <v>4.032</v>
      </c>
      <c r="Y68" s="67">
        <f t="shared" si="604"/>
        <v>3.7094400000000003</v>
      </c>
      <c r="Z68" s="67">
        <f t="shared" si="604"/>
        <v>5.2199999999999996E-2</v>
      </c>
      <c r="AA68" s="67">
        <f>D68*K68</f>
        <v>4.8023999999999997E-2</v>
      </c>
      <c r="AB68" s="38">
        <f t="shared" si="605"/>
        <v>1.27809607756721E-2</v>
      </c>
      <c r="AC68" s="294">
        <f t="shared" si="606"/>
        <v>0.88040579454189505</v>
      </c>
      <c r="AD68" s="294">
        <f t="shared" si="606"/>
        <v>3.1321357276263995E-3</v>
      </c>
      <c r="AE68" s="294">
        <f t="shared" si="606"/>
        <v>0</v>
      </c>
      <c r="AF68" s="294">
        <f t="shared" si="606"/>
        <v>9.7180611456721314E-2</v>
      </c>
      <c r="AG68" s="294">
        <f t="shared" si="606"/>
        <v>1.3699815231781035E-4</v>
      </c>
      <c r="AH68" s="294">
        <f t="shared" si="606"/>
        <v>3.2757027285885585E-4</v>
      </c>
      <c r="AI68" s="294">
        <f t="shared" si="606"/>
        <v>3.1521069558461692E-6</v>
      </c>
      <c r="AJ68" s="294">
        <f t="shared" si="606"/>
        <v>1.8813737741624779E-2</v>
      </c>
      <c r="AK68" s="294">
        <f t="shared" si="606"/>
        <v>0</v>
      </c>
      <c r="AL68" s="96">
        <v>0.88524144541342165</v>
      </c>
      <c r="AM68" s="96">
        <v>2.7936330844342996E-3</v>
      </c>
      <c r="AN68" s="96">
        <v>0</v>
      </c>
      <c r="AO68" s="96">
        <v>9.7074144531161727E-2</v>
      </c>
      <c r="AP68" s="96">
        <v>1.3846598966407261E-4</v>
      </c>
      <c r="AQ68" s="96">
        <v>3.3107995435377214E-4</v>
      </c>
      <c r="AR68" s="96">
        <v>3.1858795303730921E-6</v>
      </c>
      <c r="AS68" s="96">
        <v>1.4418045147434182E-2</v>
      </c>
      <c r="AT68" s="96">
        <v>0</v>
      </c>
      <c r="AU68" s="96">
        <v>0.42907837986608044</v>
      </c>
      <c r="AV68" s="96">
        <v>3.4725715758889067E-2</v>
      </c>
      <c r="AW68" s="96">
        <v>0</v>
      </c>
      <c r="AX68" s="96">
        <v>0.10711752450895003</v>
      </c>
      <c r="AY68" s="96">
        <v>0</v>
      </c>
      <c r="AZ68" s="96">
        <v>0</v>
      </c>
      <c r="BA68" s="96">
        <v>0</v>
      </c>
      <c r="BB68" s="96">
        <v>0.42907837986608044</v>
      </c>
      <c r="BC68" s="96">
        <v>0</v>
      </c>
      <c r="BD68" s="554">
        <f>BG68*$B68/10^3</f>
        <v>2.1892121903642301</v>
      </c>
      <c r="BE68" s="554">
        <f t="shared" si="607"/>
        <v>1.0568020728176823</v>
      </c>
      <c r="BF68" s="554">
        <f t="shared" si="607"/>
        <v>1.1324101175465475</v>
      </c>
      <c r="BG68" s="67">
        <f t="shared" si="608"/>
        <v>257.85773738094582</v>
      </c>
      <c r="BH68" s="67">
        <f>(BK68*$C68+CF68*$D68)/$B68</f>
        <v>124.47609809395551</v>
      </c>
      <c r="BI68" s="67">
        <f>(BU68*$C68+CP68*$D68)/$B68</f>
        <v>133.38163928699029</v>
      </c>
      <c r="BJ68" s="67">
        <f>BK68+BU68</f>
        <v>257.78649695976333</v>
      </c>
      <c r="BK68" s="68">
        <f t="shared" si="609"/>
        <v>124.48111552781066</v>
      </c>
      <c r="BL68" s="145">
        <v>133.89186400279883</v>
      </c>
      <c r="BM68" s="145">
        <v>227.05899717523798</v>
      </c>
      <c r="BN68" s="145">
        <v>0</v>
      </c>
      <c r="BO68" s="145">
        <v>39.967497726875337</v>
      </c>
      <c r="BP68" s="145">
        <v>10.324454418625361</v>
      </c>
      <c r="BQ68" s="145">
        <v>3.7088593795405358</v>
      </c>
      <c r="BR68" s="145">
        <v>7.8006938959825599E-3</v>
      </c>
      <c r="BS68" s="145">
        <v>99.715362035180462</v>
      </c>
      <c r="BT68" s="145">
        <v>0</v>
      </c>
      <c r="BU68" s="68">
        <f t="shared" si="610"/>
        <v>133.30538143195267</v>
      </c>
      <c r="BV68" s="145">
        <v>131.43875062408449</v>
      </c>
      <c r="BW68" s="145">
        <v>152.50231153560762</v>
      </c>
      <c r="BX68" s="145">
        <v>0</v>
      </c>
      <c r="BY68" s="145">
        <v>156.98486627138101</v>
      </c>
      <c r="BZ68" s="145">
        <v>224.43722933203807</v>
      </c>
      <c r="CA68" s="145">
        <v>159.99281594856825</v>
      </c>
      <c r="CB68" s="145">
        <v>3.4583076272189346</v>
      </c>
      <c r="CC68" s="145">
        <v>83.304385459376107</v>
      </c>
      <c r="CD68" s="145">
        <v>0</v>
      </c>
      <c r="CE68" s="68">
        <f t="shared" si="611"/>
        <v>264.5068433579749</v>
      </c>
      <c r="CF68" s="68">
        <f t="shared" si="612"/>
        <v>124.00780426747312</v>
      </c>
      <c r="CG68" s="145">
        <v>234.21928630151004</v>
      </c>
      <c r="CH68" s="145">
        <v>375.94604558644562</v>
      </c>
      <c r="CI68" s="145">
        <v>0</v>
      </c>
      <c r="CJ68" s="145">
        <v>35.357185272049378</v>
      </c>
      <c r="CK68" s="145">
        <v>0</v>
      </c>
      <c r="CL68" s="145">
        <v>0</v>
      </c>
      <c r="CM68" s="145">
        <v>0</v>
      </c>
      <c r="CN68" s="145">
        <v>15.537959964920351</v>
      </c>
      <c r="CO68" s="145">
        <v>0</v>
      </c>
      <c r="CP68" s="68">
        <f t="shared" si="613"/>
        <v>140.49903909050178</v>
      </c>
      <c r="CQ68" s="145">
        <v>242.46296984723494</v>
      </c>
      <c r="CR68" s="145">
        <v>246.22361358957141</v>
      </c>
      <c r="CS68" s="145">
        <v>0</v>
      </c>
      <c r="CT68" s="145">
        <v>208.34348177424781</v>
      </c>
      <c r="CU68" s="145">
        <v>0</v>
      </c>
      <c r="CV68" s="145">
        <v>0</v>
      </c>
      <c r="CW68" s="145">
        <v>0</v>
      </c>
      <c r="CX68" s="145">
        <v>13.041653552452269</v>
      </c>
      <c r="CY68" s="145">
        <v>0</v>
      </c>
      <c r="CZ68" s="554">
        <f>DC68*$B68/10^3</f>
        <v>0.89175758815991057</v>
      </c>
      <c r="DA68" s="554">
        <f t="shared" si="614"/>
        <v>4.2450000000000002E-2</v>
      </c>
      <c r="DB68" s="554">
        <f t="shared" si="614"/>
        <v>0.8493075881599107</v>
      </c>
      <c r="DC68" s="32">
        <f t="shared" si="615"/>
        <v>105.03622946524271</v>
      </c>
      <c r="DD68" s="32">
        <f t="shared" si="616"/>
        <v>5</v>
      </c>
      <c r="DE68" s="67">
        <f t="shared" si="616"/>
        <v>100.03622946524271</v>
      </c>
      <c r="DF68" s="270"/>
      <c r="DG68" s="67">
        <f t="shared" si="617"/>
        <v>104.97903607396449</v>
      </c>
      <c r="DH68" s="33">
        <v>5</v>
      </c>
      <c r="DI68" s="67">
        <f>(1-DK68)*BU68</f>
        <v>99.979036073964494</v>
      </c>
      <c r="DJ68" s="67"/>
      <c r="DK68" s="34">
        <f t="shared" si="618"/>
        <v>0.25</v>
      </c>
      <c r="DL68" s="159"/>
      <c r="DM68" s="159"/>
      <c r="DN68" s="68">
        <f t="shared" si="619"/>
        <v>110.37427931787633</v>
      </c>
      <c r="DO68" s="33">
        <v>5</v>
      </c>
      <c r="DP68" s="67">
        <f>(1-DR68)*CP68</f>
        <v>105.37427931787633</v>
      </c>
      <c r="DQ68" s="67"/>
      <c r="DR68" s="34">
        <f t="shared" si="620"/>
        <v>0.25</v>
      </c>
      <c r="DS68" s="294"/>
      <c r="DT68" s="294"/>
      <c r="DU68" s="294"/>
      <c r="DV68" s="67">
        <f t="shared" si="594"/>
        <v>152.82150791570311</v>
      </c>
      <c r="DW68" s="67">
        <f t="shared" si="594"/>
        <v>119.47609809395551</v>
      </c>
      <c r="DX68" s="67">
        <f t="shared" si="594"/>
        <v>33.34540982174758</v>
      </c>
      <c r="DY68" s="67">
        <f t="shared" si="595"/>
        <v>152.80746088579883</v>
      </c>
      <c r="DZ68" s="67">
        <f t="shared" si="595"/>
        <v>119.48111552781066</v>
      </c>
      <c r="EA68" s="67">
        <f>BU68-DI68</f>
        <v>33.326345357988174</v>
      </c>
      <c r="EB68" s="67">
        <f t="shared" si="596"/>
        <v>154.13256404009857</v>
      </c>
      <c r="EC68" s="67">
        <f t="shared" si="596"/>
        <v>119.00780426747312</v>
      </c>
      <c r="ED68" s="67">
        <f>CP68-DP68</f>
        <v>35.124759772625453</v>
      </c>
      <c r="EE68" s="68">
        <f>EF68+EG68</f>
        <v>123.97209901623903</v>
      </c>
      <c r="EF68" s="67">
        <f>(EJ68*$C68+FF68*$D68)/$B68</f>
        <v>98.155016932887577</v>
      </c>
      <c r="EG68" s="67">
        <f t="shared" si="621"/>
        <v>25.817082083351455</v>
      </c>
      <c r="EH68" s="261">
        <f t="shared" si="622"/>
        <v>123.97996050006434</v>
      </c>
      <c r="EI68" s="154">
        <f>EH68/($BJ68-$DG68)</f>
        <v>0.81134755974200223</v>
      </c>
      <c r="EJ68" s="108">
        <f>EK68+EL68-DH68</f>
        <v>98.168675472974726</v>
      </c>
      <c r="EK68" s="126">
        <f>'Allometrics &amp; Decay rates'!$H$5*$AL68*BL68+'Allometrics &amp; Decay rates'!$H$6*$AM68*BM68+'Allometrics &amp; Decay rates'!$H$7*$AN68*BN68+'Allometrics &amp; Decay rates'!$H$8*$AO68*BO68+'Allometrics &amp; Decay rates'!$H$9*$AP68*BP68+'Allometrics &amp; Decay rates'!$H$10*$AQ68*BQ68+'Allometrics &amp; Decay rates'!$H$11*$AR68*BR68+'Allometrics &amp; Decay rates'!$H$12*$AS68*BS68+'Allometrics &amp; Decay rates'!$H$13*$AT68*BT68</f>
        <v>53.763471724474421</v>
      </c>
      <c r="EL68" s="97">
        <f t="shared" si="623"/>
        <v>49.405203748500305</v>
      </c>
      <c r="EM68" s="550">
        <f>AL68*BL68*('Allometrics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46.465705955467911</v>
      </c>
      <c r="EN68" s="550">
        <f>AM68*BM68*('Allometrics &amp; Decay rates'!$I$6*((EXP('Allometrics &amp; Decay rates'!$K$6)-1)/('Discounting metrics'!$D$4+'Allometrics &amp; Decay rates'!$K$6)*(1-EXP(-('Discounting metrics'!$D$4+'Allometrics &amp; Decay rates'!$K$6)*'Discounting metrics'!$E$4))-(1-EXP(-'Allometrics &amp; Decay rates'!$K$6))/1.55)+'Allometrics &amp; Decay rates'!$E$6*((EXP('Allometrics &amp; Decay rates'!$L$6)-1)/('Discounting metrics'!$D$4+'Allometrics &amp; Decay rates'!$L$6)*(1-EXP(-('Discounting metrics'!$D$4+'Allometrics &amp; Decay rates'!$L$6)*'Discounting metrics'!$E$4))-(1-EXP(-'Allometrics &amp; Decay rates'!$L$6))/1.55))</f>
        <v>0.15470279712653312</v>
      </c>
      <c r="EO68" s="550">
        <f>AN68*BN68*('Allometrics &amp; Decay rates'!$I$7*((EXP('Allometrics &amp; Decay rates'!$K$7)-1)/('Discounting metrics'!$D$4+'Allometrics &amp; Decay rates'!$K$7)*(1-EXP(-('Discounting metrics'!$D$4+'Allometrics &amp; Decay rates'!$K$7)*'Discounting metrics'!$E$4))-(1-EXP(-'Allometrics &amp; Decay rates'!$K$7))/1.55)+'Allometrics &amp; Decay rates'!$E$7*((EXP('Allometrics &amp; Decay rates'!$L$7)-1)/('Discounting metrics'!$D$4+'Allometrics &amp; Decay rates'!$L$7)*(1-EXP(-('Discounting metrics'!$D$4+'Allometrics &amp; Decay rates'!$L$7)*'Discounting metrics'!$E$4))-(1-EXP(-'Allometrics &amp; Decay rates'!$L$7))/1.55))</f>
        <v>0</v>
      </c>
      <c r="EP68" s="550">
        <f>AO68*BO68*('Allometrics &amp; Decay rates'!$I$8*((EXP('Allometrics &amp; Decay rates'!$K$8)-1)/('Discounting metrics'!$D$4+'Allometrics &amp; Decay rates'!$K$8)*(1-EXP(-('Discounting metrics'!$D$4+'Allometrics &amp; Decay rates'!$K$8)*'Discounting metrics'!$E$4))-(1-EXP(-'Allometrics &amp; Decay rates'!$K$8))/1.55)+'Allometrics &amp; Decay rates'!$E$8*((EXP('Allometrics &amp; Decay rates'!$L$8)-1)/('Discounting metrics'!$D$4+'Allometrics &amp; Decay rates'!$L$8)*(1-EXP(-('Discounting metrics'!$D$4+'Allometrics &amp; Decay rates'!$L$8)*'Discounting metrics'!$E$4))-(1-EXP(-'Allometrics &amp; Decay rates'!$L$8))/1.55))</f>
        <v>2.1966184629277836</v>
      </c>
      <c r="EQ68" s="550">
        <f>AP68*BP68*('Allometrics &amp; Decay rates'!$I$9*((EXP('Allometrics &amp; Decay rates'!$K$9)-1)/('Discounting metrics'!$D$4+'Allometrics &amp; Decay rates'!$K$9)*(1-EXP(-('Discounting metrics'!$D$4+'Allometrics &amp; Decay rates'!$K$9)*'Discounting metrics'!$E$4))-(1-EXP(-'Allometrics &amp; Decay rates'!$K$9))/1.55)+'Allometrics &amp; Decay rates'!$E$9*((EXP('Allometrics &amp; Decay rates'!$L$9)-1)/('Discounting metrics'!$D$4+'Allometrics &amp; Decay rates'!$L$9)*(1-EXP(-('Discounting metrics'!$D$4+'Allometrics &amp; Decay rates'!$L$9)*'Discounting metrics'!$E$4))-(1-EXP(-'Allometrics &amp; Decay rates'!$L$9))/1.55))</f>
        <v>7.4928255755785447E-4</v>
      </c>
      <c r="ER68" s="550">
        <f>AQ68*BQ68*('Allometrics &amp; Decay rates'!$I$10*((EXP('Allometrics &amp; Decay rates'!$K$10)-1)/('Discounting metrics'!$D$4+'Allometrics &amp; Decay rates'!$K$10)*(1-EXP(-('Discounting metrics'!$D$4+'Allometrics &amp; Decay rates'!$K$10)*'Discounting metrics'!$E$4))-(1-EXP(-'Allometrics &amp; Decay rates'!$K$10))/1.55)+'Allometrics &amp; Decay rates'!$E$10*((EXP('Allometrics &amp; Decay rates'!$L$10)-1)/('Discounting metrics'!$D$4+'Allometrics &amp; Decay rates'!$L$10)*(1-EXP(-('Discounting metrics'!$D$4+'Allometrics &amp; Decay rates'!$L$10)*'Discounting metrics'!$E$4))-(1-EXP(-'Allometrics &amp; Decay rates'!$L$10))/1.55))</f>
        <v>7.8118538959244413E-4</v>
      </c>
      <c r="ES68" s="550">
        <f>AR68*BR68*('Allometrics &amp; Decay rates'!$I$11*((EXP('Allometrics &amp; Decay rates'!$K$11)-1)/('Discounting metrics'!$D$4+'Allometrics &amp; Decay rates'!$K$11)*(1-EXP(-('Discounting metrics'!$D$4+'Allometrics &amp; Decay rates'!$K$11)*'Discounting metrics'!$E$4))-(1-EXP(-'Allometrics &amp; Decay rates'!$K$11))/1.55)+'Allometrics &amp; Decay rates'!$E$11*((EXP('Allometrics &amp; Decay rates'!$L$11)-1)/('Discounting metrics'!$D$4+'Allometrics &amp; Decay rates'!$L$11)*(1-EXP(-('Discounting metrics'!$D$4+'Allometrics &amp; Decay rates'!$L$11)*'Discounting metrics'!$E$4))-(1-EXP(-'Allometrics &amp; Decay rates'!$L$11))/1.55))</f>
        <v>1.7639781856907896E-8</v>
      </c>
      <c r="ET68" s="550">
        <f>AS68*BS68*('Allometrics &amp; Decay rates'!$I$12*((EXP('Allometrics &amp; Decay rates'!$K$12)-1)/('Discounting metrics'!$D$4+'Allometrics &amp; Decay rates'!$K$12)*(1-EXP(-('Discounting metrics'!$D$4+'Allometrics &amp; Decay rates'!$K$12)*'Discounting metrics'!$E$4))-(1-EXP(-'Allometrics &amp; Decay rates'!$K$12))/1.55)+'Allometrics &amp; Decay rates'!$E$12*((EXP('Allometrics &amp; Decay rates'!$L$12)-1)/('Discounting metrics'!$D$4+'Allometrics &amp; Decay rates'!$L$12)*(1-EXP(-('Discounting metrics'!$D$4+'Allometrics &amp; Decay rates'!$L$12)*'Discounting metrics'!$E$4))-(1-EXP(-'Allometrics &amp; Decay rates'!$L$12))/1.55))</f>
        <v>0.58664604739115056</v>
      </c>
      <c r="EU68" s="550">
        <f>AT68*BT68*('Allometrics &amp; Decay rates'!$I$13*((EXP('Allometrics &amp; Decay rates'!$K$13)-1)/('Discounting metrics'!$D$4+'Allometrics &amp; Decay rates'!$K$13)*(1-EXP(-('Discounting metrics'!$D$4+'Allometrics &amp; Decay rates'!$K$13)*'Discounting metrics'!$E$4))-(1-EXP(-'Allometrics &amp; Decay rates'!$K$13))/1.55)+'Allometrics &amp; Decay rates'!$E$13*((EXP('Allometrics &amp; Decay rates'!$L$13)-1)/('Discounting metrics'!$D$4+'Allometrics &amp; Decay rates'!$L$13)*(1-EXP(-('Discounting metrics'!$D$4+'Allometrics &amp; Decay rates'!$L$13)*'Discounting metrics'!$E$4))-(1-EXP(-'Allometrics &amp; Decay rates'!$L$13))/1.55))</f>
        <v>0</v>
      </c>
      <c r="EV68" s="108">
        <f t="shared" si="624"/>
        <v>25.811285027089614</v>
      </c>
      <c r="EW68" s="550">
        <f>AL68*BV68*$DK68*((EXP('Allometrics &amp; Decay rates'!$M$5)-1)/('Discounting metrics'!$D$4+'Allometrics &amp; Decay rates'!$M$5)*(1-EXP(-('Discounting metrics'!$D$4+'Allometrics &amp; Decay rates'!$M$5)*'Discounting metrics'!$E$4))-(1-EXP(-'Allometrics &amp; Decay rates'!$M$5))/1.55)</f>
        <v>22.734104383455882</v>
      </c>
      <c r="EX68" s="550">
        <f>AM68*BW68*$DK68*((EXP('Allometrics &amp; Decay rates'!$M$5)-1)/('Discounting metrics'!$D$4+'Allometrics &amp; Decay rates'!$M$5)*(1-EXP(-('Discounting metrics'!$D$4+'Allometrics &amp; Decay rates'!$M$5)*'Discounting metrics'!$E$4))-(1-EXP(-'Allometrics &amp; Decay rates'!$M$5))/1.55)</f>
        <v>8.324122841786126E-2</v>
      </c>
      <c r="EY68" s="550">
        <f>AN68*BX68*$DK68*((EXP('Allometrics &amp; Decay rates'!$M$5)-1)/('Discounting metrics'!$D$4+'Allometrics &amp; Decay rates'!$M$5)*(1-EXP(-('Discounting metrics'!$D$4+'Allometrics &amp; Decay rates'!$M$5)*'Discounting metrics'!$E$4))-(1-EXP(-'Allometrics &amp; Decay rates'!$M$5))/1.55)</f>
        <v>0</v>
      </c>
      <c r="EZ68" s="550">
        <f>AO68*BY68*$DK68*((EXP('Allometrics &amp; Decay rates'!$M$5)-1)/('Discounting metrics'!$D$4+'Allometrics &amp; Decay rates'!$M$5)*(1-EXP(-('Discounting metrics'!$D$4+'Allometrics &amp; Decay rates'!$M$5)*'Discounting metrics'!$E$4))-(1-EXP(-'Allometrics &amp; Decay rates'!$M$5))/1.55)</f>
        <v>2.977515617943447</v>
      </c>
      <c r="FA68" s="550">
        <f>AP68*BZ68*$DK68*((EXP('Allometrics &amp; Decay rates'!$M$5)-1)/('Discounting metrics'!$D$4+'Allometrics &amp; Decay rates'!$M$5)*(1-EXP(-('Discounting metrics'!$D$4+'Allometrics &amp; Decay rates'!$M$5)*'Discounting metrics'!$E$4))-(1-EXP(-'Allometrics &amp; Decay rates'!$M$5))/1.55)</f>
        <v>6.0719851618139895E-3</v>
      </c>
      <c r="FB68" s="550">
        <f>AQ68*CA68*$DK68*((EXP('Allometrics &amp; Decay rates'!$M$5)-1)/('Discounting metrics'!$D$4+'Allometrics &amp; Decay rates'!$M$5)*(1-EXP(-('Discounting metrics'!$D$4+'Allometrics &amp; Decay rates'!$M$5)*'Discounting metrics'!$E$4))-(1-EXP(-'Allometrics &amp; Decay rates'!$M$5))/1.55)</f>
        <v>1.0349659399954083E-2</v>
      </c>
      <c r="FC68" s="550">
        <f>AR68*CB68*$DK68*((EXP('Allometrics &amp; Decay rates'!$M$5)-1)/('Discounting metrics'!$D$4+'Allometrics &amp; Decay rates'!$M$5)*(1-EXP(-('Discounting metrics'!$D$4+'Allometrics &amp; Decay rates'!$M$5)*'Discounting metrics'!$E$4))-(1-EXP(-'Allometrics &amp; Decay rates'!$M$5))/1.55)</f>
        <v>2.1527106571396895E-6</v>
      </c>
      <c r="FD68" s="261">
        <f t="shared" si="625"/>
        <v>123.2383605258771</v>
      </c>
      <c r="FE68" s="154">
        <f>FD68/($CE68-$DN68)</f>
        <v>0.79956082800138106</v>
      </c>
      <c r="FF68" s="108">
        <f t="shared" si="626"/>
        <v>96.880219858087457</v>
      </c>
      <c r="FG68" s="126">
        <f>'Allometrics &amp; Decay rates'!$H$5*$AU68*CG68+'Allometrics &amp; Decay rates'!$H$6*$AV68*CH68+'Allometrics &amp; Decay rates'!$H$7*$AW68*CI68+'Allometrics &amp; Decay rates'!$H$8*$AX68*CJ68+'Allometrics &amp; Decay rates'!$H$9*$AY68*CK68+'Allometrics &amp; Decay rates'!$H$10*$AZ68*CL68+'Allometrics &amp; Decay rates'!$H$11*$BA68*CM68+'Allometrics &amp; Decay rates'!$H$12*$BB68*CN68+'Allometrics &amp; Decay rates'!$H$13*$BC68*CO68</f>
        <v>53.265741369365948</v>
      </c>
      <c r="FH68" s="97">
        <f t="shared" si="627"/>
        <v>48.61447848872151</v>
      </c>
      <c r="FI68" s="550">
        <f>AU68*CG68*('Allometrics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39.398156306335537</v>
      </c>
      <c r="FJ68" s="550">
        <f>AV68*CH68*('Allometrics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5.1179182037168447</v>
      </c>
      <c r="FK68" s="550">
        <f>AW68*CI68*('Allometrics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L68" s="550">
        <f>AX68*CJ68*('Allometrics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1.4847550983994033</v>
      </c>
      <c r="FM68" s="550">
        <f>AY68*CK68*('Allometrics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N68" s="550">
        <f>AZ68*CL68*('Allometrics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O68" s="550">
        <f>BA68*CM68*('Allometrics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P68" s="550">
        <f>BB68*CN68*('Allometrics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2.6136488802697246</v>
      </c>
      <c r="FQ68" s="550">
        <f>BC68*CO68*('Allometrics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R68" s="108">
        <f t="shared" si="628"/>
        <v>26.358140667789645</v>
      </c>
      <c r="FS68" s="550">
        <f>AU68*CQ68*$DK68*((EXP('Allometrics &amp; Decay rates'!$M$5)-1)/('Discounting metrics'!$D$4+'Allometrics &amp; Decay rates'!$M$5)*(1-EXP(-('Discounting metrics'!$D$4+'Allometrics &amp; Decay rates'!$M$5)*'Discounting metrics'!$E$4))-(1-EXP(-'Allometrics &amp; Decay rates'!$M$5))/1.55)</f>
        <v>20.327068060440602</v>
      </c>
      <c r="FT68" s="550">
        <f>AV68*CR68*$DK68*((EXP('Allometrics &amp; Decay rates'!$M$5)-1)/('Discounting metrics'!$D$4+'Allometrics &amp; Decay rates'!$M$5)*(1-EXP(-('Discounting metrics'!$D$4+'Allometrics &amp; Decay rates'!$M$5)*'Discounting metrics'!$E$4))-(1-EXP(-'Allometrics &amp; Decay rates'!$M$5))/1.55)</f>
        <v>1.6706043027570754</v>
      </c>
      <c r="FU68" s="550">
        <f>AW68*CS68*$DK68*((EXP('Allometrics &amp; Decay rates'!$M$5)-1)/('Discounting metrics'!$D$4+'Allometrics &amp; Decay rates'!$M$5)*(1-EXP(-('Discounting metrics'!$D$4+'Allometrics &amp; Decay rates'!$M$5)*'Discounting metrics'!$E$4))-(1-EXP(-'Allometrics &amp; Decay rates'!$M$5))/1.55)</f>
        <v>0</v>
      </c>
      <c r="FV68" s="550">
        <f>AX68*CT68*$DK68*((EXP('Allometrics &amp; Decay rates'!$M$5)-1)/('Discounting metrics'!$D$4+'Allometrics &amp; Decay rates'!$M$5)*(1-EXP(-('Discounting metrics'!$D$4+'Allometrics &amp; Decay rates'!$M$5)*'Discounting metrics'!$E$4))-(1-EXP(-'Allometrics &amp; Decay rates'!$M$5))/1.55)</f>
        <v>4.3604683045919659</v>
      </c>
      <c r="FW68" s="550">
        <f>AY68*CU68*$DK68*((EXP('Allometrics &amp; Decay rates'!$M$5)-1)/('Discounting metrics'!$D$4+'Allometrics &amp; Decay rates'!$M$5)*(1-EXP(-('Discounting metrics'!$D$4+'Allometrics &amp; Decay rates'!$M$5)*'Discounting metrics'!$E$4))-(1-EXP(-'Allometrics &amp; Decay rates'!$M$5))/1.55)</f>
        <v>0</v>
      </c>
      <c r="FX68" s="550">
        <f>AZ68*CV68*$DK68*((EXP('Allometrics &amp; Decay rates'!$M$5)-1)/('Discounting metrics'!$D$4+'Allometrics &amp; Decay rates'!$M$5)*(1-EXP(-('Discounting metrics'!$D$4+'Allometrics &amp; Decay rates'!$M$5)*'Discounting metrics'!$E$4))-(1-EXP(-'Allometrics &amp; Decay rates'!$M$5))/1.55)</f>
        <v>0</v>
      </c>
      <c r="FY68" s="550">
        <f>BA68*CW68*$DK68*((EXP('Allometrics &amp; Decay rates'!$M$5)-1)/('Discounting metrics'!$D$4+'Allometrics &amp; Decay rates'!$M$5)*(1-EXP(-('Discounting metrics'!$D$4+'Allometrics &amp; Decay rates'!$M$5)*'Discounting metrics'!$E$4))-(1-EXP(-'Allometrics &amp; Decay rates'!$M$5))/1.55)</f>
        <v>0</v>
      </c>
      <c r="FZ68" s="68"/>
      <c r="GA68" s="293"/>
      <c r="GB68" s="293"/>
      <c r="GP68" s="32">
        <f t="shared" si="629"/>
        <v>9.0513780918727917</v>
      </c>
      <c r="GQ68" s="33">
        <v>9.0500000000000007</v>
      </c>
      <c r="GR68" s="99">
        <v>9.18</v>
      </c>
      <c r="GS68" s="99"/>
      <c r="GT68" s="99"/>
      <c r="GU68" s="99"/>
      <c r="GV68" s="99"/>
      <c r="GW68" s="99"/>
      <c r="GX68" s="99"/>
      <c r="GY68" s="99"/>
      <c r="GZ68" s="99"/>
      <c r="HA68" s="99"/>
      <c r="HB68" s="99"/>
      <c r="HF68" s="97">
        <f>HG68*$LI68</f>
        <v>10.50056729642036</v>
      </c>
      <c r="HG68" s="526">
        <f>EE68/'Discounting metrics'!E$4/M68</f>
        <v>11.413660104804739</v>
      </c>
      <c r="HH68" s="97"/>
      <c r="HI68" s="97"/>
      <c r="HJ68" s="97">
        <f>HK68*$LI68</f>
        <v>10.524424941750045</v>
      </c>
      <c r="HK68" s="526">
        <f>EH68/'Discounting metrics'!E$4/O68</f>
        <v>11.439592327989178</v>
      </c>
      <c r="HL68" s="97"/>
      <c r="HM68" s="97"/>
      <c r="HN68" s="97">
        <f>HO68*$LI68</f>
        <v>8.6577698640585581</v>
      </c>
      <c r="HO68" s="526">
        <f>FD68/'Discounting metrics'!E$4/Q68</f>
        <v>9.4106194174549547</v>
      </c>
      <c r="HP68" s="97"/>
      <c r="HQ68" s="97"/>
      <c r="HR68" s="97">
        <f>HS68*$LI68</f>
        <v>9.3858520082204002</v>
      </c>
      <c r="HS68" s="263">
        <f>$IM$11*IE68</f>
        <v>10.202013052413479</v>
      </c>
      <c r="HT68" s="97"/>
      <c r="HU68" s="97"/>
      <c r="HV68" s="97">
        <f>HW68*$LI68</f>
        <v>9.4051483077661011</v>
      </c>
      <c r="HW68" s="263">
        <f>$IM$11*IH68</f>
        <v>10.22298729105011</v>
      </c>
      <c r="HX68" s="97"/>
      <c r="HY68" s="97"/>
      <c r="HZ68" s="97">
        <f>I68*$LI68</f>
        <v>0.40627200000000002</v>
      </c>
      <c r="IA68" s="263">
        <f>$IM$11*IK68</f>
        <v>8.5819339301358735</v>
      </c>
      <c r="IB68" s="97"/>
      <c r="IC68" s="97"/>
      <c r="ID68" s="97">
        <f>IE68*$LI68</f>
        <v>18.815484060525929</v>
      </c>
      <c r="IE68" s="263">
        <f>GP68/G68</f>
        <v>20.451613109267313</v>
      </c>
      <c r="IF68" s="60"/>
      <c r="IG68" s="97">
        <f>IH68*$LI68</f>
        <v>18.854166666666668</v>
      </c>
      <c r="IH68" s="263">
        <f>GQ68/I68</f>
        <v>20.493659420289855</v>
      </c>
      <c r="II68" s="60"/>
      <c r="IJ68" s="97">
        <f>IK68*$LI68</f>
        <v>15.827586206896552</v>
      </c>
      <c r="IK68" s="263">
        <f>GR68/K68</f>
        <v>17.203898050974512</v>
      </c>
      <c r="IL68" s="60"/>
      <c r="IM68" s="60"/>
      <c r="IN68" s="60"/>
      <c r="IO68" s="60"/>
      <c r="IP68" s="554">
        <f>IR68*$V68</f>
        <v>7.6031483219999991</v>
      </c>
      <c r="IQ68" s="262">
        <f>IR68*$LI68</f>
        <v>1.8616003922432789</v>
      </c>
      <c r="IR68" s="166">
        <f>(IW68*Y68+JD68*AA68)/V68</f>
        <v>2.0234786872209551</v>
      </c>
      <c r="IS68" s="97"/>
      <c r="IT68" s="97"/>
      <c r="IU68" s="429">
        <f>(IX68*C68+JE68*D68)/B68</f>
        <v>1.6414487632508835E-2</v>
      </c>
      <c r="IV68" s="262">
        <f>IW68*$LI68</f>
        <v>1.7504024999999999</v>
      </c>
      <c r="IW68" s="436">
        <f>IX68*JB68/I68</f>
        <v>1.9026114130434781</v>
      </c>
      <c r="IX68" s="101">
        <v>1.54E-2</v>
      </c>
      <c r="IY68" s="433">
        <v>1</v>
      </c>
      <c r="IZ68" s="433">
        <v>0</v>
      </c>
      <c r="JA68" s="434">
        <f>1-IY68-IZ68</f>
        <v>0</v>
      </c>
      <c r="JB68" s="430">
        <f>IY68*$JJ68+IZ68*$JK68+JA68*$JL68+'Discounting metrics'!$B$6*(IY68*$JM68+IZ68*$JN68+JA68*$JO68)/10^3+'Discounting metrics'!$B$5*(IY68*$JP68+IZ68*$JQ68+JA68*$JR68)/10^3</f>
        <v>54.558</v>
      </c>
      <c r="JC68" s="262">
        <f>JD68*$LI68</f>
        <v>10.450678965517243</v>
      </c>
      <c r="JD68" s="436">
        <f>JE68*JI68/K68</f>
        <v>11.359433658170916</v>
      </c>
      <c r="JE68" s="101">
        <v>0.1111</v>
      </c>
      <c r="JF68" s="433">
        <v>1</v>
      </c>
      <c r="JG68" s="433">
        <v>0</v>
      </c>
      <c r="JH68" s="434">
        <f t="shared" si="630"/>
        <v>0</v>
      </c>
      <c r="JI68" s="430">
        <f>JF68*$JJ68+JG68*$JK68+JH68*$JL68+'Discounting metrics'!$B$6*(JF68*$JM68+JG68*$JN68+JH68*$JO68)/10^3+'Discounting metrics'!$B$5*(JF68*$JP68+JG68*$JQ68+JH68*$JR68)/10^3</f>
        <v>54.558</v>
      </c>
      <c r="JJ68" s="431">
        <v>51.3</v>
      </c>
      <c r="JK68" s="431">
        <v>29</v>
      </c>
      <c r="JL68" s="431">
        <v>29</v>
      </c>
      <c r="JM68" s="99">
        <v>5</v>
      </c>
      <c r="JN68" s="431">
        <v>13</v>
      </c>
      <c r="JO68" s="431">
        <v>13</v>
      </c>
      <c r="JP68" s="431">
        <v>52</v>
      </c>
      <c r="JQ68" s="431">
        <v>58.3</v>
      </c>
      <c r="JR68" s="431">
        <v>58.3</v>
      </c>
      <c r="JS68" s="554">
        <f>JV68+JW68+JT68+JU68+JX68</f>
        <v>2.789544716090496</v>
      </c>
      <c r="JT68" s="554">
        <f>KJ68*$V68</f>
        <v>0.72493734752838002</v>
      </c>
      <c r="JU68" s="554">
        <f>KL68*$V68</f>
        <v>5.8066282773720002E-2</v>
      </c>
      <c r="JV68" s="554">
        <f>KN68*$V68</f>
        <v>0.91964910219371998</v>
      </c>
      <c r="JW68" s="554">
        <f>KP68*$V68</f>
        <v>1.086891983594676</v>
      </c>
      <c r="JX68" s="554"/>
      <c r="JY68" s="167">
        <f>JZ68*LI68</f>
        <v>0.68300884288000008</v>
      </c>
      <c r="JZ68" s="166">
        <f>KF68+KD68+KH68</f>
        <v>0.74240091617391313</v>
      </c>
      <c r="KA68" s="97"/>
      <c r="KB68" s="97"/>
      <c r="KC68" s="473">
        <f>KD68*LI68</f>
        <v>0.19171530050000002</v>
      </c>
      <c r="KD68" s="269">
        <f>KJ68+KL68</f>
        <v>0.20838619619565218</v>
      </c>
      <c r="KE68" s="473">
        <f>KF68*LI68</f>
        <v>0.49129354238000006</v>
      </c>
      <c r="KF68" s="269">
        <f>KN68+KP68</f>
        <v>0.53401471997826089</v>
      </c>
      <c r="KG68" s="49"/>
      <c r="KH68" s="49"/>
      <c r="KI68" s="435">
        <v>0.17749800390000001</v>
      </c>
      <c r="KJ68" s="522">
        <f>KI68/$LI68</f>
        <v>0.19293261293478262</v>
      </c>
      <c r="KK68" s="435">
        <v>1.42172966E-2</v>
      </c>
      <c r="KL68" s="522">
        <f>KK68/$LI68</f>
        <v>1.5453583260869565E-2</v>
      </c>
      <c r="KM68" s="435">
        <v>0.22517239659999999</v>
      </c>
      <c r="KN68" s="522">
        <f>KM68/$LI68</f>
        <v>0.24475260499999998</v>
      </c>
      <c r="KO68" s="435">
        <v>0.26612114578000001</v>
      </c>
      <c r="KP68" s="522">
        <f>KO68/$LI68</f>
        <v>0.28926211497826088</v>
      </c>
      <c r="KQ68" s="610">
        <f>44/12*HG68+$JZ68+$IR68</f>
        <v>44.615966654345584</v>
      </c>
      <c r="KR68" s="60"/>
      <c r="KS68" s="60"/>
      <c r="KT68" s="610">
        <f>44/12*HK68+$JZ68+$IW68</f>
        <v>44.590184198511047</v>
      </c>
      <c r="KW68" s="610">
        <f>44/12*HO68+$JZ68+$JD68</f>
        <v>46.607439105012993</v>
      </c>
      <c r="KZ68" s="610">
        <f>44/12*HS68+$JZ68+$IR68</f>
        <v>40.173260795577626</v>
      </c>
      <c r="LC68" s="610">
        <f>44/12*HW68+$JZ68+$IW68</f>
        <v>40.129299063067798</v>
      </c>
      <c r="LF68" s="610">
        <f>44/12*I68+$JZ68+$JD68</f>
        <v>13.721034574344829</v>
      </c>
      <c r="LI68" s="31">
        <v>0.92</v>
      </c>
      <c r="LJ68" s="32">
        <f t="shared" si="631"/>
        <v>25.76</v>
      </c>
      <c r="LK68" s="105">
        <v>28</v>
      </c>
      <c r="LL68" s="32"/>
      <c r="LM68" s="33"/>
      <c r="LN68" s="34">
        <f>$LI68*LO68</f>
        <v>9.2000000000000012E-2</v>
      </c>
      <c r="LO68" s="42">
        <v>0.1</v>
      </c>
      <c r="LP68" s="34">
        <f>$LI68*LQ68</f>
        <v>0.46</v>
      </c>
      <c r="LQ68" s="42">
        <v>0.5</v>
      </c>
    </row>
    <row r="69" spans="1:329" s="4" customFormat="1" x14ac:dyDescent="0.25">
      <c r="A69" s="14" t="s">
        <v>347</v>
      </c>
      <c r="B69" s="67">
        <f t="shared" si="601"/>
        <v>33.799999999999997</v>
      </c>
      <c r="C69" s="33">
        <v>18</v>
      </c>
      <c r="D69" s="33">
        <v>15.8</v>
      </c>
      <c r="E69" s="38">
        <f t="shared" si="602"/>
        <v>0.4674556213017752</v>
      </c>
      <c r="F69" s="108">
        <f>U69/B69</f>
        <v>2.0904142011834317</v>
      </c>
      <c r="G69" s="32">
        <f>V69/B69</f>
        <v>1.9022769230769232</v>
      </c>
      <c r="H69" s="33">
        <v>1.45</v>
      </c>
      <c r="I69" s="32">
        <f>$LI69*H69</f>
        <v>1.3194999999999999</v>
      </c>
      <c r="J69" s="33">
        <v>2.82</v>
      </c>
      <c r="K69" s="32">
        <f>$LI69*J69</f>
        <v>2.5661999999999998</v>
      </c>
      <c r="L69" s="32">
        <f>(F69/'Discounting metrics'!$D$4*(1-EXP(-'Discounting metrics'!$D$4*'Discounting metrics'!$E$4)))/'Discounting metrics'!$E$4</f>
        <v>0.51303173238666855</v>
      </c>
      <c r="M69" s="32">
        <f>(G69/'Discounting metrics'!$D$4*(1-EXP(-'Discounting metrics'!$D$4*'Discounting metrics'!$E$4)))/'Discounting metrics'!$E$4</f>
        <v>0.46685887647186847</v>
      </c>
      <c r="N69" s="32">
        <f>(H69/'Discounting metrics'!$D$4*(1-EXP(-'Discounting metrics'!$D$4*'Discounting metrics'!$E$4)))/'Discounting metrics'!$E$4</f>
        <v>0.3558605809028339</v>
      </c>
      <c r="O69" s="32">
        <f>(I69/'Discounting metrics'!$D$4*(1-EXP(-'Discounting metrics'!$D$4*'Discounting metrics'!$E$4)))/'Discounting metrics'!$E$4</f>
        <v>0.32383312862157881</v>
      </c>
      <c r="P69" s="32">
        <f>(J69/'Discounting metrics'!$D$4*(1-EXP(-'Discounting metrics'!$D$4*'Discounting metrics'!$E$4)))/'Discounting metrics'!$E$4</f>
        <v>0.69208747458344233</v>
      </c>
      <c r="Q69" s="32">
        <f>(K69/'Discounting metrics'!$D$4*(1-EXP(-'Discounting metrics'!$D$4*'Discounting metrics'!$E$4)))/'Discounting metrics'!$E$4</f>
        <v>0.62979960187093253</v>
      </c>
      <c r="R69" s="32">
        <f>10/G69</f>
        <v>5.2568581780538297</v>
      </c>
      <c r="S69" s="32">
        <f>10/I69</f>
        <v>7.5786282682834409</v>
      </c>
      <c r="T69" s="32">
        <f>10/K69</f>
        <v>3.8968124074507058</v>
      </c>
      <c r="U69" s="107">
        <f t="shared" si="603"/>
        <v>70.655999999999992</v>
      </c>
      <c r="V69" s="68">
        <f t="shared" si="603"/>
        <v>64.296959999999999</v>
      </c>
      <c r="W69" s="68"/>
      <c r="X69" s="67">
        <f>C69*H69</f>
        <v>26.099999999999998</v>
      </c>
      <c r="Y69" s="67">
        <f t="shared" si="604"/>
        <v>23.750999999999998</v>
      </c>
      <c r="Z69" s="67">
        <f t="shared" si="604"/>
        <v>44.555999999999997</v>
      </c>
      <c r="AA69" s="67">
        <f>D69*K69</f>
        <v>40.545960000000001</v>
      </c>
      <c r="AB69" s="600">
        <f t="shared" si="605"/>
        <v>0.63060461956521741</v>
      </c>
      <c r="AC69" s="294">
        <f t="shared" si="606"/>
        <v>0.11625639542061361</v>
      </c>
      <c r="AD69" s="294">
        <f t="shared" si="606"/>
        <v>0.23654571827880075</v>
      </c>
      <c r="AE69" s="294">
        <f t="shared" si="606"/>
        <v>8.8071462309075965E-4</v>
      </c>
      <c r="AF69" s="294">
        <f t="shared" si="606"/>
        <v>0.1760319688204954</v>
      </c>
      <c r="AG69" s="294">
        <f t="shared" si="606"/>
        <v>7.8800221567592699E-2</v>
      </c>
      <c r="AH69" s="294">
        <f t="shared" si="606"/>
        <v>0.29680442783748834</v>
      </c>
      <c r="AI69" s="294">
        <f t="shared" si="606"/>
        <v>8.8962171301499263E-2</v>
      </c>
      <c r="AJ69" s="294">
        <f t="shared" si="606"/>
        <v>5.7062819617081754E-3</v>
      </c>
      <c r="AK69" s="294">
        <f t="shared" si="606"/>
        <v>0</v>
      </c>
      <c r="AL69" s="96">
        <v>0.21088514817028042</v>
      </c>
      <c r="AM69" s="96">
        <v>0.2248096754657587</v>
      </c>
      <c r="AN69" s="96">
        <v>6.8713835751946901E-4</v>
      </c>
      <c r="AO69" s="96">
        <v>0.30779361068890021</v>
      </c>
      <c r="AP69" s="96">
        <v>9.522529055245163E-2</v>
      </c>
      <c r="AQ69" s="96">
        <v>0.15660037414405986</v>
      </c>
      <c r="AR69" s="96">
        <v>6.9665653597069462E-4</v>
      </c>
      <c r="AS69" s="96">
        <v>3.2966017863357718E-3</v>
      </c>
      <c r="AT69" s="96">
        <v>0</v>
      </c>
      <c r="AU69" s="96">
        <v>8.4514872247906589E-3</v>
      </c>
      <c r="AV69" s="96">
        <v>0.24991589363543087</v>
      </c>
      <c r="AW69" s="96">
        <v>1.1012445458934955E-3</v>
      </c>
      <c r="AX69" s="96">
        <v>2.5923769223578572E-2</v>
      </c>
      <c r="AY69" s="96">
        <v>6.0088117660791342E-2</v>
      </c>
      <c r="AZ69" s="96">
        <v>0.45653056495658395</v>
      </c>
      <c r="BA69" s="96">
        <v>0.18951782103437989</v>
      </c>
      <c r="BB69" s="96">
        <v>8.4514872247906589E-3</v>
      </c>
      <c r="BC69" s="96">
        <v>0</v>
      </c>
      <c r="BD69" s="554">
        <f>BG69*$B69/10^3</f>
        <v>3.3718558533535461</v>
      </c>
      <c r="BE69" s="554">
        <f t="shared" si="607"/>
        <v>1.1783320374713904</v>
      </c>
      <c r="BF69" s="554">
        <f t="shared" si="607"/>
        <v>2.1935238158821559</v>
      </c>
      <c r="BG69" s="67">
        <f t="shared" si="608"/>
        <v>99.759048915785399</v>
      </c>
      <c r="BH69" s="67">
        <f>(BK69*$C69+CF69*$D69)/$B69</f>
        <v>34.861894599745277</v>
      </c>
      <c r="BI69" s="67">
        <f>(BU69*$C69+CP69*$D69)/$B69</f>
        <v>64.897154316040115</v>
      </c>
      <c r="BJ69" s="67">
        <f>BK69+BU69</f>
        <v>133.34075217843247</v>
      </c>
      <c r="BK69" s="68">
        <f t="shared" si="609"/>
        <v>43.884828315175085</v>
      </c>
      <c r="BL69" s="145">
        <v>82.19675323853987</v>
      </c>
      <c r="BM69" s="145">
        <v>85.326948109866905</v>
      </c>
      <c r="BN69" s="145">
        <v>18.143254460490049</v>
      </c>
      <c r="BO69" s="145">
        <v>21.183314766365246</v>
      </c>
      <c r="BP69" s="145">
        <v>3.8958078349364773</v>
      </c>
      <c r="BQ69" s="145">
        <v>1.3880294137370019</v>
      </c>
      <c r="BR69" s="145">
        <v>3.8170883613447733E-2</v>
      </c>
      <c r="BS69" s="145">
        <v>75.078070519631709</v>
      </c>
      <c r="BT69" s="145">
        <v>0</v>
      </c>
      <c r="BU69" s="97">
        <f t="shared" si="610"/>
        <v>89.455923863257368</v>
      </c>
      <c r="BV69" s="145">
        <v>88.193341669070861</v>
      </c>
      <c r="BW69" s="145">
        <v>71.146587989026358</v>
      </c>
      <c r="BX69" s="145">
        <v>58.169564762371046</v>
      </c>
      <c r="BY69" s="145">
        <v>152.35456998870663</v>
      </c>
      <c r="BZ69" s="145">
        <v>40.785814359381312</v>
      </c>
      <c r="CA69" s="145">
        <v>24.262534348400226</v>
      </c>
      <c r="CB69" s="145">
        <v>0.47238253779697448</v>
      </c>
      <c r="CC69" s="145">
        <v>74.437493078055084</v>
      </c>
      <c r="CD69" s="145">
        <v>0</v>
      </c>
      <c r="CE69" s="68">
        <f t="shared" si="611"/>
        <v>61.501412287453277</v>
      </c>
      <c r="CF69" s="68">
        <f t="shared" si="612"/>
        <v>24.582603025204985</v>
      </c>
      <c r="CG69" s="145">
        <v>112.88984246675417</v>
      </c>
      <c r="CH69" s="145">
        <v>87.745007502646374</v>
      </c>
      <c r="CI69" s="145">
        <v>16.430800554298234</v>
      </c>
      <c r="CJ69" s="145">
        <v>35.216052406039914</v>
      </c>
      <c r="CK69" s="145">
        <v>6.7735290881071064</v>
      </c>
      <c r="CL69" s="145">
        <v>0.67788291454571226</v>
      </c>
      <c r="CM69" s="145">
        <v>8.1847750688021206E-2</v>
      </c>
      <c r="CN69" s="145">
        <v>4.3332452105104418</v>
      </c>
      <c r="CO69" s="145">
        <v>0</v>
      </c>
      <c r="CP69" s="68">
        <f t="shared" si="613"/>
        <v>36.918809262248288</v>
      </c>
      <c r="CQ69" s="145">
        <v>113.34466639521295</v>
      </c>
      <c r="CR69" s="145">
        <v>80.639461003211352</v>
      </c>
      <c r="CS69" s="145">
        <v>58.96085421827334</v>
      </c>
      <c r="CT69" s="145">
        <v>266.14419030250684</v>
      </c>
      <c r="CU69" s="145">
        <v>55.938405636984371</v>
      </c>
      <c r="CV69" s="145">
        <v>11.787671484495933</v>
      </c>
      <c r="CW69" s="145">
        <v>0.36301297938511828</v>
      </c>
      <c r="CX69" s="145">
        <v>3.7793541970685571</v>
      </c>
      <c r="CY69" s="145">
        <v>0</v>
      </c>
      <c r="CZ69" s="554">
        <f>DC69*$B69/10^3</f>
        <v>1.6853284619116167</v>
      </c>
      <c r="DA69" s="554">
        <f t="shared" si="614"/>
        <v>4.0185600000000002E-2</v>
      </c>
      <c r="DB69" s="554">
        <f t="shared" si="614"/>
        <v>1.6451428619116168</v>
      </c>
      <c r="DC69" s="32">
        <f t="shared" si="615"/>
        <v>49.861788813953162</v>
      </c>
      <c r="DD69" s="32">
        <f t="shared" si="616"/>
        <v>1.188923076923077</v>
      </c>
      <c r="DE69" s="67">
        <f t="shared" si="616"/>
        <v>48.672865737030087</v>
      </c>
      <c r="DF69" s="270"/>
      <c r="DG69" s="67">
        <f t="shared" si="617"/>
        <v>67.916630397443029</v>
      </c>
      <c r="DH69" s="32">
        <f>I69*0.5*2.5*0.5</f>
        <v>0.82468749999999991</v>
      </c>
      <c r="DI69" s="67">
        <f>(1-DK69)*BU69</f>
        <v>67.091942897443033</v>
      </c>
      <c r="DJ69" s="67"/>
      <c r="DK69" s="34">
        <f t="shared" si="618"/>
        <v>0.25</v>
      </c>
      <c r="DL69" s="159"/>
      <c r="DM69" s="159"/>
      <c r="DN69" s="68">
        <f t="shared" si="619"/>
        <v>29.292981946686215</v>
      </c>
      <c r="DO69" s="32">
        <f>K69*0.5*2.5*0.5</f>
        <v>1.6038749999999999</v>
      </c>
      <c r="DP69" s="67">
        <f>(1-DR69)*CP69</f>
        <v>27.689106946686216</v>
      </c>
      <c r="DQ69" s="67"/>
      <c r="DR69" s="34">
        <f t="shared" si="620"/>
        <v>0.25</v>
      </c>
      <c r="DS69" s="294"/>
      <c r="DT69" s="294"/>
      <c r="DU69" s="294"/>
      <c r="DV69" s="67">
        <f t="shared" si="594"/>
        <v>49.897260101832238</v>
      </c>
      <c r="DW69" s="67">
        <f t="shared" si="594"/>
        <v>33.672971522822202</v>
      </c>
      <c r="DX69" s="67">
        <f t="shared" si="594"/>
        <v>16.224288579010029</v>
      </c>
      <c r="DY69" s="67">
        <f t="shared" si="595"/>
        <v>65.424121780989438</v>
      </c>
      <c r="DZ69" s="67">
        <f t="shared" si="595"/>
        <v>43.060140815175082</v>
      </c>
      <c r="EA69" s="67">
        <f>BU69-DI69</f>
        <v>22.363980965814335</v>
      </c>
      <c r="EB69" s="67">
        <f t="shared" si="596"/>
        <v>32.208430340767066</v>
      </c>
      <c r="EC69" s="67">
        <f t="shared" si="596"/>
        <v>22.978728025204987</v>
      </c>
      <c r="ED69" s="67">
        <f>CP69-DP69</f>
        <v>9.2297023155620721</v>
      </c>
      <c r="EE69" s="68">
        <f>EF69+EG69</f>
        <v>38.87199439273482</v>
      </c>
      <c r="EF69" s="67">
        <f>(EJ69*$C69+FF69*$D69)/$B69</f>
        <v>26.220471595062008</v>
      </c>
      <c r="EG69" s="67">
        <f t="shared" si="621"/>
        <v>12.651522797672813</v>
      </c>
      <c r="EH69" s="261">
        <f t="shared" si="622"/>
        <v>50.549889066065134</v>
      </c>
      <c r="EI69" s="154">
        <f>EH69/($BJ69-$DG69)</f>
        <v>0.77264910387767138</v>
      </c>
      <c r="EJ69" s="108">
        <f>EK69+EL69-DH69</f>
        <v>33.119430076837979</v>
      </c>
      <c r="EK69" s="126">
        <f>'Allometrics &amp; Decay rates'!$H$5*$AL69*BL69+'Allometrics &amp; Decay rates'!$H$6*$AM69*BM69+'Allometrics &amp; Decay rates'!$H$7*$AN69*BN69+'Allometrics &amp; Decay rates'!$H$8*$AO69*BO69+'Allometrics &amp; Decay rates'!$H$9*$AP69*BP69+'Allometrics &amp; Decay rates'!$H$10*$AQ69*BQ69+'Allometrics &amp; Decay rates'!$H$11*$AR69*BR69+'Allometrics &amp; Decay rates'!$H$12*$AS69*BS69+'Allometrics &amp; Decay rates'!$H$13*$AT69*BT69</f>
        <v>18.342503061343834</v>
      </c>
      <c r="EL69" s="97">
        <f t="shared" si="623"/>
        <v>15.601614515494148</v>
      </c>
      <c r="EM69" s="550">
        <f>AL69*BL69*('Allometrics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6.7954351437064542</v>
      </c>
      <c r="EN69" s="550">
        <f>AM69*BM69*('Allometrics &amp; Decay rates'!$I$6*((EXP('Allometrics &amp; Decay rates'!$K$6)-1)/('Discounting metrics'!$D$4+'Allometrics &amp; Decay rates'!$K$6)*(1-EXP(-('Discounting metrics'!$D$4+'Allometrics &amp; Decay rates'!$K$6)*'Discounting metrics'!$E$4))-(1-EXP(-'Allometrics &amp; Decay rates'!$K$6))/1.55)+'Allometrics &amp; Decay rates'!$E$6*((EXP('Allometrics &amp; Decay rates'!$L$6)-1)/('Discounting metrics'!$D$4+'Allometrics &amp; Decay rates'!$L$6)*(1-EXP(-('Discounting metrics'!$D$4+'Allometrics &amp; Decay rates'!$L$6)*'Discounting metrics'!$E$4))-(1-EXP(-'Allometrics &amp; Decay rates'!$L$6))/1.55))</f>
        <v>4.6783347796904202</v>
      </c>
      <c r="EO69" s="550">
        <f>AN69*BN69*('Allometrics &amp; Decay rates'!$I$7*((EXP('Allometrics &amp; Decay rates'!$K$7)-1)/('Discounting metrics'!$D$4+'Allometrics &amp; Decay rates'!$K$7)*(1-EXP(-('Discounting metrics'!$D$4+'Allometrics &amp; Decay rates'!$K$7)*'Discounting metrics'!$E$4))-(1-EXP(-'Allometrics &amp; Decay rates'!$K$7))/1.55)+'Allometrics &amp; Decay rates'!$E$7*((EXP('Allometrics &amp; Decay rates'!$L$7)-1)/('Discounting metrics'!$D$4+'Allometrics &amp; Decay rates'!$L$7)*(1-EXP(-('Discounting metrics'!$D$4+'Allometrics &amp; Decay rates'!$L$7)*'Discounting metrics'!$E$4))-(1-EXP(-'Allometrics &amp; Decay rates'!$L$7))/1.55))</f>
        <v>2.6543515157290707E-3</v>
      </c>
      <c r="EP69" s="550">
        <f>AO69*BO69*('Allometrics &amp; Decay rates'!$I$8*((EXP('Allometrics &amp; Decay rates'!$K$8)-1)/('Discounting metrics'!$D$4+'Allometrics &amp; Decay rates'!$K$8)*(1-EXP(-('Discounting metrics'!$D$4+'Allometrics &amp; Decay rates'!$K$8)*'Discounting metrics'!$E$4))-(1-EXP(-'Allometrics &amp; Decay rates'!$K$8))/1.55)+'Allometrics &amp; Decay rates'!$E$8*((EXP('Allometrics &amp; Decay rates'!$L$8)-1)/('Discounting metrics'!$D$4+'Allometrics &amp; Decay rates'!$L$8)*(1-EXP(-('Discounting metrics'!$D$4+'Allometrics &amp; Decay rates'!$L$8)*'Discounting metrics'!$E$4))-(1-EXP(-'Allometrics &amp; Decay rates'!$L$8))/1.55))</f>
        <v>3.6914553390698277</v>
      </c>
      <c r="EQ69" s="550">
        <f>AP69*BP69*('Allometrics &amp; Decay rates'!$I$9*((EXP('Allometrics &amp; Decay rates'!$K$9)-1)/('Discounting metrics'!$D$4+'Allometrics &amp; Decay rates'!$K$9)*(1-EXP(-('Discounting metrics'!$D$4+'Allometrics &amp; Decay rates'!$K$9)*'Discounting metrics'!$E$4))-(1-EXP(-'Allometrics &amp; Decay rates'!$K$9))/1.55)+'Allometrics &amp; Decay rates'!$E$9*((EXP('Allometrics &amp; Decay rates'!$L$9)-1)/('Discounting metrics'!$D$4+'Allometrics &amp; Decay rates'!$L$9)*(1-EXP(-('Discounting metrics'!$D$4+'Allometrics &amp; Decay rates'!$L$9)*'Discounting metrics'!$E$4))-(1-EXP(-'Allometrics &amp; Decay rates'!$L$9))/1.55))</f>
        <v>0.19443982907738278</v>
      </c>
      <c r="ER69" s="550">
        <f>AQ69*BQ69*('Allometrics &amp; Decay rates'!$I$10*((EXP('Allometrics &amp; Decay rates'!$K$10)-1)/('Discounting metrics'!$D$4+'Allometrics &amp; Decay rates'!$K$10)*(1-EXP(-('Discounting metrics'!$D$4+'Allometrics &amp; Decay rates'!$K$10)*'Discounting metrics'!$E$4))-(1-EXP(-'Allometrics &amp; Decay rates'!$K$10))/1.55)+'Allometrics &amp; Decay rates'!$E$10*((EXP('Allometrics &amp; Decay rates'!$L$10)-1)/('Discounting metrics'!$D$4+'Allometrics &amp; Decay rates'!$L$10)*(1-EXP(-('Discounting metrics'!$D$4+'Allometrics &amp; Decay rates'!$L$10)*'Discounting metrics'!$E$4))-(1-EXP(-'Allometrics &amp; Decay rates'!$L$10))/1.55))</f>
        <v>0.13828412393970818</v>
      </c>
      <c r="ES69" s="550">
        <f>AR69*BR69*('Allometrics &amp; Decay rates'!$I$11*((EXP('Allometrics &amp; Decay rates'!$K$11)-1)/('Discounting metrics'!$D$4+'Allometrics &amp; Decay rates'!$K$11)*(1-EXP(-('Discounting metrics'!$D$4+'Allometrics &amp; Decay rates'!$K$11)*'Discounting metrics'!$E$4))-(1-EXP(-'Allometrics &amp; Decay rates'!$K$11))/1.55)+'Allometrics &amp; Decay rates'!$E$11*((EXP('Allometrics &amp; Decay rates'!$L$11)-1)/('Discounting metrics'!$D$4+'Allometrics &amp; Decay rates'!$L$11)*(1-EXP(-('Discounting metrics'!$D$4+'Allometrics &amp; Decay rates'!$L$11)*'Discounting metrics'!$E$4))-(1-EXP(-'Allometrics &amp; Decay rates'!$L$11))/1.55))</f>
        <v>1.8874765028017182E-5</v>
      </c>
      <c r="ET69" s="550">
        <f>AS69*BS69*('Allometrics &amp; Decay rates'!$I$12*((EXP('Allometrics &amp; Decay rates'!$K$12)-1)/('Discounting metrics'!$D$4+'Allometrics &amp; Decay rates'!$K$12)*(1-EXP(-('Discounting metrics'!$D$4+'Allometrics &amp; Decay rates'!$K$12)*'Discounting metrics'!$E$4))-(1-EXP(-'Allometrics &amp; Decay rates'!$K$12))/1.55)+'Allometrics &amp; Decay rates'!$E$12*((EXP('Allometrics &amp; Decay rates'!$L$12)-1)/('Discounting metrics'!$D$4+'Allometrics &amp; Decay rates'!$L$12)*(1-EXP(-('Discounting metrics'!$D$4+'Allometrics &amp; Decay rates'!$L$12)*'Discounting metrics'!$E$4))-(1-EXP(-'Allometrics &amp; Decay rates'!$L$12))/1.55))</f>
        <v>0.10099207372959854</v>
      </c>
      <c r="EU69" s="550">
        <f>AT69*BT69*('Allometrics &amp; Decay rates'!$I$13*((EXP('Allometrics &amp; Decay rates'!$K$13)-1)/('Discounting metrics'!$D$4+'Allometrics &amp; Decay rates'!$K$13)*(1-EXP(-('Discounting metrics'!$D$4+'Allometrics &amp; Decay rates'!$K$13)*'Discounting metrics'!$E$4))-(1-EXP(-'Allometrics &amp; Decay rates'!$K$13))/1.55)+'Allometrics &amp; Decay rates'!$E$13*((EXP('Allometrics &amp; Decay rates'!$L$13)-1)/('Discounting metrics'!$D$4+'Allometrics &amp; Decay rates'!$L$13)*(1-EXP(-('Discounting metrics'!$D$4+'Allometrics &amp; Decay rates'!$L$13)*'Discounting metrics'!$E$4))-(1-EXP(-'Allometrics &amp; Decay rates'!$L$13))/1.55))</f>
        <v>0</v>
      </c>
      <c r="EV69" s="108">
        <f t="shared" si="624"/>
        <v>17.430458989227159</v>
      </c>
      <c r="EW69" s="550">
        <f>AL69*BV69*$DK69*((EXP('Allometrics &amp; Decay rates'!$M$5)-1)/('Discounting metrics'!$D$4+'Allometrics &amp; Decay rates'!$M$5)*(1-EXP(-('Discounting metrics'!$D$4+'Allometrics &amp; Decay rates'!$M$5)*'Discounting metrics'!$E$4))-(1-EXP(-'Allometrics &amp; Decay rates'!$M$5))/1.55)</f>
        <v>3.6339126383176925</v>
      </c>
      <c r="EX69" s="550">
        <f>AM69*BW69*$DK69*((EXP('Allometrics &amp; Decay rates'!$M$5)-1)/('Discounting metrics'!$D$4+'Allometrics &amp; Decay rates'!$M$5)*(1-EXP(-('Discounting metrics'!$D$4+'Allometrics &amp; Decay rates'!$M$5)*'Discounting metrics'!$E$4))-(1-EXP(-'Allometrics &amp; Decay rates'!$M$5))/1.55)</f>
        <v>3.1250844990870403</v>
      </c>
      <c r="EY69" s="550">
        <f>AN69*BX69*$DK69*((EXP('Allometrics &amp; Decay rates'!$M$5)-1)/('Discounting metrics'!$D$4+'Allometrics &amp; Decay rates'!$M$5)*(1-EXP(-('Discounting metrics'!$D$4+'Allometrics &amp; Decay rates'!$M$5)*'Discounting metrics'!$E$4))-(1-EXP(-'Allometrics &amp; Decay rates'!$M$5))/1.55)</f>
        <v>7.8096702257542151E-3</v>
      </c>
      <c r="EZ69" s="550">
        <f>AO69*BY69*$DK69*((EXP('Allometrics &amp; Decay rates'!$M$5)-1)/('Discounting metrics'!$D$4+'Allometrics &amp; Decay rates'!$M$5)*(1-EXP(-('Discounting metrics'!$D$4+'Allometrics &amp; Decay rates'!$M$5)*'Discounting metrics'!$E$4))-(1-EXP(-'Allometrics &amp; Decay rates'!$M$5))/1.55)</f>
        <v>9.1623689268729063</v>
      </c>
      <c r="FA69" s="550">
        <f>AP69*BZ69*$DK69*((EXP('Allometrics &amp; Decay rates'!$M$5)-1)/('Discounting metrics'!$D$4+'Allometrics &amp; Decay rates'!$M$5)*(1-EXP(-('Discounting metrics'!$D$4+'Allometrics &amp; Decay rates'!$M$5)*'Discounting metrics'!$E$4))-(1-EXP(-'Allometrics &amp; Decay rates'!$M$5))/1.55)</f>
        <v>0.75884684602961427</v>
      </c>
      <c r="FB69" s="550">
        <f>AQ69*CA69*$DK69*((EXP('Allometrics &amp; Decay rates'!$M$5)-1)/('Discounting metrics'!$D$4+'Allometrics &amp; Decay rates'!$M$5)*(1-EXP(-('Discounting metrics'!$D$4+'Allometrics &amp; Decay rates'!$M$5)*'Discounting metrics'!$E$4))-(1-EXP(-'Allometrics &amp; Decay rates'!$M$5))/1.55)</f>
        <v>0.74237210954297661</v>
      </c>
      <c r="FC69" s="550">
        <f>AR69*CB69*$DK69*((EXP('Allometrics &amp; Decay rates'!$M$5)-1)/('Discounting metrics'!$D$4+'Allometrics &amp; Decay rates'!$M$5)*(1-EXP(-('Discounting metrics'!$D$4+'Allometrics &amp; Decay rates'!$M$5)*'Discounting metrics'!$E$4))-(1-EXP(-'Allometrics &amp; Decay rates'!$M$5))/1.55)</f>
        <v>6.4299151177955817E-5</v>
      </c>
      <c r="FD69" s="261">
        <f t="shared" si="625"/>
        <v>25.568063752231918</v>
      </c>
      <c r="FE69" s="154">
        <f>FD69/($CE69-$DN69)</f>
        <v>0.79383141251282097</v>
      </c>
      <c r="FF69" s="108">
        <f t="shared" si="626"/>
        <v>18.360898641140007</v>
      </c>
      <c r="FG69" s="126">
        <f>'Allometrics &amp; Decay rates'!$H$5*$AU69*CG69+'Allometrics &amp; Decay rates'!$H$6*$AV69*CH69+'Allometrics &amp; Decay rates'!$H$7*$AW69*CI69+'Allometrics &amp; Decay rates'!$H$8*$AX69*CJ69+'Allometrics &amp; Decay rates'!$H$9*$AY69*CK69+'Allometrics &amp; Decay rates'!$H$10*$AZ69*CL69+'Allometrics &amp; Decay rates'!$H$11*$BA69*CM69+'Allometrics &amp; Decay rates'!$H$12*$BB69*CN69+'Allometrics &amp; Decay rates'!$H$13*$BC69*CO69</f>
        <v>10.327715449318832</v>
      </c>
      <c r="FH69" s="97">
        <f t="shared" si="627"/>
        <v>9.637058191821172</v>
      </c>
      <c r="FI69" s="550">
        <f>AU69*CG69*('Allometrics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0.37402843472296859</v>
      </c>
      <c r="FJ69" s="550">
        <f>AV69*CH69*('Allometrics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8.5967224448443496</v>
      </c>
      <c r="FK69" s="550">
        <f>AW69*CI69*('Allometrics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7.0934760695328721E-3</v>
      </c>
      <c r="FL69" s="550">
        <f>AX69*CJ69*('Allometrics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0.35789483561028101</v>
      </c>
      <c r="FM69" s="550">
        <f>AY69*CK69*('Allometrics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0.15955859850744852</v>
      </c>
      <c r="FN69" s="550">
        <f>AZ69*CL69*('Allometrics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0.12132244682715561</v>
      </c>
      <c r="FO69" s="550">
        <f>BA69*CM69*('Allometrics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6.0809777829790596E-3</v>
      </c>
      <c r="FP69" s="550">
        <f>BB69*CN69*('Allometrics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1.4356977456455665E-2</v>
      </c>
      <c r="FQ69" s="550">
        <f>BC69*CO69*('Allometrics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0</v>
      </c>
      <c r="FR69" s="108">
        <f t="shared" si="628"/>
        <v>7.2071651110919097</v>
      </c>
      <c r="FS69" s="550">
        <f>AU69*CQ69*$DK69*((EXP('Allometrics &amp; Decay rates'!$M$5)-1)/('Discounting metrics'!$D$4+'Allometrics &amp; Decay rates'!$M$5)*(1-EXP(-('Discounting metrics'!$D$4+'Allometrics &amp; Decay rates'!$M$5)*'Discounting metrics'!$E$4))-(1-EXP(-'Allometrics &amp; Decay rates'!$M$5))/1.55)</f>
        <v>0.18716598177595467</v>
      </c>
      <c r="FT69" s="550">
        <f>AV69*CR69*$DK69*((EXP('Allometrics &amp; Decay rates'!$M$5)-1)/('Discounting metrics'!$D$4+'Allometrics &amp; Decay rates'!$M$5)*(1-EXP(-('Discounting metrics'!$D$4+'Allometrics &amp; Decay rates'!$M$5)*'Discounting metrics'!$E$4))-(1-EXP(-'Allometrics &amp; Decay rates'!$M$5))/1.55)</f>
        <v>3.9376234380841084</v>
      </c>
      <c r="FU69" s="550">
        <f>AW69*CS69*$DK69*((EXP('Allometrics &amp; Decay rates'!$M$5)-1)/('Discounting metrics'!$D$4+'Allometrics &amp; Decay rates'!$M$5)*(1-EXP(-('Discounting metrics'!$D$4+'Allometrics &amp; Decay rates'!$M$5)*'Discounting metrics'!$E$4))-(1-EXP(-'Allometrics &amp; Decay rates'!$M$5))/1.55)</f>
        <v>1.2686453331555088E-2</v>
      </c>
      <c r="FV69" s="550">
        <f>AX69*CT69*$DK69*((EXP('Allometrics &amp; Decay rates'!$M$5)-1)/('Discounting metrics'!$D$4+'Allometrics &amp; Decay rates'!$M$5)*(1-EXP(-('Discounting metrics'!$D$4+'Allometrics &amp; Decay rates'!$M$5)*'Discounting metrics'!$E$4))-(1-EXP(-'Allometrics &amp; Decay rates'!$M$5))/1.55)</f>
        <v>1.3480556649519446</v>
      </c>
      <c r="FW69" s="550">
        <f>AY69*CU69*$DK69*((EXP('Allometrics &amp; Decay rates'!$M$5)-1)/('Discounting metrics'!$D$4+'Allometrics &amp; Decay rates'!$M$5)*(1-EXP(-('Discounting metrics'!$D$4+'Allometrics &amp; Decay rates'!$M$5)*'Discounting metrics'!$E$4))-(1-EXP(-'Allometrics &amp; Decay rates'!$M$5))/1.55)</f>
        <v>0.65673682960450852</v>
      </c>
      <c r="FX69" s="550">
        <f>AZ69*CV69*$DK69*((EXP('Allometrics &amp; Decay rates'!$M$5)-1)/('Discounting metrics'!$D$4+'Allometrics &amp; Decay rates'!$M$5)*(1-EXP(-('Discounting metrics'!$D$4+'Allometrics &amp; Decay rates'!$M$5)*'Discounting metrics'!$E$4))-(1-EXP(-'Allometrics &amp; Decay rates'!$M$5))/1.55)</f>
        <v>1.0514547122207294</v>
      </c>
      <c r="FY69" s="550">
        <f>BA69*CW69*$DK69*((EXP('Allometrics &amp; Decay rates'!$M$5)-1)/('Discounting metrics'!$D$4+'Allometrics &amp; Decay rates'!$M$5)*(1-EXP(-('Discounting metrics'!$D$4+'Allometrics &amp; Decay rates'!$M$5)*'Discounting metrics'!$E$4))-(1-EXP(-'Allometrics &amp; Decay rates'!$M$5))/1.55)</f>
        <v>1.344203112310976E-2</v>
      </c>
      <c r="FZ69" s="68"/>
      <c r="GA69" s="293"/>
      <c r="GB69" s="293"/>
      <c r="GP69" s="32">
        <f t="shared" si="629"/>
        <v>4.495443786982249</v>
      </c>
      <c r="GQ69" s="33">
        <v>6.01</v>
      </c>
      <c r="GR69" s="99">
        <v>2.77</v>
      </c>
      <c r="GS69" s="99"/>
      <c r="GT69" s="99"/>
      <c r="GU69" s="99"/>
      <c r="GV69" s="99"/>
      <c r="GW69" s="99"/>
      <c r="GX69" s="99"/>
      <c r="GY69" s="99"/>
      <c r="GZ69" s="99"/>
      <c r="HA69" s="99"/>
      <c r="HB69" s="99"/>
      <c r="HF69" s="97">
        <f>HG69*$LI69</f>
        <v>0.75769181395269436</v>
      </c>
      <c r="HG69" s="526">
        <f>EE69/'Discounting metrics'!E$4/M69</f>
        <v>0.83262836698098275</v>
      </c>
      <c r="HH69" s="97"/>
      <c r="HI69" s="97"/>
      <c r="HJ69" s="97">
        <f>HK69*$LI69</f>
        <v>1.4204970086267452</v>
      </c>
      <c r="HK69" s="526">
        <f>EH69/'Discounting metrics'!E$4/O69</f>
        <v>1.5609857237656541</v>
      </c>
      <c r="HL69" s="97"/>
      <c r="HM69" s="97"/>
      <c r="HN69" s="97">
        <f>HO69*$LI69</f>
        <v>0.36943399051718101</v>
      </c>
      <c r="HO69" s="526">
        <f>FD69/'Discounting metrics'!E$4/Q69</f>
        <v>0.40597141815074833</v>
      </c>
      <c r="HP69" s="97"/>
      <c r="HQ69" s="97"/>
      <c r="HR69" s="97">
        <f>HS69*$LI69</f>
        <v>1.072750018595235</v>
      </c>
      <c r="HS69" s="263">
        <f>$IM$11*IE69</f>
        <v>1.1788461742804779</v>
      </c>
      <c r="HT69" s="97"/>
      <c r="HU69" s="97"/>
      <c r="HV69" s="97">
        <f>HW69*$LI69</f>
        <v>2.0675916813292932</v>
      </c>
      <c r="HW69" s="263">
        <f>$IM$11*IH69</f>
        <v>2.2720787706915306</v>
      </c>
      <c r="HX69" s="97"/>
      <c r="HY69" s="97"/>
      <c r="HZ69" s="97">
        <f>I69*$LI69</f>
        <v>1.200745</v>
      </c>
      <c r="IA69" s="263">
        <f>$IM$11*IK69</f>
        <v>0.53845271960931151</v>
      </c>
      <c r="IB69" s="97"/>
      <c r="IC69" s="97"/>
      <c r="ID69" s="97">
        <f>IE69*$LI69</f>
        <v>2.1505038496376816</v>
      </c>
      <c r="IE69" s="263">
        <f>GP69/G69</f>
        <v>2.3631910435578916</v>
      </c>
      <c r="IF69" s="60"/>
      <c r="IG69" s="97">
        <f>IH69*$LI69</f>
        <v>4.1448275862068966</v>
      </c>
      <c r="IH69" s="263">
        <f>GQ69/I69</f>
        <v>4.554755589238348</v>
      </c>
      <c r="II69" s="60"/>
      <c r="IJ69" s="97">
        <f>IK69*$LI69</f>
        <v>0.98226950354609932</v>
      </c>
      <c r="IK69" s="263">
        <f>GR69/K69</f>
        <v>1.0794170368638454</v>
      </c>
      <c r="IL69" s="60"/>
      <c r="IM69" s="60"/>
      <c r="IN69" s="60"/>
      <c r="IO69" s="60"/>
      <c r="IP69" s="554">
        <f>IR69*$V69</f>
        <v>5.9588247600000006</v>
      </c>
      <c r="IQ69" s="262">
        <f>IR69*$LI69</f>
        <v>8.4335721807065236E-2</v>
      </c>
      <c r="IR69" s="166">
        <f>(IW69*Y69+JD69*AA69)/V69</f>
        <v>9.2676617370401351E-2</v>
      </c>
      <c r="IS69" s="97"/>
      <c r="IT69" s="97"/>
      <c r="IU69" s="429">
        <f>(IX69*C69+JE69*D69)/B69</f>
        <v>3.2313609467455626E-3</v>
      </c>
      <c r="IV69" s="262">
        <f>IW69*$LI69</f>
        <v>0.16555531034482762</v>
      </c>
      <c r="IW69" s="436">
        <f>IX69*JB69/I69</f>
        <v>0.18192891246684353</v>
      </c>
      <c r="IX69" s="101">
        <v>4.4000000000000003E-3</v>
      </c>
      <c r="IY69" s="433">
        <v>1</v>
      </c>
      <c r="IZ69" s="433">
        <v>0</v>
      </c>
      <c r="JA69" s="434">
        <f>1-IY69-IZ69</f>
        <v>0</v>
      </c>
      <c r="JB69" s="430">
        <f>IY69*$JJ69+IZ69*$JK69+JA69*$JL69+'Discounting metrics'!$B$6*(IY69*$JM69+IZ69*$JN69+JA69*$JO69)/10^3+'Discounting metrics'!$B$5*(IY69*$JP69+IZ69*$JQ69+JA69*$JR69)/10^3</f>
        <v>54.558</v>
      </c>
      <c r="JC69" s="262">
        <f>JD69*$LI69</f>
        <v>3.6758936170212766E-2</v>
      </c>
      <c r="JD69" s="436">
        <f>JE69*JI69/K69</f>
        <v>4.0394435351882162E-2</v>
      </c>
      <c r="JE69" s="101">
        <v>1.9E-3</v>
      </c>
      <c r="JF69" s="433">
        <v>1</v>
      </c>
      <c r="JG69" s="433">
        <v>0</v>
      </c>
      <c r="JH69" s="434">
        <f t="shared" si="630"/>
        <v>0</v>
      </c>
      <c r="JI69" s="430">
        <f>JF69*$JJ69+JG69*$JK69+JH69*$JL69+'Discounting metrics'!$B$6*(JF69*$JM69+JG69*$JN69+JH69*$JO69)/10^3+'Discounting metrics'!$B$5*(JF69*$JP69+JG69*$JQ69+JH69*$JR69)/10^3</f>
        <v>54.558</v>
      </c>
      <c r="JJ69" s="431">
        <v>51.3</v>
      </c>
      <c r="JK69" s="431">
        <v>29</v>
      </c>
      <c r="JL69" s="431">
        <v>29</v>
      </c>
      <c r="JM69" s="99">
        <v>5</v>
      </c>
      <c r="JN69" s="431">
        <v>13</v>
      </c>
      <c r="JO69" s="431">
        <v>13</v>
      </c>
      <c r="JP69" s="431">
        <v>52</v>
      </c>
      <c r="JQ69" s="431">
        <v>58.3</v>
      </c>
      <c r="JR69" s="431">
        <v>58.3</v>
      </c>
      <c r="JS69" s="554">
        <f>JV69+JW69+JT69+JU69+JX69</f>
        <v>79.390409292656628</v>
      </c>
      <c r="JT69" s="554">
        <f>KJ69*$V69</f>
        <v>30.47257222828032</v>
      </c>
      <c r="JU69" s="554">
        <f>KL69*$V69</f>
        <v>4.6022594328575996</v>
      </c>
      <c r="JV69" s="554">
        <f>KN69*$V69</f>
        <v>19.0258846070784</v>
      </c>
      <c r="JW69" s="554">
        <f>KP69*$V69</f>
        <v>25.289693024440314</v>
      </c>
      <c r="JX69" s="554"/>
      <c r="JY69" s="167">
        <f>JZ69*LI69</f>
        <v>1.1236187909400002</v>
      </c>
      <c r="JZ69" s="166">
        <f>KF69+KD69+KH69</f>
        <v>1.2347459241098901</v>
      </c>
      <c r="KA69" s="97"/>
      <c r="KB69" s="97"/>
      <c r="KC69" s="473">
        <f>KD69*LI69</f>
        <v>0.49641688832000003</v>
      </c>
      <c r="KD69" s="269">
        <f>KJ69+KL69</f>
        <v>0.54551306408791211</v>
      </c>
      <c r="KE69" s="473">
        <f>KF69*LI69</f>
        <v>0.62720190261999997</v>
      </c>
      <c r="KF69" s="269">
        <f>KN69+KP69</f>
        <v>0.68923286002197792</v>
      </c>
      <c r="KG69" s="49"/>
      <c r="KH69" s="49"/>
      <c r="KI69" s="435">
        <v>0.43128074372000003</v>
      </c>
      <c r="KJ69" s="522">
        <f>KI69/$LI69</f>
        <v>0.47393488320879124</v>
      </c>
      <c r="KK69" s="435">
        <v>6.5136144600000001E-2</v>
      </c>
      <c r="KL69" s="522">
        <f>KK69/$LI69</f>
        <v>7.1578180879120878E-2</v>
      </c>
      <c r="KM69" s="435">
        <v>0.26927486140000001</v>
      </c>
      <c r="KN69" s="522">
        <f>KM69/$LI69</f>
        <v>0.29590644109890107</v>
      </c>
      <c r="KO69" s="435">
        <v>0.35792704121999996</v>
      </c>
      <c r="KP69" s="522">
        <f>KO69/$LI69</f>
        <v>0.39332641892307685</v>
      </c>
      <c r="KQ69" s="610">
        <f>44/12*HG69+$JZ69+$IR69</f>
        <v>4.3803932204105607</v>
      </c>
      <c r="KR69" s="60"/>
      <c r="KS69" s="60"/>
      <c r="KT69" s="599">
        <f>44/12*HK69+$JZ69+$IW69</f>
        <v>7.1402891570507983</v>
      </c>
      <c r="KW69" s="610">
        <f>44/12*HO69+$JZ69+$JD69</f>
        <v>2.7637022260145163</v>
      </c>
      <c r="KZ69" s="599">
        <f>44/12*HS69+$JZ69+$IR69</f>
        <v>5.6498585138420436</v>
      </c>
      <c r="LC69" s="599">
        <f>44/12*HW69+$JZ69+$IW69</f>
        <v>9.7476303291123472</v>
      </c>
      <c r="LF69" s="599">
        <f>44/12*I69+$JZ69+$JD69</f>
        <v>6.1133070261284388</v>
      </c>
      <c r="LI69" s="31">
        <v>0.91</v>
      </c>
      <c r="LJ69" s="32">
        <f t="shared" si="631"/>
        <v>18.928000000000001</v>
      </c>
      <c r="LK69" s="105">
        <v>20.8</v>
      </c>
      <c r="LL69" s="32"/>
      <c r="LM69" s="33"/>
      <c r="LN69" s="34">
        <f t="shared" ref="LN69" si="632">$LI69*LO69</f>
        <v>0.13650000000000001</v>
      </c>
      <c r="LO69" s="31">
        <v>0.15</v>
      </c>
      <c r="LP69" s="34">
        <f>$LI69*LQ69</f>
        <v>0.10920000000000001</v>
      </c>
      <c r="LQ69" s="42">
        <v>0.12</v>
      </c>
    </row>
    <row r="70" spans="1:329" s="4" customFormat="1" x14ac:dyDescent="0.25">
      <c r="A70" s="16"/>
      <c r="M70" s="32"/>
      <c r="N70" s="32"/>
      <c r="O70" s="32"/>
      <c r="P70" s="32"/>
      <c r="Q70" s="32"/>
      <c r="U70" s="60"/>
      <c r="AC70" s="60"/>
      <c r="AD70" s="60"/>
      <c r="AE70" s="60"/>
      <c r="AF70" s="60"/>
      <c r="AG70" s="60"/>
      <c r="AH70" s="60"/>
      <c r="AI70" s="60"/>
      <c r="AJ70" s="60"/>
      <c r="AK70" s="60"/>
      <c r="AL70" s="60"/>
      <c r="AM70" s="60"/>
      <c r="AN70" s="60"/>
      <c r="AO70" s="60"/>
      <c r="AP70" s="60"/>
      <c r="AQ70" s="60"/>
      <c r="AR70" s="60"/>
      <c r="AS70" s="60"/>
      <c r="AT70" s="60"/>
      <c r="AU70" s="60"/>
      <c r="AV70" s="60"/>
      <c r="AW70" s="60"/>
      <c r="AX70" s="60"/>
      <c r="AY70" s="60"/>
      <c r="AZ70" s="60"/>
      <c r="BA70" s="60"/>
      <c r="BB70" s="60"/>
      <c r="BC70" s="60"/>
      <c r="BD70" s="60"/>
      <c r="BE70" s="60"/>
      <c r="BF70" s="60"/>
      <c r="BK70" s="60"/>
      <c r="BL70" s="123"/>
      <c r="BM70" s="123"/>
      <c r="BN70" s="123"/>
      <c r="BO70" s="123"/>
      <c r="BP70" s="123"/>
      <c r="BQ70" s="123"/>
      <c r="BR70" s="123"/>
      <c r="BS70" s="123"/>
      <c r="BT70" s="123"/>
      <c r="BU70" s="60"/>
      <c r="BV70" s="123"/>
      <c r="BW70" s="123"/>
      <c r="BX70" s="123"/>
      <c r="BY70" s="123"/>
      <c r="BZ70" s="123"/>
      <c r="CA70" s="123"/>
      <c r="CB70" s="123"/>
      <c r="CC70" s="123"/>
      <c r="CD70" s="123"/>
      <c r="CE70" s="60"/>
      <c r="CF70" s="98"/>
      <c r="CG70" s="123"/>
      <c r="CH70" s="123"/>
      <c r="CI70" s="123"/>
      <c r="CJ70" s="123"/>
      <c r="CK70" s="123"/>
      <c r="CL70" s="123"/>
      <c r="CM70" s="123"/>
      <c r="CN70" s="123"/>
      <c r="CO70" s="123"/>
      <c r="CP70" s="98"/>
      <c r="CQ70" s="123"/>
      <c r="CR70" s="123"/>
      <c r="CS70" s="123"/>
      <c r="CT70" s="123"/>
      <c r="CU70" s="123"/>
      <c r="CV70" s="123"/>
      <c r="CW70" s="123"/>
      <c r="CX70" s="123"/>
      <c r="CY70" s="123"/>
      <c r="CZ70" s="60"/>
      <c r="DA70" s="60"/>
      <c r="DB70" s="60"/>
      <c r="DC70" s="32"/>
      <c r="DD70" s="32"/>
      <c r="DE70" s="67"/>
      <c r="DF70" s="270"/>
      <c r="DL70" s="123"/>
      <c r="DM70" s="123"/>
      <c r="DN70" s="60"/>
      <c r="DS70" s="60"/>
      <c r="DT70" s="60"/>
      <c r="DU70" s="60"/>
      <c r="EE70" s="60"/>
      <c r="EF70" s="60"/>
      <c r="EG70" s="60"/>
      <c r="EH70" s="60"/>
      <c r="EI70" s="123"/>
      <c r="EJ70" s="60"/>
      <c r="EK70" s="60"/>
      <c r="EL70" s="60"/>
      <c r="EM70" s="126"/>
      <c r="EN70" s="126"/>
      <c r="EO70" s="126"/>
      <c r="EP70" s="126"/>
      <c r="EQ70" s="126"/>
      <c r="ER70" s="126"/>
      <c r="ES70" s="126"/>
      <c r="ET70" s="126"/>
      <c r="EU70" s="126"/>
      <c r="EV70" s="60"/>
      <c r="EW70" s="60"/>
      <c r="EX70" s="542"/>
      <c r="EY70" s="542"/>
      <c r="EZ70" s="542"/>
      <c r="FA70" s="542"/>
      <c r="FB70" s="542"/>
      <c r="FC70" s="542"/>
      <c r="FD70" s="60"/>
      <c r="FE70" s="60"/>
      <c r="FF70" s="60"/>
      <c r="FG70" s="60"/>
      <c r="FH70" s="60"/>
      <c r="FI70" s="542"/>
      <c r="FJ70" s="542"/>
      <c r="FK70" s="542"/>
      <c r="FL70" s="542"/>
      <c r="FM70" s="542"/>
      <c r="FN70" s="542"/>
      <c r="FO70" s="542"/>
      <c r="FP70" s="542"/>
      <c r="FQ70" s="542"/>
      <c r="FR70" s="60"/>
      <c r="FS70" s="542"/>
      <c r="FT70" s="542"/>
      <c r="FU70" s="542"/>
      <c r="FV70" s="542"/>
      <c r="FW70" s="542"/>
      <c r="FX70" s="542"/>
      <c r="FY70" s="542"/>
      <c r="FZ70" s="60"/>
      <c r="GA70" s="60"/>
      <c r="GB70" s="60"/>
      <c r="GR70" s="99"/>
      <c r="GS70" s="99"/>
      <c r="GT70" s="99"/>
      <c r="GU70" s="99"/>
      <c r="GV70" s="99"/>
      <c r="GW70" s="99"/>
      <c r="GX70" s="99"/>
      <c r="GY70" s="99"/>
      <c r="GZ70" s="99"/>
      <c r="HA70" s="99"/>
      <c r="HB70" s="99"/>
      <c r="HG70" s="264"/>
      <c r="HH70" s="97"/>
      <c r="HI70" s="97"/>
      <c r="HJ70" s="60"/>
      <c r="HK70" s="264"/>
      <c r="HL70" s="97"/>
      <c r="HM70" s="97"/>
      <c r="HN70" s="60"/>
      <c r="HO70" s="264"/>
      <c r="HP70" s="97"/>
      <c r="HQ70" s="97"/>
      <c r="HR70" s="60"/>
      <c r="HS70" s="32"/>
      <c r="HT70" s="97"/>
      <c r="HU70" s="97"/>
      <c r="HV70" s="60"/>
      <c r="HW70" s="32"/>
      <c r="HX70" s="97"/>
      <c r="HY70" s="97"/>
      <c r="HZ70" s="60"/>
      <c r="IA70" s="32"/>
      <c r="IB70" s="97"/>
      <c r="IC70" s="97"/>
      <c r="ID70" s="97"/>
      <c r="IG70" s="60"/>
      <c r="II70" s="60"/>
      <c r="IM70" s="60"/>
      <c r="IN70" s="60"/>
      <c r="IO70" s="60"/>
      <c r="IP70" s="97"/>
      <c r="IQ70" s="49"/>
      <c r="IR70" s="60"/>
      <c r="IS70" s="97"/>
      <c r="IT70" s="97"/>
      <c r="IU70" s="60"/>
      <c r="IV70" s="49"/>
      <c r="IW70" s="60"/>
      <c r="IX70" s="60"/>
      <c r="IY70" s="60"/>
      <c r="IZ70" s="60"/>
      <c r="JA70" s="60"/>
      <c r="JB70" s="60"/>
      <c r="JC70" s="49"/>
      <c r="JD70" s="60"/>
      <c r="JE70" s="100"/>
      <c r="JF70" s="100"/>
      <c r="JG70" s="100"/>
      <c r="JH70" s="100"/>
      <c r="JI70" s="100"/>
      <c r="JJ70" s="97"/>
      <c r="JK70" s="97"/>
      <c r="JL70" s="97"/>
      <c r="JM70" s="97"/>
      <c r="JN70" s="97"/>
      <c r="JO70" s="97"/>
      <c r="JP70" s="97"/>
      <c r="JQ70" s="97"/>
      <c r="JR70" s="97"/>
      <c r="JS70" s="97"/>
      <c r="JT70" s="97"/>
      <c r="JU70" s="97"/>
      <c r="JV70" s="97"/>
      <c r="JW70" s="97"/>
      <c r="JX70" s="97"/>
      <c r="JY70" s="457"/>
      <c r="KA70" s="97"/>
      <c r="KB70" s="97"/>
      <c r="KC70" s="49"/>
      <c r="KD70" s="49"/>
      <c r="KE70" s="49"/>
      <c r="KF70" s="49"/>
      <c r="KG70" s="49"/>
      <c r="KH70" s="49"/>
      <c r="KQ70" s="60"/>
      <c r="KR70" s="60"/>
      <c r="KS70" s="60"/>
    </row>
    <row r="71" spans="1:329" s="4" customFormat="1" x14ac:dyDescent="0.25">
      <c r="A71" s="14"/>
      <c r="I71" s="14"/>
      <c r="M71" s="32"/>
      <c r="N71" s="32"/>
      <c r="O71" s="32"/>
      <c r="P71" s="32"/>
      <c r="Q71" s="32"/>
      <c r="U71" s="60"/>
      <c r="AC71" s="60"/>
      <c r="AD71" s="60"/>
      <c r="AE71" s="60"/>
      <c r="AF71" s="60"/>
      <c r="AG71" s="60"/>
      <c r="AH71" s="60"/>
      <c r="AI71" s="60"/>
      <c r="AJ71" s="60"/>
      <c r="AK71" s="60"/>
      <c r="AL71" s="60"/>
      <c r="AM71" s="60"/>
      <c r="AN71" s="60"/>
      <c r="AO71" s="60"/>
      <c r="AP71" s="60"/>
      <c r="AQ71" s="60"/>
      <c r="AR71" s="60"/>
      <c r="AS71" s="60"/>
      <c r="AT71" s="60"/>
      <c r="AU71" s="60"/>
      <c r="AV71" s="60"/>
      <c r="AW71" s="60"/>
      <c r="AX71" s="60"/>
      <c r="AY71" s="60"/>
      <c r="AZ71" s="60"/>
      <c r="BA71" s="60"/>
      <c r="BB71" s="60"/>
      <c r="BC71" s="60"/>
      <c r="BD71" s="60"/>
      <c r="BE71" s="60"/>
      <c r="BF71" s="60"/>
      <c r="BK71" s="60"/>
      <c r="BL71" s="123"/>
      <c r="BM71" s="123"/>
      <c r="BN71" s="123"/>
      <c r="BO71" s="123"/>
      <c r="BP71" s="123"/>
      <c r="BQ71" s="123"/>
      <c r="BR71" s="123"/>
      <c r="BS71" s="123"/>
      <c r="BT71" s="123"/>
      <c r="BU71" s="60"/>
      <c r="BV71" s="123"/>
      <c r="BW71" s="123"/>
      <c r="BX71" s="123"/>
      <c r="BY71" s="123"/>
      <c r="BZ71" s="123"/>
      <c r="CA71" s="123"/>
      <c r="CB71" s="123"/>
      <c r="CC71" s="123"/>
      <c r="CD71" s="123"/>
      <c r="CE71" s="60"/>
      <c r="CF71" s="98"/>
      <c r="CG71" s="123"/>
      <c r="CH71" s="123"/>
      <c r="CI71" s="123"/>
      <c r="CJ71" s="123"/>
      <c r="CK71" s="123"/>
      <c r="CL71" s="123"/>
      <c r="CM71" s="123"/>
      <c r="CN71" s="123"/>
      <c r="CO71" s="123"/>
      <c r="CP71" s="98"/>
      <c r="CQ71" s="123"/>
      <c r="CR71" s="123"/>
      <c r="CS71" s="123"/>
      <c r="CT71" s="123"/>
      <c r="CU71" s="123"/>
      <c r="CV71" s="123"/>
      <c r="CW71" s="123"/>
      <c r="CX71" s="123"/>
      <c r="CY71" s="123"/>
      <c r="CZ71" s="60"/>
      <c r="DA71" s="60"/>
      <c r="DB71" s="60"/>
      <c r="DC71" s="32"/>
      <c r="DD71" s="32"/>
      <c r="DE71" s="67"/>
      <c r="DF71" s="270"/>
      <c r="DL71" s="123"/>
      <c r="DM71" s="123"/>
      <c r="DN71" s="60"/>
      <c r="DS71" s="60"/>
      <c r="DT71" s="60"/>
      <c r="DU71" s="60"/>
      <c r="EE71" s="60"/>
      <c r="EF71" s="60"/>
      <c r="EG71" s="60"/>
      <c r="EH71" s="60"/>
      <c r="EI71" s="123"/>
      <c r="EJ71" s="60"/>
      <c r="EK71" s="60"/>
      <c r="EL71" s="60"/>
      <c r="EM71" s="126"/>
      <c r="EN71" s="126"/>
      <c r="EO71" s="126"/>
      <c r="EP71" s="126"/>
      <c r="EQ71" s="126"/>
      <c r="ER71" s="126"/>
      <c r="ES71" s="126"/>
      <c r="ET71" s="126"/>
      <c r="EU71" s="126"/>
      <c r="EV71" s="60"/>
      <c r="EW71" s="60"/>
      <c r="EX71" s="542"/>
      <c r="EY71" s="542"/>
      <c r="EZ71" s="542"/>
      <c r="FA71" s="542"/>
      <c r="FB71" s="542"/>
      <c r="FC71" s="542"/>
      <c r="FD71" s="60"/>
      <c r="FE71" s="60"/>
      <c r="FF71" s="60"/>
      <c r="FG71" s="60"/>
      <c r="FH71" s="60"/>
      <c r="FI71" s="542"/>
      <c r="FJ71" s="542"/>
      <c r="FK71" s="542"/>
      <c r="FL71" s="542"/>
      <c r="FM71" s="542"/>
      <c r="FN71" s="542"/>
      <c r="FO71" s="542"/>
      <c r="FP71" s="542"/>
      <c r="FQ71" s="542"/>
      <c r="FR71" s="60"/>
      <c r="FS71" s="542"/>
      <c r="FT71" s="542"/>
      <c r="FU71" s="542"/>
      <c r="FV71" s="542"/>
      <c r="FW71" s="542"/>
      <c r="FX71" s="542"/>
      <c r="FY71" s="542"/>
      <c r="FZ71" s="60"/>
      <c r="GA71" s="60"/>
      <c r="GB71" s="60"/>
      <c r="GR71" s="99"/>
      <c r="GS71" s="99"/>
      <c r="GT71" s="99"/>
      <c r="GU71" s="99"/>
      <c r="GV71" s="99"/>
      <c r="GW71" s="99"/>
      <c r="GX71" s="99"/>
      <c r="GY71" s="99"/>
      <c r="GZ71" s="99"/>
      <c r="HA71" s="99"/>
      <c r="HB71" s="99"/>
      <c r="HG71" s="264"/>
      <c r="HH71" s="97"/>
      <c r="HI71" s="97"/>
      <c r="HJ71" s="60"/>
      <c r="HK71" s="264"/>
      <c r="HL71" s="97"/>
      <c r="HM71" s="97"/>
      <c r="HN71" s="60"/>
      <c r="HO71" s="264"/>
      <c r="HP71" s="97"/>
      <c r="HQ71" s="97"/>
      <c r="HR71" s="60"/>
      <c r="HS71" s="32"/>
      <c r="HT71" s="97"/>
      <c r="HU71" s="97"/>
      <c r="HV71" s="60"/>
      <c r="HW71" s="32"/>
      <c r="HX71" s="97"/>
      <c r="HY71" s="97"/>
      <c r="HZ71" s="60"/>
      <c r="IA71" s="32"/>
      <c r="IB71" s="97"/>
      <c r="IC71" s="97"/>
      <c r="ID71" s="97"/>
      <c r="IG71" s="60"/>
      <c r="II71" s="60"/>
      <c r="IM71" s="60"/>
      <c r="IN71" s="60"/>
      <c r="IO71" s="60"/>
      <c r="IP71" s="97"/>
      <c r="IQ71" s="49"/>
      <c r="IR71" s="60"/>
      <c r="IS71" s="97"/>
      <c r="IT71" s="97"/>
      <c r="IU71" s="60"/>
      <c r="IV71" s="49"/>
      <c r="IW71" s="60"/>
      <c r="IX71" s="60"/>
      <c r="IY71" s="60"/>
      <c r="IZ71" s="60"/>
      <c r="JA71" s="60"/>
      <c r="JB71" s="60"/>
      <c r="JC71" s="49"/>
      <c r="JD71" s="60"/>
      <c r="JE71" s="100"/>
      <c r="JF71" s="100"/>
      <c r="JG71" s="100"/>
      <c r="JH71" s="100"/>
      <c r="JI71" s="100"/>
      <c r="JJ71" s="97"/>
      <c r="JK71" s="97"/>
      <c r="JL71" s="97"/>
      <c r="JM71" s="97"/>
      <c r="JN71" s="97"/>
      <c r="JO71" s="97"/>
      <c r="JP71" s="97"/>
      <c r="JQ71" s="97"/>
      <c r="JR71" s="97"/>
      <c r="JS71" s="97"/>
      <c r="JT71" s="97"/>
      <c r="JU71" s="97"/>
      <c r="JV71" s="97"/>
      <c r="JW71" s="97"/>
      <c r="JX71" s="97"/>
      <c r="JY71" s="457"/>
      <c r="KA71" s="97"/>
      <c r="KB71" s="97"/>
      <c r="KC71" s="49"/>
      <c r="KD71" s="49"/>
      <c r="KE71" s="49"/>
      <c r="KF71" s="49"/>
      <c r="KG71" s="49"/>
      <c r="KH71" s="49"/>
      <c r="KQ71" s="60"/>
      <c r="KR71" s="60"/>
      <c r="KS71" s="60"/>
    </row>
    <row r="72" spans="1:329" s="4" customFormat="1" ht="14.4" x14ac:dyDescent="0.3">
      <c r="A72" s="13" t="s">
        <v>481</v>
      </c>
      <c r="C72" s="152"/>
      <c r="D72" s="49"/>
      <c r="E72" s="49"/>
      <c r="F72" s="49"/>
      <c r="H72" s="49"/>
      <c r="M72" s="32"/>
      <c r="N72" s="32"/>
      <c r="O72" s="32"/>
      <c r="P72" s="32"/>
      <c r="Q72" s="32"/>
      <c r="AC72" s="60"/>
      <c r="AD72" s="60"/>
      <c r="AE72" s="60"/>
      <c r="AF72" s="60"/>
      <c r="AG72" s="60"/>
      <c r="AH72" s="60"/>
      <c r="AI72" s="60"/>
      <c r="AJ72" s="60"/>
      <c r="AK72" s="60"/>
      <c r="AL72" s="60"/>
      <c r="AM72" s="60"/>
      <c r="AN72" s="60"/>
      <c r="AO72" s="60"/>
      <c r="AP72" s="60"/>
      <c r="AQ72" s="60"/>
      <c r="AR72" s="60"/>
      <c r="AS72" s="60"/>
      <c r="AT72" s="60"/>
      <c r="AU72" s="60"/>
      <c r="AV72" s="60"/>
      <c r="AW72" s="60"/>
      <c r="AX72" s="60"/>
      <c r="AY72" s="60"/>
      <c r="AZ72" s="60"/>
      <c r="BA72" s="60"/>
      <c r="BB72" s="60"/>
      <c r="BC72" s="60"/>
      <c r="BD72" s="60"/>
      <c r="BE72" s="60"/>
      <c r="BF72" s="60"/>
      <c r="BK72" s="60"/>
      <c r="BL72" s="123"/>
      <c r="BM72" s="123"/>
      <c r="BN72" s="123"/>
      <c r="BO72" s="123"/>
      <c r="BP72" s="123"/>
      <c r="BQ72" s="123"/>
      <c r="BR72" s="123"/>
      <c r="BS72" s="123"/>
      <c r="BT72" s="123"/>
      <c r="BU72" s="60"/>
      <c r="BV72" s="123"/>
      <c r="BW72" s="123"/>
      <c r="BX72" s="123"/>
      <c r="BY72" s="123"/>
      <c r="BZ72" s="123"/>
      <c r="CA72" s="123"/>
      <c r="CB72" s="123"/>
      <c r="CC72" s="123"/>
      <c r="CD72" s="123"/>
      <c r="CE72" s="60"/>
      <c r="CF72" s="98"/>
      <c r="CG72" s="123"/>
      <c r="CH72" s="123"/>
      <c r="CI72" s="123"/>
      <c r="CJ72" s="123"/>
      <c r="CK72" s="123"/>
      <c r="CL72" s="123"/>
      <c r="CM72" s="123"/>
      <c r="CN72" s="123"/>
      <c r="CO72" s="123"/>
      <c r="CP72" s="98"/>
      <c r="CQ72" s="123"/>
      <c r="CR72" s="123"/>
      <c r="CS72" s="123"/>
      <c r="CT72" s="123"/>
      <c r="CU72" s="123"/>
      <c r="CV72" s="123"/>
      <c r="CW72" s="123"/>
      <c r="CX72" s="123"/>
      <c r="CY72" s="123"/>
      <c r="CZ72" s="60"/>
      <c r="DA72" s="60"/>
      <c r="DB72" s="60"/>
      <c r="DC72" s="32"/>
      <c r="DD72" s="32"/>
      <c r="DE72" s="67"/>
      <c r="DF72" s="270"/>
      <c r="DL72" s="123"/>
      <c r="DM72" s="123"/>
      <c r="DN72" s="60"/>
      <c r="DS72" s="60"/>
      <c r="DT72" s="60"/>
      <c r="DU72" s="60"/>
      <c r="EE72" s="60"/>
      <c r="EF72" s="60"/>
      <c r="EG72" s="60"/>
      <c r="EH72" s="60"/>
      <c r="EI72" s="123"/>
      <c r="EJ72" s="60"/>
      <c r="EK72" s="60"/>
      <c r="EL72" s="60"/>
      <c r="EM72" s="126"/>
      <c r="EN72" s="126"/>
      <c r="EO72" s="126"/>
      <c r="EP72" s="126"/>
      <c r="EQ72" s="126"/>
      <c r="ER72" s="126"/>
      <c r="ES72" s="126"/>
      <c r="ET72" s="126"/>
      <c r="EU72" s="126"/>
      <c r="EV72" s="60"/>
      <c r="EW72" s="542"/>
      <c r="EX72" s="542"/>
      <c r="EY72" s="542"/>
      <c r="EZ72" s="542"/>
      <c r="FA72" s="542"/>
      <c r="FB72" s="542"/>
      <c r="FC72" s="542"/>
      <c r="FD72" s="60"/>
      <c r="FE72" s="60"/>
      <c r="FF72" s="60"/>
      <c r="FG72" s="60"/>
      <c r="FH72" s="60"/>
      <c r="FI72" s="542"/>
      <c r="FJ72" s="542"/>
      <c r="FK72" s="542"/>
      <c r="FL72" s="542"/>
      <c r="FM72" s="542"/>
      <c r="FN72" s="542"/>
      <c r="FO72" s="542"/>
      <c r="FP72" s="542"/>
      <c r="FQ72" s="542"/>
      <c r="FR72" s="60"/>
      <c r="FS72" s="542"/>
      <c r="FT72" s="542"/>
      <c r="FU72" s="542"/>
      <c r="FV72" s="542"/>
      <c r="FW72" s="542"/>
      <c r="FX72" s="542"/>
      <c r="FY72" s="542"/>
      <c r="FZ72" s="60"/>
      <c r="GA72" s="60"/>
      <c r="GB72" s="60"/>
      <c r="GR72" s="99"/>
      <c r="GS72" s="99"/>
      <c r="GT72" s="99"/>
      <c r="GU72" s="99"/>
      <c r="GV72" s="99"/>
      <c r="GW72" s="99"/>
      <c r="GX72" s="99"/>
      <c r="GY72" s="99"/>
      <c r="GZ72" s="99"/>
      <c r="HA72" s="99"/>
      <c r="HB72" s="99"/>
      <c r="HG72" s="264"/>
      <c r="HH72" s="97"/>
      <c r="HI72" s="97"/>
      <c r="HJ72" s="60"/>
      <c r="HK72" s="264"/>
      <c r="HL72" s="97"/>
      <c r="HM72" s="97"/>
      <c r="HN72" s="60"/>
      <c r="HO72" s="264"/>
      <c r="HP72" s="97"/>
      <c r="HQ72" s="97"/>
      <c r="HR72" s="60"/>
      <c r="HS72" s="32"/>
      <c r="HT72" s="97"/>
      <c r="HU72" s="97"/>
      <c r="HV72" s="60"/>
      <c r="HW72" s="32"/>
      <c r="HX72" s="97"/>
      <c r="HY72" s="97"/>
      <c r="HZ72" s="60"/>
      <c r="IA72" s="32"/>
      <c r="IB72" s="97"/>
      <c r="IC72" s="97"/>
      <c r="ID72" s="97"/>
      <c r="IG72" s="60"/>
      <c r="II72" s="60"/>
      <c r="IM72" s="60"/>
      <c r="IN72" s="60"/>
      <c r="IO72" s="60"/>
      <c r="IP72" s="97"/>
      <c r="IQ72" s="49"/>
      <c r="IR72" s="60"/>
      <c r="IS72" s="97"/>
      <c r="IT72" s="97"/>
      <c r="IU72" s="60"/>
      <c r="IV72" s="49"/>
      <c r="IW72" s="60"/>
      <c r="IX72" s="60"/>
      <c r="IY72" s="60"/>
      <c r="IZ72" s="60"/>
      <c r="JA72" s="60"/>
      <c r="JB72" s="60"/>
      <c r="JC72" s="49"/>
      <c r="JD72" s="60"/>
      <c r="JE72" s="100"/>
      <c r="JF72" s="100"/>
      <c r="JG72" s="100"/>
      <c r="JH72" s="100"/>
      <c r="JI72" s="100"/>
      <c r="JJ72" s="97"/>
      <c r="JK72" s="97"/>
      <c r="JL72" s="97"/>
      <c r="JM72" s="97"/>
      <c r="JN72" s="97"/>
      <c r="JO72" s="97"/>
      <c r="JP72" s="97"/>
      <c r="JQ72" s="97"/>
      <c r="JR72" s="97"/>
      <c r="JS72" s="97"/>
      <c r="JT72" s="97"/>
      <c r="JU72" s="97"/>
      <c r="JV72" s="97"/>
      <c r="JW72" s="97"/>
      <c r="JX72" s="97"/>
      <c r="JY72" s="169"/>
      <c r="KA72" s="97"/>
      <c r="KB72" s="97"/>
      <c r="KC72" s="49"/>
      <c r="KD72" s="49"/>
      <c r="KE72" s="49"/>
      <c r="KF72" s="49"/>
      <c r="KG72" s="49"/>
      <c r="KH72" s="49"/>
      <c r="KQ72" s="60"/>
      <c r="KR72" s="60"/>
      <c r="KS72" s="60"/>
    </row>
    <row r="73" spans="1:329" s="4" customFormat="1" x14ac:dyDescent="0.25">
      <c r="A73" s="16" t="s">
        <v>484</v>
      </c>
      <c r="B73" s="67">
        <f>B75</f>
        <v>2831.6804765413799</v>
      </c>
      <c r="C73" s="67"/>
      <c r="I73" s="264">
        <f>I75</f>
        <v>0.80600000000000005</v>
      </c>
      <c r="M73" s="32"/>
      <c r="N73" s="32"/>
      <c r="O73" s="264">
        <f>O75</f>
        <v>0.19780939876392009</v>
      </c>
      <c r="P73" s="32"/>
      <c r="Q73" s="32"/>
      <c r="R73" s="264"/>
      <c r="S73" s="264"/>
      <c r="T73" s="264"/>
      <c r="U73" s="60"/>
      <c r="Y73" s="67">
        <f>Y75</f>
        <v>2282.3344640923524</v>
      </c>
      <c r="BD73" s="471">
        <f>BD75</f>
        <v>336.85001116365868</v>
      </c>
      <c r="BE73" s="107">
        <f t="shared" ref="BE73:BF73" si="633">BE75</f>
        <v>109.15149941682503</v>
      </c>
      <c r="BF73" s="107">
        <f t="shared" si="633"/>
        <v>227.69851174683362</v>
      </c>
      <c r="BK73" s="60"/>
      <c r="BL73" s="123"/>
      <c r="BM73" s="123"/>
      <c r="BN73" s="123"/>
      <c r="BO73" s="123"/>
      <c r="BP73" s="123"/>
      <c r="BQ73" s="123"/>
      <c r="BR73" s="123"/>
      <c r="BS73" s="123"/>
      <c r="BT73" s="123"/>
      <c r="BU73" s="60"/>
      <c r="BV73" s="123"/>
      <c r="BW73" s="123"/>
      <c r="BX73" s="123"/>
      <c r="BY73" s="123"/>
      <c r="BZ73" s="123"/>
      <c r="CA73" s="123"/>
      <c r="CB73" s="123"/>
      <c r="CC73" s="123"/>
      <c r="CD73" s="123"/>
      <c r="CE73" s="60"/>
      <c r="CF73" s="98"/>
      <c r="CG73" s="123"/>
      <c r="CH73" s="123"/>
      <c r="CI73" s="123"/>
      <c r="CJ73" s="123"/>
      <c r="CK73" s="123"/>
      <c r="CL73" s="123"/>
      <c r="CM73" s="123"/>
      <c r="CN73" s="123"/>
      <c r="CO73" s="123"/>
      <c r="CP73" s="98"/>
      <c r="CQ73" s="123"/>
      <c r="CR73" s="123"/>
      <c r="CS73" s="123"/>
      <c r="CT73" s="123"/>
      <c r="CU73" s="123"/>
      <c r="CV73" s="123"/>
      <c r="CW73" s="123"/>
      <c r="CX73" s="123"/>
      <c r="CY73" s="123"/>
      <c r="CZ73" s="471">
        <f>CZ75</f>
        <v>220.66665856597479</v>
      </c>
      <c r="DA73" s="107">
        <f t="shared" ref="DA73:DB73" si="634">DA75</f>
        <v>6.842516119007529</v>
      </c>
      <c r="DB73" s="107">
        <f t="shared" si="634"/>
        <v>213.82414244696724</v>
      </c>
      <c r="DC73" s="32"/>
      <c r="DD73" s="32"/>
      <c r="DE73" s="67"/>
      <c r="DF73" s="270"/>
      <c r="DL73" s="123"/>
      <c r="DM73" s="123"/>
      <c r="DN73" s="60"/>
      <c r="DS73" s="585">
        <f>BD73-CZ73</f>
        <v>116.18335259768389</v>
      </c>
      <c r="DT73" s="586">
        <f>BE73-DA73</f>
        <v>102.30898329781751</v>
      </c>
      <c r="DU73" s="586">
        <f>BF73-DB73</f>
        <v>13.874369299866373</v>
      </c>
      <c r="DY73" s="471">
        <f>DY75</f>
        <v>41.029824360547366</v>
      </c>
      <c r="DZ73" s="108">
        <f t="shared" ref="DZ73:EA73" si="635">DZ75</f>
        <v>36.130129845291691</v>
      </c>
      <c r="EA73" s="107">
        <f t="shared" si="635"/>
        <v>4.8996945152556748</v>
      </c>
      <c r="EH73" s="611">
        <f>EH75</f>
        <v>30.851146611702269</v>
      </c>
      <c r="EI73" s="154"/>
      <c r="EJ73" s="108">
        <f t="shared" ref="EJ73" si="636">EJ75</f>
        <v>27.544819957059133</v>
      </c>
      <c r="EK73" s="60"/>
      <c r="EL73" s="60"/>
      <c r="EM73" s="126"/>
      <c r="EN73" s="126"/>
      <c r="EO73" s="126"/>
      <c r="EP73" s="126"/>
      <c r="EQ73" s="126"/>
      <c r="ER73" s="126"/>
      <c r="ES73" s="126"/>
      <c r="ET73" s="126"/>
      <c r="EU73" s="126"/>
      <c r="EV73" s="108">
        <f t="shared" ref="EV73" si="637">EV75</f>
        <v>3.3063266546431382</v>
      </c>
      <c r="EW73" s="542"/>
      <c r="EX73" s="542"/>
      <c r="EY73" s="542"/>
      <c r="EZ73" s="542"/>
      <c r="FA73" s="542"/>
      <c r="FB73" s="542"/>
      <c r="FC73" s="542"/>
      <c r="FG73" s="60"/>
      <c r="FH73" s="60"/>
      <c r="FI73" s="542"/>
      <c r="FJ73" s="542"/>
      <c r="FK73" s="542"/>
      <c r="FL73" s="542"/>
      <c r="FM73" s="542"/>
      <c r="FN73" s="542"/>
      <c r="FO73" s="542"/>
      <c r="FP73" s="542"/>
      <c r="FQ73" s="542"/>
      <c r="FS73" s="542"/>
      <c r="FT73" s="542"/>
      <c r="FU73" s="542"/>
      <c r="FV73" s="542"/>
      <c r="FW73" s="542"/>
      <c r="FX73" s="542"/>
      <c r="FY73" s="542"/>
      <c r="FZ73" s="60"/>
      <c r="GA73" s="60"/>
      <c r="GB73" s="60"/>
      <c r="GR73" s="99"/>
      <c r="GS73" s="99"/>
      <c r="GT73" s="99"/>
      <c r="GU73" s="99"/>
      <c r="GV73" s="99"/>
      <c r="GW73" s="99"/>
      <c r="GX73" s="99"/>
      <c r="GY73" s="99"/>
      <c r="GZ73" s="99"/>
      <c r="HA73" s="99"/>
      <c r="HB73" s="99"/>
      <c r="HG73" s="264"/>
      <c r="HJ73" s="60"/>
      <c r="HK73" s="264"/>
      <c r="HL73" s="97"/>
      <c r="HM73" s="97"/>
      <c r="HN73" s="97"/>
      <c r="HO73" s="522"/>
      <c r="HP73" s="97"/>
      <c r="HQ73" s="97"/>
      <c r="HV73" s="60"/>
      <c r="HW73" s="32"/>
      <c r="HX73" s="97"/>
      <c r="HY73" s="97"/>
      <c r="HZ73" s="97"/>
      <c r="IA73" s="97"/>
      <c r="IB73" s="97"/>
      <c r="IC73" s="97"/>
      <c r="ID73" s="97"/>
      <c r="IG73" s="60"/>
      <c r="II73" s="60"/>
      <c r="IM73" s="60"/>
      <c r="IN73" s="60"/>
      <c r="IO73" s="60"/>
      <c r="IP73" s="97"/>
      <c r="IQ73" s="49"/>
      <c r="IR73" s="60"/>
      <c r="IS73" s="97"/>
      <c r="IT73" s="97"/>
      <c r="IU73" s="60"/>
      <c r="IV73" s="49"/>
      <c r="IW73" s="60"/>
      <c r="IX73" s="60"/>
      <c r="IY73" s="60"/>
      <c r="IZ73" s="60"/>
      <c r="JA73" s="60"/>
      <c r="JB73" s="60"/>
      <c r="JC73" s="49"/>
      <c r="JD73" s="60"/>
      <c r="JE73" s="100"/>
      <c r="JF73" s="100"/>
      <c r="JG73" s="100"/>
      <c r="JH73" s="100"/>
      <c r="JI73" s="100"/>
      <c r="JJ73" s="97"/>
      <c r="JK73" s="97"/>
      <c r="JL73" s="97"/>
      <c r="JM73" s="97"/>
      <c r="JN73" s="97"/>
      <c r="JO73" s="97"/>
      <c r="JP73" s="97"/>
      <c r="JQ73" s="97"/>
      <c r="JR73" s="97"/>
      <c r="JS73" s="97"/>
      <c r="JT73" s="97"/>
      <c r="JU73" s="97"/>
      <c r="JV73" s="97"/>
      <c r="JW73" s="97"/>
      <c r="JX73" s="97"/>
      <c r="JY73" s="169"/>
      <c r="KA73" s="97"/>
      <c r="KB73" s="97"/>
      <c r="KC73" s="49"/>
      <c r="KD73" s="49"/>
      <c r="KE73" s="49"/>
      <c r="KF73" s="49"/>
      <c r="KG73" s="49"/>
      <c r="KH73" s="49"/>
      <c r="KQ73" s="60"/>
      <c r="KR73" s="60"/>
      <c r="KS73" s="60"/>
    </row>
    <row r="74" spans="1:329" s="4" customFormat="1" x14ac:dyDescent="0.25">
      <c r="A74" s="16"/>
      <c r="B74" s="67"/>
      <c r="C74" s="67"/>
      <c r="I74" s="264"/>
      <c r="M74" s="32"/>
      <c r="N74" s="32"/>
      <c r="O74" s="32"/>
      <c r="P74" s="32"/>
      <c r="Q74" s="32"/>
      <c r="R74" s="264"/>
      <c r="S74" s="264"/>
      <c r="T74" s="264"/>
      <c r="U74" s="60"/>
      <c r="BD74" s="60"/>
      <c r="BE74" s="60"/>
      <c r="BF74" s="60"/>
      <c r="BK74" s="60"/>
      <c r="BL74" s="123"/>
      <c r="BM74" s="123"/>
      <c r="BN74" s="123"/>
      <c r="BO74" s="123"/>
      <c r="BP74" s="123"/>
      <c r="BQ74" s="123"/>
      <c r="BR74" s="123"/>
      <c r="BS74" s="123"/>
      <c r="BT74" s="123"/>
      <c r="BU74" s="60"/>
      <c r="BV74" s="123"/>
      <c r="BW74" s="123"/>
      <c r="BX74" s="123"/>
      <c r="BY74" s="123"/>
      <c r="BZ74" s="123"/>
      <c r="CA74" s="123"/>
      <c r="CB74" s="123"/>
      <c r="CC74" s="123"/>
      <c r="CD74" s="123"/>
      <c r="CE74" s="60"/>
      <c r="CF74" s="98"/>
      <c r="CG74" s="123"/>
      <c r="CH74" s="123"/>
      <c r="CI74" s="123"/>
      <c r="CJ74" s="123"/>
      <c r="CK74" s="123"/>
      <c r="CL74" s="123"/>
      <c r="CM74" s="123"/>
      <c r="CN74" s="123"/>
      <c r="CO74" s="123"/>
      <c r="CP74" s="98"/>
      <c r="CQ74" s="123"/>
      <c r="CR74" s="123"/>
      <c r="CS74" s="123"/>
      <c r="CT74" s="123"/>
      <c r="CU74" s="123"/>
      <c r="CV74" s="123"/>
      <c r="CW74" s="123"/>
      <c r="CX74" s="123"/>
      <c r="CY74" s="123"/>
      <c r="CZ74" s="60"/>
      <c r="DA74" s="60"/>
      <c r="DB74" s="60"/>
      <c r="DC74" s="32"/>
      <c r="DD74" s="32"/>
      <c r="DE74" s="67"/>
      <c r="DF74" s="270"/>
      <c r="DK74" s="36"/>
      <c r="DL74" s="49"/>
      <c r="DM74" s="49"/>
      <c r="DN74" s="60"/>
      <c r="DS74" s="60"/>
      <c r="DT74" s="60"/>
      <c r="DU74" s="60"/>
      <c r="DY74" s="60"/>
      <c r="DZ74" s="60"/>
      <c r="EA74" s="60"/>
      <c r="EB74" s="60"/>
      <c r="EI74" s="49"/>
      <c r="EK74" s="60"/>
      <c r="EL74" s="60"/>
      <c r="EM74" s="126"/>
      <c r="EN74" s="126"/>
      <c r="EO74" s="126"/>
      <c r="EP74" s="126"/>
      <c r="EQ74" s="126"/>
      <c r="ER74" s="126"/>
      <c r="ES74" s="126"/>
      <c r="ET74" s="126"/>
      <c r="EU74" s="126"/>
      <c r="EW74" s="542"/>
      <c r="EX74" s="542"/>
      <c r="EY74" s="542"/>
      <c r="EZ74" s="542"/>
      <c r="FA74" s="542"/>
      <c r="FB74" s="542"/>
      <c r="FC74" s="542"/>
      <c r="FG74" s="60"/>
      <c r="FH74" s="60"/>
      <c r="FI74" s="542"/>
      <c r="FJ74" s="542"/>
      <c r="FK74" s="542"/>
      <c r="FL74" s="542"/>
      <c r="FM74" s="542"/>
      <c r="FN74" s="542"/>
      <c r="FO74" s="542"/>
      <c r="FP74" s="542"/>
      <c r="FQ74" s="542"/>
      <c r="FS74" s="542"/>
      <c r="FT74" s="542"/>
      <c r="FU74" s="542"/>
      <c r="FV74" s="542"/>
      <c r="FW74" s="542"/>
      <c r="FX74" s="542"/>
      <c r="FY74" s="542"/>
      <c r="FZ74" s="60"/>
      <c r="GA74" s="60"/>
      <c r="GB74" s="60"/>
      <c r="GR74" s="99"/>
      <c r="GS74" s="99"/>
      <c r="GT74" s="99"/>
      <c r="GU74" s="99"/>
      <c r="GV74" s="99"/>
      <c r="GW74" s="99"/>
      <c r="GX74" s="99"/>
      <c r="GY74" s="99"/>
      <c r="GZ74" s="99"/>
      <c r="HA74" s="99"/>
      <c r="HB74" s="99"/>
      <c r="HG74" s="264"/>
      <c r="HJ74" s="60"/>
      <c r="HK74" s="264"/>
      <c r="HL74" s="97"/>
      <c r="HM74" s="97"/>
      <c r="HN74" s="97"/>
      <c r="HO74" s="522"/>
      <c r="HP74" s="97"/>
      <c r="HQ74" s="97"/>
      <c r="HV74" s="60"/>
      <c r="HW74" s="32"/>
      <c r="HX74" s="97"/>
      <c r="HY74" s="97"/>
      <c r="HZ74" s="97"/>
      <c r="IA74" s="97"/>
      <c r="IB74" s="97"/>
      <c r="IC74" s="97"/>
      <c r="ID74" s="97"/>
      <c r="IG74" s="60"/>
      <c r="II74" s="60"/>
      <c r="IM74" s="60"/>
      <c r="IN74" s="60"/>
      <c r="IO74" s="60"/>
      <c r="IP74" s="97"/>
      <c r="IQ74" s="49"/>
      <c r="IR74" s="60"/>
      <c r="IS74" s="97"/>
      <c r="IT74" s="97"/>
      <c r="IU74" s="60"/>
      <c r="IV74" s="49"/>
      <c r="IW74" s="60"/>
      <c r="IX74" s="60"/>
      <c r="IY74" s="60"/>
      <c r="IZ74" s="60"/>
      <c r="JA74" s="60"/>
      <c r="JB74" s="60"/>
      <c r="JC74" s="49"/>
      <c r="JD74" s="60"/>
      <c r="JE74" s="100"/>
      <c r="JF74" s="100"/>
      <c r="JG74" s="100"/>
      <c r="JH74" s="100"/>
      <c r="JI74" s="100"/>
      <c r="JJ74" s="97"/>
      <c r="JK74" s="97"/>
      <c r="JL74" s="97"/>
      <c r="JM74" s="97"/>
      <c r="JN74" s="97"/>
      <c r="JO74" s="97"/>
      <c r="JP74" s="97"/>
      <c r="JQ74" s="97"/>
      <c r="JR74" s="97"/>
      <c r="JS74" s="97"/>
      <c r="JT74" s="97"/>
      <c r="JU74" s="97"/>
      <c r="JV74" s="97"/>
      <c r="JW74" s="97"/>
      <c r="JX74" s="97"/>
      <c r="JY74" s="169"/>
      <c r="JZ74" s="547"/>
      <c r="KA74" s="97"/>
      <c r="KB74" s="97"/>
      <c r="KC74" s="49"/>
      <c r="KD74" s="49"/>
      <c r="KE74" s="49"/>
      <c r="KF74" s="49"/>
      <c r="KG74" s="49"/>
      <c r="KH74" s="49"/>
      <c r="KI74" s="60"/>
      <c r="KJ74" s="269"/>
      <c r="KK74" s="60"/>
      <c r="KL74" s="269"/>
      <c r="KN74" s="547"/>
      <c r="KO74" s="60"/>
      <c r="KP74" s="269"/>
      <c r="KQ74" s="60"/>
      <c r="KR74" s="60"/>
      <c r="KS74" s="60"/>
    </row>
    <row r="75" spans="1:329" s="4" customFormat="1" x14ac:dyDescent="0.25">
      <c r="A75" s="14" t="s">
        <v>482</v>
      </c>
      <c r="B75" s="67">
        <f t="shared" ref="B75:B79" si="638">C75+D75</f>
        <v>2831.6804765413799</v>
      </c>
      <c r="C75" s="68">
        <f>C76+C77+C78+C79</f>
        <v>2831.6804765413799</v>
      </c>
      <c r="D75" s="4">
        <v>0</v>
      </c>
      <c r="F75" s="32"/>
      <c r="I75" s="475">
        <v>0.80600000000000005</v>
      </c>
      <c r="M75" s="32"/>
      <c r="N75" s="32"/>
      <c r="O75" s="612">
        <f>(I75/'Discounting metrics'!$D$4*(1-EXP(-'Discounting metrics'!$D$4*'Discounting metrics'!$E$4)))/'Discounting metrics'!$E$4</f>
        <v>0.19780939876392009</v>
      </c>
      <c r="P75" s="32"/>
      <c r="Q75" s="32"/>
      <c r="R75" s="32">
        <f>S75</f>
        <v>12.406947890818858</v>
      </c>
      <c r="S75" s="32">
        <f>10/I75</f>
        <v>12.406947890818858</v>
      </c>
      <c r="T75" s="32"/>
      <c r="U75" s="60"/>
      <c r="V75" s="68">
        <f t="shared" ref="V75" si="639">Y75+AA75</f>
        <v>2282.3344640923524</v>
      </c>
      <c r="Y75" s="4">
        <f>B75*I75</f>
        <v>2282.3344640923524</v>
      </c>
      <c r="AC75" s="294"/>
      <c r="AD75" s="294"/>
      <c r="AE75" s="294"/>
      <c r="AF75" s="294"/>
      <c r="AG75" s="294"/>
      <c r="AH75" s="294"/>
      <c r="AI75" s="294"/>
      <c r="AJ75" s="294"/>
      <c r="AK75" s="294"/>
      <c r="AL75" s="45">
        <v>0.14535776602000564</v>
      </c>
      <c r="AM75" s="45">
        <v>0.10566051207957808</v>
      </c>
      <c r="AN75" s="45">
        <v>6.1944117052994657E-2</v>
      </c>
      <c r="AO75" s="45">
        <v>0.23705565299010725</v>
      </c>
      <c r="AP75" s="45">
        <v>7.225053889052796E-2</v>
      </c>
      <c r="AQ75" s="45">
        <v>0.36947552954828167</v>
      </c>
      <c r="AR75" s="60"/>
      <c r="AS75" s="45">
        <v>6.0764521513253997E-3</v>
      </c>
      <c r="AT75" s="45">
        <v>2.1794312671794738E-3</v>
      </c>
      <c r="BD75" s="554">
        <f>BG75*$B75/10^3</f>
        <v>336.85001116365868</v>
      </c>
      <c r="BE75" s="554">
        <f t="shared" ref="BE75:BF79" si="640">BH75*$B75/10^3</f>
        <v>109.15149941682503</v>
      </c>
      <c r="BF75" s="554">
        <f t="shared" si="640"/>
        <v>227.69851174683362</v>
      </c>
      <c r="BG75" s="68">
        <f>BJ75</f>
        <v>118.95763450510771</v>
      </c>
      <c r="BH75" s="68">
        <f t="shared" ref="BH75:BH79" si="641">BK75</f>
        <v>38.546545177350971</v>
      </c>
      <c r="BI75" s="68">
        <f>BU75</f>
        <v>80.411089327756727</v>
      </c>
      <c r="BJ75" s="471">
        <f>BK75+BU75</f>
        <v>118.95763450510771</v>
      </c>
      <c r="BK75" s="68">
        <f t="shared" ref="BK75" si="642">$AL75*BL75+$AM75*BM75+$AN75*BN75+$AO75*BO75+$AP75*BP75+$AQ75*BQ75+$AR75*BR75+$AS75*BS75+$AT75*BT75</f>
        <v>38.546545177350971</v>
      </c>
      <c r="BL75" s="252">
        <v>125.97115405239352</v>
      </c>
      <c r="BM75" s="252">
        <v>122.22576006372243</v>
      </c>
      <c r="BN75" s="252">
        <v>40.427733152606443</v>
      </c>
      <c r="BO75" s="252">
        <v>13.044550531649335</v>
      </c>
      <c r="BP75" s="252">
        <v>6.0546819190234791</v>
      </c>
      <c r="BQ75" s="252">
        <v>1.0310973423989487</v>
      </c>
      <c r="BR75" s="252"/>
      <c r="BS75" s="252">
        <v>129.37894226888162</v>
      </c>
      <c r="BT75" s="252">
        <v>55.10352471920465</v>
      </c>
      <c r="BU75" s="68">
        <f t="shared" ref="BU75" si="643">$AL75*BV75+$AM75*BW75+$AN75*BX75+$AO75*BY75+$AP75*BZ75+$AQ75*CA75+$AR75*CB75+$AS75*CC75+$AT75*CD75</f>
        <v>80.411089327756727</v>
      </c>
      <c r="BV75" s="252">
        <v>127.94311790831981</v>
      </c>
      <c r="BW75" s="252">
        <v>110.8008078227371</v>
      </c>
      <c r="BX75" s="252">
        <v>163.15464002143577</v>
      </c>
      <c r="BY75" s="252">
        <v>76.986401929153089</v>
      </c>
      <c r="BZ75" s="252">
        <v>104.04969675903949</v>
      </c>
      <c r="CA75" s="252">
        <v>35.113955851250154</v>
      </c>
      <c r="CB75" s="252"/>
      <c r="CC75" s="252">
        <v>134.03739650192352</v>
      </c>
      <c r="CD75" s="252">
        <v>203.67497848034571</v>
      </c>
      <c r="CE75" s="60"/>
      <c r="CF75" s="98"/>
      <c r="CG75" s="144"/>
      <c r="CH75" s="144"/>
      <c r="CI75" s="144"/>
      <c r="CJ75" s="144"/>
      <c r="CK75" s="144"/>
      <c r="CL75" s="144"/>
      <c r="CM75" s="144"/>
      <c r="CN75" s="144"/>
      <c r="CO75" s="144"/>
      <c r="CP75" s="98"/>
      <c r="CQ75" s="144"/>
      <c r="CR75" s="144"/>
      <c r="CS75" s="144"/>
      <c r="CT75" s="144"/>
      <c r="CU75" s="144"/>
      <c r="CV75" s="144"/>
      <c r="CW75" s="144"/>
      <c r="CX75" s="144"/>
      <c r="CY75" s="144"/>
      <c r="CZ75" s="554">
        <f>DC75*$B75/10^3</f>
        <v>220.66665856597479</v>
      </c>
      <c r="DA75" s="554">
        <f t="shared" ref="DA75:DB79" si="644">DD75*$B75/10^3</f>
        <v>6.842516119007529</v>
      </c>
      <c r="DB75" s="554">
        <f t="shared" si="644"/>
        <v>213.82414244696724</v>
      </c>
      <c r="DC75" s="68">
        <f>DG75</f>
        <v>77.92781014456034</v>
      </c>
      <c r="DD75" s="97">
        <f t="shared" ref="DD75:DE79" si="645">DH75</f>
        <v>2.4164153320592834</v>
      </c>
      <c r="DE75" s="68">
        <f t="shared" si="645"/>
        <v>75.511394812501052</v>
      </c>
      <c r="DF75" s="270"/>
      <c r="DG75" s="471">
        <f t="shared" ref="DG75" si="646">DH75+DI75</f>
        <v>77.92781014456034</v>
      </c>
      <c r="DH75" s="584">
        <f>(DH76*$C76+DH77*$C77+DH78*$C78+DH79*$C79)/$C75</f>
        <v>2.4164153320592834</v>
      </c>
      <c r="DI75" s="261">
        <f>(1-DK75)*BU75</f>
        <v>75.511394812501052</v>
      </c>
      <c r="DJ75" s="38">
        <f>(BK75-DH75)/BK75</f>
        <v>0.93731175333764782</v>
      </c>
      <c r="DK75" s="551">
        <f>DM75*(AM75+AN75+AP75+AQ75)+DL75*(AL75+AO75)</f>
        <v>6.093306975713824E-2</v>
      </c>
      <c r="DL75" s="257">
        <v>0</v>
      </c>
      <c r="DM75" s="257">
        <v>0.1</v>
      </c>
      <c r="DN75" s="60"/>
      <c r="DS75" s="554">
        <f t="shared" ref="DS75:DU79" si="647">BD75-CZ75</f>
        <v>116.18335259768389</v>
      </c>
      <c r="DT75" s="554">
        <f t="shared" si="647"/>
        <v>102.30898329781751</v>
      </c>
      <c r="DU75" s="554">
        <f t="shared" si="647"/>
        <v>13.874369299866373</v>
      </c>
      <c r="DY75" s="68">
        <f t="shared" ref="DY75:DZ79" si="648">BJ75-DG75</f>
        <v>41.029824360547366</v>
      </c>
      <c r="DZ75" s="68">
        <f t="shared" si="648"/>
        <v>36.130129845291691</v>
      </c>
      <c r="EA75" s="68">
        <f>BU75-DI75</f>
        <v>4.8996945152556748</v>
      </c>
      <c r="EB75" s="68"/>
      <c r="EC75" s="68"/>
      <c r="ED75" s="68"/>
      <c r="EE75" s="68">
        <f>EF75+EG75</f>
        <v>30.851146611702269</v>
      </c>
      <c r="EF75" s="67">
        <f>(EJ75*$C75+FF75*$D75)/$B75</f>
        <v>27.544819957059133</v>
      </c>
      <c r="EG75" s="67">
        <f t="shared" ref="EG75" si="649">(EV75*$C75+FR75*$D75)/$B75</f>
        <v>3.3063266546431382</v>
      </c>
      <c r="EH75" s="261">
        <f t="shared" ref="EH75" si="650">EJ75+EV75</f>
        <v>30.851146611702269</v>
      </c>
      <c r="EI75" s="154">
        <f>EH75/($BJ75-$DG75)</f>
        <v>0.75192002628623233</v>
      </c>
      <c r="EJ75" s="108">
        <f>EK75+EL75-DH75</f>
        <v>27.544819957059133</v>
      </c>
      <c r="EK75" s="126">
        <f>'Allometrics &amp; Decay rates'!$H$5*$AL75*BL75+'Allometrics &amp; Decay rates'!$H$6*$AM75*BM75+'Allometrics &amp; Decay rates'!$H$7*$AN75*BN75+'Allometrics &amp; Decay rates'!$H$8*$AO75*BO75+'Allometrics &amp; Decay rates'!$H$9*$AP75*BP75+'Allometrics &amp; Decay rates'!$H$10*$AQ75*BQ75+'Allometrics &amp; Decay rates'!$H$11*$AR75*BR75+'Allometrics &amp; Decay rates'!$H$12*$AS75*BS75+'Allometrics &amp; Decay rates'!$H$13*$AT75*BT75</f>
        <v>16.516123047980052</v>
      </c>
      <c r="EL75" s="97">
        <f t="shared" ref="EL75" si="651">SUM(EM75:EU75)</f>
        <v>13.445112241138364</v>
      </c>
      <c r="EM75" s="550">
        <f>AL75*BL75*('Allometrics &amp; Decay rates'!$I$5*((EXP('Allometrics &amp; Decay rates'!$K$5)-1)/('Discounting metrics'!$D$4+'Allometrics &amp; Decay rates'!$K$5)*(1-EXP(-('Discounting metrics'!$D$4+'Allometrics &amp; Decay rates'!$K$5)*'Discounting metrics'!$E$4))-(1-EXP(-'Allometrics &amp; Decay rates'!$K$5))/1.55)+'Allometrics &amp; Decay rates'!$E$5*((EXP('Allometrics &amp; Decay rates'!$L$5)-1)/('Discounting metrics'!$D$4+'Allometrics &amp; Decay rates'!$L$5)*(1-EXP(-('Discounting metrics'!$D$4+'Allometrics &amp; Decay rates'!$L$5)*'Discounting metrics'!$E$4))-(1-EXP(-'Allometrics &amp; Decay rates'!$L$5))/1.55))</f>
        <v>7.178372008588771</v>
      </c>
      <c r="EN75" s="550">
        <f>AM75*BM75*('Allometrics &amp; Decay rates'!$I$6*((EXP('Allometrics &amp; Decay rates'!$K$6)-1)/('Discounting metrics'!$D$4+'Allometrics &amp; Decay rates'!$K$6)*(1-EXP(-('Discounting metrics'!$D$4+'Allometrics &amp; Decay rates'!$K$6)*'Discounting metrics'!$E$4))-(1-EXP(-'Allometrics &amp; Decay rates'!$K$6))/1.55)+'Allometrics &amp; Decay rates'!$E$6*((EXP('Allometrics &amp; Decay rates'!$L$6)-1)/('Discounting metrics'!$D$4+'Allometrics &amp; Decay rates'!$L$6)*(1-EXP(-('Discounting metrics'!$D$4+'Allometrics &amp; Decay rates'!$L$6)*'Discounting metrics'!$E$4))-(1-EXP(-'Allometrics &amp; Decay rates'!$L$6))/1.55))</f>
        <v>3.1496735480493543</v>
      </c>
      <c r="EO75" s="550">
        <f>AN75*BN75*('Allometrics &amp; Decay rates'!$I$7*((EXP('Allometrics &amp; Decay rates'!$K$7)-1)/('Discounting metrics'!$D$4+'Allometrics &amp; Decay rates'!$K$7)*(1-EXP(-('Discounting metrics'!$D$4+'Allometrics &amp; Decay rates'!$K$7)*'Discounting metrics'!$E$4))-(1-EXP(-'Allometrics &amp; Decay rates'!$K$7))/1.55)+'Allometrics &amp; Decay rates'!$E$7*((EXP('Allometrics &amp; Decay rates'!$L$7)-1)/('Discounting metrics'!$D$4+'Allometrics &amp; Decay rates'!$L$7)*(1-EXP(-('Discounting metrics'!$D$4+'Allometrics &amp; Decay rates'!$L$7)*'Discounting metrics'!$E$4))-(1-EXP(-'Allometrics &amp; Decay rates'!$L$7))/1.55))</f>
        <v>0.53318571972965312</v>
      </c>
      <c r="EP75" s="550">
        <f>AO75*BO75*('Allometrics &amp; Decay rates'!$I$8*((EXP('Allometrics &amp; Decay rates'!$K$8)-1)/('Discounting metrics'!$D$4+'Allometrics &amp; Decay rates'!$K$8)*(1-EXP(-('Discounting metrics'!$D$4+'Allometrics &amp; Decay rates'!$K$8)*'Discounting metrics'!$E$4))-(1-EXP(-'Allometrics &amp; Decay rates'!$K$8))/1.55)+'Allometrics &amp; Decay rates'!$E$8*((EXP('Allometrics &amp; Decay rates'!$L$8)-1)/('Discounting metrics'!$D$4+'Allometrics &amp; Decay rates'!$L$8)*(1-EXP(-('Discounting metrics'!$D$4+'Allometrics &amp; Decay rates'!$L$8)*'Discounting metrics'!$E$4))-(1-EXP(-'Allometrics &amp; Decay rates'!$L$8))/1.55))</f>
        <v>1.7507475786978735</v>
      </c>
      <c r="EQ75" s="550">
        <f>AP75*BP75*('Allometrics &amp; Decay rates'!$I$9*((EXP('Allometrics &amp; Decay rates'!$K$9)-1)/('Discounting metrics'!$D$4+'Allometrics &amp; Decay rates'!$K$9)*(1-EXP(-('Discounting metrics'!$D$4+'Allometrics &amp; Decay rates'!$K$9)*'Discounting metrics'!$E$4))-(1-EXP(-'Allometrics &amp; Decay rates'!$K$9))/1.55)+'Allometrics &amp; Decay rates'!$E$9*((EXP('Allometrics &amp; Decay rates'!$L$9)-1)/('Discounting metrics'!$D$4+'Allometrics &amp; Decay rates'!$L$9)*(1-EXP(-('Discounting metrics'!$D$4+'Allometrics &amp; Decay rates'!$L$9)*'Discounting metrics'!$E$4))-(1-EXP(-'Allometrics &amp; Decay rates'!$L$9))/1.55))</f>
        <v>0.22928086987001259</v>
      </c>
      <c r="ER75" s="550">
        <f>AQ75*BQ75*('Allometrics &amp; Decay rates'!$I$10*((EXP('Allometrics &amp; Decay rates'!$K$10)-1)/('Discounting metrics'!$D$4+'Allometrics &amp; Decay rates'!$K$10)*(1-EXP(-('Discounting metrics'!$D$4+'Allometrics &amp; Decay rates'!$K$10)*'Discounting metrics'!$E$4))-(1-EXP(-'Allometrics &amp; Decay rates'!$K$10))/1.55)+'Allometrics &amp; Decay rates'!$E$10*((EXP('Allometrics &amp; Decay rates'!$L$10)-1)/('Discounting metrics'!$D$4+'Allometrics &amp; Decay rates'!$L$10)*(1-EXP(-('Discounting metrics'!$D$4+'Allometrics &amp; Decay rates'!$L$10)*'Discounting metrics'!$E$4))-(1-EXP(-'Allometrics &amp; Decay rates'!$L$10))/1.55))</f>
        <v>0.24236293646262588</v>
      </c>
      <c r="ES75" s="550">
        <f>AR75*BR75*('Allometrics &amp; Decay rates'!$I$11*((EXP('Allometrics &amp; Decay rates'!$K$11)-1)/('Discounting metrics'!$D$4+'Allometrics &amp; Decay rates'!$K$11)*(1-EXP(-('Discounting metrics'!$D$4+'Allometrics &amp; Decay rates'!$K$11)*'Discounting metrics'!$E$4))-(1-EXP(-'Allometrics &amp; Decay rates'!$K$11))/1.55)+'Allometrics &amp; Decay rates'!$E$11*((EXP('Allometrics &amp; Decay rates'!$L$11)-1)/('Discounting metrics'!$D$4+'Allometrics &amp; Decay rates'!$L$11)*(1-EXP(-('Discounting metrics'!$D$4+'Allometrics &amp; Decay rates'!$L$11)*'Discounting metrics'!$E$4))-(1-EXP(-'Allometrics &amp; Decay rates'!$L$11))/1.55))</f>
        <v>0</v>
      </c>
      <c r="ET75" s="550">
        <f>AS75*BS75*('Allometrics &amp; Decay rates'!$I$12*((EXP('Allometrics &amp; Decay rates'!$K$12)-1)/('Discounting metrics'!$D$4+'Allometrics &amp; Decay rates'!$K$12)*(1-EXP(-('Discounting metrics'!$D$4+'Allometrics &amp; Decay rates'!$K$12)*'Discounting metrics'!$E$4))-(1-EXP(-'Allometrics &amp; Decay rates'!$K$12))/1.55)+'Allometrics &amp; Decay rates'!$E$12*((EXP('Allometrics &amp; Decay rates'!$L$12)-1)/('Discounting metrics'!$D$4+'Allometrics &amp; Decay rates'!$L$12)*(1-EXP(-('Discounting metrics'!$D$4+'Allometrics &amp; Decay rates'!$L$12)*'Discounting metrics'!$E$4))-(1-EXP(-'Allometrics &amp; Decay rates'!$L$12))/1.55))</f>
        <v>0.32079040962778438</v>
      </c>
      <c r="EU75" s="550">
        <f>AT75*BT75*('Allometrics &amp; Decay rates'!$I$13*((EXP('Allometrics &amp; Decay rates'!$K$13)-1)/('Discounting metrics'!$D$4+'Allometrics &amp; Decay rates'!$K$13)*(1-EXP(-('Discounting metrics'!$D$4+'Allometrics &amp; Decay rates'!$K$13)*'Discounting metrics'!$E$4))-(1-EXP(-'Allometrics &amp; Decay rates'!$K$13))/1.55)+'Allometrics &amp; Decay rates'!$E$13*((EXP('Allometrics &amp; Decay rates'!$L$13)-1)/('Discounting metrics'!$D$4+'Allometrics &amp; Decay rates'!$L$13)*(1-EXP(-('Discounting metrics'!$D$4+'Allometrics &amp; Decay rates'!$L$13)*'Discounting metrics'!$E$4))-(1-EXP(-'Allometrics &amp; Decay rates'!$L$13))/1.55))</f>
        <v>4.0699170112289094E-2</v>
      </c>
      <c r="EV75" s="108">
        <f t="shared" ref="EV75" si="652">SUM(EW75:FC75)</f>
        <v>3.3063266546431382</v>
      </c>
      <c r="EW75" s="550">
        <f>AL75*BV75*$DL75*((EXP('Allometrics &amp; Decay rates'!$M$5)-1)/('Discounting metrics'!$D$4+'Allometrics &amp; Decay rates'!$M$5)*(1-EXP(-('Discounting metrics'!$D$4+'Allometrics &amp; Decay rates'!$M$5)*'Discounting metrics'!$E$4))-(1-EXP(-'Allometrics &amp; Decay rates'!$M$5))/1.55)</f>
        <v>0</v>
      </c>
      <c r="EX75" s="550">
        <f>AM75*BW75*$DM75*((EXP('Allometrics &amp; Decay rates'!$M$5)-1)/('Discounting metrics'!$D$4+'Allometrics &amp; Decay rates'!$M$5)*(1-EXP(-('Discounting metrics'!$D$4+'Allometrics &amp; Decay rates'!$M$5)*'Discounting metrics'!$E$4))-(1-EXP(-'Allometrics &amp; Decay rates'!$M$5))/1.55)</f>
        <v>0.91497308297097102</v>
      </c>
      <c r="EY75" s="550">
        <f>AN75*BX75*$DM75*((EXP('Allometrics &amp; Decay rates'!$M$5)-1)/('Discounting metrics'!$D$4+'Allometrics &amp; Decay rates'!$M$5)*(1-EXP(-('Discounting metrics'!$D$4+'Allometrics &amp; Decay rates'!$M$5)*'Discounting metrics'!$E$4))-(1-EXP(-'Allometrics &amp; Decay rates'!$M$5))/1.55)</f>
        <v>0.78986373844496871</v>
      </c>
      <c r="EZ75" s="550">
        <f>AO75*BY75*$DL75*((EXP('Allometrics &amp; Decay rates'!$M$5)-1)/('Discounting metrics'!$D$4+'Allometrics &amp; Decay rates'!$M$5)*(1-EXP(-('Discounting metrics'!$D$4+'Allometrics &amp; Decay rates'!$M$5)*'Discounting metrics'!$E$4))-(1-EXP(-'Allometrics &amp; Decay rates'!$M$5))/1.55)</f>
        <v>0</v>
      </c>
      <c r="FA75" s="550">
        <f>AP75*BZ75*$DM75*((EXP('Allometrics &amp; Decay rates'!$M$5)-1)/('Discounting metrics'!$D$4+'Allometrics &amp; Decay rates'!$M$5)*(1-EXP(-('Discounting metrics'!$D$4+'Allometrics &amp; Decay rates'!$M$5)*'Discounting metrics'!$E$4))-(1-EXP(-'Allometrics &amp; Decay rates'!$M$5))/1.55)</f>
        <v>0.58753614534969922</v>
      </c>
      <c r="FB75" s="550">
        <f>AQ75*CA75*$DM75*((EXP('Allometrics &amp; Decay rates'!$M$5)-1)/('Discounting metrics'!$D$4+'Allometrics &amp; Decay rates'!$M$5)*(1-EXP(-('Discounting metrics'!$D$4+'Allometrics &amp; Decay rates'!$M$5)*'Discounting metrics'!$E$4))-(1-EXP(-'Allometrics &amp; Decay rates'!$M$5))/1.55)</f>
        <v>1.0139536878774993</v>
      </c>
      <c r="FC75" s="550">
        <f>AR75*CB75*$DK75*((EXP('Allometrics &amp; Decay rates'!$M$5)-1)/('Discounting metrics'!$D$4+'Allometrics &amp; Decay rates'!$M$5)*(1-EXP(-('Discounting metrics'!$D$4+'Allometrics &amp; Decay rates'!$M$5)*'Discounting metrics'!$E$4))-(1-EXP(-'Allometrics &amp; Decay rates'!$M$5))/1.55)</f>
        <v>0</v>
      </c>
      <c r="FD75" s="68"/>
      <c r="FE75" s="68"/>
      <c r="FF75" s="68"/>
      <c r="FG75" s="60"/>
      <c r="FH75" s="68"/>
      <c r="FI75" s="543"/>
      <c r="FJ75" s="543"/>
      <c r="FK75" s="543"/>
      <c r="FL75" s="543"/>
      <c r="FM75" s="543"/>
      <c r="FN75" s="543"/>
      <c r="FO75" s="543"/>
      <c r="FP75" s="543"/>
      <c r="FQ75" s="543"/>
      <c r="FR75" s="68"/>
      <c r="FS75" s="543"/>
      <c r="FT75" s="543"/>
      <c r="FU75" s="543"/>
      <c r="FV75" s="543"/>
      <c r="FW75" s="543"/>
      <c r="FX75" s="543"/>
      <c r="FY75" s="543"/>
      <c r="FZ75" s="98"/>
      <c r="GA75" s="96"/>
      <c r="GB75" s="96"/>
      <c r="GP75" s="32">
        <f>GQ75</f>
        <v>4.4243615855863583</v>
      </c>
      <c r="GQ75" s="263">
        <f>(GQ76*C76+GQ77*C77+GQ78*C78+GQ79*C79)/C75</f>
        <v>4.4243615855863583</v>
      </c>
      <c r="GR75" s="99"/>
      <c r="GS75" s="99"/>
      <c r="GT75" s="99"/>
      <c r="GU75" s="99"/>
      <c r="GV75" s="99"/>
      <c r="GW75" s="99"/>
      <c r="GX75" s="99"/>
      <c r="GY75" s="99"/>
      <c r="GZ75" s="99"/>
      <c r="HA75" s="99"/>
      <c r="HB75" s="99"/>
      <c r="HC75" s="38">
        <f>HD75/GQ75</f>
        <v>0.30708313196013565</v>
      </c>
      <c r="HD75" s="263">
        <f>(HD76*C76+HD77*C77+HD78*C78+HD79*C79)/C75</f>
        <v>1.3586468126259705</v>
      </c>
      <c r="HG75" s="522">
        <f>HK75</f>
        <v>1.5596400779986312</v>
      </c>
      <c r="HJ75" s="97">
        <f>HK75*$LI75</f>
        <v>0.38991001949965781</v>
      </c>
      <c r="HK75" s="521">
        <f>EH75/'Discounting metrics'!E$4/O75</f>
        <v>1.5596400779986312</v>
      </c>
      <c r="HL75" s="97"/>
      <c r="HM75" s="97"/>
      <c r="HN75" s="97"/>
      <c r="HO75" s="522"/>
      <c r="HP75" s="97"/>
      <c r="HQ75" s="97"/>
      <c r="HS75" s="97">
        <f>HW75</f>
        <v>1.8973830267909084</v>
      </c>
      <c r="HV75" s="97">
        <f>HW75*$LI75</f>
        <v>0.47434575669772711</v>
      </c>
      <c r="HW75" s="263">
        <f>IM$12*IH75</f>
        <v>1.8973830267909084</v>
      </c>
      <c r="HX75" s="97"/>
      <c r="HY75" s="97"/>
      <c r="HZ75" s="97"/>
      <c r="IA75" s="97"/>
      <c r="IB75" s="97"/>
      <c r="IC75" s="97"/>
      <c r="ID75" s="97"/>
      <c r="IE75" s="32">
        <f>IH75</f>
        <v>3.8036163436233097</v>
      </c>
      <c r="IG75" s="97">
        <f>IH75*$LI75</f>
        <v>0.95090408590582742</v>
      </c>
      <c r="IH75" s="263">
        <f>(GQ75-HD75)/I75</f>
        <v>3.8036163436233097</v>
      </c>
      <c r="II75" s="60"/>
      <c r="IM75" s="60"/>
      <c r="IN75" s="60"/>
      <c r="IO75" s="60"/>
      <c r="IP75" s="613">
        <f>IR75*$V75</f>
        <v>830.06080483917322</v>
      </c>
      <c r="IQ75" s="522">
        <f>IR75*$LI75</f>
        <v>9.0922344851116624E-2</v>
      </c>
      <c r="IR75" s="436">
        <f>(IW75*Y75+JD75*AA75)/V75</f>
        <v>0.3636893794044665</v>
      </c>
      <c r="IS75" s="68"/>
      <c r="IT75" s="97">
        <f>IR75/$LO75</f>
        <v>4.2786985812290173</v>
      </c>
      <c r="IU75" s="429">
        <f>(IX75*C75+JE75*D75)/B75</f>
        <v>8.3000000000000001E-3</v>
      </c>
      <c r="IV75" s="522">
        <f>IW75*$LI75</f>
        <v>9.0922344851116624E-2</v>
      </c>
      <c r="IW75" s="436">
        <f>IX75*JB75/I75</f>
        <v>0.3636893794044665</v>
      </c>
      <c r="IX75" s="548">
        <v>8.3000000000000001E-3</v>
      </c>
      <c r="IY75" s="549">
        <v>0.73</v>
      </c>
      <c r="IZ75" s="549">
        <v>0.27</v>
      </c>
      <c r="JA75" s="429">
        <f>1-IY75-IZ75</f>
        <v>0</v>
      </c>
      <c r="JB75" s="430">
        <f>IY75*$JJ75+IZ75*$JK75+JA75*$JL75+'Discounting metrics'!$B$6*(IY75*$JM75+IZ75*$JN75+JA75*$JO75)/10^3+'Discounting metrics'!$B$5*(IY75*$JP75+IZ75*$JQ75+JA75*$JR75)/10^3</f>
        <v>35.317306000000002</v>
      </c>
      <c r="JC75" s="522"/>
      <c r="JD75" s="522"/>
      <c r="JE75" s="101"/>
      <c r="JF75" s="101"/>
      <c r="JG75" s="101"/>
      <c r="JH75" s="101"/>
      <c r="JI75" s="101"/>
      <c r="JJ75" s="431">
        <f>JJ62</f>
        <v>35.200000000000003</v>
      </c>
      <c r="JK75" s="431">
        <f t="shared" ref="JK75:JR75" si="653">JK62</f>
        <v>22.4</v>
      </c>
      <c r="JL75" s="431">
        <f t="shared" si="653"/>
        <v>20.9</v>
      </c>
      <c r="JM75" s="431">
        <f t="shared" si="653"/>
        <v>5</v>
      </c>
      <c r="JN75" s="431">
        <f t="shared" si="653"/>
        <v>8.1999999999999993</v>
      </c>
      <c r="JO75" s="431">
        <f t="shared" si="653"/>
        <v>9.5</v>
      </c>
      <c r="JP75" s="431">
        <f t="shared" si="653"/>
        <v>52</v>
      </c>
      <c r="JQ75" s="431">
        <f t="shared" si="653"/>
        <v>58.3</v>
      </c>
      <c r="JR75" s="431">
        <f t="shared" si="653"/>
        <v>58.3</v>
      </c>
      <c r="JS75" s="554">
        <f>JV75+JW75+JT75+JU75+JX75</f>
        <v>171.51900649722407</v>
      </c>
      <c r="JT75" s="554">
        <f>KJ75*$V75</f>
        <v>73.034702850955284</v>
      </c>
      <c r="JU75" s="554">
        <f>KL75*$V75</f>
        <v>0</v>
      </c>
      <c r="JV75" s="554">
        <f>KN75*$V75</f>
        <v>37.696810713315237</v>
      </c>
      <c r="JW75" s="554">
        <f>KP75*$V75</f>
        <v>60.787492932953541</v>
      </c>
      <c r="JX75" s="554"/>
      <c r="JY75" s="166">
        <f>JZ75*LI75</f>
        <v>1.8787672139612806E-2</v>
      </c>
      <c r="JZ75" s="167">
        <f>KF75+KD75+KH75</f>
        <v>7.5150688558451223E-2</v>
      </c>
      <c r="KA75" s="68"/>
      <c r="KB75" s="97">
        <f>JZ75/$LO75</f>
        <v>0.88412574774648489</v>
      </c>
      <c r="KC75" s="269">
        <f>KD75*LI75</f>
        <v>8.0000000000000002E-3</v>
      </c>
      <c r="KD75" s="473">
        <f>KJ75+KL75</f>
        <v>3.2000000000000001E-2</v>
      </c>
      <c r="KE75" s="269">
        <f>KF75*LI75</f>
        <v>1.0787672139612806E-2</v>
      </c>
      <c r="KF75" s="473">
        <f>KN75+KP75</f>
        <v>4.3150688558451222E-2</v>
      </c>
      <c r="KG75" s="49"/>
      <c r="KH75" s="49"/>
      <c r="KI75" s="435"/>
      <c r="KJ75" s="409">
        <v>3.2000000000000001E-2</v>
      </c>
      <c r="KK75" s="409"/>
      <c r="KL75" s="409">
        <v>0</v>
      </c>
      <c r="KM75" s="435"/>
      <c r="KN75" s="457">
        <f>KN62*KJ75/KJ62</f>
        <v>1.6516777582950205E-2</v>
      </c>
      <c r="KO75" s="435"/>
      <c r="KP75" s="457">
        <f>KP62*KJ75/KJ62</f>
        <v>2.663391097550102E-2</v>
      </c>
      <c r="KQ75" s="60"/>
      <c r="KR75" s="60"/>
      <c r="KS75" s="60"/>
      <c r="LI75" s="31">
        <v>0.25</v>
      </c>
      <c r="LJ75" s="32">
        <f t="shared" ref="LJ75" si="654">$LI75*LK75</f>
        <v>4.5</v>
      </c>
      <c r="LK75" s="27">
        <v>18</v>
      </c>
      <c r="LO75" s="35">
        <v>8.5000000000000006E-2</v>
      </c>
    </row>
    <row r="76" spans="1:329" s="123" customFormat="1" ht="10.199999999999999" x14ac:dyDescent="0.2">
      <c r="A76" s="155" t="s">
        <v>388</v>
      </c>
      <c r="B76" s="152">
        <f t="shared" si="638"/>
        <v>908.14878762961303</v>
      </c>
      <c r="C76" s="145">
        <v>908.14878762961303</v>
      </c>
      <c r="F76" s="149"/>
      <c r="I76" s="269">
        <f>GQ76*I$75/GQ$75</f>
        <v>1.3773166490827657</v>
      </c>
      <c r="M76" s="149"/>
      <c r="N76" s="149"/>
      <c r="O76" s="153">
        <f>(I76/'Discounting metrics'!$D$4*(1-EXP(-'Discounting metrics'!$D$4*'Discounting metrics'!$E$4)))/'Discounting metrics'!$E$4</f>
        <v>0.33802255367568107</v>
      </c>
      <c r="P76" s="149"/>
      <c r="Q76" s="149"/>
      <c r="S76" s="149"/>
      <c r="T76" s="149"/>
      <c r="AL76" s="147"/>
      <c r="AM76" s="154"/>
      <c r="AN76" s="147"/>
      <c r="AO76" s="147"/>
      <c r="AP76" s="147"/>
      <c r="AQ76" s="147"/>
      <c r="AR76" s="147"/>
      <c r="AS76" s="147"/>
      <c r="AT76" s="147"/>
      <c r="BD76" s="614">
        <f t="shared" ref="BD76:BD79" si="655">BG76*$B76/10^3</f>
        <v>215.72735443961858</v>
      </c>
      <c r="BE76" s="614">
        <f t="shared" si="640"/>
        <v>97.948099655925603</v>
      </c>
      <c r="BF76" s="614">
        <f t="shared" si="640"/>
        <v>117.77925478369299</v>
      </c>
      <c r="BG76" s="152">
        <f t="shared" ref="BG76:BG79" si="656">BJ76</f>
        <v>237.54626706345681</v>
      </c>
      <c r="BH76" s="152">
        <f t="shared" si="641"/>
        <v>107.85468305428556</v>
      </c>
      <c r="BI76" s="152">
        <f>BU76</f>
        <v>129.69158400917127</v>
      </c>
      <c r="BJ76" s="49">
        <f>BK76+BU76</f>
        <v>237.54626706345681</v>
      </c>
      <c r="BK76" s="145">
        <v>107.85468305428556</v>
      </c>
      <c r="BL76" s="145"/>
      <c r="BM76" s="145"/>
      <c r="BN76" s="145"/>
      <c r="BO76" s="145"/>
      <c r="BP76" s="145"/>
      <c r="BQ76" s="145"/>
      <c r="BR76" s="145"/>
      <c r="BS76" s="145"/>
      <c r="BT76" s="145"/>
      <c r="BU76" s="145">
        <v>129.69158400917127</v>
      </c>
      <c r="BV76" s="145"/>
      <c r="BW76" s="145"/>
      <c r="BX76" s="145"/>
      <c r="BY76" s="145"/>
      <c r="BZ76" s="145"/>
      <c r="CA76" s="145"/>
      <c r="CB76" s="145"/>
      <c r="CC76" s="145"/>
      <c r="CD76" s="145"/>
      <c r="CF76" s="146"/>
      <c r="CG76" s="145"/>
      <c r="CH76" s="145"/>
      <c r="CI76" s="145"/>
      <c r="CJ76" s="145"/>
      <c r="CK76" s="145"/>
      <c r="CL76" s="145"/>
      <c r="CM76" s="145"/>
      <c r="CN76" s="145"/>
      <c r="CO76" s="145"/>
      <c r="CP76" s="146"/>
      <c r="CQ76" s="145"/>
      <c r="CR76" s="145"/>
      <c r="CS76" s="145"/>
      <c r="CT76" s="145"/>
      <c r="CU76" s="145"/>
      <c r="CV76" s="145"/>
      <c r="CW76" s="145"/>
      <c r="CX76" s="145"/>
      <c r="CY76" s="145"/>
      <c r="CZ76" s="614">
        <f t="shared" ref="CZ76:CZ79" si="657">DC76*$B76/10^3</f>
        <v>113.74204839086585</v>
      </c>
      <c r="DA76" s="614">
        <f t="shared" si="644"/>
        <v>2.2703719690740325</v>
      </c>
      <c r="DB76" s="614">
        <f t="shared" si="644"/>
        <v>111.47167642179183</v>
      </c>
      <c r="DC76" s="152">
        <f t="shared" ref="DC76:DC79" si="658">DG76</f>
        <v>125.24604992068255</v>
      </c>
      <c r="DD76" s="152">
        <f t="shared" si="645"/>
        <v>2.5</v>
      </c>
      <c r="DE76" s="152">
        <f t="shared" si="645"/>
        <v>122.74604992068255</v>
      </c>
      <c r="DF76" s="507"/>
      <c r="DG76" s="152">
        <f t="shared" ref="DG76:DG79" si="659">DH76+DI76</f>
        <v>125.24604992068255</v>
      </c>
      <c r="DH76" s="148">
        <v>2.5</v>
      </c>
      <c r="DI76" s="152">
        <f>(1-DK76)*BU76</f>
        <v>122.74604992068255</v>
      </c>
      <c r="DJ76" s="265">
        <f>(BK76-DH76)/BK76</f>
        <v>0.97682066342226703</v>
      </c>
      <c r="DK76" s="615">
        <f>(DM75*(AM75+AN75)+DL75*AL75)/(AL75+AM75+AN75)</f>
        <v>5.3554239016754893E-2</v>
      </c>
      <c r="DL76" s="147"/>
      <c r="DM76" s="147"/>
      <c r="DS76" s="614">
        <f t="shared" si="647"/>
        <v>101.98530604875273</v>
      </c>
      <c r="DT76" s="614">
        <f t="shared" si="647"/>
        <v>95.677727686851568</v>
      </c>
      <c r="DU76" s="614">
        <f t="shared" si="647"/>
        <v>6.3075783619011645</v>
      </c>
      <c r="DY76" s="508">
        <f t="shared" si="648"/>
        <v>112.30021714277426</v>
      </c>
      <c r="DZ76" s="508">
        <f t="shared" si="648"/>
        <v>105.35468305428556</v>
      </c>
      <c r="EA76" s="508">
        <f>BU76-DI76</f>
        <v>6.9455340884887136</v>
      </c>
      <c r="EB76" s="152"/>
      <c r="EC76" s="152"/>
      <c r="ED76" s="152"/>
      <c r="EE76" s="144"/>
      <c r="EF76" s="144"/>
      <c r="EG76" s="144"/>
      <c r="EH76" s="144"/>
      <c r="EI76" s="154"/>
      <c r="EJ76" s="149"/>
      <c r="EK76" s="550"/>
      <c r="EL76" s="149"/>
      <c r="EM76" s="550"/>
      <c r="EN76" s="550"/>
      <c r="EO76" s="550"/>
      <c r="EP76" s="550"/>
      <c r="EQ76" s="550"/>
      <c r="ER76" s="550"/>
      <c r="ES76" s="550"/>
      <c r="ET76" s="550"/>
      <c r="EU76" s="550"/>
      <c r="EV76" s="149"/>
      <c r="EW76" s="550"/>
      <c r="EX76" s="550"/>
      <c r="EY76" s="550"/>
      <c r="EZ76" s="550"/>
      <c r="FA76" s="550"/>
      <c r="FB76" s="550"/>
      <c r="FC76" s="550"/>
      <c r="FD76" s="152"/>
      <c r="FE76" s="152"/>
      <c r="FF76" s="152"/>
      <c r="FG76" s="144"/>
      <c r="FH76" s="144"/>
      <c r="FI76" s="555"/>
      <c r="FJ76" s="555"/>
      <c r="FK76" s="555"/>
      <c r="FL76" s="555"/>
      <c r="FM76" s="555"/>
      <c r="FN76" s="555"/>
      <c r="FO76" s="555"/>
      <c r="FP76" s="555"/>
      <c r="FQ76" s="555"/>
      <c r="FR76" s="152"/>
      <c r="FS76" s="555"/>
      <c r="FT76" s="555"/>
      <c r="FU76" s="555"/>
      <c r="FV76" s="555"/>
      <c r="FW76" s="555"/>
      <c r="FX76" s="555"/>
      <c r="FY76" s="555"/>
      <c r="GA76" s="154"/>
      <c r="GB76" s="154"/>
      <c r="GP76" s="153">
        <f t="shared" ref="GP76:GP79" si="660">GQ76</f>
        <v>7.5604799917993981</v>
      </c>
      <c r="GQ76" s="148">
        <v>7.5604799917993981</v>
      </c>
      <c r="GR76" s="149">
        <f>DR$17*BU76/DY76</f>
        <v>0.28871623606098257</v>
      </c>
      <c r="GS76" s="269"/>
      <c r="GT76" s="269"/>
      <c r="GU76" s="269"/>
      <c r="GV76" s="269"/>
      <c r="GW76" s="269"/>
      <c r="GX76" s="269"/>
      <c r="GY76" s="269"/>
      <c r="GZ76" s="269"/>
      <c r="HA76" s="269"/>
      <c r="HB76" s="269"/>
      <c r="HC76" s="266">
        <v>0</v>
      </c>
      <c r="HD76" s="149">
        <f>HC76*GQ76</f>
        <v>0</v>
      </c>
      <c r="HG76" s="269"/>
      <c r="HH76" s="269"/>
      <c r="HI76" s="269"/>
      <c r="HJ76" s="269"/>
      <c r="HK76" s="530">
        <f>EH76/'Discounting metrics'!E$4/O76</f>
        <v>0</v>
      </c>
      <c r="HO76" s="269"/>
      <c r="HV76" s="269"/>
      <c r="HW76" s="149">
        <f>IM$12*IH76</f>
        <v>2.7382549253826931</v>
      </c>
      <c r="HX76" s="149"/>
      <c r="HY76" s="149"/>
      <c r="HZ76" s="149"/>
      <c r="IA76" s="149"/>
      <c r="IB76" s="149"/>
      <c r="IC76" s="149"/>
      <c r="ID76" s="149"/>
      <c r="IG76" s="269"/>
      <c r="IH76" s="149">
        <f>(GQ76-HD76)/I76</f>
        <v>5.4892823642510642</v>
      </c>
      <c r="IP76" s="149"/>
      <c r="JJ76" s="149"/>
      <c r="JK76" s="149"/>
      <c r="JL76" s="149"/>
      <c r="JM76" s="149"/>
      <c r="JN76" s="149"/>
      <c r="JO76" s="149"/>
      <c r="JP76" s="149"/>
      <c r="JQ76" s="149"/>
      <c r="JR76" s="149"/>
      <c r="JS76" s="149"/>
      <c r="JT76" s="149"/>
      <c r="JU76" s="149"/>
      <c r="JV76" s="149"/>
      <c r="JW76" s="149"/>
      <c r="JX76" s="149"/>
      <c r="JY76" s="547"/>
      <c r="KA76" s="149"/>
      <c r="KB76" s="149"/>
      <c r="LI76" s="147"/>
      <c r="LJ76" s="149"/>
      <c r="LK76" s="146"/>
      <c r="LO76" s="616"/>
    </row>
    <row r="77" spans="1:329" s="123" customFormat="1" ht="10.199999999999999" x14ac:dyDescent="0.2">
      <c r="A77" s="155" t="s">
        <v>396</v>
      </c>
      <c r="B77" s="152">
        <f t="shared" si="638"/>
        <v>299.69161947920497</v>
      </c>
      <c r="C77" s="145">
        <v>299.69161947920497</v>
      </c>
      <c r="F77" s="149"/>
      <c r="I77" s="269">
        <f>GQ77*I$75/GQ$75</f>
        <v>1.1615404691240596</v>
      </c>
      <c r="M77" s="149"/>
      <c r="N77" s="149"/>
      <c r="O77" s="153">
        <f>(I77/'Discounting metrics'!$D$4*(1-EXP(-'Discounting metrics'!$D$4*'Discounting metrics'!$E$4)))/'Discounting metrics'!$E$4</f>
        <v>0.28506652833423307</v>
      </c>
      <c r="P77" s="149"/>
      <c r="Q77" s="149"/>
      <c r="S77" s="149"/>
      <c r="T77" s="149"/>
      <c r="AL77" s="147"/>
      <c r="AM77" s="147"/>
      <c r="AN77" s="147"/>
      <c r="AO77" s="147"/>
      <c r="AP77" s="147"/>
      <c r="AQ77" s="147"/>
      <c r="AR77" s="147"/>
      <c r="AS77" s="147"/>
      <c r="AT77" s="147"/>
      <c r="BD77" s="617">
        <f t="shared" si="655"/>
        <v>45.685843218733588</v>
      </c>
      <c r="BE77" s="617">
        <f t="shared" si="640"/>
        <v>8.4093579707048907</v>
      </c>
      <c r="BF77" s="617">
        <f t="shared" si="640"/>
        <v>37.276485248028699</v>
      </c>
      <c r="BG77" s="152">
        <f t="shared" si="656"/>
        <v>152.44284540930795</v>
      </c>
      <c r="BH77" s="152">
        <f t="shared" si="641"/>
        <v>28.060037131897175</v>
      </c>
      <c r="BI77" s="152">
        <f>BU77</f>
        <v>124.38280827741079</v>
      </c>
      <c r="BJ77" s="152">
        <f>BK77+BU77</f>
        <v>152.44284540930795</v>
      </c>
      <c r="BK77" s="145">
        <v>28.060037131897175</v>
      </c>
      <c r="BL77" s="145"/>
      <c r="BM77" s="145"/>
      <c r="BN77" s="145"/>
      <c r="BO77" s="145"/>
      <c r="BP77" s="145"/>
      <c r="BQ77" s="145"/>
      <c r="BR77" s="145"/>
      <c r="BS77" s="145"/>
      <c r="BT77" s="145"/>
      <c r="BU77" s="145">
        <v>124.38280827741079</v>
      </c>
      <c r="BV77" s="145"/>
      <c r="BW77" s="145"/>
      <c r="BX77" s="145"/>
      <c r="BY77" s="145"/>
      <c r="BZ77" s="145"/>
      <c r="CA77" s="145"/>
      <c r="CB77" s="145"/>
      <c r="CC77" s="145"/>
      <c r="CD77" s="145"/>
      <c r="CF77" s="146"/>
      <c r="CG77" s="145"/>
      <c r="CH77" s="145"/>
      <c r="CI77" s="145"/>
      <c r="CJ77" s="145"/>
      <c r="CK77" s="145"/>
      <c r="CL77" s="145"/>
      <c r="CM77" s="145"/>
      <c r="CN77" s="145"/>
      <c r="CO77" s="145"/>
      <c r="CP77" s="146"/>
      <c r="CQ77" s="145"/>
      <c r="CR77" s="145"/>
      <c r="CS77" s="145"/>
      <c r="CT77" s="145"/>
      <c r="CU77" s="145"/>
      <c r="CV77" s="145"/>
      <c r="CW77" s="145"/>
      <c r="CX77" s="145"/>
      <c r="CY77" s="145"/>
      <c r="CZ77" s="617">
        <f t="shared" si="657"/>
        <v>39.378824740704921</v>
      </c>
      <c r="DA77" s="617">
        <f t="shared" si="644"/>
        <v>2.1023394926762227</v>
      </c>
      <c r="DB77" s="617">
        <f t="shared" si="644"/>
        <v>37.276485248028699</v>
      </c>
      <c r="DC77" s="152">
        <f t="shared" si="658"/>
        <v>131.39781756038508</v>
      </c>
      <c r="DD77" s="152">
        <f t="shared" si="645"/>
        <v>7.0150092829742938</v>
      </c>
      <c r="DE77" s="152">
        <f t="shared" si="645"/>
        <v>124.38280827741079</v>
      </c>
      <c r="DG77" s="152">
        <f t="shared" si="659"/>
        <v>131.39781756038508</v>
      </c>
      <c r="DH77" s="153">
        <f>(1-DJ77)*BK77</f>
        <v>7.0150092829742938</v>
      </c>
      <c r="DI77" s="152">
        <f>(1-DK77)*BU77</f>
        <v>124.38280827741079</v>
      </c>
      <c r="DJ77" s="266">
        <v>0.75</v>
      </c>
      <c r="DK77" s="266">
        <v>0</v>
      </c>
      <c r="DL77" s="147"/>
      <c r="DM77" s="147"/>
      <c r="DS77" s="617">
        <f t="shared" si="647"/>
        <v>6.3070184780286667</v>
      </c>
      <c r="DT77" s="617">
        <f t="shared" si="647"/>
        <v>6.3070184780286684</v>
      </c>
      <c r="DU77" s="617">
        <f t="shared" si="647"/>
        <v>0</v>
      </c>
      <c r="DY77" s="152">
        <f t="shared" si="648"/>
        <v>21.045027848922871</v>
      </c>
      <c r="DZ77" s="152">
        <f t="shared" si="648"/>
        <v>21.045027848922881</v>
      </c>
      <c r="EA77" s="152">
        <f>BU77-DI77</f>
        <v>0</v>
      </c>
      <c r="EB77" s="152"/>
      <c r="EC77" s="152"/>
      <c r="ED77" s="152"/>
      <c r="EE77" s="144"/>
      <c r="EF77" s="144"/>
      <c r="EG77" s="144"/>
      <c r="EH77" s="144"/>
      <c r="EI77" s="154"/>
      <c r="EJ77" s="149"/>
      <c r="EK77" s="550"/>
      <c r="EL77" s="149"/>
      <c r="EM77" s="550"/>
      <c r="EN77" s="550"/>
      <c r="EO77" s="550"/>
      <c r="EP77" s="550"/>
      <c r="EQ77" s="550"/>
      <c r="ER77" s="550"/>
      <c r="ES77" s="550"/>
      <c r="ET77" s="550"/>
      <c r="EU77" s="550"/>
      <c r="EV77" s="149"/>
      <c r="EW77" s="550"/>
      <c r="EX77" s="550"/>
      <c r="EY77" s="550"/>
      <c r="EZ77" s="550"/>
      <c r="FA77" s="550"/>
      <c r="FB77" s="550"/>
      <c r="FC77" s="550"/>
      <c r="FD77" s="152"/>
      <c r="FE77" s="152"/>
      <c r="FF77" s="152"/>
      <c r="FG77" s="144"/>
      <c r="FH77" s="144"/>
      <c r="FI77" s="144"/>
      <c r="FJ77" s="144"/>
      <c r="FK77" s="144"/>
      <c r="FL77" s="144"/>
      <c r="FM77" s="144"/>
      <c r="FN77" s="144"/>
      <c r="FO77" s="144"/>
      <c r="FP77" s="144"/>
      <c r="FQ77" s="144"/>
      <c r="FR77" s="152"/>
      <c r="FS77" s="144"/>
      <c r="FT77" s="144"/>
      <c r="FU77" s="144"/>
      <c r="FV77" s="144"/>
      <c r="FW77" s="144"/>
      <c r="FX77" s="144"/>
      <c r="FY77" s="144"/>
      <c r="GA77" s="154"/>
      <c r="GB77" s="154"/>
      <c r="GP77" s="153">
        <f t="shared" si="660"/>
        <v>6.3760236125266081</v>
      </c>
      <c r="GQ77" s="148">
        <v>6.3760236125266081</v>
      </c>
      <c r="GR77" s="149">
        <f>DR$17*BU77/DY77</f>
        <v>1.4775795162915044</v>
      </c>
      <c r="GS77" s="269"/>
      <c r="GT77" s="269"/>
      <c r="GU77" s="269"/>
      <c r="GV77" s="269"/>
      <c r="GW77" s="269"/>
      <c r="GX77" s="269"/>
      <c r="GY77" s="269"/>
      <c r="GZ77" s="269"/>
      <c r="HA77" s="269"/>
      <c r="HB77" s="269"/>
      <c r="HC77" s="444">
        <f>1-DJ77</f>
        <v>0.25</v>
      </c>
      <c r="HD77" s="149">
        <f>HC77*GQ77</f>
        <v>1.594005903131652</v>
      </c>
      <c r="HG77" s="269"/>
      <c r="HH77" s="269"/>
      <c r="HI77" s="269"/>
      <c r="HJ77" s="269"/>
      <c r="HK77" s="530">
        <f>EH77/'Discounting metrics'!E$4/O77</f>
        <v>0</v>
      </c>
      <c r="HO77" s="269"/>
      <c r="HV77" s="269"/>
      <c r="HW77" s="149">
        <f>IM$12*IH77</f>
        <v>2.0536911940370199</v>
      </c>
      <c r="HX77" s="149"/>
      <c r="HY77" s="149"/>
      <c r="HZ77" s="149"/>
      <c r="IA77" s="149"/>
      <c r="IB77" s="149"/>
      <c r="IC77" s="149"/>
      <c r="ID77" s="149"/>
      <c r="IG77" s="269"/>
      <c r="IH77" s="149">
        <f>(GQ77-HD77)/I77</f>
        <v>4.1169617731882981</v>
      </c>
      <c r="IP77" s="149"/>
      <c r="JJ77" s="149"/>
      <c r="JK77" s="149"/>
      <c r="JL77" s="149"/>
      <c r="JM77" s="149"/>
      <c r="JN77" s="149"/>
      <c r="JO77" s="149"/>
      <c r="JP77" s="149"/>
      <c r="JQ77" s="149"/>
      <c r="JR77" s="149"/>
      <c r="JS77" s="149"/>
      <c r="JT77" s="149"/>
      <c r="JU77" s="149"/>
      <c r="JV77" s="149"/>
      <c r="JW77" s="149"/>
      <c r="JX77" s="149"/>
      <c r="JY77" s="547"/>
      <c r="KA77" s="149"/>
      <c r="KB77" s="149"/>
      <c r="LI77" s="147"/>
      <c r="LJ77" s="149"/>
      <c r="LK77" s="146"/>
      <c r="LO77" s="616"/>
    </row>
    <row r="78" spans="1:329" s="123" customFormat="1" ht="10.199999999999999" x14ac:dyDescent="0.2">
      <c r="A78" s="155" t="s">
        <v>395</v>
      </c>
      <c r="B78" s="152">
        <f t="shared" si="638"/>
        <v>163.31500175966201</v>
      </c>
      <c r="C78" s="145">
        <v>163.31500175966201</v>
      </c>
      <c r="F78" s="149"/>
      <c r="I78" s="269">
        <f>GQ78*I$75/GQ$75</f>
        <v>0.85211578446785485</v>
      </c>
      <c r="M78" s="149"/>
      <c r="N78" s="149"/>
      <c r="O78" s="153">
        <f>(I78/'Discounting metrics'!$D$4*(1-EXP(-'Discounting metrics'!$D$4*'Discounting metrics'!$E$4)))/'Discounting metrics'!$E$4</f>
        <v>0.20912718486703777</v>
      </c>
      <c r="P78" s="149"/>
      <c r="Q78" s="149"/>
      <c r="S78" s="149"/>
      <c r="T78" s="149"/>
      <c r="AL78" s="147"/>
      <c r="AM78" s="147"/>
      <c r="AN78" s="147"/>
      <c r="AO78" s="147"/>
      <c r="AP78" s="147"/>
      <c r="AQ78" s="147"/>
      <c r="AR78" s="147"/>
      <c r="AS78" s="147"/>
      <c r="AT78" s="147"/>
      <c r="BD78" s="617">
        <f t="shared" si="655"/>
        <v>17.367949034562848</v>
      </c>
      <c r="BE78" s="617">
        <f t="shared" si="640"/>
        <v>0.67791816079454703</v>
      </c>
      <c r="BF78" s="617">
        <f t="shared" si="640"/>
        <v>16.690030873768301</v>
      </c>
      <c r="BG78" s="152">
        <f t="shared" si="656"/>
        <v>106.34631753010608</v>
      </c>
      <c r="BH78" s="152">
        <f t="shared" si="641"/>
        <v>4.1509852339969751</v>
      </c>
      <c r="BI78" s="152">
        <f>BU78</f>
        <v>102.1953322961091</v>
      </c>
      <c r="BJ78" s="152">
        <f>BK78+BU78</f>
        <v>106.34631753010608</v>
      </c>
      <c r="BK78" s="148">
        <v>4.1509852339969751</v>
      </c>
      <c r="BL78" s="148"/>
      <c r="BM78" s="148"/>
      <c r="BN78" s="148"/>
      <c r="BO78" s="148"/>
      <c r="BP78" s="148"/>
      <c r="BQ78" s="148"/>
      <c r="BR78" s="148"/>
      <c r="BS78" s="148"/>
      <c r="BT78" s="148"/>
      <c r="BU78" s="145">
        <v>102.1953322961091</v>
      </c>
      <c r="BV78" s="145"/>
      <c r="BW78" s="145"/>
      <c r="BX78" s="145"/>
      <c r="BY78" s="145"/>
      <c r="BZ78" s="145"/>
      <c r="CA78" s="145"/>
      <c r="CB78" s="145"/>
      <c r="CC78" s="145"/>
      <c r="CD78" s="145"/>
      <c r="CG78" s="148"/>
      <c r="CH78" s="148"/>
      <c r="CI78" s="148"/>
      <c r="CJ78" s="148"/>
      <c r="CK78" s="148"/>
      <c r="CL78" s="148"/>
      <c r="CM78" s="148"/>
      <c r="CN78" s="148"/>
      <c r="CO78" s="148"/>
      <c r="CQ78" s="148"/>
      <c r="CR78" s="148"/>
      <c r="CS78" s="148"/>
      <c r="CT78" s="148"/>
      <c r="CU78" s="148"/>
      <c r="CV78" s="148"/>
      <c r="CW78" s="148"/>
      <c r="CX78" s="148"/>
      <c r="CY78" s="148"/>
      <c r="CZ78" s="617">
        <f t="shared" si="657"/>
        <v>17.028989954165574</v>
      </c>
      <c r="DA78" s="617">
        <f t="shared" si="644"/>
        <v>0.33895908039727352</v>
      </c>
      <c r="DB78" s="617">
        <f t="shared" si="644"/>
        <v>16.690030873768301</v>
      </c>
      <c r="DC78" s="152">
        <f t="shared" si="658"/>
        <v>104.27082491310759</v>
      </c>
      <c r="DD78" s="152">
        <f t="shared" si="645"/>
        <v>2.0754926169984875</v>
      </c>
      <c r="DE78" s="152">
        <f t="shared" si="645"/>
        <v>102.1953322961091</v>
      </c>
      <c r="DG78" s="152">
        <f t="shared" si="659"/>
        <v>104.27082491310759</v>
      </c>
      <c r="DH78" s="153">
        <f>(1-DJ78)*BK78</f>
        <v>2.0754926169984875</v>
      </c>
      <c r="DI78" s="152">
        <f>(1-DK78)*BU78</f>
        <v>102.1953322961091</v>
      </c>
      <c r="DJ78" s="266">
        <v>0.5</v>
      </c>
      <c r="DK78" s="266">
        <v>0</v>
      </c>
      <c r="DL78" s="154"/>
      <c r="DM78" s="154"/>
      <c r="DS78" s="617">
        <f t="shared" si="647"/>
        <v>0.33895908039727374</v>
      </c>
      <c r="DT78" s="617">
        <f t="shared" si="647"/>
        <v>0.33895908039727352</v>
      </c>
      <c r="DU78" s="617">
        <f t="shared" si="647"/>
        <v>0</v>
      </c>
      <c r="DY78" s="152">
        <f t="shared" si="648"/>
        <v>2.0754926169984884</v>
      </c>
      <c r="DZ78" s="152">
        <f t="shared" si="648"/>
        <v>2.0754926169984875</v>
      </c>
      <c r="EA78" s="152">
        <f>BU78-DI78</f>
        <v>0</v>
      </c>
      <c r="EB78" s="152"/>
      <c r="EC78" s="152"/>
      <c r="ED78" s="152"/>
      <c r="EE78" s="144"/>
      <c r="EF78" s="144"/>
      <c r="EG78" s="144"/>
      <c r="EH78" s="144"/>
      <c r="EI78" s="154"/>
      <c r="EJ78" s="149"/>
      <c r="EK78" s="550"/>
      <c r="EL78" s="149"/>
      <c r="EM78" s="550"/>
      <c r="EN78" s="550"/>
      <c r="EO78" s="550"/>
      <c r="EP78" s="550"/>
      <c r="EQ78" s="550"/>
      <c r="ER78" s="550"/>
      <c r="ES78" s="550"/>
      <c r="ET78" s="550"/>
      <c r="EU78" s="550"/>
      <c r="EV78" s="149"/>
      <c r="EW78" s="550"/>
      <c r="EX78" s="550"/>
      <c r="EY78" s="550"/>
      <c r="EZ78" s="550"/>
      <c r="FA78" s="550"/>
      <c r="FB78" s="550"/>
      <c r="FC78" s="550"/>
      <c r="FD78" s="152"/>
      <c r="FE78" s="152"/>
      <c r="FF78" s="152"/>
      <c r="FG78" s="144"/>
      <c r="FH78" s="144"/>
      <c r="FI78" s="144"/>
      <c r="FJ78" s="144"/>
      <c r="FK78" s="144"/>
      <c r="FL78" s="144"/>
      <c r="FM78" s="144"/>
      <c r="FN78" s="144"/>
      <c r="FO78" s="144"/>
      <c r="FP78" s="144"/>
      <c r="FQ78" s="144"/>
      <c r="FR78" s="152"/>
      <c r="FS78" s="144"/>
      <c r="FT78" s="144"/>
      <c r="FU78" s="144"/>
      <c r="FV78" s="144"/>
      <c r="FW78" s="144"/>
      <c r="FX78" s="144"/>
      <c r="FY78" s="144"/>
      <c r="GA78" s="154"/>
      <c r="GB78" s="154"/>
      <c r="GP78" s="153">
        <f t="shared" si="660"/>
        <v>4.6775041479793567</v>
      </c>
      <c r="GQ78" s="148">
        <v>4.6775041479793567</v>
      </c>
      <c r="GR78" s="149">
        <f>DR$17*BU78/DY78</f>
        <v>12.309768227928069</v>
      </c>
      <c r="GS78" s="269"/>
      <c r="GT78" s="269"/>
      <c r="GU78" s="269"/>
      <c r="GV78" s="269"/>
      <c r="GW78" s="269"/>
      <c r="GX78" s="269"/>
      <c r="GY78" s="269"/>
      <c r="GZ78" s="269"/>
      <c r="HA78" s="269"/>
      <c r="HB78" s="269"/>
      <c r="HC78" s="444">
        <f>1-DJ78</f>
        <v>0.5</v>
      </c>
      <c r="HD78" s="149">
        <f>HC78*GQ78</f>
        <v>2.3387520739896783</v>
      </c>
      <c r="HG78" s="269"/>
      <c r="HH78" s="269"/>
      <c r="HI78" s="269"/>
      <c r="HJ78" s="269"/>
      <c r="HK78" s="530">
        <f>EH78/'Discounting metrics'!E$4/O78</f>
        <v>0</v>
      </c>
      <c r="HO78" s="269"/>
      <c r="HV78" s="269"/>
      <c r="HW78" s="149">
        <f>IM$12*IH78</f>
        <v>1.3691274626913466</v>
      </c>
      <c r="HX78" s="149"/>
      <c r="HY78" s="149"/>
      <c r="HZ78" s="149"/>
      <c r="IA78" s="149"/>
      <c r="IB78" s="149"/>
      <c r="IC78" s="149"/>
      <c r="ID78" s="149"/>
      <c r="IG78" s="269"/>
      <c r="IH78" s="149">
        <f>(GQ78-HD78)/I78</f>
        <v>2.7446411821255321</v>
      </c>
      <c r="IP78" s="149"/>
      <c r="JJ78" s="149"/>
      <c r="JK78" s="149"/>
      <c r="JL78" s="149"/>
      <c r="JM78" s="149"/>
      <c r="JN78" s="149"/>
      <c r="JO78" s="149"/>
      <c r="JP78" s="149"/>
      <c r="JQ78" s="149"/>
      <c r="JR78" s="149"/>
      <c r="JS78" s="149"/>
      <c r="JT78" s="149"/>
      <c r="JU78" s="149"/>
      <c r="JV78" s="149"/>
      <c r="JW78" s="149"/>
      <c r="JX78" s="149"/>
      <c r="JY78" s="547"/>
      <c r="KA78" s="149"/>
      <c r="KB78" s="149"/>
      <c r="LI78" s="147"/>
      <c r="LJ78" s="149"/>
      <c r="LK78" s="146"/>
      <c r="LO78" s="616"/>
    </row>
    <row r="79" spans="1:329" s="123" customFormat="1" ht="10.199999999999999" x14ac:dyDescent="0.2">
      <c r="A79" s="155" t="s">
        <v>389</v>
      </c>
      <c r="B79" s="152">
        <f t="shared" si="638"/>
        <v>1460.5250676728999</v>
      </c>
      <c r="C79" s="145">
        <v>1460.5250676728999</v>
      </c>
      <c r="F79" s="149"/>
      <c r="I79" s="269">
        <f>GQ79*I$75/GQ$75</f>
        <v>0.37264597230824242</v>
      </c>
      <c r="M79" s="149"/>
      <c r="N79" s="149"/>
      <c r="O79" s="153">
        <f>(I79/'Discounting metrics'!$D$4*(1-EXP(-'Discounting metrics'!$D$4*'Discounting metrics'!$E$4)))/'Discounting metrics'!$E$4</f>
        <v>9.1455180811525857E-2</v>
      </c>
      <c r="P79" s="149"/>
      <c r="Q79" s="149"/>
      <c r="S79" s="149"/>
      <c r="T79" s="149"/>
      <c r="AL79" s="147"/>
      <c r="AM79" s="147"/>
      <c r="AN79" s="147"/>
      <c r="AO79" s="147"/>
      <c r="AP79" s="147"/>
      <c r="AQ79" s="147"/>
      <c r="AR79" s="147"/>
      <c r="AS79" s="147"/>
      <c r="AT79" s="147"/>
      <c r="BD79" s="617">
        <f t="shared" si="655"/>
        <v>58.358135635669001</v>
      </c>
      <c r="BE79" s="617">
        <f t="shared" si="640"/>
        <v>2.1308455768600001</v>
      </c>
      <c r="BF79" s="617">
        <f t="shared" si="640"/>
        <v>56.227290058808997</v>
      </c>
      <c r="BG79" s="152">
        <f t="shared" si="656"/>
        <v>39.956955842362113</v>
      </c>
      <c r="BH79" s="152">
        <f t="shared" si="641"/>
        <v>1.4589585786809827</v>
      </c>
      <c r="BI79" s="152">
        <f>BU79</f>
        <v>38.497997263681128</v>
      </c>
      <c r="BJ79" s="152">
        <f>BK79+BU79</f>
        <v>39.956955842362113</v>
      </c>
      <c r="BK79" s="148">
        <v>1.4589585786809827</v>
      </c>
      <c r="BL79" s="148"/>
      <c r="BM79" s="148"/>
      <c r="BN79" s="148"/>
      <c r="BO79" s="148"/>
      <c r="BP79" s="148"/>
      <c r="BQ79" s="148"/>
      <c r="BR79" s="148"/>
      <c r="BS79" s="148"/>
      <c r="BT79" s="148"/>
      <c r="BU79" s="145">
        <v>38.497997263681128</v>
      </c>
      <c r="BV79" s="145"/>
      <c r="BW79" s="145"/>
      <c r="BX79" s="145"/>
      <c r="BY79" s="145"/>
      <c r="BZ79" s="145"/>
      <c r="CA79" s="145"/>
      <c r="CB79" s="145"/>
      <c r="CC79" s="145"/>
      <c r="CD79" s="145"/>
      <c r="CG79" s="148"/>
      <c r="CH79" s="148"/>
      <c r="CI79" s="148"/>
      <c r="CJ79" s="148"/>
      <c r="CK79" s="148"/>
      <c r="CL79" s="148"/>
      <c r="CM79" s="148"/>
      <c r="CN79" s="148"/>
      <c r="CO79" s="148"/>
      <c r="CQ79" s="148"/>
      <c r="CR79" s="148"/>
      <c r="CS79" s="148"/>
      <c r="CT79" s="148"/>
      <c r="CU79" s="148"/>
      <c r="CV79" s="148"/>
      <c r="CW79" s="148"/>
      <c r="CX79" s="148"/>
      <c r="CY79" s="148"/>
      <c r="CZ79" s="617">
        <f t="shared" si="657"/>
        <v>52.735406629788102</v>
      </c>
      <c r="DA79" s="617">
        <f t="shared" si="644"/>
        <v>2.1308455768600001</v>
      </c>
      <c r="DB79" s="617">
        <f t="shared" si="644"/>
        <v>50.604561052928098</v>
      </c>
      <c r="DC79" s="152">
        <f t="shared" si="658"/>
        <v>36.107156115994002</v>
      </c>
      <c r="DD79" s="152">
        <f t="shared" si="645"/>
        <v>1.4589585786809827</v>
      </c>
      <c r="DE79" s="152">
        <f t="shared" si="645"/>
        <v>34.648197537313017</v>
      </c>
      <c r="DG79" s="152">
        <f t="shared" si="659"/>
        <v>36.107156115994002</v>
      </c>
      <c r="DH79" s="153">
        <f>(1-DJ79)*BK79</f>
        <v>1.4589585786809827</v>
      </c>
      <c r="DI79" s="152">
        <f>(1-DK79)*BU79</f>
        <v>34.648197537313017</v>
      </c>
      <c r="DJ79" s="266">
        <v>0</v>
      </c>
      <c r="DK79" s="618">
        <f>(DM75*(AP75+AQ75))/(AP75+AQ75)</f>
        <v>0.10000000000000002</v>
      </c>
      <c r="DL79" s="154"/>
      <c r="DM79" s="154"/>
      <c r="DS79" s="617">
        <f t="shared" si="647"/>
        <v>5.622729005880899</v>
      </c>
      <c r="DT79" s="617">
        <f t="shared" si="647"/>
        <v>0</v>
      </c>
      <c r="DU79" s="617">
        <f t="shared" si="647"/>
        <v>5.622729005880899</v>
      </c>
      <c r="DY79" s="152">
        <f t="shared" si="648"/>
        <v>3.8497997263681114</v>
      </c>
      <c r="DZ79" s="152">
        <f t="shared" si="648"/>
        <v>0</v>
      </c>
      <c r="EA79" s="152">
        <f>BU79-DI79</f>
        <v>3.8497997263681114</v>
      </c>
      <c r="EB79" s="152"/>
      <c r="EC79" s="152"/>
      <c r="ED79" s="152"/>
      <c r="EE79" s="144"/>
      <c r="EF79" s="144"/>
      <c r="EG79" s="144"/>
      <c r="EH79" s="144"/>
      <c r="EI79" s="154"/>
      <c r="EJ79" s="149"/>
      <c r="EK79" s="550"/>
      <c r="EL79" s="149"/>
      <c r="EM79" s="550"/>
      <c r="EN79" s="550"/>
      <c r="EO79" s="550"/>
      <c r="EP79" s="550"/>
      <c r="EQ79" s="550"/>
      <c r="ER79" s="550"/>
      <c r="ES79" s="550"/>
      <c r="ET79" s="550"/>
      <c r="EU79" s="550"/>
      <c r="EV79" s="149"/>
      <c r="EW79" s="550"/>
      <c r="EX79" s="550"/>
      <c r="EY79" s="550"/>
      <c r="EZ79" s="550"/>
      <c r="FA79" s="550"/>
      <c r="FB79" s="550"/>
      <c r="FC79" s="550"/>
      <c r="FD79" s="152"/>
      <c r="FE79" s="152"/>
      <c r="FF79" s="152"/>
      <c r="FG79" s="144"/>
      <c r="FH79" s="144"/>
      <c r="FI79" s="144"/>
      <c r="FJ79" s="144"/>
      <c r="FK79" s="144"/>
      <c r="FL79" s="144"/>
      <c r="FM79" s="144"/>
      <c r="FN79" s="144"/>
      <c r="FO79" s="144"/>
      <c r="FP79" s="144"/>
      <c r="FQ79" s="144"/>
      <c r="FR79" s="152"/>
      <c r="FS79" s="144"/>
      <c r="FT79" s="144"/>
      <c r="FU79" s="144"/>
      <c r="FV79" s="144"/>
      <c r="FW79" s="144"/>
      <c r="FX79" s="144"/>
      <c r="FY79" s="144"/>
      <c r="GA79" s="154"/>
      <c r="GB79" s="154"/>
      <c r="GP79" s="153">
        <f t="shared" si="660"/>
        <v>2.0455589639008256</v>
      </c>
      <c r="GQ79" s="148">
        <v>2.0455589639008256</v>
      </c>
      <c r="GR79" s="149">
        <f>DR$17*BU79/DY79</f>
        <v>2.5000000000000009</v>
      </c>
      <c r="GS79" s="269"/>
      <c r="GT79" s="269"/>
      <c r="GU79" s="269"/>
      <c r="GV79" s="269"/>
      <c r="GW79" s="269"/>
      <c r="GX79" s="269"/>
      <c r="GY79" s="269"/>
      <c r="GZ79" s="269"/>
      <c r="HA79" s="269"/>
      <c r="HB79" s="269"/>
      <c r="HC79" s="444">
        <f>1-DJ79</f>
        <v>1</v>
      </c>
      <c r="HD79" s="149">
        <f>HC79*GQ79</f>
        <v>2.0455589639008256</v>
      </c>
      <c r="HG79" s="269"/>
      <c r="HH79" s="269"/>
      <c r="HI79" s="269"/>
      <c r="HJ79" s="269"/>
      <c r="HK79" s="530">
        <f>EH79/'Discounting metrics'!E$4/O79</f>
        <v>0</v>
      </c>
      <c r="HO79" s="269"/>
      <c r="HV79" s="269"/>
      <c r="HW79" s="149">
        <f>IM$12*IH79</f>
        <v>0</v>
      </c>
      <c r="HX79" s="149"/>
      <c r="HY79" s="149"/>
      <c r="HZ79" s="149"/>
      <c r="IA79" s="149"/>
      <c r="IB79" s="149"/>
      <c r="IC79" s="149"/>
      <c r="ID79" s="149"/>
      <c r="IG79" s="269"/>
      <c r="IH79" s="149">
        <f>(GQ79-HD79)/I79</f>
        <v>0</v>
      </c>
      <c r="IP79" s="149"/>
      <c r="JJ79" s="149"/>
      <c r="JK79" s="149"/>
      <c r="JL79" s="149"/>
      <c r="JM79" s="149"/>
      <c r="JN79" s="149"/>
      <c r="JO79" s="149"/>
      <c r="JP79" s="149"/>
      <c r="JQ79" s="149"/>
      <c r="JR79" s="149"/>
      <c r="JS79" s="149"/>
      <c r="JT79" s="149"/>
      <c r="JU79" s="149"/>
      <c r="JV79" s="149"/>
      <c r="JW79" s="149"/>
      <c r="JX79" s="149"/>
      <c r="JY79" s="547"/>
      <c r="KA79" s="149"/>
      <c r="KB79" s="149"/>
      <c r="LI79" s="147"/>
      <c r="LJ79" s="149"/>
      <c r="LK79" s="146"/>
      <c r="LO79" s="616"/>
    </row>
    <row r="80" spans="1:329" s="123" customFormat="1" ht="10.199999999999999" x14ac:dyDescent="0.2">
      <c r="A80" s="155"/>
      <c r="B80" s="144"/>
      <c r="C80" s="145"/>
      <c r="F80" s="149"/>
      <c r="I80" s="149"/>
      <c r="M80" s="149"/>
      <c r="N80" s="149"/>
      <c r="O80" s="149"/>
      <c r="P80" s="149"/>
      <c r="Q80" s="149"/>
      <c r="S80" s="149"/>
      <c r="T80" s="149"/>
      <c r="BJ80" s="144"/>
      <c r="BK80" s="148"/>
      <c r="BL80" s="148"/>
      <c r="BM80" s="148"/>
      <c r="BN80" s="148"/>
      <c r="BO80" s="148"/>
      <c r="BP80" s="148"/>
      <c r="BQ80" s="148"/>
      <c r="BR80" s="148"/>
      <c r="BS80" s="148"/>
      <c r="BT80" s="148"/>
      <c r="BU80" s="145"/>
      <c r="BV80" s="148"/>
      <c r="BW80" s="148"/>
      <c r="BX80" s="148"/>
      <c r="BY80" s="148"/>
      <c r="BZ80" s="148"/>
      <c r="CA80" s="148"/>
      <c r="CB80" s="148"/>
      <c r="CC80" s="148"/>
      <c r="CD80" s="148"/>
      <c r="CG80" s="148"/>
      <c r="CH80" s="148"/>
      <c r="CI80" s="148"/>
      <c r="CJ80" s="148"/>
      <c r="CK80" s="148"/>
      <c r="CL80" s="148"/>
      <c r="CM80" s="148"/>
      <c r="CN80" s="148"/>
      <c r="CO80" s="148"/>
      <c r="CQ80" s="148"/>
      <c r="CR80" s="148"/>
      <c r="CS80" s="148"/>
      <c r="CT80" s="148"/>
      <c r="CU80" s="148"/>
      <c r="CV80" s="148"/>
      <c r="CW80" s="148"/>
      <c r="CX80" s="148"/>
      <c r="CY80" s="148"/>
      <c r="DG80" s="144"/>
      <c r="DH80" s="149"/>
      <c r="DI80" s="144"/>
      <c r="DJ80" s="268"/>
      <c r="DK80" s="268"/>
      <c r="DL80" s="268"/>
      <c r="DM80" s="268"/>
      <c r="EM80" s="149"/>
      <c r="EN80" s="149"/>
      <c r="EO80" s="149"/>
      <c r="EP80" s="149"/>
      <c r="EQ80" s="149"/>
      <c r="ER80" s="149"/>
      <c r="ES80" s="149"/>
      <c r="ET80" s="149"/>
      <c r="EU80" s="149"/>
      <c r="GA80" s="154"/>
      <c r="GB80" s="154"/>
      <c r="GQ80" s="148"/>
      <c r="GR80" s="149"/>
      <c r="GS80" s="149"/>
      <c r="GT80" s="149"/>
      <c r="GU80" s="149"/>
      <c r="GV80" s="149"/>
      <c r="GW80" s="149"/>
      <c r="GX80" s="149"/>
      <c r="GY80" s="149"/>
      <c r="GZ80" s="149"/>
      <c r="HA80" s="149"/>
      <c r="HB80" s="149"/>
      <c r="HC80" s="159"/>
      <c r="HD80" s="149"/>
      <c r="HG80" s="269"/>
      <c r="HH80" s="269"/>
      <c r="HI80" s="269"/>
      <c r="HJ80" s="269"/>
      <c r="HK80" s="269"/>
      <c r="HO80" s="269"/>
      <c r="HV80" s="269"/>
      <c r="HW80" s="149"/>
      <c r="HX80" s="149"/>
      <c r="HY80" s="149"/>
      <c r="HZ80" s="149"/>
      <c r="IA80" s="149"/>
      <c r="IB80" s="149"/>
      <c r="IC80" s="149"/>
      <c r="ID80" s="149"/>
      <c r="IG80" s="269"/>
      <c r="IH80" s="149"/>
      <c r="IP80" s="149"/>
      <c r="JJ80" s="149"/>
      <c r="JK80" s="149"/>
      <c r="JL80" s="149"/>
      <c r="JM80" s="149"/>
      <c r="JN80" s="149"/>
      <c r="JO80" s="149"/>
      <c r="JP80" s="149"/>
      <c r="JQ80" s="149"/>
      <c r="JR80" s="149"/>
      <c r="JS80" s="149"/>
      <c r="JT80" s="149"/>
      <c r="JU80" s="149"/>
      <c r="JV80" s="149"/>
      <c r="JW80" s="149"/>
      <c r="JX80" s="149"/>
      <c r="JY80" s="547"/>
      <c r="KA80" s="149"/>
      <c r="KB80" s="149"/>
      <c r="LI80" s="147"/>
      <c r="LJ80" s="149"/>
      <c r="LK80" s="146"/>
      <c r="LO80" s="616"/>
    </row>
    <row r="81" spans="1:305" s="4" customFormat="1" x14ac:dyDescent="0.25">
      <c r="A81" s="376"/>
      <c r="M81" s="32"/>
      <c r="N81" s="32"/>
      <c r="O81" s="32"/>
      <c r="P81" s="32"/>
      <c r="Q81" s="32"/>
      <c r="U81" s="60"/>
      <c r="BD81" s="60"/>
      <c r="BE81" s="60"/>
      <c r="BF81" s="60"/>
      <c r="BK81" s="60"/>
      <c r="BL81" s="123"/>
      <c r="BM81" s="123"/>
      <c r="BN81" s="123"/>
      <c r="BO81" s="123"/>
      <c r="BP81" s="123"/>
      <c r="BQ81" s="123"/>
      <c r="BR81" s="123"/>
      <c r="BS81" s="123"/>
      <c r="BT81" s="123"/>
      <c r="BU81" s="60"/>
      <c r="BV81" s="123"/>
      <c r="BW81" s="123"/>
      <c r="BX81" s="123"/>
      <c r="BY81" s="123"/>
      <c r="BZ81" s="123"/>
      <c r="CA81" s="123"/>
      <c r="CB81" s="123"/>
      <c r="CC81" s="123"/>
      <c r="CD81" s="123"/>
      <c r="CE81" s="60"/>
      <c r="CF81" s="60"/>
      <c r="CG81" s="123"/>
      <c r="CH81" s="123"/>
      <c r="CI81" s="123"/>
      <c r="CJ81" s="123"/>
      <c r="CK81" s="123"/>
      <c r="CL81" s="123"/>
      <c r="CM81" s="123"/>
      <c r="CN81" s="123"/>
      <c r="CO81" s="123"/>
      <c r="CP81" s="60"/>
      <c r="CQ81" s="123"/>
      <c r="CR81" s="123"/>
      <c r="CS81" s="123"/>
      <c r="CT81" s="123"/>
      <c r="CU81" s="123"/>
      <c r="CV81" s="123"/>
      <c r="CW81" s="123"/>
      <c r="CX81" s="123"/>
      <c r="CY81" s="123"/>
      <c r="CZ81" s="60"/>
      <c r="DA81" s="60"/>
      <c r="DB81" s="60"/>
      <c r="DL81" s="49"/>
      <c r="DM81" s="49"/>
      <c r="DS81" s="60"/>
      <c r="DT81" s="60"/>
      <c r="DU81" s="60"/>
      <c r="EI81" s="49"/>
      <c r="EK81" s="60"/>
      <c r="EL81" s="60"/>
      <c r="EM81" s="97"/>
      <c r="EN81" s="97"/>
      <c r="EO81" s="97"/>
      <c r="EP81" s="97"/>
      <c r="EQ81" s="97"/>
      <c r="ER81" s="97"/>
      <c r="ES81" s="97"/>
      <c r="ET81" s="97"/>
      <c r="EU81" s="97"/>
      <c r="EW81" s="60"/>
      <c r="EX81" s="60"/>
      <c r="EY81" s="60"/>
      <c r="EZ81" s="60"/>
      <c r="FA81" s="60"/>
      <c r="FB81" s="60"/>
      <c r="FC81" s="60"/>
      <c r="FG81" s="60"/>
      <c r="FH81" s="60"/>
      <c r="FI81" s="60"/>
      <c r="FJ81" s="60"/>
      <c r="FK81" s="60"/>
      <c r="FL81" s="60"/>
      <c r="FM81" s="60"/>
      <c r="FN81" s="60"/>
      <c r="FO81" s="60"/>
      <c r="FP81" s="60"/>
      <c r="FQ81" s="60"/>
      <c r="FS81" s="60"/>
      <c r="FT81" s="60"/>
      <c r="FU81" s="60"/>
      <c r="FV81" s="60"/>
      <c r="FW81" s="60"/>
      <c r="FX81" s="60"/>
      <c r="FY81" s="60"/>
      <c r="GR81" s="97"/>
      <c r="GS81" s="97"/>
      <c r="GT81" s="97"/>
      <c r="GU81" s="97"/>
      <c r="GV81" s="97"/>
      <c r="GW81" s="97"/>
      <c r="GX81" s="97"/>
      <c r="GY81" s="97"/>
      <c r="GZ81" s="97"/>
      <c r="HA81" s="97"/>
      <c r="HB81" s="97"/>
      <c r="HG81" s="264"/>
      <c r="HK81" s="264"/>
      <c r="HO81" s="264"/>
      <c r="HX81" s="60"/>
      <c r="HY81" s="60"/>
      <c r="HZ81" s="60"/>
      <c r="IA81" s="60"/>
      <c r="IB81" s="60"/>
      <c r="IC81" s="60"/>
      <c r="ID81" s="60"/>
      <c r="II81" s="60"/>
      <c r="IM81" s="60"/>
      <c r="IN81" s="60"/>
      <c r="IO81" s="60"/>
      <c r="IP81" s="97"/>
      <c r="IU81" s="60"/>
      <c r="IV81" s="49"/>
      <c r="IW81" s="60"/>
      <c r="IX81" s="60"/>
      <c r="IY81" s="60"/>
      <c r="IZ81" s="60"/>
      <c r="JA81" s="60"/>
      <c r="JB81" s="60"/>
      <c r="JC81" s="60"/>
      <c r="JD81" s="60"/>
      <c r="JE81" s="60"/>
      <c r="JF81" s="60"/>
      <c r="JG81" s="60"/>
      <c r="JH81" s="60"/>
      <c r="JI81" s="60"/>
      <c r="JJ81" s="97"/>
      <c r="JK81" s="97"/>
      <c r="JL81" s="97"/>
      <c r="JM81" s="97"/>
      <c r="JN81" s="97"/>
      <c r="JO81" s="97"/>
      <c r="JP81" s="97"/>
      <c r="JQ81" s="97"/>
      <c r="JR81" s="97"/>
      <c r="JS81" s="97"/>
      <c r="JT81" s="97"/>
      <c r="JU81" s="97"/>
      <c r="JV81" s="97"/>
      <c r="JW81" s="97"/>
      <c r="JX81" s="97"/>
      <c r="JY81" s="169"/>
      <c r="KA81" s="60"/>
      <c r="KB81" s="97"/>
      <c r="KC81" s="49"/>
      <c r="KD81" s="49"/>
      <c r="KE81" s="49"/>
      <c r="KF81" s="49"/>
      <c r="KG81" s="49"/>
      <c r="KH81" s="49"/>
      <c r="KQ81" s="60"/>
      <c r="KR81" s="60"/>
      <c r="KS81" s="60"/>
    </row>
    <row r="82" spans="1:305" s="4" customFormat="1" x14ac:dyDescent="0.25">
      <c r="A82" s="14"/>
      <c r="M82" s="32"/>
      <c r="N82" s="32"/>
      <c r="O82" s="32"/>
      <c r="P82" s="32"/>
      <c r="Q82" s="32"/>
      <c r="U82" s="60"/>
      <c r="BD82" s="60"/>
      <c r="BE82" s="60"/>
      <c r="BF82" s="60"/>
      <c r="BK82" s="60"/>
      <c r="BL82" s="123"/>
      <c r="BM82" s="123"/>
      <c r="BN82" s="123"/>
      <c r="BO82" s="123"/>
      <c r="BP82" s="123"/>
      <c r="BQ82" s="123"/>
      <c r="BR82" s="123"/>
      <c r="BS82" s="123"/>
      <c r="BT82" s="123"/>
      <c r="BU82" s="60"/>
      <c r="BV82" s="123"/>
      <c r="BW82" s="123"/>
      <c r="BX82" s="123"/>
      <c r="BY82" s="123"/>
      <c r="BZ82" s="123"/>
      <c r="CA82" s="123"/>
      <c r="CB82" s="123"/>
      <c r="CC82" s="123"/>
      <c r="CD82" s="123"/>
      <c r="CE82" s="60"/>
      <c r="CF82" s="60"/>
      <c r="CG82" s="123"/>
      <c r="CH82" s="123"/>
      <c r="CI82" s="123"/>
      <c r="CJ82" s="123"/>
      <c r="CK82" s="123"/>
      <c r="CL82" s="123"/>
      <c r="CM82" s="123"/>
      <c r="CN82" s="123"/>
      <c r="CO82" s="123"/>
      <c r="CP82" s="60"/>
      <c r="CQ82" s="123"/>
      <c r="CR82" s="123"/>
      <c r="CS82" s="123"/>
      <c r="CT82" s="123"/>
      <c r="CU82" s="123"/>
      <c r="CV82" s="123"/>
      <c r="CW82" s="123"/>
      <c r="CX82" s="123"/>
      <c r="CY82" s="123"/>
      <c r="CZ82" s="60"/>
      <c r="DA82" s="60"/>
      <c r="DB82" s="60"/>
      <c r="DL82" s="49"/>
      <c r="DM82" s="49"/>
      <c r="DS82" s="60"/>
      <c r="DT82" s="60"/>
      <c r="DU82" s="60"/>
      <c r="EI82" s="49"/>
      <c r="EK82" s="60"/>
      <c r="EL82" s="60"/>
      <c r="EM82" s="97"/>
      <c r="EN82" s="97"/>
      <c r="EO82" s="97"/>
      <c r="EP82" s="97"/>
      <c r="EQ82" s="97"/>
      <c r="ER82" s="97"/>
      <c r="ES82" s="97"/>
      <c r="ET82" s="97"/>
      <c r="EU82" s="97"/>
      <c r="EW82" s="60"/>
      <c r="EX82" s="60"/>
      <c r="EY82" s="60"/>
      <c r="EZ82" s="60"/>
      <c r="FA82" s="60"/>
      <c r="FB82" s="60"/>
      <c r="FC82" s="60"/>
      <c r="FG82" s="60"/>
      <c r="FH82" s="60"/>
      <c r="FI82" s="60"/>
      <c r="FJ82" s="60"/>
      <c r="FK82" s="60"/>
      <c r="FL82" s="60"/>
      <c r="FM82" s="60"/>
      <c r="FN82" s="60"/>
      <c r="FO82" s="60"/>
      <c r="FP82" s="60"/>
      <c r="FQ82" s="60"/>
      <c r="FS82" s="60"/>
      <c r="FT82" s="60"/>
      <c r="FU82" s="60"/>
      <c r="FV82" s="60"/>
      <c r="FW82" s="60"/>
      <c r="FX82" s="60"/>
      <c r="FY82" s="60"/>
      <c r="GR82" s="97"/>
      <c r="GS82" s="97"/>
      <c r="GT82" s="97"/>
      <c r="GU82" s="97"/>
      <c r="GV82" s="97"/>
      <c r="GW82" s="97"/>
      <c r="GX82" s="97"/>
      <c r="GY82" s="97"/>
      <c r="GZ82" s="97"/>
      <c r="HA82" s="97"/>
      <c r="HB82" s="97"/>
      <c r="HG82" s="264"/>
      <c r="HK82" s="264"/>
      <c r="HO82" s="264"/>
      <c r="HX82" s="60"/>
      <c r="HY82" s="60"/>
      <c r="HZ82" s="60"/>
      <c r="IA82" s="60"/>
      <c r="IB82" s="60"/>
      <c r="IC82" s="60"/>
      <c r="ID82" s="60"/>
      <c r="IM82" s="60"/>
      <c r="IN82" s="60"/>
      <c r="IO82" s="60"/>
      <c r="IP82" s="97"/>
      <c r="IU82" s="60"/>
      <c r="IV82" s="49"/>
      <c r="IW82" s="60"/>
      <c r="IX82" s="60"/>
      <c r="IY82" s="60"/>
      <c r="IZ82" s="60"/>
      <c r="JA82" s="60"/>
      <c r="JB82" s="60"/>
      <c r="JC82" s="60"/>
      <c r="JD82" s="60"/>
      <c r="JE82" s="60"/>
      <c r="JF82" s="60"/>
      <c r="JG82" s="60"/>
      <c r="JH82" s="60"/>
      <c r="JI82" s="60"/>
      <c r="JJ82" s="97"/>
      <c r="JK82" s="97"/>
      <c r="JL82" s="97"/>
      <c r="JM82" s="97"/>
      <c r="JN82" s="97"/>
      <c r="JO82" s="97"/>
      <c r="JP82" s="97"/>
      <c r="JQ82" s="97"/>
      <c r="JR82" s="97"/>
      <c r="JS82" s="97"/>
      <c r="JT82" s="97"/>
      <c r="JU82" s="97"/>
      <c r="JV82" s="97"/>
      <c r="JW82" s="97"/>
      <c r="JX82" s="97"/>
      <c r="JY82" s="169"/>
      <c r="KA82" s="60"/>
      <c r="KB82" s="97"/>
      <c r="KC82" s="49"/>
      <c r="KD82" s="49"/>
      <c r="KE82" s="49"/>
      <c r="KF82" s="49"/>
      <c r="KG82" s="49"/>
      <c r="KH82" s="49"/>
      <c r="KQ82" s="60"/>
      <c r="KR82" s="60"/>
      <c r="KS82" s="60"/>
    </row>
    <row r="83" spans="1:305" s="4" customFormat="1" ht="14.4" x14ac:dyDescent="0.3">
      <c r="A83" s="13"/>
      <c r="M83" s="32"/>
      <c r="N83" s="32"/>
      <c r="O83" s="32"/>
      <c r="P83" s="32"/>
      <c r="Q83" s="32"/>
      <c r="U83" s="60"/>
      <c r="BD83" s="60"/>
      <c r="BE83" s="60"/>
      <c r="BF83" s="60"/>
      <c r="BK83" s="60"/>
      <c r="BL83" s="123"/>
      <c r="BM83" s="123"/>
      <c r="BN83" s="123"/>
      <c r="BO83" s="123"/>
      <c r="BP83" s="123"/>
      <c r="BQ83" s="123"/>
      <c r="BR83" s="123"/>
      <c r="BS83" s="123"/>
      <c r="BT83" s="123"/>
      <c r="BU83" s="60"/>
      <c r="BV83" s="123"/>
      <c r="BW83" s="123"/>
      <c r="BX83" s="123"/>
      <c r="BY83" s="123"/>
      <c r="BZ83" s="123"/>
      <c r="CA83" s="123"/>
      <c r="CB83" s="123"/>
      <c r="CC83" s="123"/>
      <c r="CD83" s="123"/>
      <c r="CE83" s="60"/>
      <c r="CF83" s="60"/>
      <c r="CG83" s="123"/>
      <c r="CH83" s="123"/>
      <c r="CI83" s="123"/>
      <c r="CJ83" s="123"/>
      <c r="CK83" s="123"/>
      <c r="CL83" s="123"/>
      <c r="CM83" s="123"/>
      <c r="CN83" s="123"/>
      <c r="CO83" s="123"/>
      <c r="CP83" s="60"/>
      <c r="CQ83" s="123"/>
      <c r="CR83" s="123"/>
      <c r="CS83" s="123"/>
      <c r="CT83" s="123"/>
      <c r="CU83" s="123"/>
      <c r="CV83" s="123"/>
      <c r="CW83" s="123"/>
      <c r="CX83" s="123"/>
      <c r="CY83" s="123"/>
      <c r="CZ83" s="60"/>
      <c r="DA83" s="60"/>
      <c r="DB83" s="60"/>
      <c r="DL83" s="49"/>
      <c r="DM83" s="49"/>
      <c r="DS83" s="60"/>
      <c r="DT83" s="60"/>
      <c r="DU83" s="60"/>
      <c r="EI83" s="49"/>
      <c r="EK83" s="60"/>
      <c r="EL83" s="60"/>
      <c r="EM83" s="97"/>
      <c r="EN83" s="97"/>
      <c r="EO83" s="97"/>
      <c r="EP83" s="97"/>
      <c r="EQ83" s="97"/>
      <c r="ER83" s="97"/>
      <c r="ES83" s="97"/>
      <c r="ET83" s="97"/>
      <c r="EU83" s="97"/>
      <c r="EW83" s="60"/>
      <c r="EX83" s="60"/>
      <c r="EY83" s="60"/>
      <c r="EZ83" s="60"/>
      <c r="FA83" s="60"/>
      <c r="FB83" s="60"/>
      <c r="FC83" s="60"/>
      <c r="FG83" s="60"/>
      <c r="FH83" s="60"/>
      <c r="FI83" s="60"/>
      <c r="FJ83" s="60"/>
      <c r="FK83" s="60"/>
      <c r="FL83" s="60"/>
      <c r="FM83" s="60"/>
      <c r="FN83" s="60"/>
      <c r="FO83" s="60"/>
      <c r="FP83" s="60"/>
      <c r="FQ83" s="60"/>
      <c r="FS83" s="60"/>
      <c r="FT83" s="60"/>
      <c r="FU83" s="60"/>
      <c r="FV83" s="60"/>
      <c r="FW83" s="60"/>
      <c r="FX83" s="60"/>
      <c r="FY83" s="60"/>
      <c r="GR83" s="97"/>
      <c r="GS83" s="97"/>
      <c r="GT83" s="97"/>
      <c r="GU83" s="97"/>
      <c r="GV83" s="97"/>
      <c r="GW83" s="97"/>
      <c r="GX83" s="97"/>
      <c r="GY83" s="97"/>
      <c r="GZ83" s="97"/>
      <c r="HA83" s="97"/>
      <c r="HB83" s="97"/>
      <c r="HG83" s="264"/>
      <c r="HK83" s="264"/>
      <c r="HO83" s="264"/>
      <c r="HX83" s="60"/>
      <c r="HY83" s="60"/>
      <c r="HZ83" s="60"/>
      <c r="IA83" s="60"/>
      <c r="IB83" s="60"/>
      <c r="IC83" s="60"/>
      <c r="ID83" s="60"/>
      <c r="IM83" s="60"/>
      <c r="IN83" s="60"/>
      <c r="IO83" s="60"/>
      <c r="IP83" s="97"/>
      <c r="IU83" s="60"/>
      <c r="IV83" s="49"/>
      <c r="IW83" s="60"/>
      <c r="IX83" s="60"/>
      <c r="IY83" s="60"/>
      <c r="IZ83" s="60"/>
      <c r="JA83" s="60"/>
      <c r="JB83" s="60"/>
      <c r="JC83" s="60"/>
      <c r="JD83" s="60"/>
      <c r="JE83" s="60"/>
      <c r="JF83" s="60"/>
      <c r="JG83" s="60"/>
      <c r="JH83" s="60"/>
      <c r="JI83" s="60"/>
      <c r="JJ83" s="97"/>
      <c r="JK83" s="97"/>
      <c r="JL83" s="97"/>
      <c r="JM83" s="97"/>
      <c r="JN83" s="97"/>
      <c r="JO83" s="97"/>
      <c r="JP83" s="97"/>
      <c r="JQ83" s="97"/>
      <c r="JR83" s="97"/>
      <c r="JS83" s="97"/>
      <c r="JT83" s="97"/>
      <c r="JU83" s="97"/>
      <c r="JV83" s="97"/>
      <c r="JW83" s="97"/>
      <c r="JX83" s="97"/>
      <c r="JY83" s="169"/>
      <c r="KA83" s="60"/>
      <c r="KB83" s="97"/>
      <c r="KC83" s="49"/>
      <c r="KD83" s="49"/>
      <c r="KE83" s="49"/>
      <c r="KF83" s="49"/>
      <c r="KG83" s="49"/>
      <c r="KH83" s="49"/>
      <c r="KQ83" s="60"/>
      <c r="KR83" s="60"/>
      <c r="KS83" s="60"/>
    </row>
    <row r="84" spans="1:305" x14ac:dyDescent="0.25">
      <c r="A84" s="14"/>
    </row>
    <row r="85" spans="1:305" x14ac:dyDescent="0.25">
      <c r="A85" s="14"/>
    </row>
    <row r="86" spans="1:305" x14ac:dyDescent="0.25">
      <c r="A86" s="14"/>
    </row>
    <row r="87" spans="1:305" x14ac:dyDescent="0.25">
      <c r="A87" s="14"/>
    </row>
    <row r="88" spans="1:305" x14ac:dyDescent="0.25">
      <c r="A88" s="14"/>
    </row>
    <row r="89" spans="1:305" x14ac:dyDescent="0.25">
      <c r="A89" s="14"/>
    </row>
    <row r="90" spans="1:305" x14ac:dyDescent="0.25">
      <c r="A90" s="14"/>
    </row>
    <row r="91" spans="1:305" x14ac:dyDescent="0.25">
      <c r="A91" s="14"/>
    </row>
    <row r="92" spans="1:305" x14ac:dyDescent="0.25">
      <c r="A92" s="14"/>
    </row>
    <row r="93" spans="1:305" x14ac:dyDescent="0.25">
      <c r="A93" s="14"/>
    </row>
    <row r="94" spans="1:305" x14ac:dyDescent="0.25">
      <c r="A94" s="14"/>
    </row>
    <row r="95" spans="1:305" x14ac:dyDescent="0.25">
      <c r="A95" s="14"/>
    </row>
    <row r="96" spans="1:305" x14ac:dyDescent="0.25">
      <c r="A96" s="14"/>
    </row>
    <row r="97" spans="1:1" x14ac:dyDescent="0.25">
      <c r="A97" s="14"/>
    </row>
    <row r="98" spans="1:1" x14ac:dyDescent="0.25">
      <c r="A98" s="14"/>
    </row>
    <row r="99" spans="1:1" x14ac:dyDescent="0.25">
      <c r="A99" s="14"/>
    </row>
    <row r="100" spans="1:1" x14ac:dyDescent="0.25">
      <c r="A100" s="14"/>
    </row>
    <row r="101" spans="1:1" x14ac:dyDescent="0.25">
      <c r="A101" s="14"/>
    </row>
    <row r="102" spans="1:1" x14ac:dyDescent="0.25">
      <c r="A102" s="14"/>
    </row>
    <row r="103" spans="1:1" x14ac:dyDescent="0.25">
      <c r="A103" s="14"/>
    </row>
    <row r="104" spans="1:1" x14ac:dyDescent="0.25">
      <c r="A104" s="14"/>
    </row>
    <row r="105" spans="1:1" x14ac:dyDescent="0.25">
      <c r="A105" s="14"/>
    </row>
    <row r="106" spans="1:1" x14ac:dyDescent="0.25">
      <c r="A106" s="14"/>
    </row>
    <row r="107" spans="1:1" x14ac:dyDescent="0.25">
      <c r="A107" s="14"/>
    </row>
    <row r="108" spans="1:1" x14ac:dyDescent="0.25">
      <c r="A108" s="14"/>
    </row>
    <row r="109" spans="1:1" x14ac:dyDescent="0.25">
      <c r="A109" s="14"/>
    </row>
    <row r="110" spans="1:1" x14ac:dyDescent="0.25">
      <c r="A110" s="14"/>
    </row>
    <row r="111" spans="1:1" x14ac:dyDescent="0.25">
      <c r="A111" s="14"/>
    </row>
    <row r="112" spans="1:1" x14ac:dyDescent="0.25">
      <c r="A112" s="14"/>
    </row>
    <row r="113" spans="1:1" x14ac:dyDescent="0.25">
      <c r="A113" s="14"/>
    </row>
    <row r="114" spans="1:1" x14ac:dyDescent="0.25">
      <c r="A114" s="14"/>
    </row>
    <row r="115" spans="1:1" x14ac:dyDescent="0.25">
      <c r="A115" s="14"/>
    </row>
    <row r="116" spans="1:1" x14ac:dyDescent="0.25">
      <c r="A116" s="14"/>
    </row>
    <row r="117" spans="1:1" x14ac:dyDescent="0.25">
      <c r="A117" s="14"/>
    </row>
    <row r="118" spans="1:1" x14ac:dyDescent="0.25">
      <c r="A118" s="14"/>
    </row>
    <row r="119" spans="1:1" x14ac:dyDescent="0.25">
      <c r="A119" s="14"/>
    </row>
    <row r="120" spans="1:1" x14ac:dyDescent="0.25">
      <c r="A120" s="14"/>
    </row>
    <row r="121" spans="1:1" x14ac:dyDescent="0.25">
      <c r="A121" s="14"/>
    </row>
    <row r="122" spans="1:1" x14ac:dyDescent="0.25">
      <c r="A122" s="14"/>
    </row>
    <row r="123" spans="1:1" x14ac:dyDescent="0.25">
      <c r="A123" s="14"/>
    </row>
    <row r="124" spans="1:1" x14ac:dyDescent="0.25">
      <c r="A124" s="14"/>
    </row>
    <row r="125" spans="1:1" x14ac:dyDescent="0.25">
      <c r="A125" s="14"/>
    </row>
    <row r="126" spans="1:1" x14ac:dyDescent="0.25">
      <c r="A126" s="14"/>
    </row>
    <row r="127" spans="1:1" x14ac:dyDescent="0.25">
      <c r="A127" s="14"/>
    </row>
    <row r="128" spans="1:1" x14ac:dyDescent="0.25">
      <c r="A128" s="14"/>
    </row>
    <row r="129" spans="1:1" x14ac:dyDescent="0.25">
      <c r="A129" s="14"/>
    </row>
    <row r="130" spans="1:1" x14ac:dyDescent="0.25">
      <c r="A130" s="14"/>
    </row>
    <row r="131" spans="1:1" x14ac:dyDescent="0.25">
      <c r="A131" s="14"/>
    </row>
    <row r="132" spans="1:1" x14ac:dyDescent="0.25">
      <c r="A132" s="14"/>
    </row>
    <row r="133" spans="1:1" x14ac:dyDescent="0.25">
      <c r="A133" s="14"/>
    </row>
    <row r="134" spans="1:1" x14ac:dyDescent="0.25">
      <c r="A134" s="14"/>
    </row>
    <row r="135" spans="1:1" x14ac:dyDescent="0.25">
      <c r="A135" s="14"/>
    </row>
    <row r="136" spans="1:1" x14ac:dyDescent="0.25">
      <c r="A136" s="14"/>
    </row>
    <row r="137" spans="1:1" x14ac:dyDescent="0.25">
      <c r="A137" s="14"/>
    </row>
    <row r="138" spans="1:1" x14ac:dyDescent="0.25">
      <c r="A138" s="14"/>
    </row>
    <row r="139" spans="1:1" x14ac:dyDescent="0.25">
      <c r="A139" s="14"/>
    </row>
    <row r="140" spans="1:1" x14ac:dyDescent="0.25">
      <c r="A140" s="14"/>
    </row>
    <row r="141" spans="1:1" x14ac:dyDescent="0.25">
      <c r="A141" s="14"/>
    </row>
    <row r="142" spans="1:1" x14ac:dyDescent="0.25">
      <c r="A142" s="14"/>
    </row>
    <row r="143" spans="1:1" x14ac:dyDescent="0.25">
      <c r="A143" s="14"/>
    </row>
    <row r="144" spans="1:1" x14ac:dyDescent="0.25">
      <c r="A144" s="14"/>
    </row>
    <row r="145" spans="1:1" x14ac:dyDescent="0.25">
      <c r="A145" s="14"/>
    </row>
    <row r="146" spans="1:1" x14ac:dyDescent="0.25">
      <c r="A146" s="14"/>
    </row>
    <row r="147" spans="1:1" x14ac:dyDescent="0.25">
      <c r="A147" s="14"/>
    </row>
    <row r="148" spans="1:1" x14ac:dyDescent="0.25">
      <c r="A148" s="14"/>
    </row>
    <row r="149" spans="1:1" x14ac:dyDescent="0.25">
      <c r="A149" s="14"/>
    </row>
    <row r="150" spans="1:1" x14ac:dyDescent="0.25">
      <c r="A150" s="14"/>
    </row>
    <row r="151" spans="1:1" x14ac:dyDescent="0.25">
      <c r="A151" s="14"/>
    </row>
    <row r="152" spans="1:1" x14ac:dyDescent="0.25">
      <c r="A152" s="14"/>
    </row>
    <row r="153" spans="1:1" x14ac:dyDescent="0.25">
      <c r="A153" s="14"/>
    </row>
    <row r="154" spans="1:1" x14ac:dyDescent="0.25">
      <c r="A154" s="14"/>
    </row>
    <row r="155" spans="1:1" x14ac:dyDescent="0.25">
      <c r="A155" s="14"/>
    </row>
    <row r="156" spans="1:1" x14ac:dyDescent="0.25">
      <c r="A156" s="14"/>
    </row>
    <row r="157" spans="1:1" x14ac:dyDescent="0.25">
      <c r="A157" s="14"/>
    </row>
    <row r="158" spans="1:1" x14ac:dyDescent="0.25">
      <c r="A158" s="14"/>
    </row>
    <row r="159" spans="1:1" x14ac:dyDescent="0.25">
      <c r="A159" s="14"/>
    </row>
    <row r="160" spans="1:1" x14ac:dyDescent="0.25">
      <c r="A160" s="14"/>
    </row>
    <row r="161" spans="1:1" x14ac:dyDescent="0.25">
      <c r="A161" s="14"/>
    </row>
    <row r="162" spans="1:1" x14ac:dyDescent="0.25">
      <c r="A162" s="14"/>
    </row>
    <row r="163" spans="1:1" x14ac:dyDescent="0.25">
      <c r="A163" s="14"/>
    </row>
    <row r="164" spans="1:1" x14ac:dyDescent="0.25">
      <c r="A164" s="14"/>
    </row>
  </sheetData>
  <printOptions gridLines="1"/>
  <pageMargins left="0.31496062992125984" right="0.31496062992125984" top="0.35433070866141736" bottom="0.35433070866141736" header="0.31496062992125984" footer="0.31496062992125984"/>
  <pageSetup paperSize="8" scale="80" orientation="landscape"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2"/>
  <dimension ref="A1:HJ164"/>
  <sheetViews>
    <sheetView workbookViewId="0">
      <pane xSplit="1" ySplit="6" topLeftCell="B7" activePane="bottomRight" state="frozen"/>
      <selection activeCell="B24" sqref="B24"/>
      <selection pane="topRight" activeCell="B24" sqref="B24"/>
      <selection pane="bottomLeft" activeCell="B24" sqref="B24"/>
      <selection pane="bottomRight" activeCell="B7" sqref="B7"/>
    </sheetView>
  </sheetViews>
  <sheetFormatPr defaultColWidth="9.109375" defaultRowHeight="12" x14ac:dyDescent="0.25"/>
  <cols>
    <col min="1" max="1" width="27.6640625" style="37" customWidth="1"/>
    <col min="2" max="5" width="5.6640625" style="37" customWidth="1"/>
    <col min="6" max="14" width="5.33203125" style="37" customWidth="1"/>
    <col min="15" max="15" width="5.33203125" style="74" customWidth="1"/>
    <col min="16" max="16" width="5.33203125" style="37" customWidth="1"/>
    <col min="17" max="17" width="6.109375" style="37" customWidth="1"/>
    <col min="18" max="49" width="5.33203125" style="37" customWidth="1"/>
    <col min="50" max="52" width="4.6640625" style="74" customWidth="1"/>
    <col min="53" max="58" width="4.6640625" style="37" customWidth="1"/>
    <col min="59" max="64" width="4.6640625" style="74" customWidth="1"/>
    <col min="65" max="67" width="4.6640625" style="37" customWidth="1"/>
    <col min="68" max="68" width="6.109375" style="37" customWidth="1"/>
    <col min="69" max="71" width="4.6640625" style="37" customWidth="1"/>
    <col min="72" max="73" width="6.109375" style="37" customWidth="1"/>
    <col min="74" max="76" width="5.6640625" style="37" customWidth="1"/>
    <col min="77" max="78" width="6.109375" style="37" customWidth="1"/>
    <col min="79" max="81" width="4.6640625" style="74" customWidth="1"/>
    <col min="82" max="90" width="4.6640625" style="37" customWidth="1"/>
    <col min="91" max="91" width="6.6640625" style="37" customWidth="1"/>
    <col min="92" max="93" width="7.33203125" style="37" customWidth="1"/>
    <col min="94" max="96" width="4.6640625" style="37" customWidth="1"/>
    <col min="97" max="98" width="6.6640625" style="37" customWidth="1"/>
    <col min="99" max="99" width="6.6640625" style="115" customWidth="1"/>
    <col min="100" max="101" width="6.6640625" style="37" customWidth="1"/>
    <col min="102" max="102" width="5.6640625" style="37" customWidth="1"/>
    <col min="103" max="120" width="4.6640625" style="37" customWidth="1"/>
    <col min="121" max="127" width="4.6640625" style="74" customWidth="1"/>
    <col min="128" max="135" width="4.6640625" style="37" customWidth="1"/>
    <col min="136" max="138" width="7.6640625" style="74" customWidth="1"/>
    <col min="139" max="139" width="5.6640625" style="115" customWidth="1"/>
    <col min="140" max="143" width="5.33203125" style="37" customWidth="1"/>
    <col min="144" max="144" width="7.6640625" style="74" customWidth="1"/>
    <col min="145" max="145" width="5.33203125" style="54" customWidth="1"/>
    <col min="146" max="146" width="5.33203125" style="74" customWidth="1"/>
    <col min="147" max="147" width="5.6640625" style="74" customWidth="1"/>
    <col min="148" max="151" width="6.6640625" style="74" customWidth="1"/>
    <col min="152" max="153" width="5.33203125" style="74" customWidth="1"/>
    <col min="154" max="154" width="5.6640625" style="74" customWidth="1"/>
    <col min="155" max="158" width="6.6640625" style="74" customWidth="1"/>
    <col min="159" max="167" width="6.6640625" style="115" customWidth="1"/>
    <col min="168" max="168" width="4.6640625" style="115" customWidth="1"/>
    <col min="169" max="173" width="6.6640625" style="115" customWidth="1"/>
    <col min="174" max="174" width="5.33203125" style="443" customWidth="1"/>
    <col min="175" max="175" width="5.33203125" style="37" customWidth="1"/>
    <col min="176" max="176" width="5.33203125" style="74" customWidth="1"/>
    <col min="177" max="177" width="5.33203125" style="115" customWidth="1"/>
    <col min="178" max="183" width="4.6640625" style="54" customWidth="1"/>
    <col min="184" max="191" width="7.33203125" style="37" customWidth="1"/>
    <col min="192" max="194" width="5.33203125" style="74" customWidth="1"/>
    <col min="195" max="209" width="5.33203125" style="37" customWidth="1"/>
    <col min="210" max="296" width="5.6640625" style="37" customWidth="1"/>
    <col min="297" max="16384" width="9.109375" style="37"/>
  </cols>
  <sheetData>
    <row r="1" spans="1:218" s="17" customFormat="1" ht="20.100000000000001" customHeight="1" x14ac:dyDescent="0.3">
      <c r="A1" s="17" t="s">
        <v>993</v>
      </c>
      <c r="L1" s="58"/>
      <c r="M1" s="58"/>
      <c r="N1" s="58"/>
      <c r="O1" s="58"/>
      <c r="AX1" s="271"/>
      <c r="AY1" s="271"/>
      <c r="AZ1" s="271"/>
      <c r="BA1" s="565"/>
      <c r="BB1" s="565"/>
      <c r="BC1" s="565"/>
      <c r="BG1" s="58"/>
      <c r="BH1" s="58"/>
      <c r="BI1" s="58"/>
      <c r="BJ1" s="271"/>
      <c r="BK1" s="271"/>
      <c r="BL1" s="271"/>
      <c r="BR1" s="113"/>
      <c r="BS1" s="113"/>
      <c r="BU1" s="566"/>
      <c r="BV1" s="58"/>
      <c r="BW1" s="113"/>
      <c r="BZ1" s="58"/>
      <c r="CA1" s="58"/>
      <c r="CB1" s="58"/>
      <c r="CC1" s="58"/>
      <c r="CD1" s="58"/>
      <c r="CE1" s="58"/>
      <c r="CF1" s="58"/>
      <c r="CG1" s="58"/>
      <c r="CH1" s="58"/>
      <c r="CI1" s="58"/>
      <c r="CJ1" s="58"/>
      <c r="CK1" s="58"/>
      <c r="CL1" s="58"/>
      <c r="CM1" s="58"/>
      <c r="CN1" s="58"/>
      <c r="CO1" s="58"/>
      <c r="CP1" s="58"/>
      <c r="CQ1" s="513"/>
      <c r="CR1" s="58"/>
      <c r="CU1" s="271"/>
      <c r="DK1" s="513"/>
      <c r="DL1" s="513"/>
      <c r="DM1" s="513"/>
      <c r="DN1" s="513"/>
      <c r="DO1" s="58"/>
      <c r="DP1" s="58"/>
      <c r="DQ1" s="58"/>
      <c r="DR1" s="58"/>
      <c r="DS1" s="58"/>
      <c r="DT1" s="58"/>
      <c r="DU1" s="58"/>
      <c r="DV1" s="58"/>
      <c r="EI1" s="271"/>
      <c r="EJ1" s="58"/>
      <c r="EK1" s="58"/>
      <c r="EL1" s="58"/>
      <c r="EM1" s="58"/>
      <c r="EN1" s="58"/>
      <c r="EP1" s="58"/>
      <c r="EQ1" s="58"/>
      <c r="ER1" s="58"/>
      <c r="ES1" s="58"/>
      <c r="ET1" s="58"/>
      <c r="EU1" s="58"/>
      <c r="EV1" s="58"/>
      <c r="EW1" s="58"/>
      <c r="EX1" s="58"/>
      <c r="EY1" s="58"/>
      <c r="EZ1" s="58"/>
      <c r="FA1" s="58"/>
      <c r="FB1" s="58"/>
      <c r="FC1" s="271"/>
      <c r="FD1" s="271"/>
      <c r="FE1" s="271"/>
      <c r="FF1" s="271"/>
      <c r="FG1" s="271"/>
      <c r="FH1" s="271"/>
      <c r="FI1" s="271"/>
      <c r="FJ1" s="271"/>
      <c r="FK1" s="271"/>
      <c r="FL1" s="271"/>
      <c r="FM1" s="58"/>
      <c r="FN1" s="58"/>
      <c r="FO1" s="58"/>
      <c r="FP1" s="58"/>
      <c r="FQ1" s="58"/>
      <c r="FR1" s="58"/>
      <c r="FS1" s="58"/>
      <c r="FT1" s="58"/>
      <c r="FU1" s="271"/>
      <c r="FV1" s="95"/>
      <c r="FW1" s="95"/>
      <c r="FY1" s="95"/>
      <c r="FZ1" s="95"/>
      <c r="GA1" s="95"/>
      <c r="GC1" s="58"/>
      <c r="GD1" s="58"/>
      <c r="GE1" s="58"/>
      <c r="GG1" s="58"/>
      <c r="GI1" s="58"/>
      <c r="GJ1" s="58"/>
      <c r="GK1" s="58"/>
      <c r="GL1" s="58"/>
      <c r="GS1" s="513"/>
      <c r="GT1" s="513"/>
      <c r="GU1" s="513"/>
      <c r="GV1" s="58"/>
      <c r="GW1" s="58"/>
      <c r="GX1" s="58"/>
      <c r="GY1" s="58"/>
      <c r="GZ1" s="58"/>
      <c r="HA1" s="58"/>
    </row>
    <row r="2" spans="1:218" s="19" customFormat="1" ht="18" customHeight="1" x14ac:dyDescent="0.3">
      <c r="A2" s="19" t="s">
        <v>87</v>
      </c>
      <c r="B2" s="18" t="s">
        <v>38</v>
      </c>
      <c r="C2" s="18"/>
      <c r="D2" s="18"/>
      <c r="E2" s="18"/>
      <c r="F2" s="18" t="s">
        <v>64</v>
      </c>
      <c r="G2" s="18"/>
      <c r="H2" s="18"/>
      <c r="I2" s="18"/>
      <c r="J2" s="18"/>
      <c r="K2" s="18"/>
      <c r="L2" s="18" t="s">
        <v>337</v>
      </c>
      <c r="M2" s="18"/>
      <c r="N2" s="18"/>
      <c r="O2" s="18" t="s">
        <v>483</v>
      </c>
      <c r="P2" s="18"/>
      <c r="Q2" s="18"/>
      <c r="R2" s="18"/>
      <c r="S2" s="18"/>
      <c r="T2" s="18"/>
      <c r="U2" s="18"/>
      <c r="V2" s="18"/>
      <c r="W2" s="18" t="s">
        <v>889</v>
      </c>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t="s">
        <v>871</v>
      </c>
      <c r="AY2" s="18"/>
      <c r="AZ2" s="18"/>
      <c r="BA2" s="18"/>
      <c r="BB2" s="18"/>
      <c r="BC2" s="18"/>
      <c r="BD2" s="18"/>
      <c r="BE2" s="18"/>
      <c r="BF2" s="18"/>
      <c r="BG2" s="18"/>
      <c r="BH2" s="18"/>
      <c r="BI2" s="18"/>
      <c r="BJ2" s="18"/>
      <c r="BK2" s="18"/>
      <c r="BL2" s="18"/>
      <c r="BM2" s="18"/>
      <c r="BN2" s="18"/>
      <c r="BO2" s="18"/>
      <c r="BP2" s="18"/>
      <c r="BQ2" s="18"/>
      <c r="BR2" s="256"/>
      <c r="BS2" s="18"/>
      <c r="BT2" s="18"/>
      <c r="BU2" s="18"/>
      <c r="BV2" s="18"/>
      <c r="BW2" s="18"/>
      <c r="BX2" s="18"/>
      <c r="BY2" s="18"/>
      <c r="BZ2" s="18"/>
      <c r="CA2" s="18"/>
      <c r="CB2" s="18"/>
      <c r="CC2" s="18"/>
      <c r="CD2" s="18"/>
      <c r="CE2" s="18"/>
      <c r="CF2" s="18"/>
      <c r="CG2" s="18"/>
      <c r="CH2" s="18"/>
      <c r="CI2" s="18"/>
      <c r="CJ2" s="18"/>
      <c r="CK2" s="18"/>
      <c r="CL2" s="18"/>
      <c r="CM2" s="18" t="s">
        <v>315</v>
      </c>
      <c r="CN2" s="18"/>
      <c r="CO2" s="18"/>
      <c r="CP2" s="18"/>
      <c r="CQ2" s="18"/>
      <c r="CR2" s="18"/>
      <c r="CS2" s="18" t="s">
        <v>390</v>
      </c>
      <c r="CT2" s="18"/>
      <c r="CU2" s="498"/>
      <c r="CV2" s="18"/>
      <c r="CW2" s="18"/>
      <c r="CX2" s="18"/>
      <c r="CY2" s="515" t="s">
        <v>359</v>
      </c>
      <c r="CZ2" s="515"/>
      <c r="DA2" s="515"/>
      <c r="DB2" s="515"/>
      <c r="DC2" s="515"/>
      <c r="DD2" s="515"/>
      <c r="DE2" s="515"/>
      <c r="DF2" s="515"/>
      <c r="DG2" s="515"/>
      <c r="DH2" s="515"/>
      <c r="DI2" s="515"/>
      <c r="DJ2" s="515"/>
      <c r="DK2" s="515"/>
      <c r="DL2" s="515"/>
      <c r="DM2" s="515"/>
      <c r="DN2" s="515"/>
      <c r="DO2" s="515"/>
      <c r="DP2" s="515"/>
      <c r="DQ2" s="515"/>
      <c r="DR2" s="515"/>
      <c r="DS2" s="515"/>
      <c r="DT2" s="515"/>
      <c r="DU2" s="515"/>
      <c r="DV2" s="515"/>
      <c r="DW2" s="517" t="s">
        <v>62</v>
      </c>
      <c r="DX2" s="517"/>
      <c r="DY2" s="517"/>
      <c r="DZ2" s="517"/>
      <c r="EA2" s="517"/>
      <c r="EB2" s="517"/>
      <c r="EC2" s="517"/>
      <c r="ED2" s="517"/>
      <c r="EE2" s="517"/>
      <c r="EF2" s="165" t="s">
        <v>501</v>
      </c>
      <c r="EG2" s="165"/>
      <c r="EH2" s="165"/>
      <c r="EI2" s="568" t="s">
        <v>523</v>
      </c>
      <c r="EJ2" s="568"/>
      <c r="EK2" s="568"/>
      <c r="EL2" s="568"/>
      <c r="EM2" s="568"/>
      <c r="EN2" s="568"/>
      <c r="EO2" s="568"/>
      <c r="EP2" s="568"/>
      <c r="EQ2" s="568"/>
      <c r="ER2" s="568"/>
      <c r="ES2" s="568"/>
      <c r="ET2" s="568"/>
      <c r="EU2" s="568"/>
      <c r="EV2" s="568"/>
      <c r="EW2" s="568"/>
      <c r="EX2" s="568"/>
      <c r="EY2" s="568"/>
      <c r="EZ2" s="568"/>
      <c r="FA2" s="568"/>
      <c r="FB2" s="568"/>
      <c r="FC2" s="569"/>
      <c r="FD2" s="569"/>
      <c r="FE2" s="569"/>
      <c r="FF2" s="569"/>
      <c r="FG2" s="569"/>
      <c r="FH2" s="569"/>
      <c r="FI2" s="569"/>
      <c r="FJ2" s="569"/>
      <c r="FK2" s="569"/>
      <c r="FL2" s="570" t="s">
        <v>430</v>
      </c>
      <c r="FM2" s="478"/>
      <c r="FN2" s="478"/>
      <c r="FO2" s="478"/>
      <c r="FP2" s="478"/>
      <c r="FQ2" s="478"/>
      <c r="FR2" s="478"/>
      <c r="FS2" s="478"/>
      <c r="FT2" s="478"/>
      <c r="FU2" s="478"/>
      <c r="FV2" s="478"/>
      <c r="FW2" s="478"/>
      <c r="FX2" s="478"/>
      <c r="FY2" s="478"/>
      <c r="FZ2" s="478"/>
      <c r="GA2" s="478"/>
      <c r="GB2" s="177"/>
      <c r="GC2" s="177"/>
      <c r="GD2" s="177"/>
      <c r="GE2" s="177"/>
      <c r="GF2" s="177"/>
      <c r="GG2" s="177"/>
      <c r="GH2" s="177"/>
      <c r="GI2" s="177"/>
      <c r="GJ2" s="571" t="s">
        <v>502</v>
      </c>
      <c r="GK2" s="571"/>
      <c r="GL2" s="571"/>
      <c r="GM2" s="571"/>
      <c r="GN2" s="571"/>
      <c r="GO2" s="571"/>
      <c r="GP2" s="571"/>
      <c r="GQ2" s="571"/>
      <c r="GR2" s="571"/>
      <c r="GS2" s="571"/>
      <c r="GT2" s="571"/>
      <c r="GU2" s="571"/>
      <c r="GV2" s="571"/>
      <c r="GW2" s="571"/>
      <c r="GX2" s="571"/>
      <c r="GY2" s="571"/>
      <c r="GZ2" s="571"/>
      <c r="HA2" s="571"/>
      <c r="HB2" s="19" t="s">
        <v>88</v>
      </c>
    </row>
    <row r="3" spans="1:218" s="20" customFormat="1" ht="15" customHeight="1" x14ac:dyDescent="0.3">
      <c r="A3" s="572"/>
      <c r="O3" s="65"/>
      <c r="AX3" s="20" t="s">
        <v>884</v>
      </c>
      <c r="BG3" s="65"/>
      <c r="BH3" s="65"/>
      <c r="BI3" s="65"/>
      <c r="BJ3" s="20" t="s">
        <v>47</v>
      </c>
      <c r="CA3" s="20" t="s">
        <v>876</v>
      </c>
      <c r="CM3" s="20" t="s">
        <v>45</v>
      </c>
      <c r="CS3" s="20" t="s">
        <v>412</v>
      </c>
      <c r="CU3" s="119"/>
      <c r="CV3" s="20" t="s">
        <v>398</v>
      </c>
      <c r="CY3" s="20" t="s">
        <v>513</v>
      </c>
      <c r="DK3" s="20" t="s">
        <v>499</v>
      </c>
      <c r="DQ3" s="65"/>
      <c r="DR3" s="65"/>
      <c r="DS3" s="65"/>
      <c r="DT3" s="65"/>
      <c r="DU3" s="65"/>
      <c r="DV3" s="65"/>
      <c r="EI3" s="65" t="s">
        <v>6</v>
      </c>
      <c r="EJ3" s="65" t="s">
        <v>363</v>
      </c>
      <c r="EK3" s="65"/>
      <c r="EL3" s="65"/>
      <c r="EM3" s="65"/>
      <c r="EO3" s="65"/>
      <c r="EP3" s="65"/>
      <c r="EV3" s="65"/>
      <c r="EW3" s="65"/>
      <c r="EX3" s="65"/>
      <c r="EY3" s="65"/>
      <c r="EZ3" s="65"/>
      <c r="FA3" s="65"/>
      <c r="FB3" s="65"/>
      <c r="FC3" s="119" t="s">
        <v>762</v>
      </c>
      <c r="FD3" s="119"/>
      <c r="FE3" s="119"/>
      <c r="FF3" s="119"/>
      <c r="FG3" s="119"/>
      <c r="FH3" s="119"/>
      <c r="FI3" s="119"/>
      <c r="FJ3" s="119"/>
      <c r="FK3" s="119"/>
      <c r="FL3" s="65" t="s">
        <v>848</v>
      </c>
      <c r="FM3" s="119"/>
      <c r="FN3" s="119"/>
      <c r="FP3" s="119"/>
      <c r="FQ3" s="119"/>
      <c r="FR3" s="65" t="s">
        <v>363</v>
      </c>
      <c r="GJ3" s="20" t="s">
        <v>985</v>
      </c>
      <c r="GK3" s="65"/>
      <c r="GL3" s="65"/>
      <c r="GN3" s="25"/>
      <c r="GO3" s="25"/>
      <c r="GP3" s="25"/>
      <c r="GQ3" s="25"/>
      <c r="GR3" s="25"/>
      <c r="GS3" s="20" t="s">
        <v>499</v>
      </c>
      <c r="GT3" s="25"/>
      <c r="GU3" s="25"/>
      <c r="GW3" s="89"/>
      <c r="GX3" s="89"/>
      <c r="GY3" s="89"/>
      <c r="GZ3" s="89"/>
      <c r="HA3" s="89"/>
    </row>
    <row r="4" spans="1:218" s="25" customFormat="1" ht="15" customHeight="1" x14ac:dyDescent="0.3">
      <c r="A4" s="572"/>
      <c r="B4" s="25" t="s">
        <v>6</v>
      </c>
      <c r="C4" s="25" t="s">
        <v>56</v>
      </c>
      <c r="D4" s="25" t="s">
        <v>57</v>
      </c>
      <c r="F4" s="25" t="s">
        <v>43</v>
      </c>
      <c r="H4" s="25" t="s">
        <v>39</v>
      </c>
      <c r="J4" s="25" t="s">
        <v>40</v>
      </c>
      <c r="L4" s="25" t="s">
        <v>60</v>
      </c>
      <c r="M4" s="25" t="s">
        <v>56</v>
      </c>
      <c r="N4" s="25" t="s">
        <v>57</v>
      </c>
      <c r="O4" s="89" t="s">
        <v>6</v>
      </c>
      <c r="R4" s="25" t="s">
        <v>39</v>
      </c>
      <c r="T4" s="25" t="s">
        <v>40</v>
      </c>
      <c r="W4" s="25" t="s">
        <v>43</v>
      </c>
      <c r="AF4" s="25" t="s">
        <v>39</v>
      </c>
      <c r="AO4" s="25" t="s">
        <v>40</v>
      </c>
      <c r="AX4" s="89" t="s">
        <v>885</v>
      </c>
      <c r="AY4" s="89"/>
      <c r="AZ4" s="89"/>
      <c r="BA4" s="25" t="s">
        <v>875</v>
      </c>
      <c r="BD4" s="25" t="s">
        <v>54</v>
      </c>
      <c r="BG4" s="89" t="s">
        <v>55</v>
      </c>
      <c r="BH4" s="89"/>
      <c r="BI4" s="89"/>
      <c r="BJ4" s="89" t="s">
        <v>885</v>
      </c>
      <c r="BK4" s="89"/>
      <c r="BL4" s="89"/>
      <c r="BM4" s="25" t="s">
        <v>875</v>
      </c>
      <c r="BQ4" s="25" t="s">
        <v>54</v>
      </c>
      <c r="BV4" s="25" t="s">
        <v>55</v>
      </c>
      <c r="CA4" s="89" t="s">
        <v>885</v>
      </c>
      <c r="CB4" s="89"/>
      <c r="CC4" s="89"/>
      <c r="CD4" s="25" t="s">
        <v>875</v>
      </c>
      <c r="CG4" s="25" t="s">
        <v>54</v>
      </c>
      <c r="CJ4" s="25" t="s">
        <v>55</v>
      </c>
      <c r="CM4" s="25" t="s">
        <v>342</v>
      </c>
      <c r="CP4" s="25" t="s">
        <v>43</v>
      </c>
      <c r="CS4" s="25" t="s">
        <v>46</v>
      </c>
      <c r="CT4" s="25" t="s">
        <v>56</v>
      </c>
      <c r="CU4" s="180" t="s">
        <v>58</v>
      </c>
      <c r="CW4" s="25" t="s">
        <v>59</v>
      </c>
      <c r="CY4" s="25" t="s">
        <v>43</v>
      </c>
      <c r="DC4" s="25" t="s">
        <v>54</v>
      </c>
      <c r="DG4" s="25" t="s">
        <v>55</v>
      </c>
      <c r="DK4" s="25" t="s">
        <v>43</v>
      </c>
      <c r="DO4" s="25" t="s">
        <v>54</v>
      </c>
      <c r="DS4" s="25" t="s">
        <v>55</v>
      </c>
      <c r="DU4" s="89"/>
      <c r="DV4" s="89"/>
      <c r="DW4" s="25" t="s">
        <v>43</v>
      </c>
      <c r="DZ4" s="25" t="s">
        <v>54</v>
      </c>
      <c r="EA4" s="89"/>
      <c r="EC4" s="25" t="s">
        <v>55</v>
      </c>
      <c r="EF4" s="25" t="s">
        <v>500</v>
      </c>
      <c r="EI4" s="89" t="s">
        <v>46</v>
      </c>
      <c r="EJ4" s="89" t="s">
        <v>490</v>
      </c>
      <c r="EK4" s="89"/>
      <c r="EL4" s="89"/>
      <c r="EM4" s="89"/>
      <c r="EO4" s="89" t="s">
        <v>54</v>
      </c>
      <c r="EP4" s="89"/>
      <c r="EV4" s="25" t="s">
        <v>55</v>
      </c>
      <c r="EW4" s="89"/>
      <c r="EX4" s="89"/>
      <c r="EY4" s="89"/>
      <c r="EZ4" s="89"/>
      <c r="FA4" s="89"/>
      <c r="FB4" s="89"/>
      <c r="FC4" s="180"/>
      <c r="FD4" s="180"/>
      <c r="FE4" s="180"/>
      <c r="FF4" s="180"/>
      <c r="FG4" s="180"/>
      <c r="FH4" s="180"/>
      <c r="FI4" s="180"/>
      <c r="FJ4" s="180"/>
      <c r="FK4" s="180"/>
      <c r="FL4" s="89" t="s">
        <v>491</v>
      </c>
      <c r="FM4" s="180"/>
      <c r="FN4" s="180"/>
      <c r="FP4" s="180"/>
      <c r="FQ4" s="180"/>
      <c r="FS4" s="89"/>
      <c r="FT4" s="89"/>
      <c r="FU4" s="180"/>
      <c r="FV4" s="178"/>
      <c r="FW4" s="178"/>
      <c r="FX4" s="178"/>
      <c r="FY4" s="178"/>
      <c r="FZ4" s="178"/>
      <c r="GA4" s="178"/>
      <c r="GB4" s="89"/>
      <c r="GC4" s="89"/>
      <c r="GD4" s="89"/>
      <c r="GE4" s="89"/>
      <c r="GF4" s="89"/>
      <c r="GG4" s="89"/>
      <c r="GH4" s="89"/>
      <c r="GI4" s="89"/>
      <c r="GJ4" s="89" t="s">
        <v>43</v>
      </c>
      <c r="GK4" s="89"/>
      <c r="GL4" s="89"/>
      <c r="GM4" s="25" t="s">
        <v>54</v>
      </c>
      <c r="GP4" s="25" t="s">
        <v>58</v>
      </c>
      <c r="GS4" s="89" t="s">
        <v>43</v>
      </c>
      <c r="GT4" s="89"/>
      <c r="GU4" s="89"/>
      <c r="GV4" s="25" t="s">
        <v>54</v>
      </c>
      <c r="GY4" s="25" t="s">
        <v>58</v>
      </c>
      <c r="HB4" s="94" t="s">
        <v>33</v>
      </c>
      <c r="HC4" s="94" t="s">
        <v>127</v>
      </c>
      <c r="HD4" s="94"/>
      <c r="HE4" s="94" t="s">
        <v>130</v>
      </c>
      <c r="HF4" s="94"/>
      <c r="HG4" s="94" t="s">
        <v>16</v>
      </c>
      <c r="HI4" s="94" t="s">
        <v>387</v>
      </c>
    </row>
    <row r="5" spans="1:218" s="94" customFormat="1" ht="15" customHeight="1" x14ac:dyDescent="0.3">
      <c r="A5" s="573"/>
      <c r="O5" s="114"/>
      <c r="W5" s="94" t="s">
        <v>899</v>
      </c>
      <c r="AF5" s="94" t="s">
        <v>899</v>
      </c>
      <c r="AO5" s="94" t="s">
        <v>899</v>
      </c>
      <c r="AX5" s="114"/>
      <c r="AY5" s="114"/>
      <c r="AZ5" s="114"/>
      <c r="BH5" s="114"/>
      <c r="BI5" s="114"/>
      <c r="BJ5" s="114"/>
      <c r="BK5" s="114"/>
      <c r="BL5" s="114"/>
      <c r="BM5" s="94" t="s">
        <v>6</v>
      </c>
      <c r="BN5" s="94" t="s">
        <v>51</v>
      </c>
      <c r="BO5" s="94" t="s">
        <v>44</v>
      </c>
      <c r="BQ5" s="94" t="s">
        <v>6</v>
      </c>
      <c r="BR5" s="94" t="s">
        <v>51</v>
      </c>
      <c r="BS5" s="94" t="s">
        <v>44</v>
      </c>
      <c r="BV5" s="94" t="s">
        <v>6</v>
      </c>
      <c r="BW5" s="94" t="s">
        <v>51</v>
      </c>
      <c r="BX5" s="94" t="s">
        <v>44</v>
      </c>
      <c r="CA5" s="114"/>
      <c r="CB5" s="114"/>
      <c r="CC5" s="114"/>
      <c r="CN5" s="94" t="s">
        <v>51</v>
      </c>
      <c r="CO5" s="94" t="s">
        <v>343</v>
      </c>
      <c r="CU5" s="120"/>
      <c r="CV5" s="114"/>
      <c r="CX5" s="114"/>
      <c r="EC5" s="94" t="s">
        <v>754</v>
      </c>
      <c r="EF5" s="94" t="s">
        <v>6</v>
      </c>
      <c r="EG5" s="94" t="s">
        <v>51</v>
      </c>
      <c r="EH5" s="94" t="s">
        <v>44</v>
      </c>
      <c r="EI5" s="120" t="s">
        <v>2</v>
      </c>
      <c r="EJ5" s="168" t="s">
        <v>753</v>
      </c>
      <c r="EK5" s="114"/>
      <c r="EL5" s="114"/>
      <c r="EM5" s="114"/>
      <c r="EN5" s="114" t="s">
        <v>38</v>
      </c>
      <c r="EO5" s="168" t="s">
        <v>752</v>
      </c>
      <c r="EQ5" s="114" t="s">
        <v>755</v>
      </c>
      <c r="ER5" s="114"/>
      <c r="ES5" s="114"/>
      <c r="ET5" s="114"/>
      <c r="EU5" s="114" t="s">
        <v>761</v>
      </c>
      <c r="EV5" s="168" t="s">
        <v>752</v>
      </c>
      <c r="EX5" s="114" t="s">
        <v>755</v>
      </c>
      <c r="FB5" s="114" t="s">
        <v>761</v>
      </c>
      <c r="FC5" s="94" t="s">
        <v>749</v>
      </c>
      <c r="FD5" s="120"/>
      <c r="FE5" s="120"/>
      <c r="FF5" s="94" t="s">
        <v>362</v>
      </c>
      <c r="FG5" s="120"/>
      <c r="FH5" s="120"/>
      <c r="FI5" s="120" t="s">
        <v>269</v>
      </c>
      <c r="FJ5" s="120"/>
      <c r="FK5" s="120"/>
      <c r="FL5" s="120" t="s">
        <v>2</v>
      </c>
      <c r="FM5" s="114" t="s">
        <v>414</v>
      </c>
      <c r="FN5" s="114" t="s">
        <v>415</v>
      </c>
      <c r="FO5" s="114" t="s">
        <v>849</v>
      </c>
      <c r="FP5" s="114" t="s">
        <v>850</v>
      </c>
      <c r="FQ5" s="114" t="s">
        <v>853</v>
      </c>
      <c r="FR5" s="168" t="s">
        <v>273</v>
      </c>
      <c r="FS5" s="65"/>
      <c r="FT5" s="65"/>
      <c r="FU5" s="119"/>
      <c r="FV5" s="95" t="s">
        <v>417</v>
      </c>
      <c r="FW5" s="95"/>
      <c r="FX5" s="95" t="s">
        <v>418</v>
      </c>
      <c r="FY5" s="95"/>
      <c r="FZ5" s="95" t="s">
        <v>416</v>
      </c>
      <c r="GA5" s="95"/>
      <c r="GB5" s="114" t="s">
        <v>414</v>
      </c>
      <c r="GC5" s="114"/>
      <c r="GD5" s="114" t="s">
        <v>415</v>
      </c>
      <c r="GE5" s="114"/>
      <c r="GF5" s="114" t="s">
        <v>531</v>
      </c>
      <c r="GG5" s="114"/>
      <c r="GH5" s="114" t="s">
        <v>532</v>
      </c>
      <c r="GI5" s="114"/>
    </row>
    <row r="6" spans="1:218" s="4" customFormat="1" ht="84" customHeight="1" x14ac:dyDescent="0.25">
      <c r="A6" s="49"/>
      <c r="B6" s="4" t="s">
        <v>53</v>
      </c>
      <c r="C6" s="4" t="s">
        <v>53</v>
      </c>
      <c r="D6" s="4" t="s">
        <v>53</v>
      </c>
      <c r="E6" s="4" t="s">
        <v>339</v>
      </c>
      <c r="F6" s="4" t="s">
        <v>49</v>
      </c>
      <c r="G6" s="4" t="s">
        <v>42</v>
      </c>
      <c r="H6" s="4" t="s">
        <v>49</v>
      </c>
      <c r="I6" s="4" t="s">
        <v>42</v>
      </c>
      <c r="J6" s="4" t="s">
        <v>49</v>
      </c>
      <c r="K6" s="4" t="s">
        <v>42</v>
      </c>
      <c r="L6" s="4" t="s">
        <v>336</v>
      </c>
      <c r="M6" s="4" t="s">
        <v>336</v>
      </c>
      <c r="N6" s="4" t="s">
        <v>336</v>
      </c>
      <c r="O6" s="60" t="s">
        <v>48</v>
      </c>
      <c r="P6" s="4" t="s">
        <v>50</v>
      </c>
      <c r="Q6" s="4" t="s">
        <v>338</v>
      </c>
      <c r="R6" s="4" t="s">
        <v>48</v>
      </c>
      <c r="S6" s="4" t="s">
        <v>50</v>
      </c>
      <c r="T6" s="4" t="s">
        <v>48</v>
      </c>
      <c r="U6" s="4" t="s">
        <v>50</v>
      </c>
      <c r="V6" s="4" t="s">
        <v>340</v>
      </c>
      <c r="W6" s="4" t="s">
        <v>890</v>
      </c>
      <c r="X6" s="4" t="s">
        <v>891</v>
      </c>
      <c r="Y6" s="4" t="s">
        <v>892</v>
      </c>
      <c r="Z6" s="4" t="s">
        <v>893</v>
      </c>
      <c r="AA6" s="4" t="s">
        <v>894</v>
      </c>
      <c r="AB6" s="4" t="s">
        <v>895</v>
      </c>
      <c r="AC6" s="4" t="s">
        <v>896</v>
      </c>
      <c r="AD6" s="4" t="s">
        <v>897</v>
      </c>
      <c r="AE6" s="4" t="s">
        <v>898</v>
      </c>
      <c r="AF6" s="4" t="s">
        <v>890</v>
      </c>
      <c r="AG6" s="4" t="s">
        <v>891</v>
      </c>
      <c r="AH6" s="4" t="s">
        <v>892</v>
      </c>
      <c r="AI6" s="4" t="s">
        <v>893</v>
      </c>
      <c r="AJ6" s="4" t="s">
        <v>894</v>
      </c>
      <c r="AK6" s="4" t="s">
        <v>895</v>
      </c>
      <c r="AL6" s="4" t="s">
        <v>896</v>
      </c>
      <c r="AM6" s="4" t="s">
        <v>897</v>
      </c>
      <c r="AN6" s="4" t="s">
        <v>898</v>
      </c>
      <c r="AO6" s="4" t="s">
        <v>890</v>
      </c>
      <c r="AP6" s="4" t="s">
        <v>891</v>
      </c>
      <c r="AQ6" s="4" t="s">
        <v>892</v>
      </c>
      <c r="AR6" s="4" t="s">
        <v>893</v>
      </c>
      <c r="AS6" s="4" t="s">
        <v>894</v>
      </c>
      <c r="AT6" s="4" t="s">
        <v>895</v>
      </c>
      <c r="AU6" s="4" t="s">
        <v>896</v>
      </c>
      <c r="AV6" s="4" t="s">
        <v>897</v>
      </c>
      <c r="AW6" s="4" t="s">
        <v>898</v>
      </c>
      <c r="AX6" s="4" t="s">
        <v>886</v>
      </c>
      <c r="AY6" s="4" t="s">
        <v>887</v>
      </c>
      <c r="AZ6" s="4" t="s">
        <v>888</v>
      </c>
      <c r="BA6" s="4" t="s">
        <v>872</v>
      </c>
      <c r="BB6" s="4" t="s">
        <v>873</v>
      </c>
      <c r="BC6" s="4" t="s">
        <v>874</v>
      </c>
      <c r="BD6" s="4" t="s">
        <v>872</v>
      </c>
      <c r="BE6" s="4" t="s">
        <v>873</v>
      </c>
      <c r="BF6" s="4" t="s">
        <v>874</v>
      </c>
      <c r="BG6" s="4" t="s">
        <v>872</v>
      </c>
      <c r="BH6" s="4" t="s">
        <v>873</v>
      </c>
      <c r="BI6" s="4" t="s">
        <v>874</v>
      </c>
      <c r="BJ6" s="4" t="s">
        <v>886</v>
      </c>
      <c r="BK6" s="4" t="s">
        <v>887</v>
      </c>
      <c r="BL6" s="4" t="s">
        <v>888</v>
      </c>
      <c r="BM6" s="4" t="s">
        <v>41</v>
      </c>
      <c r="BN6" s="4" t="s">
        <v>41</v>
      </c>
      <c r="BO6" s="4" t="s">
        <v>41</v>
      </c>
      <c r="BP6" s="4" t="s">
        <v>341</v>
      </c>
      <c r="BQ6" s="4" t="s">
        <v>41</v>
      </c>
      <c r="BR6" s="4" t="s">
        <v>41</v>
      </c>
      <c r="BS6" s="4" t="s">
        <v>41</v>
      </c>
      <c r="BT6" s="4" t="s">
        <v>397</v>
      </c>
      <c r="BU6" s="4" t="s">
        <v>341</v>
      </c>
      <c r="BV6" s="4" t="s">
        <v>41</v>
      </c>
      <c r="BW6" s="4" t="s">
        <v>41</v>
      </c>
      <c r="BX6" s="4" t="s">
        <v>41</v>
      </c>
      <c r="BY6" s="4" t="s">
        <v>397</v>
      </c>
      <c r="BZ6" s="4" t="s">
        <v>341</v>
      </c>
      <c r="CA6" s="4" t="s">
        <v>886</v>
      </c>
      <c r="CB6" s="4" t="s">
        <v>887</v>
      </c>
      <c r="CC6" s="4" t="s">
        <v>888</v>
      </c>
      <c r="CD6" s="4" t="s">
        <v>872</v>
      </c>
      <c r="CE6" s="4" t="s">
        <v>873</v>
      </c>
      <c r="CF6" s="4" t="s">
        <v>874</v>
      </c>
      <c r="CG6" s="4" t="s">
        <v>872</v>
      </c>
      <c r="CH6" s="4" t="s">
        <v>873</v>
      </c>
      <c r="CI6" s="4" t="s">
        <v>874</v>
      </c>
      <c r="CJ6" s="4" t="s">
        <v>872</v>
      </c>
      <c r="CK6" s="4" t="s">
        <v>873</v>
      </c>
      <c r="CL6" s="4" t="s">
        <v>874</v>
      </c>
      <c r="CM6" s="4" t="s">
        <v>346</v>
      </c>
      <c r="CN6" s="4" t="s">
        <v>356</v>
      </c>
      <c r="CO6" s="4" t="s">
        <v>355</v>
      </c>
      <c r="CP6" s="4" t="s">
        <v>6</v>
      </c>
      <c r="CQ6" s="4" t="s">
        <v>51</v>
      </c>
      <c r="CR6" s="4" t="s">
        <v>44</v>
      </c>
      <c r="CS6" s="4" t="s">
        <v>316</v>
      </c>
      <c r="CT6" s="4" t="s">
        <v>316</v>
      </c>
      <c r="CU6" s="97" t="s">
        <v>316</v>
      </c>
      <c r="CV6" s="4" t="s">
        <v>810</v>
      </c>
      <c r="CW6" s="4" t="s">
        <v>316</v>
      </c>
      <c r="CY6" s="4" t="s">
        <v>423</v>
      </c>
      <c r="CZ6" s="4" t="s">
        <v>154</v>
      </c>
      <c r="DA6" s="4" t="s">
        <v>85</v>
      </c>
      <c r="DB6" s="4" t="s">
        <v>155</v>
      </c>
      <c r="DC6" s="4" t="s">
        <v>423</v>
      </c>
      <c r="DD6" s="4" t="s">
        <v>154</v>
      </c>
      <c r="DE6" s="4" t="s">
        <v>85</v>
      </c>
      <c r="DF6" s="4" t="s">
        <v>155</v>
      </c>
      <c r="DG6" s="4" t="s">
        <v>217</v>
      </c>
      <c r="DH6" s="4" t="s">
        <v>154</v>
      </c>
      <c r="DI6" s="4" t="s">
        <v>85</v>
      </c>
      <c r="DJ6" s="4" t="s">
        <v>155</v>
      </c>
      <c r="DK6" s="4" t="s">
        <v>423</v>
      </c>
      <c r="DL6" s="4" t="s">
        <v>154</v>
      </c>
      <c r="DM6" s="4" t="s">
        <v>85</v>
      </c>
      <c r="DN6" s="4" t="s">
        <v>155</v>
      </c>
      <c r="DO6" s="4" t="s">
        <v>423</v>
      </c>
      <c r="DP6" s="4" t="s">
        <v>154</v>
      </c>
      <c r="DQ6" s="4" t="s">
        <v>85</v>
      </c>
      <c r="DR6" s="4" t="s">
        <v>155</v>
      </c>
      <c r="DS6" s="4" t="s">
        <v>423</v>
      </c>
      <c r="DT6" s="4" t="s">
        <v>154</v>
      </c>
      <c r="DU6" s="4" t="s">
        <v>85</v>
      </c>
      <c r="DV6" s="4" t="s">
        <v>155</v>
      </c>
      <c r="DW6" s="4" t="s">
        <v>431</v>
      </c>
      <c r="DX6" s="4" t="s">
        <v>318</v>
      </c>
      <c r="DY6" s="4" t="s">
        <v>360</v>
      </c>
      <c r="DZ6" s="4" t="s">
        <v>431</v>
      </c>
      <c r="EA6" s="4" t="s">
        <v>318</v>
      </c>
      <c r="EB6" s="4" t="s">
        <v>360</v>
      </c>
      <c r="EC6" s="4" t="s">
        <v>431</v>
      </c>
      <c r="ED6" s="4" t="s">
        <v>318</v>
      </c>
      <c r="EE6" s="4" t="s">
        <v>360</v>
      </c>
      <c r="EF6" s="4" t="s">
        <v>393</v>
      </c>
      <c r="EG6" s="4" t="s">
        <v>393</v>
      </c>
      <c r="EH6" s="4" t="s">
        <v>393</v>
      </c>
      <c r="EI6" s="60" t="s">
        <v>851</v>
      </c>
      <c r="EJ6" s="4" t="s">
        <v>413</v>
      </c>
      <c r="EK6" s="4" t="s">
        <v>286</v>
      </c>
      <c r="EL6" s="60" t="s">
        <v>281</v>
      </c>
      <c r="EM6" s="97" t="s">
        <v>282</v>
      </c>
      <c r="EN6" s="60" t="s">
        <v>760</v>
      </c>
      <c r="EO6" s="4" t="s">
        <v>413</v>
      </c>
      <c r="EP6" s="4" t="s">
        <v>286</v>
      </c>
      <c r="EQ6" s="60" t="s">
        <v>756</v>
      </c>
      <c r="ER6" s="60" t="s">
        <v>759</v>
      </c>
      <c r="ES6" s="60" t="s">
        <v>757</v>
      </c>
      <c r="ET6" s="60" t="s">
        <v>758</v>
      </c>
      <c r="EU6" s="60" t="s">
        <v>563</v>
      </c>
      <c r="EV6" s="4" t="s">
        <v>413</v>
      </c>
      <c r="EW6" s="4" t="s">
        <v>286</v>
      </c>
      <c r="EX6" s="60" t="s">
        <v>756</v>
      </c>
      <c r="EY6" s="60" t="s">
        <v>759</v>
      </c>
      <c r="EZ6" s="60" t="s">
        <v>757</v>
      </c>
      <c r="FA6" s="60" t="s">
        <v>758</v>
      </c>
      <c r="FB6" s="60" t="s">
        <v>563</v>
      </c>
      <c r="FC6" s="97" t="s">
        <v>765</v>
      </c>
      <c r="FD6" s="97" t="s">
        <v>763</v>
      </c>
      <c r="FE6" s="97" t="s">
        <v>764</v>
      </c>
      <c r="FF6" s="97" t="s">
        <v>766</v>
      </c>
      <c r="FG6" s="97" t="s">
        <v>879</v>
      </c>
      <c r="FH6" s="97" t="s">
        <v>880</v>
      </c>
      <c r="FI6" s="97" t="s">
        <v>881</v>
      </c>
      <c r="FJ6" s="97" t="s">
        <v>882</v>
      </c>
      <c r="FK6" s="97" t="s">
        <v>883</v>
      </c>
      <c r="FL6" s="60" t="s">
        <v>851</v>
      </c>
      <c r="FM6" s="60" t="s">
        <v>851</v>
      </c>
      <c r="FN6" s="60" t="s">
        <v>851</v>
      </c>
      <c r="FO6" s="60" t="s">
        <v>852</v>
      </c>
      <c r="FP6" s="60" t="s">
        <v>852</v>
      </c>
      <c r="FQ6" s="60" t="s">
        <v>851</v>
      </c>
      <c r="FR6" s="169" t="s">
        <v>413</v>
      </c>
      <c r="FS6" s="4" t="s">
        <v>286</v>
      </c>
      <c r="FT6" s="60" t="s">
        <v>281</v>
      </c>
      <c r="FU6" s="97" t="s">
        <v>282</v>
      </c>
      <c r="FV6" s="49" t="s">
        <v>413</v>
      </c>
      <c r="FW6" s="49" t="s">
        <v>286</v>
      </c>
      <c r="FX6" s="49" t="s">
        <v>419</v>
      </c>
      <c r="FY6" s="49" t="s">
        <v>287</v>
      </c>
      <c r="FZ6" s="49" t="s">
        <v>413</v>
      </c>
      <c r="GA6" s="49" t="s">
        <v>286</v>
      </c>
      <c r="GB6" s="4" t="s">
        <v>413</v>
      </c>
      <c r="GC6" s="4" t="s">
        <v>286</v>
      </c>
      <c r="GD6" s="4" t="s">
        <v>413</v>
      </c>
      <c r="GE6" s="4" t="s">
        <v>286</v>
      </c>
      <c r="GF6" s="4" t="s">
        <v>419</v>
      </c>
      <c r="GG6" s="4" t="s">
        <v>287</v>
      </c>
      <c r="GH6" s="4" t="s">
        <v>419</v>
      </c>
      <c r="GI6" s="4" t="s">
        <v>287</v>
      </c>
      <c r="GJ6" s="4" t="s">
        <v>286</v>
      </c>
      <c r="GK6" s="4" t="s">
        <v>281</v>
      </c>
      <c r="GL6" s="4" t="s">
        <v>282</v>
      </c>
      <c r="GM6" s="4" t="s">
        <v>286</v>
      </c>
      <c r="GN6" s="4" t="s">
        <v>281</v>
      </c>
      <c r="GO6" s="4" t="s">
        <v>282</v>
      </c>
      <c r="GP6" s="4" t="s">
        <v>286</v>
      </c>
      <c r="GQ6" s="4" t="s">
        <v>281</v>
      </c>
      <c r="GR6" s="4" t="s">
        <v>282</v>
      </c>
      <c r="GS6" s="4" t="s">
        <v>286</v>
      </c>
      <c r="GT6" s="4" t="s">
        <v>281</v>
      </c>
      <c r="GU6" s="4" t="s">
        <v>282</v>
      </c>
      <c r="GV6" s="4" t="s">
        <v>286</v>
      </c>
      <c r="GW6" s="4" t="s">
        <v>281</v>
      </c>
      <c r="GX6" s="4" t="s">
        <v>282</v>
      </c>
      <c r="GY6" s="4" t="s">
        <v>286</v>
      </c>
      <c r="GZ6" s="4" t="s">
        <v>281</v>
      </c>
      <c r="HA6" s="4" t="s">
        <v>282</v>
      </c>
      <c r="HB6" s="4" t="s">
        <v>34</v>
      </c>
      <c r="HC6" s="4" t="s">
        <v>128</v>
      </c>
      <c r="HD6" s="4" t="s">
        <v>129</v>
      </c>
      <c r="HE6" s="4" t="s">
        <v>131</v>
      </c>
      <c r="HF6" s="4" t="s">
        <v>132</v>
      </c>
      <c r="HG6" s="4" t="s">
        <v>34</v>
      </c>
      <c r="HH6" s="4" t="s">
        <v>18</v>
      </c>
      <c r="HI6" s="4" t="s">
        <v>34</v>
      </c>
      <c r="HJ6" s="4" t="s">
        <v>18</v>
      </c>
    </row>
    <row r="7" spans="1:218" s="49" customFormat="1" ht="10.199999999999999" x14ac:dyDescent="0.2">
      <c r="A7" s="50"/>
      <c r="O7" s="123"/>
      <c r="AX7" s="123"/>
      <c r="AY7" s="123"/>
      <c r="AZ7" s="123"/>
      <c r="BG7" s="123"/>
      <c r="BH7" s="123"/>
      <c r="BI7" s="123"/>
      <c r="BJ7" s="123"/>
      <c r="BK7" s="123"/>
      <c r="BL7" s="123"/>
      <c r="CA7" s="123"/>
      <c r="CB7" s="123"/>
      <c r="CC7" s="123"/>
      <c r="CU7" s="149"/>
      <c r="DQ7" s="123"/>
      <c r="DR7" s="123"/>
      <c r="DS7" s="123"/>
      <c r="DT7" s="123"/>
      <c r="DU7" s="123"/>
      <c r="DV7" s="123"/>
      <c r="DW7" s="123"/>
      <c r="EF7" s="123"/>
      <c r="EG7" s="123"/>
      <c r="EH7" s="123"/>
      <c r="EI7" s="149"/>
      <c r="EJ7" s="123"/>
      <c r="EK7" s="123"/>
      <c r="EL7" s="123"/>
      <c r="EM7" s="123"/>
      <c r="EN7" s="123"/>
      <c r="EP7" s="123"/>
      <c r="EQ7" s="123"/>
      <c r="ER7" s="123"/>
      <c r="ES7" s="123"/>
      <c r="ET7" s="123"/>
      <c r="EU7" s="123"/>
      <c r="EV7" s="123"/>
      <c r="EW7" s="123"/>
      <c r="EX7" s="123"/>
      <c r="EY7" s="123"/>
      <c r="EZ7" s="123"/>
      <c r="FA7" s="123"/>
      <c r="FB7" s="123"/>
      <c r="FC7" s="149"/>
      <c r="FD7" s="149"/>
      <c r="FF7" s="574"/>
      <c r="FG7" s="149"/>
      <c r="FH7" s="123"/>
      <c r="FI7" s="123"/>
      <c r="FJ7" s="123"/>
      <c r="FK7" s="123"/>
      <c r="FL7" s="555"/>
      <c r="FM7" s="149"/>
      <c r="FN7" s="149"/>
      <c r="FO7" s="149"/>
      <c r="FP7" s="149"/>
      <c r="FQ7" s="149"/>
      <c r="FR7" s="547"/>
      <c r="FS7" s="123"/>
      <c r="FT7" s="123"/>
      <c r="FU7" s="149"/>
      <c r="FV7" s="123"/>
      <c r="FW7" s="123"/>
      <c r="FX7" s="123"/>
      <c r="FY7" s="123"/>
      <c r="FZ7" s="123"/>
      <c r="GB7" s="123"/>
      <c r="GC7" s="123"/>
      <c r="GD7" s="123"/>
      <c r="GE7" s="123"/>
      <c r="GF7" s="123"/>
      <c r="GG7" s="123"/>
      <c r="GH7" s="123"/>
      <c r="GI7" s="123"/>
      <c r="GJ7" s="123"/>
      <c r="GK7" s="123"/>
      <c r="GL7" s="123"/>
    </row>
    <row r="8" spans="1:218" s="4" customFormat="1" ht="14.4" x14ac:dyDescent="0.3">
      <c r="A8" s="13" t="s">
        <v>394</v>
      </c>
      <c r="O8" s="60"/>
      <c r="AX8" s="60"/>
      <c r="AY8" s="60"/>
      <c r="AZ8" s="60"/>
      <c r="BG8" s="60"/>
      <c r="BH8" s="60"/>
      <c r="BI8" s="60"/>
      <c r="BJ8" s="60"/>
      <c r="BK8" s="60"/>
      <c r="BL8" s="60"/>
      <c r="CA8" s="60"/>
      <c r="CB8" s="60"/>
      <c r="CC8" s="60"/>
      <c r="CU8" s="97"/>
      <c r="DQ8" s="60"/>
      <c r="DR8" s="60"/>
      <c r="DS8" s="60"/>
      <c r="DT8" s="60"/>
      <c r="DU8" s="60"/>
      <c r="DV8" s="60"/>
      <c r="DW8" s="60"/>
      <c r="EF8" s="60"/>
      <c r="EG8" s="60"/>
      <c r="EH8" s="60"/>
      <c r="EI8" s="97"/>
      <c r="EJ8" s="60"/>
      <c r="EK8" s="60"/>
      <c r="EL8" s="60"/>
      <c r="EM8" s="60"/>
      <c r="EN8" s="60"/>
      <c r="EO8" s="49"/>
      <c r="EP8" s="60"/>
      <c r="EQ8" s="60"/>
      <c r="ER8" s="60"/>
      <c r="ES8" s="60"/>
      <c r="ET8" s="60"/>
      <c r="EU8" s="60"/>
      <c r="EV8" s="60"/>
      <c r="EW8" s="60"/>
      <c r="EX8" s="60"/>
      <c r="EY8" s="60"/>
      <c r="EZ8" s="60"/>
      <c r="FA8" s="60"/>
      <c r="FB8" s="60"/>
      <c r="FC8" s="97"/>
      <c r="FD8" s="97"/>
      <c r="FF8" s="575"/>
      <c r="FG8" s="60"/>
      <c r="FH8" s="60"/>
      <c r="FI8" s="60"/>
      <c r="FJ8" s="60"/>
      <c r="FK8" s="60"/>
      <c r="FL8" s="144"/>
      <c r="FM8" s="97"/>
      <c r="FN8" s="97"/>
      <c r="FO8" s="144">
        <f>FL8/34</f>
        <v>0</v>
      </c>
      <c r="FP8" s="97"/>
      <c r="FQ8" s="97"/>
      <c r="FR8" s="457"/>
      <c r="FS8" s="60"/>
      <c r="FT8" s="60"/>
      <c r="FU8" s="97"/>
      <c r="FV8" s="123"/>
      <c r="FW8" s="123"/>
      <c r="FX8" s="123"/>
      <c r="FY8" s="123"/>
      <c r="FZ8" s="123"/>
      <c r="GA8" s="49"/>
      <c r="GB8" s="60"/>
      <c r="GC8" s="60"/>
      <c r="GD8" s="60"/>
      <c r="GE8" s="60"/>
      <c r="GF8" s="60"/>
      <c r="GG8" s="60"/>
      <c r="GH8" s="60"/>
      <c r="GI8" s="60"/>
      <c r="GJ8" s="60"/>
      <c r="GK8" s="60"/>
      <c r="GL8" s="60"/>
    </row>
    <row r="9" spans="1:218" s="4" customFormat="1" x14ac:dyDescent="0.25">
      <c r="A9" s="16"/>
      <c r="O9" s="60"/>
      <c r="AX9" s="60"/>
      <c r="AY9" s="60"/>
      <c r="AZ9" s="60"/>
      <c r="BG9" s="60"/>
      <c r="BH9" s="60"/>
      <c r="BI9" s="60"/>
      <c r="BJ9" s="60"/>
      <c r="BK9" s="60"/>
      <c r="BL9" s="60"/>
      <c r="CA9" s="60"/>
      <c r="CB9" s="60"/>
      <c r="CC9" s="60"/>
      <c r="CU9" s="97"/>
      <c r="DQ9" s="60"/>
      <c r="DR9" s="60"/>
      <c r="DS9" s="60"/>
      <c r="DT9" s="60"/>
      <c r="DU9" s="60"/>
      <c r="DV9" s="60"/>
      <c r="DW9" s="60"/>
      <c r="EF9" s="60"/>
      <c r="EG9" s="60"/>
      <c r="EH9" s="60"/>
      <c r="EI9" s="97"/>
      <c r="EJ9" s="60"/>
      <c r="EK9" s="60"/>
      <c r="EL9" s="60"/>
      <c r="EM9" s="60"/>
      <c r="EN9" s="60"/>
      <c r="EO9" s="49"/>
      <c r="EP9" s="60"/>
      <c r="EQ9" s="60"/>
      <c r="ER9" s="60"/>
      <c r="ES9" s="60"/>
      <c r="ET9" s="60"/>
      <c r="EU9" s="60"/>
      <c r="EV9" s="60"/>
      <c r="EW9" s="60"/>
      <c r="EX9" s="60"/>
      <c r="EY9" s="60"/>
      <c r="EZ9" s="60"/>
      <c r="FA9" s="60"/>
      <c r="FB9" s="60"/>
      <c r="FC9" s="97"/>
      <c r="FD9" s="97"/>
      <c r="FF9" s="575"/>
      <c r="FG9" s="60"/>
      <c r="FH9" s="60"/>
      <c r="FI9" s="60"/>
      <c r="FJ9" s="60"/>
      <c r="FK9" s="60"/>
      <c r="FL9" s="144"/>
      <c r="FM9" s="97"/>
      <c r="FN9" s="97"/>
      <c r="FO9" s="97"/>
      <c r="FP9" s="97"/>
      <c r="FQ9" s="97"/>
      <c r="FR9" s="457"/>
      <c r="FS9" s="60"/>
      <c r="FT9" s="60"/>
      <c r="FU9" s="97"/>
      <c r="FV9" s="123"/>
      <c r="FW9" s="123"/>
      <c r="FX9" s="123"/>
      <c r="FY9" s="123"/>
      <c r="FZ9" s="123"/>
      <c r="GA9" s="49"/>
      <c r="GB9" s="60"/>
      <c r="GC9" s="60"/>
      <c r="GD9" s="60"/>
      <c r="GE9" s="60"/>
      <c r="GF9" s="60"/>
      <c r="GG9" s="60"/>
      <c r="GH9" s="60"/>
      <c r="GI9" s="60"/>
      <c r="GJ9" s="60"/>
      <c r="GK9" s="60"/>
      <c r="GL9" s="60"/>
    </row>
    <row r="10" spans="1:218" s="4" customFormat="1" ht="13.8" x14ac:dyDescent="0.3">
      <c r="A10" s="15" t="s">
        <v>391</v>
      </c>
      <c r="O10" s="60"/>
      <c r="AX10" s="60"/>
      <c r="AY10" s="60"/>
      <c r="AZ10" s="60"/>
      <c r="BG10" s="60"/>
      <c r="BH10" s="60"/>
      <c r="BI10" s="60"/>
      <c r="BJ10" s="60"/>
      <c r="BK10" s="60"/>
      <c r="BL10" s="60"/>
      <c r="CA10" s="60"/>
      <c r="CB10" s="60"/>
      <c r="CC10" s="60"/>
      <c r="CU10" s="97"/>
      <c r="DQ10" s="60"/>
      <c r="DR10" s="60"/>
      <c r="DS10" s="60"/>
      <c r="DT10" s="60"/>
      <c r="DU10" s="60"/>
      <c r="DV10" s="60"/>
      <c r="DW10" s="60"/>
      <c r="EF10" s="60"/>
      <c r="EG10" s="60"/>
      <c r="EH10" s="60"/>
      <c r="EI10" s="97"/>
      <c r="EJ10" s="60"/>
      <c r="EK10" s="60"/>
      <c r="EL10" s="60"/>
      <c r="EM10" s="60"/>
      <c r="EN10" s="60"/>
      <c r="EO10" s="49"/>
      <c r="EP10" s="60"/>
      <c r="EQ10" s="60"/>
      <c r="ER10" s="60"/>
      <c r="ES10" s="60"/>
      <c r="ET10" s="60"/>
      <c r="EU10" s="60"/>
      <c r="EV10" s="60"/>
      <c r="EW10" s="60"/>
      <c r="EX10" s="60"/>
      <c r="EY10" s="60"/>
      <c r="EZ10" s="60"/>
      <c r="FA10" s="60"/>
      <c r="FB10" s="60"/>
      <c r="FC10" s="97"/>
      <c r="FD10" s="97"/>
      <c r="FF10" s="575"/>
      <c r="FG10" s="97"/>
      <c r="FH10" s="97"/>
      <c r="FI10" s="97"/>
      <c r="FJ10" s="97"/>
      <c r="FK10" s="97"/>
      <c r="FL10" s="555"/>
      <c r="FM10" s="97"/>
      <c r="FN10" s="97"/>
      <c r="FO10" s="97"/>
      <c r="FP10" s="97"/>
      <c r="FQ10" s="97"/>
      <c r="FR10" s="457"/>
      <c r="FS10" s="60"/>
      <c r="FT10" s="60"/>
      <c r="FU10" s="97"/>
      <c r="FV10" s="123"/>
      <c r="FW10" s="123"/>
      <c r="FX10" s="123"/>
      <c r="FY10" s="123"/>
      <c r="FZ10" s="123"/>
      <c r="GA10" s="49"/>
      <c r="GB10" s="60"/>
      <c r="GC10" s="60"/>
      <c r="GD10" s="60"/>
      <c r="GE10" s="60"/>
      <c r="GF10" s="60"/>
      <c r="GG10" s="60"/>
      <c r="GH10" s="60"/>
      <c r="GI10" s="60"/>
      <c r="GJ10" s="60"/>
      <c r="GK10" s="60"/>
      <c r="GL10" s="60"/>
    </row>
    <row r="11" spans="1:218" s="4" customFormat="1" x14ac:dyDescent="0.25">
      <c r="A11" s="14" t="s">
        <v>392</v>
      </c>
      <c r="B11" s="27">
        <v>234</v>
      </c>
      <c r="O11" s="60"/>
      <c r="AX11" s="60"/>
      <c r="AY11" s="60"/>
      <c r="AZ11" s="60"/>
      <c r="BA11" s="4">
        <f>BB11+BC11</f>
        <v>268.60000000000002</v>
      </c>
      <c r="BB11" s="27">
        <v>137.6</v>
      </c>
      <c r="BC11" s="27">
        <v>131</v>
      </c>
      <c r="BG11" s="60"/>
      <c r="BH11" s="60"/>
      <c r="BI11" s="60"/>
      <c r="BJ11" s="60"/>
      <c r="BK11" s="60"/>
      <c r="BL11" s="60"/>
      <c r="BM11" s="67">
        <f>BN11+BO11</f>
        <v>101.25</v>
      </c>
      <c r="BN11" s="99">
        <v>3</v>
      </c>
      <c r="BO11" s="67">
        <f>(1-BP11)*BC11</f>
        <v>98.25</v>
      </c>
      <c r="BP11" s="257">
        <v>0.25</v>
      </c>
      <c r="BU11" s="258"/>
      <c r="BV11" s="27"/>
      <c r="BW11" s="27"/>
      <c r="BX11" s="27"/>
      <c r="BY11" s="27"/>
      <c r="BZ11" s="27"/>
      <c r="CA11" s="60"/>
      <c r="CB11" s="60"/>
      <c r="CC11" s="60"/>
      <c r="CD11" s="261">
        <f t="shared" ref="CD11:CF12" si="0">BA11-BM11</f>
        <v>167.35000000000002</v>
      </c>
      <c r="CE11" s="107">
        <f t="shared" si="0"/>
        <v>134.6</v>
      </c>
      <c r="CF11" s="107">
        <f t="shared" si="0"/>
        <v>32.75</v>
      </c>
      <c r="CG11" s="27"/>
      <c r="CH11" s="27"/>
      <c r="CI11" s="27"/>
      <c r="CJ11" s="27"/>
      <c r="CK11" s="27"/>
      <c r="CL11" s="27"/>
      <c r="CM11" s="259">
        <v>25</v>
      </c>
      <c r="CN11" s="294">
        <f>CQ11*CM11/CE11</f>
        <v>0.74294205052005946</v>
      </c>
      <c r="CO11" s="257">
        <v>0.5</v>
      </c>
      <c r="CP11" s="32">
        <f>CQ11+CR11</f>
        <v>4.6550000000000002</v>
      </c>
      <c r="CQ11" s="260">
        <v>4</v>
      </c>
      <c r="CR11" s="32">
        <f>(BC11-BO11)*CO11/$CM11</f>
        <v>0.65500000000000003</v>
      </c>
      <c r="CS11" s="33">
        <v>9.27</v>
      </c>
      <c r="CU11" s="97"/>
      <c r="DQ11" s="60"/>
      <c r="DR11" s="60"/>
      <c r="DS11" s="60"/>
      <c r="DT11" s="60"/>
      <c r="DU11" s="60"/>
      <c r="DV11" s="60"/>
      <c r="DW11" s="60"/>
      <c r="EF11" s="526">
        <f t="shared" ref="EF11:EH12" si="1">CP11/$CS11</f>
        <v>0.50215749730312842</v>
      </c>
      <c r="EG11" s="526">
        <f t="shared" si="1"/>
        <v>0.43149946062567424</v>
      </c>
      <c r="EH11" s="526">
        <f t="shared" si="1"/>
        <v>7.0658036677454156E-2</v>
      </c>
      <c r="EI11" s="97"/>
      <c r="EJ11" s="60"/>
      <c r="EK11" s="60"/>
      <c r="EL11" s="60"/>
      <c r="EM11" s="60"/>
      <c r="EN11" s="60"/>
      <c r="EO11" s="49"/>
      <c r="EP11" s="60"/>
      <c r="EQ11" s="60"/>
      <c r="ER11" s="60"/>
      <c r="ES11" s="60"/>
      <c r="ET11" s="60"/>
      <c r="EU11" s="60"/>
      <c r="EV11" s="60"/>
      <c r="EW11" s="60"/>
      <c r="EX11" s="60"/>
      <c r="EY11" s="60"/>
      <c r="EZ11" s="60"/>
      <c r="FA11" s="60"/>
      <c r="FB11" s="60"/>
      <c r="FC11" s="97"/>
      <c r="FD11" s="97"/>
      <c r="FF11" s="575"/>
      <c r="FG11" s="97"/>
      <c r="FH11" s="97"/>
      <c r="FI11" s="97"/>
      <c r="FJ11" s="97"/>
      <c r="FK11" s="97"/>
      <c r="FL11" s="144"/>
      <c r="FM11" s="97"/>
      <c r="FN11" s="97"/>
      <c r="FO11" s="97"/>
      <c r="FP11" s="97"/>
      <c r="FQ11" s="97"/>
      <c r="FR11" s="457"/>
      <c r="FS11" s="60"/>
      <c r="FT11" s="60"/>
      <c r="FU11" s="97"/>
      <c r="FV11" s="123"/>
      <c r="FW11" s="123"/>
      <c r="FX11" s="123"/>
      <c r="FY11" s="123"/>
      <c r="FZ11" s="123"/>
      <c r="GA11" s="49"/>
      <c r="GB11" s="60"/>
      <c r="GC11" s="60"/>
      <c r="GD11" s="60"/>
      <c r="GE11" s="60"/>
      <c r="GF11" s="60"/>
      <c r="GG11" s="60"/>
      <c r="GH11" s="60"/>
      <c r="GI11" s="60"/>
      <c r="GJ11" s="60"/>
      <c r="GK11" s="60"/>
      <c r="GL11" s="60"/>
    </row>
    <row r="12" spans="1:218" s="4" customFormat="1" x14ac:dyDescent="0.25">
      <c r="A12" s="14" t="s">
        <v>481</v>
      </c>
      <c r="B12" s="27">
        <v>417</v>
      </c>
      <c r="O12" s="60"/>
      <c r="AX12" s="60"/>
      <c r="AY12" s="60"/>
      <c r="AZ12" s="60"/>
      <c r="BA12" s="4">
        <f>BB12+BC12</f>
        <v>254.29999999999998</v>
      </c>
      <c r="BB12" s="27">
        <v>126.1</v>
      </c>
      <c r="BC12" s="27">
        <v>128.19999999999999</v>
      </c>
      <c r="BG12" s="60"/>
      <c r="BH12" s="60"/>
      <c r="BI12" s="60"/>
      <c r="BJ12" s="60"/>
      <c r="BK12" s="60"/>
      <c r="BL12" s="60"/>
      <c r="BM12" s="67">
        <f>BN12+BO12</f>
        <v>117.88</v>
      </c>
      <c r="BN12" s="99">
        <v>2.5</v>
      </c>
      <c r="BO12" s="67">
        <f>(1-BP12)*BC12</f>
        <v>115.38</v>
      </c>
      <c r="BP12" s="257">
        <v>0.1</v>
      </c>
      <c r="BU12" s="258"/>
      <c r="BV12" s="27"/>
      <c r="BW12" s="27"/>
      <c r="BX12" s="27"/>
      <c r="BY12" s="27"/>
      <c r="BZ12" s="27"/>
      <c r="CA12" s="60"/>
      <c r="CB12" s="60"/>
      <c r="CC12" s="60"/>
      <c r="CD12" s="261">
        <f t="shared" si="0"/>
        <v>136.41999999999999</v>
      </c>
      <c r="CE12" s="107">
        <f t="shared" si="0"/>
        <v>123.6</v>
      </c>
      <c r="CF12" s="107">
        <f t="shared" si="0"/>
        <v>12.819999999999993</v>
      </c>
      <c r="CG12" s="27"/>
      <c r="CH12" s="27"/>
      <c r="CI12" s="27"/>
      <c r="CJ12" s="27"/>
      <c r="CK12" s="27"/>
      <c r="CL12" s="27"/>
      <c r="CM12" s="259">
        <v>25</v>
      </c>
      <c r="CN12" s="294">
        <f>CQ12*CM12/CE12</f>
        <v>0.80906148867313921</v>
      </c>
      <c r="CO12" s="257">
        <v>0.5</v>
      </c>
      <c r="CP12" s="32">
        <f>CQ12+CR12</f>
        <v>4.2564000000000002</v>
      </c>
      <c r="CQ12" s="260">
        <v>4</v>
      </c>
      <c r="CR12" s="32">
        <f>(BC12-BO12)*CO12/$CM12</f>
        <v>0.25639999999999985</v>
      </c>
      <c r="CS12" s="33">
        <v>9.09</v>
      </c>
      <c r="CU12" s="97"/>
      <c r="DQ12" s="60"/>
      <c r="DR12" s="60"/>
      <c r="DS12" s="60"/>
      <c r="DT12" s="60"/>
      <c r="DU12" s="60"/>
      <c r="DV12" s="60"/>
      <c r="DW12" s="60"/>
      <c r="EF12" s="526">
        <f t="shared" si="1"/>
        <v>0.46825082508250826</v>
      </c>
      <c r="EG12" s="526">
        <f t="shared" si="1"/>
        <v>0.44004400440044006</v>
      </c>
      <c r="EH12" s="526">
        <f t="shared" si="1"/>
        <v>2.8206820682068191E-2</v>
      </c>
      <c r="EI12" s="97"/>
      <c r="EJ12" s="60"/>
      <c r="EK12" s="60"/>
      <c r="EL12" s="60"/>
      <c r="EM12" s="60"/>
      <c r="EN12" s="60"/>
      <c r="EO12" s="49"/>
      <c r="EP12" s="60"/>
      <c r="EQ12" s="60"/>
      <c r="ER12" s="60"/>
      <c r="ES12" s="60"/>
      <c r="ET12" s="60"/>
      <c r="EU12" s="60"/>
      <c r="EV12" s="60"/>
      <c r="EW12" s="60"/>
      <c r="EX12" s="60"/>
      <c r="EY12" s="60"/>
      <c r="EZ12" s="60"/>
      <c r="FA12" s="60"/>
      <c r="FB12" s="60"/>
      <c r="FC12" s="97"/>
      <c r="FD12" s="97"/>
      <c r="FF12" s="574"/>
      <c r="FG12" s="60"/>
      <c r="FH12" s="60"/>
      <c r="FI12" s="60"/>
      <c r="FJ12" s="60"/>
      <c r="FK12" s="60"/>
      <c r="FL12" s="555"/>
      <c r="FM12" s="97"/>
      <c r="FN12" s="97"/>
      <c r="FO12" s="97"/>
      <c r="FP12" s="97"/>
      <c r="FQ12" s="97"/>
      <c r="FR12" s="457"/>
      <c r="FS12" s="60"/>
      <c r="FT12" s="60"/>
      <c r="FU12" s="97"/>
      <c r="FV12" s="123"/>
      <c r="FW12" s="123"/>
      <c r="FX12" s="123"/>
      <c r="FY12" s="123"/>
      <c r="FZ12" s="123"/>
      <c r="GA12" s="49"/>
      <c r="GB12" s="60"/>
      <c r="GC12" s="60"/>
      <c r="GD12" s="60"/>
      <c r="GE12" s="60"/>
      <c r="GF12" s="60"/>
      <c r="GG12" s="60"/>
      <c r="GH12" s="60"/>
      <c r="GI12" s="60"/>
      <c r="GJ12" s="60"/>
      <c r="GK12" s="60"/>
      <c r="GL12" s="60"/>
    </row>
    <row r="13" spans="1:218" s="4" customFormat="1" x14ac:dyDescent="0.25">
      <c r="A13" s="14"/>
      <c r="O13" s="60"/>
      <c r="AX13" s="60"/>
      <c r="AY13" s="60"/>
      <c r="AZ13" s="60"/>
      <c r="BG13" s="60"/>
      <c r="BH13" s="60"/>
      <c r="BI13" s="60"/>
      <c r="BJ13" s="60"/>
      <c r="BK13" s="60"/>
      <c r="BL13" s="60"/>
      <c r="CA13" s="60"/>
      <c r="CB13" s="60"/>
      <c r="CC13" s="60"/>
      <c r="CU13" s="97"/>
      <c r="DQ13" s="60"/>
      <c r="DR13" s="60"/>
      <c r="DS13" s="60"/>
      <c r="DT13" s="60"/>
      <c r="DU13" s="60"/>
      <c r="DV13" s="60"/>
      <c r="DW13" s="60"/>
      <c r="EF13" s="60"/>
      <c r="EG13" s="60"/>
      <c r="EH13" s="60"/>
      <c r="EI13" s="97"/>
      <c r="EJ13" s="60"/>
      <c r="EK13" s="60"/>
      <c r="EL13" s="60"/>
      <c r="EM13" s="60"/>
      <c r="EN13" s="60"/>
      <c r="EO13" s="49"/>
      <c r="EP13" s="60"/>
      <c r="EQ13" s="60"/>
      <c r="ER13" s="60"/>
      <c r="ES13" s="60"/>
      <c r="ET13" s="60"/>
      <c r="EU13" s="60"/>
      <c r="EV13" s="60"/>
      <c r="EW13" s="60"/>
      <c r="EX13" s="60"/>
      <c r="EY13" s="60"/>
      <c r="EZ13" s="60"/>
      <c r="FA13" s="60"/>
      <c r="FB13" s="60"/>
      <c r="FC13" s="97"/>
      <c r="FD13" s="97"/>
      <c r="FF13" s="574"/>
      <c r="FG13" s="60"/>
      <c r="FH13" s="60"/>
      <c r="FI13" s="60"/>
      <c r="FJ13" s="60"/>
      <c r="FK13" s="60"/>
      <c r="FL13" s="555"/>
      <c r="FM13" s="97"/>
      <c r="FN13" s="97"/>
      <c r="FO13" s="97"/>
      <c r="FP13" s="97"/>
      <c r="FQ13" s="97"/>
      <c r="FR13" s="457"/>
      <c r="FS13" s="60"/>
      <c r="FT13" s="60"/>
      <c r="FU13" s="97"/>
      <c r="FV13" s="123"/>
      <c r="FW13" s="123"/>
      <c r="FX13" s="123"/>
      <c r="FY13" s="123"/>
      <c r="FZ13" s="123"/>
      <c r="GA13" s="49"/>
      <c r="GB13" s="60"/>
      <c r="GC13" s="60"/>
      <c r="GD13" s="60"/>
      <c r="GE13" s="60"/>
      <c r="GF13" s="60"/>
      <c r="GG13" s="60"/>
      <c r="GH13" s="60"/>
      <c r="GI13" s="60"/>
      <c r="GJ13" s="60"/>
      <c r="GK13" s="60"/>
      <c r="GL13" s="60"/>
    </row>
    <row r="14" spans="1:218" s="49" customFormat="1" ht="10.199999999999999" x14ac:dyDescent="0.2">
      <c r="A14" s="158" t="s">
        <v>877</v>
      </c>
      <c r="O14" s="123"/>
      <c r="AX14" s="508">
        <f>AX17+AX73</f>
        <v>524.80540174634848</v>
      </c>
      <c r="AY14" s="577">
        <f t="shared" ref="AY14:AZ14" si="2">AY17+AY73</f>
        <v>183.88448700208806</v>
      </c>
      <c r="AZ14" s="577">
        <f t="shared" si="2"/>
        <v>340.92091474426047</v>
      </c>
      <c r="BG14" s="123"/>
      <c r="BH14" s="123"/>
      <c r="BI14" s="123"/>
      <c r="BJ14" s="508">
        <f>BJ17+BJ73</f>
        <v>300.70228869072048</v>
      </c>
      <c r="BK14" s="577">
        <f t="shared" ref="BK14:BL14" si="3">BK17+BK73</f>
        <v>9.3134399878802014</v>
      </c>
      <c r="BL14" s="577">
        <f t="shared" si="3"/>
        <v>291.38884870284028</v>
      </c>
      <c r="CA14" s="508">
        <f>CA17+CA73</f>
        <v>224.10311305562806</v>
      </c>
      <c r="CB14" s="577">
        <f t="shared" ref="CB14:CC14" si="4">CB17+CB73</f>
        <v>174.57104701420786</v>
      </c>
      <c r="CC14" s="578">
        <f t="shared" si="4"/>
        <v>49.532066041420208</v>
      </c>
      <c r="CU14" s="149"/>
      <c r="DQ14" s="123"/>
      <c r="DR14" s="123"/>
      <c r="DS14" s="123"/>
      <c r="DT14" s="123"/>
      <c r="DU14" s="123"/>
      <c r="DV14" s="123"/>
      <c r="DW14" s="123"/>
      <c r="EF14" s="123"/>
      <c r="EG14" s="123"/>
      <c r="EH14" s="123"/>
      <c r="EI14" s="149"/>
      <c r="EJ14" s="123"/>
      <c r="EK14" s="123"/>
      <c r="EL14" s="123"/>
      <c r="EM14" s="123"/>
      <c r="EN14" s="123"/>
      <c r="EP14" s="123"/>
      <c r="EQ14" s="123"/>
      <c r="ER14" s="123"/>
      <c r="ES14" s="123"/>
      <c r="ET14" s="123"/>
      <c r="EU14" s="123"/>
      <c r="EV14" s="123"/>
      <c r="EW14" s="123"/>
      <c r="EX14" s="123"/>
      <c r="EY14" s="123"/>
      <c r="EZ14" s="123"/>
      <c r="FA14" s="123"/>
      <c r="FB14" s="123"/>
      <c r="FC14" s="149"/>
      <c r="FD14" s="149"/>
      <c r="FF14" s="574"/>
      <c r="FG14" s="149"/>
      <c r="FH14" s="123"/>
      <c r="FI14" s="123"/>
      <c r="FJ14" s="123"/>
      <c r="FK14" s="123"/>
      <c r="FL14" s="144"/>
      <c r="FM14" s="149"/>
      <c r="FN14" s="149"/>
      <c r="FO14" s="149"/>
      <c r="FP14" s="149"/>
      <c r="FQ14" s="149"/>
      <c r="FR14" s="547"/>
      <c r="FS14" s="123"/>
      <c r="FT14" s="123"/>
      <c r="FU14" s="149"/>
      <c r="FV14" s="123"/>
      <c r="FW14" s="123"/>
      <c r="FX14" s="123"/>
      <c r="FY14" s="123"/>
      <c r="FZ14" s="123"/>
      <c r="GB14" s="123"/>
      <c r="GC14" s="123"/>
      <c r="GD14" s="123"/>
      <c r="GE14" s="123"/>
      <c r="GF14" s="123"/>
      <c r="GG14" s="123"/>
      <c r="GH14" s="123"/>
      <c r="GI14" s="123"/>
      <c r="GJ14" s="123"/>
      <c r="GK14" s="123"/>
      <c r="GL14" s="123"/>
    </row>
    <row r="15" spans="1:218" s="4" customFormat="1" x14ac:dyDescent="0.25">
      <c r="A15" s="14"/>
      <c r="O15" s="60"/>
      <c r="AX15" s="60"/>
      <c r="AY15" s="60"/>
      <c r="AZ15" s="60"/>
      <c r="BG15" s="60"/>
      <c r="BH15" s="60"/>
      <c r="BI15" s="60"/>
      <c r="BJ15" s="60"/>
      <c r="BK15" s="60"/>
      <c r="BL15" s="60"/>
      <c r="CA15" s="60"/>
      <c r="CB15" s="60"/>
      <c r="CC15" s="60"/>
      <c r="CU15" s="97"/>
      <c r="DQ15" s="60"/>
      <c r="DR15" s="60"/>
      <c r="DS15" s="60"/>
      <c r="DT15" s="60"/>
      <c r="DU15" s="60"/>
      <c r="DV15" s="60"/>
      <c r="DW15" s="60"/>
      <c r="EF15" s="60"/>
      <c r="EG15" s="60"/>
      <c r="EH15" s="60"/>
      <c r="EI15" s="97"/>
      <c r="EJ15" s="60"/>
      <c r="EK15" s="60"/>
      <c r="EL15" s="60"/>
      <c r="EM15" s="60"/>
      <c r="EN15" s="60"/>
      <c r="EP15" s="60"/>
      <c r="EQ15" s="60"/>
      <c r="ER15" s="60"/>
      <c r="ES15" s="60"/>
      <c r="ET15" s="60"/>
      <c r="EU15" s="60"/>
      <c r="EV15" s="60"/>
      <c r="EW15" s="60"/>
      <c r="EX15" s="60"/>
      <c r="EY15" s="60"/>
      <c r="EZ15" s="60"/>
      <c r="FA15" s="60"/>
      <c r="FB15" s="60"/>
      <c r="FC15" s="97"/>
      <c r="FD15" s="97"/>
      <c r="FF15" s="580"/>
      <c r="FG15" s="97"/>
      <c r="FH15" s="60"/>
      <c r="FI15" s="60"/>
      <c r="FJ15" s="60"/>
      <c r="FK15" s="60"/>
      <c r="FL15" s="543"/>
      <c r="FM15" s="97"/>
      <c r="FN15" s="97"/>
      <c r="FO15" s="97"/>
      <c r="FP15" s="97"/>
      <c r="FQ15" s="97"/>
      <c r="FR15" s="457"/>
      <c r="FS15" s="60"/>
      <c r="FT15" s="60"/>
      <c r="FU15" s="97"/>
      <c r="FV15" s="60"/>
      <c r="FW15" s="60"/>
      <c r="FX15" s="60"/>
      <c r="FY15" s="60"/>
      <c r="FZ15" s="60"/>
      <c r="GB15" s="60"/>
      <c r="GC15" s="60"/>
      <c r="GD15" s="60"/>
      <c r="GE15" s="60"/>
      <c r="GF15" s="60"/>
      <c r="GG15" s="60"/>
      <c r="GH15" s="60"/>
      <c r="GI15" s="60"/>
      <c r="GJ15" s="60"/>
      <c r="GK15" s="60"/>
      <c r="GL15" s="60"/>
    </row>
    <row r="16" spans="1:218" s="4" customFormat="1" ht="15.6" x14ac:dyDescent="0.3">
      <c r="A16" s="13" t="s">
        <v>986</v>
      </c>
      <c r="O16" s="60"/>
      <c r="W16" s="60"/>
      <c r="X16" s="60"/>
      <c r="Y16" s="60"/>
      <c r="Z16" s="60"/>
      <c r="AA16" s="60"/>
      <c r="AB16" s="60"/>
      <c r="AC16" s="60"/>
      <c r="AD16" s="60"/>
      <c r="AE16" s="60"/>
      <c r="AF16" s="60"/>
      <c r="AG16" s="60"/>
      <c r="AH16" s="60"/>
      <c r="AI16" s="60"/>
      <c r="AJ16" s="60"/>
      <c r="AK16" s="60"/>
      <c r="AL16" s="60"/>
      <c r="AM16" s="60"/>
      <c r="AN16" s="60"/>
      <c r="AO16" s="60"/>
      <c r="AP16" s="60"/>
      <c r="AQ16" s="60"/>
      <c r="AR16" s="60"/>
      <c r="AS16" s="60"/>
      <c r="AT16" s="60"/>
      <c r="AU16" s="60"/>
      <c r="AV16" s="60"/>
      <c r="AW16" s="60"/>
      <c r="AX16" s="60"/>
      <c r="AY16" s="60"/>
      <c r="AZ16" s="60"/>
      <c r="BD16" s="60"/>
      <c r="BE16" s="60"/>
      <c r="BF16" s="60"/>
      <c r="BG16" s="60"/>
      <c r="BH16" s="60"/>
      <c r="BI16" s="60"/>
      <c r="BJ16" s="60"/>
      <c r="BK16" s="60"/>
      <c r="BL16" s="60"/>
      <c r="BM16" s="60"/>
      <c r="BN16" s="60"/>
      <c r="BO16" s="60"/>
      <c r="BP16" s="60"/>
      <c r="BQ16" s="60"/>
      <c r="BR16" s="60"/>
      <c r="BS16" s="58"/>
      <c r="BT16" s="17"/>
      <c r="CA16" s="60"/>
      <c r="CB16" s="60"/>
      <c r="CC16" s="60"/>
      <c r="CD16" s="60"/>
      <c r="CE16" s="60"/>
      <c r="CF16" s="60"/>
      <c r="CJ16" s="60"/>
      <c r="CK16" s="60"/>
      <c r="CL16" s="60"/>
      <c r="CU16" s="97"/>
      <c r="CZ16" s="594"/>
      <c r="DA16" s="60"/>
      <c r="DB16" s="60"/>
      <c r="DC16" s="60"/>
      <c r="DO16" s="60"/>
      <c r="DQ16" s="60"/>
      <c r="DR16" s="60"/>
      <c r="DS16" s="60"/>
      <c r="DT16" s="60"/>
      <c r="DU16" s="60"/>
      <c r="DV16" s="60"/>
      <c r="DW16" s="60"/>
      <c r="DZ16" s="60"/>
      <c r="EF16" s="60"/>
      <c r="EG16" s="60"/>
      <c r="EH16" s="60"/>
      <c r="EI16" s="97"/>
      <c r="EJ16" s="60"/>
      <c r="EK16" s="269">
        <f>EK17*$P17/10^3</f>
        <v>0.90029566908895908</v>
      </c>
      <c r="EL16" s="60"/>
      <c r="EM16" s="60"/>
      <c r="EN16" s="60"/>
      <c r="EO16" s="49"/>
      <c r="EP16" s="60"/>
      <c r="EQ16" s="60"/>
      <c r="ER16" s="60"/>
      <c r="ES16" s="60"/>
      <c r="ET16" s="60"/>
      <c r="EU16" s="60"/>
      <c r="EV16" s="60"/>
      <c r="EW16" s="60"/>
      <c r="EX16" s="60"/>
      <c r="EY16" s="60"/>
      <c r="EZ16" s="60"/>
      <c r="FA16" s="60"/>
      <c r="FB16" s="60"/>
      <c r="FC16" s="97"/>
      <c r="FD16" s="97"/>
      <c r="FE16" s="97"/>
      <c r="FF16" s="97"/>
      <c r="FG16" s="97"/>
      <c r="FR16" s="97"/>
      <c r="FS16" s="97"/>
      <c r="FT16" s="97"/>
      <c r="FU16" s="97"/>
      <c r="FV16" s="123"/>
      <c r="FW16" s="269"/>
      <c r="FX16" s="123"/>
      <c r="FY16" s="269"/>
      <c r="FZ16" s="123"/>
      <c r="GA16" s="269"/>
      <c r="GB16" s="123"/>
      <c r="GC16" s="144"/>
      <c r="GD16" s="123"/>
      <c r="GE16" s="144"/>
      <c r="GF16" s="123"/>
      <c r="GG16" s="144"/>
      <c r="GH16" s="123"/>
      <c r="GI16" s="144"/>
      <c r="GJ16" s="60"/>
      <c r="GK16" s="60"/>
      <c r="GL16" s="60"/>
    </row>
    <row r="17" spans="1:218" s="4" customFormat="1" x14ac:dyDescent="0.25">
      <c r="A17" s="16" t="s">
        <v>485</v>
      </c>
      <c r="B17" s="68">
        <f>B19+B27+B33+B37+B45+B52+B58+B61+B65</f>
        <v>1154.71</v>
      </c>
      <c r="C17" s="68">
        <f>C19+C27+C33+C37+C45+C52+C58+C61+C65</f>
        <v>943.15902578796567</v>
      </c>
      <c r="D17" s="68">
        <f>D19+D27+D33+D37+D45+D52+D58+D61+D65</f>
        <v>211.55097421203436</v>
      </c>
      <c r="E17" s="109">
        <f>D17/B17</f>
        <v>0.18320701666395403</v>
      </c>
      <c r="G17" s="32">
        <f>P17/B17</f>
        <v>3.2838326111253475</v>
      </c>
      <c r="I17" s="32">
        <f>S17/C17</f>
        <v>2.7313626357498189</v>
      </c>
      <c r="K17" s="32">
        <f>U17/D17</f>
        <v>5.7469129429135011</v>
      </c>
      <c r="L17" s="32">
        <f>10/G17</f>
        <v>3.0452222095976649</v>
      </c>
      <c r="M17" s="32">
        <f>10/I17</f>
        <v>3.6611762455536341</v>
      </c>
      <c r="N17" s="32">
        <f>10/K17</f>
        <v>1.7400646398047435</v>
      </c>
      <c r="O17" s="67"/>
      <c r="P17" s="68">
        <f>P19+P27+P33+P37+P45+P52+P58+P61+P65</f>
        <v>3791.8743543925502</v>
      </c>
      <c r="Q17" s="67"/>
      <c r="S17" s="68">
        <f>S19+S27+S33+S37+S45+S52+S58+S61+S65</f>
        <v>2576.1093226074495</v>
      </c>
      <c r="U17" s="68">
        <f>U19+U27+U33+U37+U45+U52+U58+U61+U65</f>
        <v>1215.7650317851005</v>
      </c>
      <c r="V17" s="109">
        <f>U17/P17</f>
        <v>0.320623764966459</v>
      </c>
      <c r="W17" s="581">
        <f t="shared" ref="W17:AE17" si="5">($B19*W19+$B27*W27+$B33*W33+$B37*W37+$B45*W45+$B52*W52+$B58*W58+$B61*W61+$B65*W65)/$B17</f>
        <v>0.20303536063455058</v>
      </c>
      <c r="X17" s="581">
        <f t="shared" si="5"/>
        <v>0.2539687354088328</v>
      </c>
      <c r="Y17" s="581">
        <f t="shared" si="5"/>
        <v>0.12012896251823757</v>
      </c>
      <c r="Z17" s="582">
        <f t="shared" si="5"/>
        <v>0.13231995854169892</v>
      </c>
      <c r="AA17" s="582">
        <f t="shared" si="5"/>
        <v>9.8503484332882613E-2</v>
      </c>
      <c r="AB17" s="582">
        <f t="shared" si="5"/>
        <v>0.1363593821330947</v>
      </c>
      <c r="AC17" s="429">
        <f t="shared" si="5"/>
        <v>2.3827593169345504E-2</v>
      </c>
      <c r="AD17" s="551">
        <f t="shared" si="5"/>
        <v>2.708006372370126E-2</v>
      </c>
      <c r="AE17" s="551">
        <f t="shared" si="5"/>
        <v>4.4826178172297495E-3</v>
      </c>
      <c r="AF17" s="294"/>
      <c r="AG17" s="294"/>
      <c r="AH17" s="294"/>
      <c r="AI17" s="294"/>
      <c r="AJ17" s="294"/>
      <c r="AK17" s="294"/>
      <c r="AL17" s="294"/>
      <c r="AM17" s="294"/>
      <c r="AN17" s="294"/>
      <c r="AO17" s="294"/>
      <c r="AP17" s="294"/>
      <c r="AQ17" s="294"/>
      <c r="AR17" s="294"/>
      <c r="AS17" s="294"/>
      <c r="AT17" s="294"/>
      <c r="AU17" s="294"/>
      <c r="AV17" s="294"/>
      <c r="AW17" s="294"/>
      <c r="AX17" s="471">
        <f>AX19+AX27+AX33+AX37+AX45+AX52+AX58+AX61+AX65</f>
        <v>187.66611941776455</v>
      </c>
      <c r="AY17" s="107">
        <f t="shared" ref="AY17:AZ17" si="6">AY19+AY27+AY33+AY37+AY45+AY52+AY58+AY61+AY65</f>
        <v>74.718265637803043</v>
      </c>
      <c r="AZ17" s="107">
        <f t="shared" si="6"/>
        <v>112.94785377996152</v>
      </c>
      <c r="BA17" s="261">
        <f t="shared" ref="BA17" si="7">BB17+BC17</f>
        <v>162.52229513710336</v>
      </c>
      <c r="BB17" s="68">
        <f>($B19*BB19+$B27*BB27+$B33*BB33+$B37*BB37+$B45*BB45+$B52*BB52+$B58*BB58+$B61*BB61+$B65*BB65)/$B17</f>
        <v>64.707385956476557</v>
      </c>
      <c r="BC17" s="583">
        <f>($B19*BC19+$B27*BC27+$B33*BC33+$B37*BC37+$B45*BC45+$B52*BC52+$B58*BC58+$B61*BC61+$B65*BC65)/$B17</f>
        <v>97.814909180626785</v>
      </c>
      <c r="BD17" s="107">
        <f t="shared" ref="BD17" si="8">BE17+BF17</f>
        <v>171.1344361159525</v>
      </c>
      <c r="BE17" s="68">
        <f>($C19*BE19+$C27*BE27+$C33*BE33+$C37*BE37+$C45*BE45+$C52*BE52+$C58*BE58+$C61*BE61+$C65*BE65)/$C17</f>
        <v>68.168154188426584</v>
      </c>
      <c r="BF17" s="68">
        <f>($C19*BF19+$C27*BF27+$C33*BF33+$C37*BF37+$C45*BF45+$C52*BF52+$C58*BF58+$C61*BF61+$C65*BF65)/$C17</f>
        <v>102.96628192752593</v>
      </c>
      <c r="BG17" s="107">
        <f t="shared" ref="BG17" si="9">BH17+BI17</f>
        <v>124.12673337798394</v>
      </c>
      <c r="BH17" s="68">
        <f>($D19*BH19+$D27*BH27+$D33*BH33+$D37*BH37+$D45*BH45+$D52*BH52+$D58*BH58+$D61*BH61+$D65*BH65)/$D17</f>
        <v>49.278221395634532</v>
      </c>
      <c r="BI17" s="68">
        <f>($D19*BI19+$D27*BI27+$D33*BI33+$D37*BI37+$D45*BI45+$D52*BI52+$D58*BI58+$D61*BI61+$D65*BI65)/$D17</f>
        <v>74.848511982349407</v>
      </c>
      <c r="BJ17" s="471">
        <f>BJ19+BJ27+BJ33+BJ37+BJ45+BJ52+BJ58+BJ61+BJ65</f>
        <v>88.684017703843821</v>
      </c>
      <c r="BK17" s="107">
        <f t="shared" ref="BK17:BL17" si="10">BK19+BK27+BK33+BK37+BK45+BK52+BK58+BK61+BK65</f>
        <v>2.470923868872672</v>
      </c>
      <c r="BL17" s="107">
        <f t="shared" si="10"/>
        <v>86.213093834971161</v>
      </c>
      <c r="BM17" s="584">
        <f t="shared" ref="BM17" si="11">BN17+BO17</f>
        <v>76.801982925447803</v>
      </c>
      <c r="BN17" s="97">
        <f>($B19*BN19+$B27*BN27+$B33*BN33+$B37*BN37+$B45*BN45+$B52*BN52+$B58*BN58+$B61*BN61+$B65*BN65)/$B17</f>
        <v>2.1398653071963274</v>
      </c>
      <c r="BO17" s="583">
        <f>($B19*BO19+$B27*BO27+$B33*BO33+$B37*BO37+$B45*BO45+$B52*BO52+$B58*BO58+$B61*BO61+$B65*BO65)/$B17</f>
        <v>74.662117618251472</v>
      </c>
      <c r="BP17" s="270">
        <f>1-BO17/BC17</f>
        <v>0.23670002616493713</v>
      </c>
      <c r="BQ17" s="107">
        <f t="shared" ref="BQ17" si="12">BR17+BS17</f>
        <v>80.857345028249924</v>
      </c>
      <c r="BR17" s="97">
        <f>($C19*BR19+$C27*BR27+$C33*BR33+$C37*BR37+$C45*BR45+$C52*BR52+$C58*BR58+$C61*BR61+$C65*BR65)/$C17</f>
        <v>2.1491244799586071</v>
      </c>
      <c r="BS17" s="68">
        <f>($C19*BS19+$C27*BS27+$C33*BS33+$C37*BS37+$C45*BS45+$C52*BS52+$C58*BS58+$C61*BS61+$C65*BS65)/$C17</f>
        <v>78.708220548291322</v>
      </c>
      <c r="BT17" s="38">
        <f>(BE17-BR17)/BE17</f>
        <v>0.96847318948936023</v>
      </c>
      <c r="BU17" s="257">
        <v>0.25</v>
      </c>
      <c r="BV17" s="108">
        <f t="shared" ref="BV17" si="13">BW17+BX17</f>
        <v>58.721936807282852</v>
      </c>
      <c r="BW17" s="97">
        <f>($D19*BW19+$D27*BW27+$D33*BW33+$D37*BW37+$D45*BW45+$D52*BW52+$D58*BW58+$D61*BW61+$D65*BW65)/$D17</f>
        <v>2.0985850796076777</v>
      </c>
      <c r="BX17" s="97">
        <f>($D19*BX19+$D27*BX27+$D33*BX33+$D37*BX37+$D45*BX45+$D52*BX52+$D58*BX58+$D61*BX61+$D65*BX65)/$D17</f>
        <v>56.623351727675171</v>
      </c>
      <c r="BY17" s="38">
        <f>(BH17-BW17)/BH17</f>
        <v>0.95741353847252308</v>
      </c>
      <c r="BZ17" s="257">
        <v>0.25</v>
      </c>
      <c r="CA17" s="585">
        <f>AX17-BJ17</f>
        <v>98.982101713920727</v>
      </c>
      <c r="CB17" s="586">
        <f t="shared" ref="CB17:CC17" si="14">AY17-BK17</f>
        <v>72.247341768930369</v>
      </c>
      <c r="CC17" s="587">
        <f t="shared" si="14"/>
        <v>26.734759944990358</v>
      </c>
      <c r="CD17" s="261">
        <f>BA17-BM17</f>
        <v>85.720312211655553</v>
      </c>
      <c r="CE17" s="107">
        <f>BB17-BN17</f>
        <v>62.567520649280226</v>
      </c>
      <c r="CF17" s="108">
        <f>BC17-BO17</f>
        <v>23.152791562375313</v>
      </c>
      <c r="CG17" s="261">
        <f>BD17-BQ17</f>
        <v>90.277091087702573</v>
      </c>
      <c r="CH17" s="107">
        <f>BE17-BR17</f>
        <v>66.019029708467983</v>
      </c>
      <c r="CI17" s="107">
        <f>BF17-BS17</f>
        <v>24.258061379234604</v>
      </c>
      <c r="CJ17" s="261">
        <f>BG17-BV17</f>
        <v>65.40479657070108</v>
      </c>
      <c r="CK17" s="107">
        <f>BH17-BW17</f>
        <v>47.179636316026851</v>
      </c>
      <c r="CL17" s="107">
        <f>BI17-BX17</f>
        <v>18.225160254674236</v>
      </c>
      <c r="CM17" s="98"/>
      <c r="CN17" s="96"/>
      <c r="CO17" s="96"/>
      <c r="CS17" s="584">
        <f>($B19*CS19+$B27*CS27+$B33*CS33+$B37*CS37+$B45*CS45+$B52*CS52+$B58*CS58+$B61*CS61+$B65*CS65)/$B17</f>
        <v>5.8699164103744623</v>
      </c>
      <c r="CT17" s="108">
        <f>($C19*CT19+$C27*CT27+$C33*CT33+$C37*CT37+$C45*CT45+$C52*CT52+$C58*CT58+$C61*CT61+$C65*CT65)/$C17</f>
        <v>6.1149429537082733</v>
      </c>
      <c r="CU17" s="108">
        <f>($D19*CU19+$D27*CU27+$D33*CU33+$D37*CU37+$D45*CU45+$D52*CU52+$D58*CU58+$D61*CU61+$D65*CU65)/$D17</f>
        <v>5.0159598413682103</v>
      </c>
      <c r="CY17" s="60"/>
      <c r="CZ17" s="739">
        <f>(BA17-BM17)/'Amortization metrics'!$D$4/G17</f>
        <v>0.87012466186859794</v>
      </c>
      <c r="DC17" s="60"/>
      <c r="DD17" s="740">
        <f>(BD17-BQ17)/'Amortization metrics'!$D$4/I17</f>
        <v>1.1017344713599277</v>
      </c>
      <c r="DG17" s="60"/>
      <c r="DH17" s="740">
        <f>(BG17-BV17)/'Amortization metrics'!$D$4/K17</f>
        <v>0.37936191262099839</v>
      </c>
      <c r="DK17" s="60"/>
      <c r="DL17" s="521">
        <f>$EF$11*DX17</f>
        <v>0.89761656060845096</v>
      </c>
      <c r="DM17" s="522"/>
      <c r="DN17" s="522"/>
      <c r="DO17" s="60"/>
      <c r="DP17" s="740">
        <f>$EF$11*EA17</f>
        <v>1.1242243741620861</v>
      </c>
      <c r="DQ17" s="522"/>
      <c r="DR17" s="522"/>
      <c r="DS17" s="60"/>
      <c r="DT17" s="740">
        <f>$EF$11*ED17</f>
        <v>0.43828780173543147</v>
      </c>
      <c r="DU17" s="522"/>
      <c r="DV17" s="522"/>
      <c r="DW17" s="60"/>
      <c r="DX17" s="523">
        <f>CS17/G17</f>
        <v>1.7875199821354113</v>
      </c>
      <c r="DZ17" s="60"/>
      <c r="EA17" s="588">
        <f>CT17/I17</f>
        <v>2.2387883885032305</v>
      </c>
      <c r="EC17" s="60"/>
      <c r="ED17" s="588">
        <f>CU17/K17</f>
        <v>0.87280943546454337</v>
      </c>
      <c r="EF17" s="60"/>
      <c r="EG17" s="60"/>
      <c r="EH17" s="60"/>
      <c r="EI17" s="589">
        <f>EI19+EI27+EI33+EI37+EI45+EI52+EI58+EI61+EI65</f>
        <v>900.29566908895913</v>
      </c>
      <c r="EJ17" s="60"/>
      <c r="EK17" s="590">
        <f>($P19*EK19+$P27*EK27+$P33*EK33+$P37*EK37+$P45*EK45+$P52*EK52+$P58*EK58+$P61*EK61+$P65*EK65)/$P17</f>
        <v>0.2374276109771534</v>
      </c>
      <c r="EL17" s="60"/>
      <c r="EM17" s="60"/>
      <c r="EN17" s="429">
        <f>($B19*EN19+$B27*EN27+$B33*EN33+$B37*EN37+$B45*EN45+$B52*EN52+$B58*EN58+$B61*EN61+$B65*EN65)/$B17</f>
        <v>1.8249902307427613E-2</v>
      </c>
      <c r="EO17" s="591"/>
      <c r="EP17" s="100"/>
      <c r="EQ17" s="429">
        <f>($C19*EQ19+$C27*EQ27+$C33*EQ33+$C37*EQ37+$C45*EQ45+$C52*EQ52+$C58*EQ58+$C61*EQ61+$C65*EQ65)/$C17</f>
        <v>1.8421683788402386E-2</v>
      </c>
      <c r="ER17" s="429"/>
      <c r="ES17" s="429"/>
      <c r="ET17" s="429"/>
      <c r="EU17" s="429"/>
      <c r="EV17" s="100"/>
      <c r="EW17" s="100"/>
      <c r="EX17" s="429">
        <f>($D19*EX19+$D27*EX27+$D33*EX33+$D37*EX37+$D45*EX45+$D52*EX52+$D58*EX58+$D61*EX61+$D65*EX65)/$D17</f>
        <v>1.7484047861008527E-2</v>
      </c>
      <c r="EY17" s="429"/>
      <c r="EZ17" s="429"/>
      <c r="FA17" s="429"/>
      <c r="FB17" s="429"/>
      <c r="FC17" s="430"/>
      <c r="FD17" s="430"/>
      <c r="FE17" s="430"/>
      <c r="FF17" s="430"/>
      <c r="FG17" s="430"/>
      <c r="FH17" s="430"/>
      <c r="FI17" s="430"/>
      <c r="FJ17" s="430"/>
      <c r="FK17" s="430"/>
      <c r="FL17" s="589">
        <f>FL19+FL27+FL33+FL37+FL45+FL52+FL58+FL61+FL65</f>
        <v>3000.6088111298973</v>
      </c>
      <c r="FM17" s="471">
        <f>FM19+FM27+FM33+FM37+FM45+FM52+FM58+FM61+FM65</f>
        <v>594.39814715577711</v>
      </c>
      <c r="FN17" s="471">
        <f>FN19+FN27+FN33+FN37+FN45+FN52+FN58+FN61+FN65</f>
        <v>148.22026862245798</v>
      </c>
      <c r="FO17" s="471">
        <f t="shared" ref="FO17:FP17" si="15">FO19+FO27+FO33+FO37+FO45+FO52+FO58+FO61+FO65</f>
        <v>528.38088807743202</v>
      </c>
      <c r="FP17" s="471">
        <f t="shared" si="15"/>
        <v>605.11260033655003</v>
      </c>
      <c r="FQ17" s="471">
        <f t="shared" ref="FQ17" si="16">FQ19+FQ27+FQ33+FQ37+FQ45+FQ52+FQ58+FQ61+FQ65</f>
        <v>1124.49690693768</v>
      </c>
      <c r="FR17" s="522">
        <f>FL17/P17</f>
        <v>0.7913260120694553</v>
      </c>
      <c r="FS17" s="590">
        <f>($P19*FS19+$P27*FS27+$P33*FS33+$P37*FS37+$P45*FS45+$P52*FS52+$P58*FS58+$P61*FS61+$P65*FS65)/$P17</f>
        <v>0.7913260120694553</v>
      </c>
      <c r="FT17" s="522"/>
      <c r="FU17" s="97"/>
      <c r="FV17" s="123"/>
      <c r="FW17" s="262">
        <f>($P19*FW19+$P27*FW27+$P33*FW33+$P37*FW37+$P45*FW45+$P52*FW52+$P58*FW58+$P61*FW61+$P65*FW65)/$P17</f>
        <v>0.19584467900893851</v>
      </c>
      <c r="FX17" s="123"/>
      <c r="FY17" s="262">
        <f>($P19*FY19+$P27*FY27+$P33*FY33+$P37*FY37+$P45*FY45+$P52*FY52+$P58*FY58+$P61*FY61+$P65*FY65)/$P17</f>
        <v>0.29892696394355217</v>
      </c>
      <c r="FZ17" s="123"/>
      <c r="GA17" s="262">
        <f t="shared" ref="GA17:GJ17" si="17">($P19*GA19+$P27*GA27+$P33*GA33+$P37*GA37+$P45*GA45+$P52*GA52+$P58*GA58+$P61*GA61+$P65*GA65)/$P17</f>
        <v>0.29655436911696453</v>
      </c>
      <c r="GB17" s="522">
        <f>($P19*GB19+$P27*GB27+$P33*GB33+$P37*GB37+$P45*GB45+$P52*GB52+$P58*GB58+$P61*GB61+$P65*GB65)/$P17</f>
        <v>9.982459582311011E-2</v>
      </c>
      <c r="GC17" s="522">
        <f>($P19*GC19+$P27*GC27+$P33*GC33+$P37*GC37+$P45*GC45+$P52*GC52+$P58*GC58+$P61*GC61+$P65*GC65)/$P17</f>
        <v>0.15675576023958165</v>
      </c>
      <c r="GD17" s="522">
        <f>($P19*GD19+$P27*GD27+$P33*GD33+$P37*GD37+$P45*GD45+$P52*GD52+$P58*GD58+$P61*GD61+$P65*GD65)/$P17</f>
        <v>2.9017416124140164E-2</v>
      </c>
      <c r="GE17" s="522">
        <f>($P19*GE19+$P27*GE27+$P33*GE33+$P37*GE37+$P45*GE45+$P52*GE52+$P58*GE58+$P61*GE61+$P65*GE65)/$P17</f>
        <v>3.9088918769356884E-2</v>
      </c>
      <c r="GF17" s="522">
        <f t="shared" si="17"/>
        <v>9.8858749549045347E-2</v>
      </c>
      <c r="GG17" s="522">
        <f t="shared" ref="GG17:GI17" si="18">($P19*GG19+$P27*GG27+$P33*GG33+$P37*GG37+$P45*GG45+$P52*GG52+$P58*GG58+$P61*GG61+$P65*GG65)/$P17</f>
        <v>0.13934556862764971</v>
      </c>
      <c r="GH17" s="522">
        <f t="shared" si="18"/>
        <v>0.10456404964137343</v>
      </c>
      <c r="GI17" s="522">
        <f t="shared" si="18"/>
        <v>0.15958139531590249</v>
      </c>
      <c r="GJ17" s="521">
        <f t="shared" si="17"/>
        <v>4.2026336206579833</v>
      </c>
      <c r="GK17" s="60"/>
      <c r="GL17" s="60"/>
      <c r="GS17" s="521">
        <f>($P19*GS19+$P27*GS27+$P33*GS33+$P37*GS37+$P45*GS45+$P52*GS52+$P58*GS58+$P61*GS61+$P65*GS65)/$P17</f>
        <v>4.3200143452775954</v>
      </c>
    </row>
    <row r="18" spans="1:218" s="4" customFormat="1" x14ac:dyDescent="0.25">
      <c r="A18" s="14"/>
      <c r="O18" s="60"/>
      <c r="W18" s="60"/>
      <c r="X18" s="60"/>
      <c r="Y18" s="60"/>
      <c r="Z18" s="60"/>
      <c r="AA18" s="60"/>
      <c r="AB18" s="60"/>
      <c r="AC18" s="60"/>
      <c r="AD18" s="60"/>
      <c r="AE18" s="60"/>
      <c r="AF18" s="60"/>
      <c r="AG18" s="60"/>
      <c r="AH18" s="60"/>
      <c r="AI18" s="60"/>
      <c r="AJ18" s="60"/>
      <c r="AK18" s="60"/>
      <c r="AL18" s="60"/>
      <c r="AM18" s="60"/>
      <c r="AN18" s="60"/>
      <c r="AO18" s="60"/>
      <c r="AP18" s="60"/>
      <c r="AQ18" s="60"/>
      <c r="AR18" s="60"/>
      <c r="AS18" s="60"/>
      <c r="AT18" s="60"/>
      <c r="AU18" s="60"/>
      <c r="AV18" s="60"/>
      <c r="AW18" s="60"/>
      <c r="AX18" s="60"/>
      <c r="AY18" s="60"/>
      <c r="AZ18" s="60"/>
      <c r="BD18" s="60"/>
      <c r="BE18" s="60"/>
      <c r="BF18" s="60"/>
      <c r="BG18" s="60"/>
      <c r="BH18" s="60"/>
      <c r="BI18" s="60"/>
      <c r="BJ18" s="60"/>
      <c r="BK18" s="60"/>
      <c r="BL18" s="60"/>
      <c r="BM18" s="60"/>
      <c r="BN18" s="60"/>
      <c r="BO18" s="60"/>
      <c r="BP18" s="60"/>
      <c r="BQ18" s="60"/>
      <c r="BR18" s="60"/>
      <c r="BS18" s="60"/>
      <c r="CA18" s="60"/>
      <c r="CB18" s="60"/>
      <c r="CC18" s="60"/>
      <c r="CM18" s="60"/>
      <c r="CN18" s="60"/>
      <c r="CO18" s="60"/>
      <c r="CU18" s="97"/>
      <c r="CY18" s="60"/>
      <c r="DC18" s="60"/>
      <c r="DG18" s="60"/>
      <c r="DK18" s="60"/>
      <c r="DL18" s="32"/>
      <c r="DM18" s="97"/>
      <c r="DN18" s="97"/>
      <c r="DO18" s="60"/>
      <c r="DP18" s="32"/>
      <c r="DQ18" s="97"/>
      <c r="DR18" s="97"/>
      <c r="DS18" s="60"/>
      <c r="DT18" s="32"/>
      <c r="DU18" s="97"/>
      <c r="DV18" s="97"/>
      <c r="DW18" s="60"/>
      <c r="DZ18" s="60"/>
      <c r="EC18" s="60"/>
      <c r="EF18" s="60"/>
      <c r="EG18" s="60"/>
      <c r="EH18" s="575" t="s">
        <v>860</v>
      </c>
      <c r="EI18" s="269">
        <f>EI17/$B17</f>
        <v>0.77967253170835893</v>
      </c>
      <c r="EJ18" s="60"/>
      <c r="EK18" s="60"/>
      <c r="EL18" s="60"/>
      <c r="EM18" s="60"/>
      <c r="EN18" s="60"/>
      <c r="EO18" s="49"/>
      <c r="EP18" s="60"/>
      <c r="EQ18" s="60"/>
      <c r="ER18" s="60"/>
      <c r="ES18" s="60"/>
      <c r="ET18" s="60"/>
      <c r="EU18" s="60"/>
      <c r="EV18" s="60"/>
      <c r="EW18" s="60"/>
      <c r="EX18" s="60"/>
      <c r="EY18" s="60"/>
      <c r="EZ18" s="60"/>
      <c r="FA18" s="60"/>
      <c r="FB18" s="60"/>
      <c r="FC18" s="97"/>
      <c r="FD18" s="97"/>
      <c r="FE18" s="97"/>
      <c r="FF18" s="97"/>
      <c r="FG18" s="97"/>
      <c r="FH18" s="575" t="s">
        <v>860</v>
      </c>
      <c r="FI18" s="575"/>
      <c r="FJ18" s="575"/>
      <c r="FK18" s="575"/>
      <c r="FL18" s="149">
        <f t="shared" ref="FL18:FQ18" si="19">FL17/$B17</f>
        <v>2.5985821644654479</v>
      </c>
      <c r="FM18" s="269">
        <f>FM17/$B17</f>
        <v>0.51475967745648443</v>
      </c>
      <c r="FN18" s="269">
        <f>FN17/$B17</f>
        <v>0.12836146618844382</v>
      </c>
      <c r="FO18" s="269">
        <f t="shared" si="19"/>
        <v>0.45758752247528123</v>
      </c>
      <c r="FP18" s="269">
        <f t="shared" si="19"/>
        <v>0.52403859006724629</v>
      </c>
      <c r="FQ18" s="149">
        <f t="shared" si="19"/>
        <v>0.97383490827799191</v>
      </c>
      <c r="FR18" s="457"/>
      <c r="FS18" s="60"/>
      <c r="FT18" s="97"/>
      <c r="FU18" s="97"/>
      <c r="FV18" s="123"/>
      <c r="FW18" s="123"/>
      <c r="FX18" s="123"/>
      <c r="FY18" s="123"/>
      <c r="FZ18" s="123"/>
      <c r="GA18" s="49"/>
      <c r="GB18" s="60"/>
      <c r="GC18" s="60"/>
      <c r="GD18" s="60"/>
      <c r="GE18" s="60"/>
      <c r="GF18" s="60"/>
      <c r="GG18" s="60"/>
      <c r="GH18" s="60"/>
      <c r="GI18" s="60"/>
      <c r="GJ18" s="60"/>
      <c r="GK18" s="60"/>
      <c r="GL18" s="60"/>
    </row>
    <row r="19" spans="1:218" s="4" customFormat="1" ht="13.8" x14ac:dyDescent="0.3">
      <c r="A19" s="15" t="s">
        <v>74</v>
      </c>
      <c r="B19" s="152">
        <f>B20+B21+B22+B23+B24+B25</f>
        <v>568.9</v>
      </c>
      <c r="C19" s="152">
        <f>C20+C21+C22+C23+C24+C25</f>
        <v>431.90000000000003</v>
      </c>
      <c r="D19" s="152">
        <f>D20+D21+D22+D23+D24+D25</f>
        <v>137.00000000000003</v>
      </c>
      <c r="F19" s="153">
        <f>O19/B19</f>
        <v>3.8517384426085428</v>
      </c>
      <c r="G19" s="153">
        <f>P19/B19</f>
        <v>3.3784897169977151</v>
      </c>
      <c r="I19" s="153">
        <f>S19/C19</f>
        <v>2.6231113220652928</v>
      </c>
      <c r="K19" s="153">
        <f>U19/D19</f>
        <v>5.7598614598540134</v>
      </c>
      <c r="O19" s="152">
        <f>O20+O21+O22+O23+O24+O25</f>
        <v>2191.2539999999999</v>
      </c>
      <c r="P19" s="152">
        <f>P20+P21+P22+P23+P24+P25</f>
        <v>1922.0228</v>
      </c>
      <c r="Q19" s="265">
        <f>P19/P$17</f>
        <v>0.50687934788068778</v>
      </c>
      <c r="S19" s="152">
        <f>S20+S21+S22+S23+S24+S25</f>
        <v>1132.9217800000001</v>
      </c>
      <c r="U19" s="152">
        <f>U20+U21+U22+U23+U24+U25</f>
        <v>789.10101999999995</v>
      </c>
      <c r="V19" s="154"/>
      <c r="W19" s="265">
        <f t="shared" ref="W19:AE19" si="20">($B20*W20+$B21*W21+$B22*W22+$B23*W23+$B24*W24+$B25*W25)/$B19</f>
        <v>0.14628707734589033</v>
      </c>
      <c r="X19" s="265">
        <f t="shared" si="20"/>
        <v>0.22755121333094355</v>
      </c>
      <c r="Y19" s="265">
        <f t="shared" si="20"/>
        <v>0.13032335199743286</v>
      </c>
      <c r="Z19" s="265">
        <f t="shared" si="20"/>
        <v>0.13430242791482455</v>
      </c>
      <c r="AA19" s="265">
        <f t="shared" si="20"/>
        <v>0.12035404698197041</v>
      </c>
      <c r="AB19" s="265">
        <f t="shared" si="20"/>
        <v>0.17610004451227665</v>
      </c>
      <c r="AC19" s="265">
        <f t="shared" si="20"/>
        <v>2.6903286388200189E-2</v>
      </c>
      <c r="AD19" s="592">
        <f t="shared" si="20"/>
        <v>3.3186883945740993E-2</v>
      </c>
      <c r="AE19" s="265">
        <f t="shared" si="20"/>
        <v>4.8411913789712276E-3</v>
      </c>
      <c r="AF19" s="265">
        <f t="shared" ref="AF19:AN19" si="21">($C20*AF20+$C21*AF21+$C22*AF22+$C23*AF23+$C24*AF24+$C25*AF25)/$C19</f>
        <v>0.15555845280316416</v>
      </c>
      <c r="AG19" s="265">
        <f t="shared" si="21"/>
        <v>0.22208154105850389</v>
      </c>
      <c r="AH19" s="265">
        <f t="shared" si="21"/>
        <v>0.16333543601278258</v>
      </c>
      <c r="AI19" s="265">
        <f t="shared" si="21"/>
        <v>0.13919956081724549</v>
      </c>
      <c r="AJ19" s="265">
        <f t="shared" si="21"/>
        <v>0.1257920029309455</v>
      </c>
      <c r="AK19" s="265">
        <f t="shared" si="21"/>
        <v>0.16858227809611648</v>
      </c>
      <c r="AL19" s="265">
        <f t="shared" si="21"/>
        <v>1.2544895853937327E-2</v>
      </c>
      <c r="AM19" s="265">
        <f t="shared" si="21"/>
        <v>6.5825323925483657E-3</v>
      </c>
      <c r="AN19" s="265">
        <f t="shared" si="21"/>
        <v>6.1761456434495047E-3</v>
      </c>
      <c r="AO19" s="265">
        <f t="shared" ref="AO19:AW19" si="22">($D20*AO20+$D21*AO21+$D22*AO22+$D23*AO23+$D24*AO24+$D25*AO25)/$D19</f>
        <v>0.11705855865978398</v>
      </c>
      <c r="AP19" s="265">
        <f t="shared" si="22"/>
        <v>0.24479465460442276</v>
      </c>
      <c r="AQ19" s="265">
        <f t="shared" si="22"/>
        <v>2.6250949908166062E-2</v>
      </c>
      <c r="AR19" s="265">
        <f t="shared" si="22"/>
        <v>0.11886394834872516</v>
      </c>
      <c r="AS19" s="265">
        <f t="shared" si="22"/>
        <v>0.10321059315450797</v>
      </c>
      <c r="AT19" s="265">
        <f t="shared" si="22"/>
        <v>0.19980021469577713</v>
      </c>
      <c r="AU19" s="265">
        <f t="shared" si="22"/>
        <v>7.2168898590741271E-2</v>
      </c>
      <c r="AV19" s="265">
        <f t="shared" si="22"/>
        <v>0.11705855865978398</v>
      </c>
      <c r="AW19" s="265">
        <f t="shared" si="22"/>
        <v>6.3267497876562156E-4</v>
      </c>
      <c r="AX19" s="152">
        <f>AX20+AX21+AX22+AX23+AX24+AX25</f>
        <v>83.051300434835753</v>
      </c>
      <c r="AY19" s="152">
        <f t="shared" ref="AY19:AZ19" si="23">AY20+AY21+AY22+AY23+AY24+AY25</f>
        <v>30.50532910849731</v>
      </c>
      <c r="AZ19" s="152">
        <f t="shared" si="23"/>
        <v>52.545971326338439</v>
      </c>
      <c r="BA19" s="49">
        <f>($B20*BA20+$B21*BA21+$B22*BA22+$B23*BA23+$B24*BA24+$B25*BA25)/$B19</f>
        <v>145.98576276118081</v>
      </c>
      <c r="BB19" s="49">
        <f>($B20*BB20+$B21*BB21+$B22*BB22+$B23*BB23+$B24*BB24+$B25*BB25)/$B19</f>
        <v>53.621601526625611</v>
      </c>
      <c r="BC19" s="49">
        <f>($B20*BC20+$B21*BC21+$B22*BC22+$B23*BC23+$B24*BC24+$B25*BC25)/$B19</f>
        <v>92.364161234555212</v>
      </c>
      <c r="BD19" s="49">
        <f>($C20*BD20+$C21*BD21+$C22*BD22+$C23*BD23+$C24*BD24+$C25*BD25)/$C19</f>
        <v>149.81830037574554</v>
      </c>
      <c r="BE19" s="152">
        <f>($C20*BE20+$C21*BE21+$C22*BE22+$C23*BE23+$C24*BE24+$C25*BE25)/$C19</f>
        <v>53.429799578333245</v>
      </c>
      <c r="BF19" s="152">
        <f>($C20*BF20+$C21*BF21+$C22*BF22+$C23*BF23+$C24*BF24+$C25*BF25)/$C19</f>
        <v>96.388500797412263</v>
      </c>
      <c r="BG19" s="49">
        <f>($D20*BG20+$D21*BG21+$D22*BG22+$D23*BG23+$D24*BG24+$D25*BG25)/$D19</f>
        <v>133.90347812081205</v>
      </c>
      <c r="BH19" s="152">
        <f>($D20*BH20+$D21*BH21+$D22*BH22+$D23*BH23+$D24*BH24+$D25*BH25)/$D19</f>
        <v>54.226267668723914</v>
      </c>
      <c r="BI19" s="152">
        <f>($D20*BI20+$D21*BI21+$D22*BI22+$D23*BI23+$D24*BI24+$D25*BI25)/$D19</f>
        <v>79.677210452088133</v>
      </c>
      <c r="BJ19" s="152">
        <f>BJ20+BJ21+BJ22+BJ23+BJ24+BJ25</f>
        <v>40.010110619753831</v>
      </c>
      <c r="BK19" s="152">
        <f t="shared" ref="BK19" si="24">BK20+BK21+BK22+BK23+BK24+BK25</f>
        <v>0.60063212499999996</v>
      </c>
      <c r="BL19" s="152">
        <f t="shared" ref="BL19" si="25">BL20+BL21+BL22+BL23+BL24+BL25</f>
        <v>39.409478494753834</v>
      </c>
      <c r="BM19" s="49">
        <f>($B20*BM20+$B21*BM21+$B22*BM22+$B23*BM23+$B24*BM24+$B25*BM25)/$B19</f>
        <v>70.328898962478178</v>
      </c>
      <c r="BN19" s="49">
        <f>($B20*BN20+$B21*BN21+$B22*BN22+$B23*BN23+$B24*BN24+$B25*BN25)/$B19</f>
        <v>1.0557780365617857</v>
      </c>
      <c r="BO19" s="152">
        <f>($B20*BO20+$B21*BO21+$B22*BO22+$B23*BO23+$B24*BO24+$B25*BO25)/$B19</f>
        <v>69.273120925916402</v>
      </c>
      <c r="BP19" s="270"/>
      <c r="BQ19" s="152">
        <f>($C20*BQ20+$C21*BQ21+$C22*BQ22+$C23*BQ23+$C24*BQ24+$C25*BQ25)/$C19</f>
        <v>73.111097886204618</v>
      </c>
      <c r="BR19" s="153">
        <f>($C20*BR20+$C21*BR21+$C22*BR22+$C23*BR23+$C24*BR24+$C25*BR25)/$C19</f>
        <v>0.81972228814540415</v>
      </c>
      <c r="BS19" s="152">
        <f>($C20*BS20+$C21*BS21+$C22*BS22+$C23*BS23+$C24*BS24+$C25*BS25)/$C19</f>
        <v>72.291375598059204</v>
      </c>
      <c r="BT19" s="152"/>
      <c r="BV19" s="153">
        <f>($D20*BV20+$D21*BV21+$D22*BV22+$D23*BV23+$D24*BV24+$D25*BV25)/$D19</f>
        <v>61.557864545270505</v>
      </c>
      <c r="BW19" s="153">
        <f>($D20*BW20+$D21*BW21+$D22*BW22+$D23*BW23+$D24*BW24+$D25*BW25)/$D19</f>
        <v>1.7999567062043793</v>
      </c>
      <c r="BX19" s="152">
        <f>($D20*BX20+$D21*BX21+$D22*BX22+$D23*BX23+$D24*BX24+$D25*BX25)/$D19</f>
        <v>59.757907839066114</v>
      </c>
      <c r="BY19" s="152"/>
      <c r="CA19" s="554"/>
      <c r="CB19" s="554"/>
      <c r="CC19" s="554"/>
      <c r="CD19" s="152">
        <f t="shared" ref="CD19:CF25" si="26">BA19-BM19</f>
        <v>75.656863798702631</v>
      </c>
      <c r="CE19" s="152">
        <f t="shared" si="26"/>
        <v>52.565823490063828</v>
      </c>
      <c r="CF19" s="152">
        <f t="shared" si="26"/>
        <v>23.09104030863881</v>
      </c>
      <c r="CG19" s="152">
        <f t="shared" ref="CG19:CI25" si="27">BD19-BQ19</f>
        <v>76.707202489540919</v>
      </c>
      <c r="CH19" s="152">
        <f t="shared" si="27"/>
        <v>52.610077290187839</v>
      </c>
      <c r="CI19" s="152">
        <f t="shared" si="27"/>
        <v>24.097125199353059</v>
      </c>
      <c r="CJ19" s="152">
        <f t="shared" ref="CJ19:CL25" si="28">BG19-BV19</f>
        <v>72.345613575541549</v>
      </c>
      <c r="CK19" s="152">
        <f t="shared" si="28"/>
        <v>52.426310962519537</v>
      </c>
      <c r="CL19" s="152">
        <f t="shared" si="28"/>
        <v>19.919302613022019</v>
      </c>
      <c r="CM19" s="60"/>
      <c r="CN19" s="60"/>
      <c r="CO19" s="60"/>
      <c r="CS19" s="153">
        <f>($B20*CS20+$B21*CS21+$B22*CS22+$B23*CS23+$B24*CS24+$B25*CS25)/$B19</f>
        <v>5.4653260678502384</v>
      </c>
      <c r="CT19" s="153">
        <f>($C20*CT20+$C21*CT21+$C22*CT22+$C23*CT23+$C24*CT24+$C25*CT25)/$C19</f>
        <v>5.6023871266496865</v>
      </c>
      <c r="CU19" s="153">
        <f>($D20*CU20+$D21*CU21+$D22*CU22+$D23*CU23+$D24*CU24+$D25*CU25)/$D19</f>
        <v>5.0332335766423357</v>
      </c>
      <c r="CY19" s="269">
        <f>(BA19-BM19)/'Amortization metrics'!$D$4/F19</f>
        <v>0.65474213722799701</v>
      </c>
      <c r="CZ19" s="525">
        <f>(BA19-BM19-EN19*CF19)/'Amortization metrics'!$D$4/G19</f>
        <v>0.74258397484702388</v>
      </c>
      <c r="DA19" s="149"/>
      <c r="DB19" s="149"/>
      <c r="DC19" s="60"/>
      <c r="DD19" s="525">
        <f>(BD19-BQ19-EQ19*CI19)/'Amortization metrics'!$D$4/I19</f>
        <v>0.96983989272061688</v>
      </c>
      <c r="DE19" s="149"/>
      <c r="DF19" s="149"/>
      <c r="DG19" s="60"/>
      <c r="DH19" s="525">
        <f>(BG19-BV19-EX19*CL19)/'Amortization metrics'!$D$4/K19</f>
        <v>0.4163805744326779</v>
      </c>
      <c r="DI19" s="149"/>
      <c r="DJ19" s="149"/>
      <c r="DK19" s="269">
        <f>$EF$11*DW19</f>
        <v>0.71252357891637508</v>
      </c>
      <c r="DL19" s="525">
        <f>$EF$11*DX19</f>
        <v>0.8123317488194326</v>
      </c>
      <c r="DM19" s="149"/>
      <c r="DN19" s="149"/>
      <c r="DO19" s="60"/>
      <c r="DP19" s="525">
        <f t="shared" ref="DP19:DP25" si="29">$EF$11*EA19</f>
        <v>1.072497638501537</v>
      </c>
      <c r="DQ19" s="149"/>
      <c r="DR19" s="149"/>
      <c r="DS19" s="60"/>
      <c r="DT19" s="525">
        <f t="shared" ref="DT19:DT25" si="30">$EF$11*ED19</f>
        <v>0.43880846680170832</v>
      </c>
      <c r="DU19" s="149"/>
      <c r="DV19" s="149"/>
      <c r="DW19" s="149">
        <f>CS19/F19</f>
        <v>1.4189245062416318</v>
      </c>
      <c r="DX19" s="525">
        <f t="shared" ref="DX19:DX25" si="31">CS19/G19</f>
        <v>1.6176832033418129</v>
      </c>
      <c r="DY19" s="49"/>
      <c r="DZ19" s="60"/>
      <c r="EA19" s="525">
        <f t="shared" ref="EA19:EA25" si="32">CT19/I19</f>
        <v>2.1357794004101498</v>
      </c>
      <c r="EB19" s="49"/>
      <c r="EC19" s="60"/>
      <c r="ED19" s="525">
        <f t="shared" ref="ED19:ED25" si="33">CU19/K19</f>
        <v>0.87384629156860061</v>
      </c>
      <c r="EE19" s="49"/>
      <c r="EF19" s="60"/>
      <c r="EG19" s="60"/>
      <c r="EH19" s="60"/>
      <c r="EI19" s="152">
        <f t="shared" ref="EI19" si="34">EI20+EI21+EI22+EI23+EI24+EI25</f>
        <v>386.24170660529995</v>
      </c>
      <c r="EJ19" s="269">
        <f>($O20*EJ20+$O21*EJ21+$O22*EJ22+$O23*EJ23+$O24*EJ24+$O25*EJ25)/$O19</f>
        <v>0.17626514616986436</v>
      </c>
      <c r="EK19" s="473">
        <f>($P20*EK20+$P21*EK21+$P22*EK22+$P23*EK23+$P24*EK24+$P25*EK25)/$P19</f>
        <v>0.20095584017281168</v>
      </c>
      <c r="EL19" s="60"/>
      <c r="EM19" s="60"/>
      <c r="EN19" s="594">
        <f>($B20*EN20+$B21*EN21+$B22*EN22+$B23*EN23+$B24*EN24+$B25*EN25)/$B19</f>
        <v>1.6997679732817718E-2</v>
      </c>
      <c r="EO19" s="269"/>
      <c r="EP19" s="473">
        <f>($S20*EP20+$S21*EP21+$S22*EP22+$S23*EP23+$S24*EP24+$S25*EP25)/$S19</f>
        <v>0.25230343909320901</v>
      </c>
      <c r="EQ19" s="594">
        <f>($C20*EQ20+$C21*EQ21+$C22*EQ22+$C23*EQ23+$C24*EQ24+$C25*EQ25)/$C19</f>
        <v>1.6070896040750172E-2</v>
      </c>
      <c r="ER19" s="594"/>
      <c r="ES19" s="594"/>
      <c r="ET19" s="594"/>
      <c r="EU19" s="594"/>
      <c r="EV19" s="269"/>
      <c r="EW19" s="473">
        <f>($U20*EW20+$U21*EW21+$U22*EW22+$U23*EW23+$U24*EW24+$U25*EW25)/$U19</f>
        <v>0.12723547776899338</v>
      </c>
      <c r="EX19" s="594">
        <f>($D20*EX20+$D21*EX21+$D22*EX22+$D23*EX23+$D24*EX24+$D25*EX25)/$D19</f>
        <v>1.9919416058394156E-2</v>
      </c>
      <c r="EY19" s="594"/>
      <c r="EZ19" s="594"/>
      <c r="FA19" s="594"/>
      <c r="FB19" s="594"/>
      <c r="FC19" s="595"/>
      <c r="FD19" s="595"/>
      <c r="FE19" s="595"/>
      <c r="FF19" s="595"/>
      <c r="FG19" s="595"/>
      <c r="FH19" s="595"/>
      <c r="FI19" s="595"/>
      <c r="FJ19" s="595"/>
      <c r="FK19" s="595"/>
      <c r="FL19" s="152">
        <f>FL20+FL21+FL22+FL23+FL24+FL25</f>
        <v>2235.9300118516412</v>
      </c>
      <c r="FM19" s="152">
        <f>FM20+FM21+FM22+FM23+FM24+FM25</f>
        <v>369.2141265946633</v>
      </c>
      <c r="FN19" s="152">
        <f>FN20+FN21+FN22+FN23+FN24+FN25</f>
        <v>87.048047366448984</v>
      </c>
      <c r="FO19" s="152">
        <f t="shared" ref="FO19:FQ19" si="35">FO20+FO21+FO22+FO23+FO24+FO25</f>
        <v>303.1908063135906</v>
      </c>
      <c r="FP19" s="152">
        <f t="shared" si="35"/>
        <v>360.74186223925847</v>
      </c>
      <c r="FQ19" s="152">
        <f t="shared" si="35"/>
        <v>1115.73516933768</v>
      </c>
      <c r="FR19" s="269">
        <f>($P20*FR20+$P21*FR21+$P22*FR22+$P23*FR23+$P24*FR24+$P25*FR25)/$P19</f>
        <v>1.016618300638328</v>
      </c>
      <c r="FS19" s="473">
        <f>($P20*FS20+$P21*FS21+$P22*FS22+$P23*FS23+$P24*FS24+$P25*FS25)/$P19</f>
        <v>1.1633212737391259</v>
      </c>
      <c r="FT19" s="149"/>
      <c r="FU19" s="149"/>
      <c r="FV19" s="269"/>
      <c r="FW19" s="269">
        <f>($P20*FW20+$P21*FW21+$P22*FW22+$P23*FW23+$P24*FW24+$P25*FW25)/$P19</f>
        <v>0.23738645241935338</v>
      </c>
      <c r="FX19" s="269"/>
      <c r="FY19" s="269">
        <f>($P20*FY20+$P21*FY21+$P22*FY22+$P23*FY23+$P24*FY24+$P25*FY25)/$P19</f>
        <v>0.34543433540582819</v>
      </c>
      <c r="FZ19" s="123"/>
      <c r="GA19" s="269">
        <f>($P20*GA20+$P21*GA21+$P22*GA22+$P23*GA23+$P24*GA24+$P25*GA25)/$P19</f>
        <v>0.58050048591394443</v>
      </c>
      <c r="GB19" s="269">
        <f>($O20*GB20+$O21*GB21+$O22*GB22+$O23*GB23+$O24*GB24+$O25*GB25)/$O19</f>
        <v>0.16849444500485261</v>
      </c>
      <c r="GC19" s="269">
        <f>($P20*GC20+$P21*GC21+$P22*GC22+$P23*GC23+$P24*GC24+$P25*GC25)/$P19</f>
        <v>0.1920966424512047</v>
      </c>
      <c r="GD19" s="269">
        <f>($O20*GD20+$O21*GD21+$O22*GD22+$O23*GD23+$O24*GD24+$O25*GD25)/$O19</f>
        <v>3.9725220064150017E-2</v>
      </c>
      <c r="GE19" s="269">
        <f>($P20*GE20+$P21*GE21+$P22*GE22+$P23*GE23+$P24*GE24+$P25*GE25)/$P19</f>
        <v>4.5289809968148652E-2</v>
      </c>
      <c r="GF19" s="269">
        <f>($O20*GF20+$O21*GF21+$O22*GF22+$O23*GF23+$O24*GF24+$O25*GF25)/$O19</f>
        <v>0.13836406291264755</v>
      </c>
      <c r="GG19" s="269">
        <f>($P20*GG20+$P21*GG21+$P22*GG22+$P23*GG23+$P24*GG24+$P25*GG25)/$P19</f>
        <v>0.15774568663472183</v>
      </c>
      <c r="GH19" s="269">
        <f>($O20*GH20+$O21*GH21+$O22*GH22+$O23*GH23+$O24*GH24+$O25*GH25)/$O19</f>
        <v>0.16462804505514125</v>
      </c>
      <c r="GI19" s="269">
        <f>($P20*GI20+$P21*GI21+$P22*GI22+$P23*GI23+$P24*GI24+$P25*GI25)/$P19</f>
        <v>0.18768864877110639</v>
      </c>
      <c r="GJ19" s="149">
        <f>($P20*GJ20+$P21*GJ21+$P22*GJ22+$P23*GJ23+$P24*GJ24+$P25*GJ25)/$P19</f>
        <v>4.0863733484293974</v>
      </c>
      <c r="GM19" s="149">
        <f>($S20*GM20+$S21*GM21+$S22*GM22+$S23*GM23+$S24*GM24+$S25*GM25)/$S19</f>
        <v>4.6353008550169674</v>
      </c>
      <c r="GP19" s="149">
        <f>($U20*GP20+$U21*GP21+$U22*GP22+$U23*GP23+$U24*GP24+$U25*GP25)/$U19</f>
        <v>3.2973485126041222</v>
      </c>
      <c r="GS19" s="149">
        <f>($P20*GS20+$P21*GS21+$P22*GS22+$P23*GS23+$P24*GS24+$P25*GS25)/$P19</f>
        <v>4.34282685958319</v>
      </c>
      <c r="GV19" s="149">
        <f>($S20*GV20+$S21*GV21+$S22*GV22+$S23*GV23+$S24*GV24+$S25*GV25)/$S19</f>
        <v>5.0120834155475809</v>
      </c>
      <c r="GY19" s="149">
        <f>($U20*GY20+$U21*GY21+$U22*GY22+$U23*GY23+$U24*GY24+$U25*GY25)/$U19</f>
        <v>3.3819672111444548</v>
      </c>
    </row>
    <row r="20" spans="1:218" s="4" customFormat="1" x14ac:dyDescent="0.25">
      <c r="A20" s="14" t="s">
        <v>52</v>
      </c>
      <c r="B20" s="67">
        <f>C20+D20</f>
        <v>135.9</v>
      </c>
      <c r="C20" s="105">
        <v>114</v>
      </c>
      <c r="D20" s="33">
        <v>21.9</v>
      </c>
      <c r="E20" s="38">
        <f>D20/B20</f>
        <v>0.16114790286975716</v>
      </c>
      <c r="F20" s="108">
        <f>O20/B20</f>
        <v>5.2401766004415</v>
      </c>
      <c r="G20" s="32">
        <f>P20/B20</f>
        <v>4.61135540838852</v>
      </c>
      <c r="H20" s="33">
        <v>4.71</v>
      </c>
      <c r="I20" s="264">
        <f t="shared" ref="I20:I25" si="36">$HB20*H20</f>
        <v>4.1448</v>
      </c>
      <c r="J20" s="33">
        <v>8</v>
      </c>
      <c r="K20" s="32">
        <f t="shared" ref="K20:K25" si="37">$HB20*J20</f>
        <v>7.04</v>
      </c>
      <c r="L20" s="32">
        <f>10/G20</f>
        <v>2.1685598082093156</v>
      </c>
      <c r="M20" s="32">
        <f>10/I20</f>
        <v>2.4126616483304382</v>
      </c>
      <c r="N20" s="32">
        <f>10/K20</f>
        <v>1.4204545454545454</v>
      </c>
      <c r="O20" s="107">
        <f>R20+T20</f>
        <v>712.13999999999987</v>
      </c>
      <c r="P20" s="68">
        <f>S20+U20</f>
        <v>626.68319999999994</v>
      </c>
      <c r="Q20" s="68"/>
      <c r="R20" s="67">
        <f>C20*H20</f>
        <v>536.93999999999994</v>
      </c>
      <c r="S20" s="67">
        <f>C20*I20</f>
        <v>472.50720000000001</v>
      </c>
      <c r="T20" s="67">
        <f>D20*J20</f>
        <v>175.2</v>
      </c>
      <c r="U20" s="67">
        <f>D20*K20</f>
        <v>154.17599999999999</v>
      </c>
      <c r="V20" s="109">
        <f>U20/P20</f>
        <v>0.24601904119976409</v>
      </c>
      <c r="W20" s="294">
        <f>($C20*AF20+$D20*AO20)/$B20</f>
        <v>0.21832863251978427</v>
      </c>
      <c r="X20" s="294">
        <f t="shared" ref="X20:AE20" si="38">($C20*AG20+$D20*AP20)/$B20</f>
        <v>0.38676459943859332</v>
      </c>
      <c r="Y20" s="294">
        <f t="shared" si="38"/>
        <v>0.11030320717363283</v>
      </c>
      <c r="Z20" s="294">
        <f t="shared" si="38"/>
        <v>0.11137539152154481</v>
      </c>
      <c r="AA20" s="294">
        <f t="shared" si="38"/>
        <v>8.5593798218820571E-2</v>
      </c>
      <c r="AB20" s="294">
        <f t="shared" si="38"/>
        <v>6.1486240598673844E-2</v>
      </c>
      <c r="AC20" s="294">
        <f t="shared" si="38"/>
        <v>8.6922087301180024E-3</v>
      </c>
      <c r="AD20" s="294">
        <f t="shared" si="38"/>
        <v>1.4952703726521207E-2</v>
      </c>
      <c r="AE20" s="294">
        <f t="shared" si="38"/>
        <v>2.4790299642855262E-3</v>
      </c>
      <c r="AF20" s="433">
        <v>0.25105641895177455</v>
      </c>
      <c r="AG20" s="433">
        <v>0.38743634269437044</v>
      </c>
      <c r="AH20" s="433">
        <v>0.12084238467810281</v>
      </c>
      <c r="AI20" s="433">
        <v>0.1233258093424815</v>
      </c>
      <c r="AJ20" s="433">
        <v>6.2266308536683891E-2</v>
      </c>
      <c r="AK20" s="433">
        <v>4.2394618122719357E-2</v>
      </c>
      <c r="AL20" s="433">
        <v>1.2195328505599501E-3</v>
      </c>
      <c r="AM20" s="433">
        <v>8.6109038377004364E-3</v>
      </c>
      <c r="AN20" s="433">
        <v>2.8339261829481779E-3</v>
      </c>
      <c r="AO20" s="433">
        <v>4.7964812736821114E-2</v>
      </c>
      <c r="AP20" s="433">
        <v>0.3832678537235894</v>
      </c>
      <c r="AQ20" s="433">
        <v>5.544173523255623E-2</v>
      </c>
      <c r="AR20" s="433">
        <v>4.9167737111189519E-2</v>
      </c>
      <c r="AS20" s="433">
        <v>0.20702456642720329</v>
      </c>
      <c r="AT20" s="433">
        <v>0.16086728910364242</v>
      </c>
      <c r="AU20" s="433">
        <v>4.7591069473022947E-2</v>
      </c>
      <c r="AV20" s="433">
        <v>4.7964812736821114E-2</v>
      </c>
      <c r="AW20" s="433">
        <v>6.3162499042515E-4</v>
      </c>
      <c r="AX20" s="554">
        <f t="shared" ref="AX20:AX25" si="39">BA20*$B20/10^3</f>
        <v>26.065259218701005</v>
      </c>
      <c r="AY20" s="554">
        <f t="shared" ref="AY20:AY25" si="40">BB20*$B20/10^3</f>
        <v>10.970610549312752</v>
      </c>
      <c r="AZ20" s="554">
        <f t="shared" ref="AZ20:AZ25" si="41">BC20*$B20/10^3</f>
        <v>15.094648669388251</v>
      </c>
      <c r="BA20" s="67">
        <f>BB20+BC20</f>
        <v>191.79734524430467</v>
      </c>
      <c r="BB20" s="67">
        <f t="shared" ref="BB20:BC25" si="42">(BE20*$C20+BH20*$D20)/$B20</f>
        <v>80.725611106054103</v>
      </c>
      <c r="BC20" s="67">
        <f t="shared" si="42"/>
        <v>111.07173413825055</v>
      </c>
      <c r="BD20" s="67">
        <f>BE20+BF20</f>
        <v>202.82323125089823</v>
      </c>
      <c r="BE20" s="105">
        <v>87.264349411853502</v>
      </c>
      <c r="BF20" s="105">
        <v>115.55888183904472</v>
      </c>
      <c r="BG20" s="68">
        <f>BH20+BI20</f>
        <v>134.40232219628342</v>
      </c>
      <c r="BH20" s="106">
        <v>46.688343212851741</v>
      </c>
      <c r="BI20" s="106">
        <v>87.713978983431687</v>
      </c>
      <c r="BJ20" s="554">
        <f t="shared" ref="BJ20:BJ25" si="43">BM20*$B20/10^3</f>
        <v>11.516825002041188</v>
      </c>
      <c r="BK20" s="554">
        <f t="shared" ref="BK20:BK25" si="44">BN20*$B20/10^3</f>
        <v>0.1958385</v>
      </c>
      <c r="BL20" s="554">
        <f t="shared" ref="BL20:BL25" si="45">BO20*$B20/10^3</f>
        <v>11.320986502041189</v>
      </c>
      <c r="BM20" s="32">
        <f>BN20+BO20</f>
        <v>84.744849168809324</v>
      </c>
      <c r="BN20" s="32">
        <f t="shared" ref="BN20:BO25" si="46">(BR20*$C20+BW20*$D20)/$B20</f>
        <v>1.4410485651214129</v>
      </c>
      <c r="BO20" s="67">
        <f t="shared" si="46"/>
        <v>83.303800603687918</v>
      </c>
      <c r="BP20" s="270"/>
      <c r="BQ20" s="67">
        <f>BR20+BS20</f>
        <v>87.964411379283533</v>
      </c>
      <c r="BR20" s="32">
        <f t="shared" ref="BR20:BR25" si="47">I20*0.5*2.5*0.25</f>
        <v>1.29525</v>
      </c>
      <c r="BS20" s="67">
        <f t="shared" ref="BS20:BS25" si="48">(1-BU20)*BF20</f>
        <v>86.669161379283537</v>
      </c>
      <c r="BT20" s="67"/>
      <c r="BU20" s="34">
        <f>BU$17</f>
        <v>0.25</v>
      </c>
      <c r="BV20" s="68">
        <f>BW20+BX20</f>
        <v>67.985484237573772</v>
      </c>
      <c r="BW20" s="32">
        <f t="shared" ref="BW20:BW25" si="49">K20*0.5*2.5*0.25</f>
        <v>2.2000000000000002</v>
      </c>
      <c r="BX20" s="67">
        <f t="shared" ref="BX20:BX25" si="50">(1-BZ20)*BI20</f>
        <v>65.785484237573769</v>
      </c>
      <c r="BY20" s="67"/>
      <c r="BZ20" s="34">
        <f>BZ$17</f>
        <v>0.25</v>
      </c>
      <c r="CA20" s="554"/>
      <c r="CB20" s="554"/>
      <c r="CC20" s="554"/>
      <c r="CD20" s="32">
        <f t="shared" si="26"/>
        <v>107.05249607549534</v>
      </c>
      <c r="CE20" s="67">
        <f t="shared" si="26"/>
        <v>79.284562540932697</v>
      </c>
      <c r="CF20" s="67">
        <f t="shared" si="26"/>
        <v>27.76793353456263</v>
      </c>
      <c r="CG20" s="32">
        <f t="shared" si="27"/>
        <v>114.8588198716147</v>
      </c>
      <c r="CH20" s="67">
        <f t="shared" si="27"/>
        <v>85.969099411853506</v>
      </c>
      <c r="CI20" s="67">
        <f t="shared" si="27"/>
        <v>28.889720459761179</v>
      </c>
      <c r="CJ20" s="67">
        <f t="shared" si="28"/>
        <v>66.41683795870965</v>
      </c>
      <c r="CK20" s="67">
        <f t="shared" si="28"/>
        <v>44.488343212851738</v>
      </c>
      <c r="CL20" s="67">
        <f t="shared" si="28"/>
        <v>21.928494745857918</v>
      </c>
      <c r="CM20" s="68"/>
      <c r="CN20" s="293"/>
      <c r="CO20" s="293"/>
      <c r="CS20" s="32">
        <f>(CT20*$C20+CU20*$D20)/$B20</f>
        <v>6.6386534216335544</v>
      </c>
      <c r="CT20" s="33">
        <v>6.94</v>
      </c>
      <c r="CU20" s="99">
        <v>5.07</v>
      </c>
      <c r="CY20" s="97">
        <f t="shared" ref="CY20:CY25" si="51">CZ20*$HB20</f>
        <v>0.67888980123605669</v>
      </c>
      <c r="CZ20" s="526">
        <f>(BA20-BM20-EN20*CF20)/'Amortization metrics'!$D$4/G20</f>
        <v>0.77146568322279163</v>
      </c>
      <c r="DA20" s="527">
        <f t="shared" ref="DA20:DA25" si="52">10^3*CZ20/$HF20</f>
        <v>51.431045548186113</v>
      </c>
      <c r="DB20" s="528">
        <f t="shared" ref="DB20:DB25" si="53">CZ20/$HH20</f>
        <v>7.7146568322279157</v>
      </c>
      <c r="DC20" s="97">
        <f t="shared" ref="DC20:DC25" si="54">DD20*$HB20</f>
        <v>0.81021410832015428</v>
      </c>
      <c r="DD20" s="526">
        <f>(BD20-BQ20-EQ20*CI20)/'Amortization metrics'!$D$4/I20</f>
        <v>0.92069785036381169</v>
      </c>
      <c r="DE20" s="527">
        <f t="shared" ref="DE20:DE25" si="55">10^3*DD20/$HF20</f>
        <v>61.379856690920775</v>
      </c>
      <c r="DF20" s="528">
        <f t="shared" ref="DF20:DF25" si="56">DD20/$HH20</f>
        <v>9.2069785036381155</v>
      </c>
      <c r="DG20" s="97">
        <f t="shared" ref="DG20:DG25" si="57">DH20*$HB20</f>
        <v>0.27623429682336431</v>
      </c>
      <c r="DH20" s="526">
        <f>(BG20-BV20-EX20*CL20)/'Amortization metrics'!$D$4/K20</f>
        <v>0.31390261002655034</v>
      </c>
      <c r="DI20" s="527">
        <f t="shared" ref="DI20:DI25" si="58">10^3*DH20/$HF20</f>
        <v>20.926840668436689</v>
      </c>
      <c r="DJ20" s="528">
        <f t="shared" ref="DJ20:DJ25" si="59">DH20/$HH20</f>
        <v>3.1390261002655033</v>
      </c>
      <c r="DK20" s="522">
        <f t="shared" ref="DK20:DK25" si="60">DL20*$HB20</f>
        <v>0.63617122892184319</v>
      </c>
      <c r="DL20" s="526">
        <f t="shared" ref="DL20:DL25" si="61">$EF$11*DX20</f>
        <v>0.72292185104754914</v>
      </c>
      <c r="DM20" s="527">
        <f t="shared" ref="DM20:DM25" si="62">10^3*DL20/$HF20</f>
        <v>48.194790069836607</v>
      </c>
      <c r="DN20" s="528">
        <f t="shared" ref="DN20:DN25" si="63">DL20/$HH20</f>
        <v>7.2292185104754907</v>
      </c>
      <c r="DO20" s="97">
        <f t="shared" ref="DO20:DO25" si="64">DP20*$HB20</f>
        <v>0.73990934846787926</v>
      </c>
      <c r="DP20" s="526">
        <f t="shared" si="29"/>
        <v>0.8408060778044083</v>
      </c>
      <c r="DQ20" s="527">
        <f t="shared" ref="DQ20:DQ25" si="65">10^3*DP20/$HF20</f>
        <v>56.053738520293891</v>
      </c>
      <c r="DR20" s="528">
        <f t="shared" ref="DR20:DR25" si="66">DP20/$HH20</f>
        <v>8.4080607780440832</v>
      </c>
      <c r="DS20" s="97">
        <f t="shared" ref="DS20:DS25" si="67">DT20*$HB20</f>
        <v>0.31824231391585767</v>
      </c>
      <c r="DT20" s="526">
        <f t="shared" si="30"/>
        <v>0.3616389930862019</v>
      </c>
      <c r="DU20" s="527">
        <f t="shared" ref="DU20:DU25" si="68">10^3*DT20/$HF20</f>
        <v>24.109266205746792</v>
      </c>
      <c r="DV20" s="528">
        <f t="shared" ref="DV20:DV25" si="69">DT20/$HH20</f>
        <v>3.6163899308620189</v>
      </c>
      <c r="DW20" s="522">
        <f t="shared" ref="DW20:DW25" si="70">DX20*$HB20</f>
        <v>1.2668758951891486</v>
      </c>
      <c r="DX20" s="526">
        <f t="shared" si="31"/>
        <v>1.4396316990785778</v>
      </c>
      <c r="DY20" s="68">
        <f t="shared" ref="DY20:DY25" si="71">10^3*DX20/$HF20</f>
        <v>95.975446605238531</v>
      </c>
      <c r="DZ20" s="97">
        <f t="shared" ref="DZ20:DZ25" si="72">EA20*$HB20</f>
        <v>1.4734607218683653</v>
      </c>
      <c r="EA20" s="526">
        <f t="shared" si="32"/>
        <v>1.6743871839413242</v>
      </c>
      <c r="EB20" s="68">
        <f t="shared" ref="EB20:EB25" si="73">10^3*EA20/$HF20</f>
        <v>111.62581226275496</v>
      </c>
      <c r="EC20" s="97">
        <f t="shared" ref="EC20:EC25" si="74">ED20*$HB20</f>
        <v>0.63375000000000004</v>
      </c>
      <c r="ED20" s="526">
        <f t="shared" si="33"/>
        <v>0.72017045454545459</v>
      </c>
      <c r="EE20" s="68">
        <f t="shared" ref="EE20:EE25" si="75">10^3*ED20/$HF20</f>
        <v>48.01136363636364</v>
      </c>
      <c r="EF20" s="60"/>
      <c r="EG20" s="60"/>
      <c r="EH20" s="60"/>
      <c r="EI20" s="554">
        <f t="shared" ref="EI20:EI25" si="76">EK20*$P20</f>
        <v>79.051852526699975</v>
      </c>
      <c r="EJ20" s="262">
        <f t="shared" ref="EJ20:EJ25" si="77">EK20*$HB20</f>
        <v>0.11100605572878924</v>
      </c>
      <c r="EK20" s="166">
        <f t="shared" ref="EK20:EK25" si="78">(EP20*S20+EW20*U20)/P20</f>
        <v>0.12614324514635142</v>
      </c>
      <c r="EL20" s="68">
        <f t="shared" ref="EL20:EL25" si="79">10^3*EK20/$HF20</f>
        <v>8.4095496764234277</v>
      </c>
      <c r="EM20" s="97">
        <f t="shared" ref="EM20:EM25" si="80">EK20/$HH20</f>
        <v>1.261432451463514</v>
      </c>
      <c r="EN20" s="429">
        <f>(EQ20*$C20+EX20*$D20)/$B20</f>
        <v>1.1791390728476819E-2</v>
      </c>
      <c r="EO20" s="262">
        <f t="shared" ref="EO20:EO25" si="81">EP20*$HB20</f>
        <v>0.13644626666666665</v>
      </c>
      <c r="EP20" s="436">
        <f t="shared" ref="EP20:EP25" si="82">EQ20*EU20/I20</f>
        <v>0.15505257575757572</v>
      </c>
      <c r="EQ20" s="101">
        <v>1.2999999999999999E-2</v>
      </c>
      <c r="ER20" s="101">
        <v>0.74</v>
      </c>
      <c r="ES20" s="101">
        <v>0.26</v>
      </c>
      <c r="ET20" s="429">
        <f>1-ER20-ES20</f>
        <v>0</v>
      </c>
      <c r="EU20" s="430">
        <f>ER20*$FC20+ES20*$FD20+ET20*$FE20+'Amortization metrics'!$B$6*(ER20*$FF20+ES20*$FG20+ET20*$FH20)/10^3+'Amortization metrics'!$B$5*(ER20*$FI20+ES20*$FJ20+ET20*$FK20)/10^3</f>
        <v>49.435531999999995</v>
      </c>
      <c r="EV20" s="262">
        <f t="shared" ref="EV20:EV25" si="83">EW20*$HB20</f>
        <v>3.3038779125000001E-2</v>
      </c>
      <c r="EW20" s="436">
        <f t="shared" ref="EW20:EW25" si="84">EX20*FB20/K20</f>
        <v>3.7544067187500002E-2</v>
      </c>
      <c r="EX20" s="101">
        <v>5.4999999999999997E-3</v>
      </c>
      <c r="EY20" s="101">
        <v>0.67</v>
      </c>
      <c r="EZ20" s="101">
        <v>0.33</v>
      </c>
      <c r="FA20" s="429">
        <f>1-EY20-EZ20</f>
        <v>0</v>
      </c>
      <c r="FB20" s="430">
        <f>EY20*$FC20+EZ20*$FD20+FA20*$FE20+'Amortization metrics'!$B$6*(EY20*$FF20+EZ20*$FG20+FA20*$FH20)/10^3+'Amortization metrics'!$B$5*(EY20*$FI20+EZ20*$FJ20+FA20*$FK20)/10^3</f>
        <v>48.056406000000003</v>
      </c>
      <c r="FC20" s="431">
        <v>51.3</v>
      </c>
      <c r="FD20" s="431">
        <v>29</v>
      </c>
      <c r="FE20" s="431">
        <v>29</v>
      </c>
      <c r="FF20" s="99">
        <v>5</v>
      </c>
      <c r="FG20" s="431">
        <v>13</v>
      </c>
      <c r="FH20" s="431">
        <v>13</v>
      </c>
      <c r="FI20" s="431">
        <v>52</v>
      </c>
      <c r="FJ20" s="431">
        <v>58.3</v>
      </c>
      <c r="FK20" s="431">
        <v>58.3</v>
      </c>
      <c r="FL20" s="554">
        <f t="shared" ref="FL20:FL25" si="85">FO20+FP20+FM20+FN20+FQ20</f>
        <v>328.86694890020402</v>
      </c>
      <c r="FM20" s="554">
        <f t="shared" ref="FM20:FM25" si="86">GC20*$P20</f>
        <v>130.6739958734496</v>
      </c>
      <c r="FN20" s="554">
        <f t="shared" ref="FN20:FN25" si="87">GE20*$P20</f>
        <v>21.984424944767998</v>
      </c>
      <c r="FO20" s="554">
        <f t="shared" ref="FO20:FO25" si="88">GG20*$P20</f>
        <v>67.447291428659994</v>
      </c>
      <c r="FP20" s="554">
        <f t="shared" ref="FP20:FP25" si="89">GI20*$P20</f>
        <v>108.76123665332639</v>
      </c>
      <c r="FQ20" s="554"/>
      <c r="FR20" s="167">
        <f t="shared" ref="FR20:FR25" si="90">FS20*HB20</f>
        <v>0.46180097859999997</v>
      </c>
      <c r="FS20" s="166">
        <f t="shared" ref="FS20:FS25" si="91">FY20+FW20+GA20</f>
        <v>0.52477383931818178</v>
      </c>
      <c r="FT20" s="68">
        <f t="shared" ref="FT20:FT25" si="92">10^3*FS20/$HF20</f>
        <v>34.984922621212121</v>
      </c>
      <c r="FU20" s="97">
        <f t="shared" ref="FU20:FU25" si="93">FS20/$HH20</f>
        <v>5.2477383931818178</v>
      </c>
      <c r="FV20" s="473">
        <f t="shared" ref="FV20:FV25" si="94">FW20*HB20</f>
        <v>0.21436574384000001</v>
      </c>
      <c r="FW20" s="269">
        <f t="shared" ref="FW20:FW25" si="95">GC20+GE20</f>
        <v>0.2435974361818182</v>
      </c>
      <c r="FX20" s="473">
        <f t="shared" ref="FX20:FX25" si="96">FY20*HB20</f>
        <v>0.24743523475999998</v>
      </c>
      <c r="FY20" s="269">
        <f t="shared" ref="FY20:FY25" si="97">GG20+GI20</f>
        <v>0.28117640313636361</v>
      </c>
      <c r="FZ20" s="597"/>
      <c r="GA20" s="598"/>
      <c r="GB20" s="435">
        <v>0.18349481264</v>
      </c>
      <c r="GC20" s="522">
        <f t="shared" ref="GC20:GC25" si="98">GB20/$HB20</f>
        <v>0.20851683254545456</v>
      </c>
      <c r="GD20" s="435">
        <v>3.08709312E-2</v>
      </c>
      <c r="GE20" s="457">
        <f t="shared" ref="GE20:GE25" si="99">GD20/$HB20</f>
        <v>3.5080603636363637E-2</v>
      </c>
      <c r="GF20" s="435">
        <v>9.4710718999999999E-2</v>
      </c>
      <c r="GG20" s="522">
        <f t="shared" ref="GG20:GG25" si="100">GF20/$HB20</f>
        <v>0.10762581704545454</v>
      </c>
      <c r="GH20" s="435">
        <v>0.15272451576000001</v>
      </c>
      <c r="GI20" s="522">
        <f t="shared" ref="GI20:GI25" si="101">GH20/$HB20</f>
        <v>0.17355058609090909</v>
      </c>
      <c r="GJ20" s="599">
        <f t="shared" ref="GJ20:GJ25" si="102">44/12*CZ20+$FS20+$EK20</f>
        <v>3.4796245896147693</v>
      </c>
      <c r="GK20" s="527">
        <f t="shared" ref="GK20:GK25" si="103">10^3*GJ20/$HF20</f>
        <v>231.97497264098462</v>
      </c>
      <c r="GL20" s="528">
        <f t="shared" ref="GL20:GL25" si="104">GJ20/$HH20</f>
        <v>34.796245896147688</v>
      </c>
      <c r="GM20" s="599">
        <f t="shared" ref="GM20:GM25" si="105">44/12*DD20+$FS20+$EP20</f>
        <v>4.0557185330764005</v>
      </c>
      <c r="GN20" s="527">
        <f t="shared" ref="GN20:GN25" si="106">10^3*GM20/$HF20</f>
        <v>270.38123553842672</v>
      </c>
      <c r="GO20" s="528">
        <f t="shared" ref="GO20:GO25" si="107">GM20/$HH20</f>
        <v>40.557185330764</v>
      </c>
      <c r="GP20" s="599">
        <f t="shared" ref="GP20:GP25" si="108">44/12*DH20+$FS20+$EW20</f>
        <v>1.7132941432696998</v>
      </c>
      <c r="GQ20" s="527">
        <f t="shared" ref="GQ20:GQ25" si="109">10^3*GP20/$HF20</f>
        <v>114.21960955131333</v>
      </c>
      <c r="GR20" s="528">
        <f t="shared" ref="GR20:GR25" si="110">GP20/$HH20</f>
        <v>17.132941432696995</v>
      </c>
      <c r="GS20" s="599">
        <f t="shared" ref="GS20:GS25" si="111">44/12*DL20+$FS20+$EK20</f>
        <v>3.3016305383055466</v>
      </c>
      <c r="GT20" s="527">
        <f t="shared" ref="GT20:GT25" si="112">10^3*GS20/$HF20</f>
        <v>220.1087025537031</v>
      </c>
      <c r="GU20" s="528">
        <f t="shared" ref="GU20:GU25" si="113">GS20/$HH20</f>
        <v>33.016305383055467</v>
      </c>
      <c r="GV20" s="599">
        <f t="shared" ref="GV20:GV25" si="114">44/12*DP20+$FS20+$EP20</f>
        <v>3.7627820336919213</v>
      </c>
      <c r="GW20" s="527">
        <f t="shared" ref="GW20:GW25" si="115">10^3*GV20/$HF20</f>
        <v>250.85213557946142</v>
      </c>
      <c r="GX20" s="528">
        <f t="shared" ref="GX20:GX25" si="116">GV20/$HH20</f>
        <v>37.627820336919214</v>
      </c>
      <c r="GY20" s="599">
        <f t="shared" ref="GY20:GY25" si="117">44/12*DT20+$FS20+$EW20</f>
        <v>1.8883275478217554</v>
      </c>
      <c r="GZ20" s="527">
        <f t="shared" ref="GZ20:GZ25" si="118">10^3*GY20/$HF20</f>
        <v>125.88850318811703</v>
      </c>
      <c r="HA20" s="528">
        <f t="shared" ref="HA20:HA25" si="119">GY20/$HH20</f>
        <v>18.883275478217552</v>
      </c>
      <c r="HB20" s="31">
        <v>0.88</v>
      </c>
      <c r="HC20" s="32">
        <f>$HB20*HD20</f>
        <v>16.544</v>
      </c>
      <c r="HD20" s="27">
        <v>18.8</v>
      </c>
      <c r="HE20" s="32">
        <f>$HB20*HF20</f>
        <v>13.2</v>
      </c>
      <c r="HF20" s="33">
        <v>15</v>
      </c>
      <c r="HG20" s="36">
        <f>$HB20*HH20</f>
        <v>8.8000000000000009E-2</v>
      </c>
      <c r="HH20" s="31">
        <v>0.1</v>
      </c>
      <c r="HI20" s="36">
        <f t="shared" ref="HI20" si="120">$HB20*HJ20</f>
        <v>3.5200000000000002E-2</v>
      </c>
      <c r="HJ20" s="35">
        <v>0.04</v>
      </c>
    </row>
    <row r="21" spans="1:218" s="4" customFormat="1" x14ac:dyDescent="0.25">
      <c r="A21" s="4" t="s">
        <v>66</v>
      </c>
      <c r="B21" s="67">
        <f t="shared" ref="B21:B25" si="121">C21+D21</f>
        <v>108.30000000000001</v>
      </c>
      <c r="C21" s="33">
        <v>45.7</v>
      </c>
      <c r="D21" s="33">
        <v>62.6</v>
      </c>
      <c r="E21" s="38">
        <f t="shared" ref="E21:E25" si="122">D21/B21</f>
        <v>0.57802400738688819</v>
      </c>
      <c r="F21" s="108">
        <f t="shared" ref="F21:F25" si="123">O21/B21</f>
        <v>5.7993721144967676</v>
      </c>
      <c r="G21" s="32">
        <f t="shared" ref="G21:G25" si="124">P21/B21</f>
        <v>5.0454537396121877</v>
      </c>
      <c r="H21" s="33">
        <v>3.1</v>
      </c>
      <c r="I21" s="32">
        <f t="shared" si="36"/>
        <v>2.6970000000000001</v>
      </c>
      <c r="J21" s="33">
        <v>7.77</v>
      </c>
      <c r="K21" s="32">
        <f t="shared" si="37"/>
        <v>6.7599</v>
      </c>
      <c r="L21" s="32">
        <f t="shared" ref="L21:L25" si="125">10/G21</f>
        <v>1.9819822985372644</v>
      </c>
      <c r="M21" s="32">
        <f t="shared" ref="M21:M25" si="126">10/I21</f>
        <v>3.707823507601038</v>
      </c>
      <c r="N21" s="32">
        <f t="shared" ref="N21:N25" si="127">10/K21</f>
        <v>1.4793118241394103</v>
      </c>
      <c r="O21" s="107">
        <f t="shared" ref="O21:O25" si="128">R21+T21</f>
        <v>628.072</v>
      </c>
      <c r="P21" s="68">
        <f t="shared" ref="P21:P25" si="129">S21+U21</f>
        <v>546.42264</v>
      </c>
      <c r="Q21" s="68"/>
      <c r="R21" s="67">
        <f t="shared" ref="R21:R25" si="130">C21*H21</f>
        <v>141.67000000000002</v>
      </c>
      <c r="S21" s="67">
        <f t="shared" ref="S21:S25" si="131">C21*I21</f>
        <v>123.25290000000001</v>
      </c>
      <c r="T21" s="67">
        <f t="shared" ref="T21:T25" si="132">D21*J21</f>
        <v>486.40199999999999</v>
      </c>
      <c r="U21" s="67">
        <f t="shared" ref="U21:U25" si="133">D21*K21</f>
        <v>423.16973999999999</v>
      </c>
      <c r="V21" s="600">
        <f t="shared" ref="V21:V25" si="134">U21/P21</f>
        <v>0.77443668878727279</v>
      </c>
      <c r="W21" s="294">
        <f t="shared" ref="W21:W25" si="135">($C21*AF21+$D21*AO21)/$B21</f>
        <v>0.36439633290265627</v>
      </c>
      <c r="X21" s="294">
        <f t="shared" ref="X21:X25" si="136">($C21*AG21+$D21*AP21)/$B21</f>
        <v>0.18202897458067263</v>
      </c>
      <c r="Y21" s="294">
        <f t="shared" ref="Y21:Y25" si="137">($C21*AH21+$D21*AQ21)/$B21</f>
        <v>1.5196649658618819E-2</v>
      </c>
      <c r="Z21" s="294">
        <f t="shared" ref="Z21:Z25" si="138">($C21*AI21+$D21*AR21)/$B21</f>
        <v>0.22596058408066225</v>
      </c>
      <c r="AA21" s="294">
        <f t="shared" ref="AA21:AA25" si="139">($C21*AJ21+$D21*AS21)/$B21</f>
        <v>2.1455647385302805E-2</v>
      </c>
      <c r="AB21" s="294">
        <f t="shared" ref="AB21:AB25" si="140">($C21*AK21+$D21*AT21)/$B21</f>
        <v>2.7052731724139401E-2</v>
      </c>
      <c r="AC21" s="294">
        <f t="shared" ref="AC21:AC25" si="141">($C21*AL21+$D21*AU21)/$B21</f>
        <v>1.5554082193175131E-2</v>
      </c>
      <c r="AD21" s="294">
        <f t="shared" ref="AD21:AD25" si="142">($C21*AM21+$D21*AV21)/$B21</f>
        <v>0.14747557438983383</v>
      </c>
      <c r="AE21" s="294">
        <f t="shared" ref="AE21:AE25" si="143">($C21*AN21+$D21*AW21)/$B21</f>
        <v>6.2653055964877712E-4</v>
      </c>
      <c r="AF21" s="433">
        <v>0.54979019966630094</v>
      </c>
      <c r="AG21" s="433">
        <v>6.2115668437640909E-2</v>
      </c>
      <c r="AH21" s="433">
        <v>5.7506574176528439E-3</v>
      </c>
      <c r="AI21" s="433">
        <v>0.30939991835739272</v>
      </c>
      <c r="AJ21" s="433">
        <v>1.7627562073342599E-2</v>
      </c>
      <c r="AK21" s="433">
        <v>1.5151664273613561E-2</v>
      </c>
      <c r="AL21" s="433">
        <v>3.8374324373348641E-3</v>
      </c>
      <c r="AM21" s="433">
        <v>3.5730721615126373E-2</v>
      </c>
      <c r="AN21" s="433">
        <v>2.0586475727920493E-6</v>
      </c>
      <c r="AO21" s="433">
        <v>0.22905288703846213</v>
      </c>
      <c r="AP21" s="433">
        <v>0.2695695191611287</v>
      </c>
      <c r="AQ21" s="433">
        <v>2.2092525783413471E-2</v>
      </c>
      <c r="AR21" s="433">
        <v>0.16504720426522168</v>
      </c>
      <c r="AS21" s="433">
        <v>2.4250271966078867E-2</v>
      </c>
      <c r="AT21" s="433">
        <v>3.5740891188820414E-2</v>
      </c>
      <c r="AU21" s="433">
        <v>2.4107610848796542E-2</v>
      </c>
      <c r="AV21" s="433">
        <v>0.22905288703846213</v>
      </c>
      <c r="AW21" s="433">
        <v>1.0824150066435457E-3</v>
      </c>
      <c r="AX21" s="554">
        <f t="shared" si="39"/>
        <v>21.309220021324329</v>
      </c>
      <c r="AY21" s="554">
        <f t="shared" si="40"/>
        <v>9.5988949549622067</v>
      </c>
      <c r="AZ21" s="554">
        <f t="shared" si="41"/>
        <v>11.710325066362124</v>
      </c>
      <c r="BA21" s="67">
        <f t="shared" ref="BA21:BA25" si="144">BB21+BC21</f>
        <v>196.76103436125879</v>
      </c>
      <c r="BB21" s="67">
        <f t="shared" si="42"/>
        <v>88.632455724489432</v>
      </c>
      <c r="BC21" s="67">
        <f t="shared" si="42"/>
        <v>108.12857863676936</v>
      </c>
      <c r="BD21" s="67">
        <f t="shared" ref="BD21:BD25" si="145">BE21+BF21</f>
        <v>203.44942569143041</v>
      </c>
      <c r="BE21" s="105">
        <v>89.229393413338897</v>
      </c>
      <c r="BF21" s="105">
        <v>114.22003227809152</v>
      </c>
      <c r="BG21" s="68">
        <f t="shared" ref="BG21:BG25" si="146">BH21+BI21</f>
        <v>191.87829500360957</v>
      </c>
      <c r="BH21" s="106">
        <v>88.196672140137679</v>
      </c>
      <c r="BI21" s="106">
        <v>103.68162286347189</v>
      </c>
      <c r="BJ21" s="554">
        <f t="shared" si="43"/>
        <v>8.9535008747715903</v>
      </c>
      <c r="BK21" s="554">
        <f t="shared" si="44"/>
        <v>0.17075707499999998</v>
      </c>
      <c r="BL21" s="554">
        <f t="shared" si="45"/>
        <v>8.7827437997715911</v>
      </c>
      <c r="BM21" s="32">
        <f t="shared" ref="BM21:BM25" si="147">BN21+BO21</f>
        <v>82.673138271205815</v>
      </c>
      <c r="BN21" s="32">
        <f t="shared" si="46"/>
        <v>1.5767042936288085</v>
      </c>
      <c r="BO21" s="67">
        <f t="shared" si="46"/>
        <v>81.096433977577007</v>
      </c>
      <c r="BP21" s="270"/>
      <c r="BQ21" s="67">
        <f t="shared" ref="BQ21:BQ25" si="148">BR21+BS21</f>
        <v>86.507836708568632</v>
      </c>
      <c r="BR21" s="32">
        <f t="shared" si="47"/>
        <v>0.84281249999999996</v>
      </c>
      <c r="BS21" s="67">
        <f t="shared" si="48"/>
        <v>85.665024208568639</v>
      </c>
      <c r="BT21" s="67"/>
      <c r="BU21" s="34">
        <f t="shared" ref="BU21:BU25" si="149">BU$17</f>
        <v>0.25</v>
      </c>
      <c r="BV21" s="68">
        <f t="shared" ref="BV21:BV25" si="150">BW21+BX21</f>
        <v>79.87368589760392</v>
      </c>
      <c r="BW21" s="32">
        <f t="shared" si="49"/>
        <v>2.1124687500000001</v>
      </c>
      <c r="BX21" s="67">
        <f t="shared" si="50"/>
        <v>77.761217147603915</v>
      </c>
      <c r="BY21" s="67"/>
      <c r="BZ21" s="34">
        <f t="shared" ref="BZ21:BZ25" si="151">BZ$17</f>
        <v>0.25</v>
      </c>
      <c r="CA21" s="554"/>
      <c r="CB21" s="554"/>
      <c r="CC21" s="554"/>
      <c r="CD21" s="67">
        <f t="shared" si="26"/>
        <v>114.08789609005298</v>
      </c>
      <c r="CE21" s="67">
        <f t="shared" si="26"/>
        <v>87.055751430860624</v>
      </c>
      <c r="CF21" s="67">
        <f t="shared" si="26"/>
        <v>27.032144659192355</v>
      </c>
      <c r="CG21" s="32">
        <f t="shared" si="27"/>
        <v>116.94158898286177</v>
      </c>
      <c r="CH21" s="67">
        <f t="shared" si="27"/>
        <v>88.386580913338904</v>
      </c>
      <c r="CI21" s="67">
        <f t="shared" si="27"/>
        <v>28.555008069522884</v>
      </c>
      <c r="CJ21" s="32">
        <f t="shared" si="28"/>
        <v>112.00460910600565</v>
      </c>
      <c r="CK21" s="67">
        <f t="shared" si="28"/>
        <v>86.084203390137674</v>
      </c>
      <c r="CL21" s="67">
        <f t="shared" si="28"/>
        <v>25.920405715867972</v>
      </c>
      <c r="CM21" s="68"/>
      <c r="CN21" s="293"/>
      <c r="CO21" s="293"/>
      <c r="CS21" s="32">
        <f t="shared" ref="CS21:CS25" si="152">(CT21*$C21+CU21*$D21)/$B21</f>
        <v>6.9624376731301938</v>
      </c>
      <c r="CT21" s="33">
        <v>7.5</v>
      </c>
      <c r="CU21" s="99">
        <v>6.57</v>
      </c>
      <c r="CY21" s="97">
        <f t="shared" si="51"/>
        <v>0.64966014519404913</v>
      </c>
      <c r="CZ21" s="263">
        <f>(BA21-BM21-EN21*CF21)/'Amortization metrics'!$D$4/G21</f>
        <v>0.74673579907361975</v>
      </c>
      <c r="DA21" s="527">
        <f t="shared" si="52"/>
        <v>64.933547745532152</v>
      </c>
      <c r="DB21" s="528">
        <f t="shared" si="53"/>
        <v>9.3341974884202461</v>
      </c>
      <c r="DC21" s="97">
        <f t="shared" si="54"/>
        <v>1.2461679589968846</v>
      </c>
      <c r="DD21" s="263">
        <f>(BD21-BQ21-EQ21*CI21)/'Amortization metrics'!$D$4/I21</f>
        <v>1.4323769643642352</v>
      </c>
      <c r="DE21" s="527">
        <f t="shared" si="55"/>
        <v>124.55451864036827</v>
      </c>
      <c r="DF21" s="528">
        <f t="shared" si="56"/>
        <v>17.904712054552942</v>
      </c>
      <c r="DG21" s="97">
        <f t="shared" si="57"/>
        <v>0.47594110884450908</v>
      </c>
      <c r="DH21" s="263">
        <f>(BG21-BV21-EX21*CL21)/'Amortization metrics'!$D$4/K21</f>
        <v>0.54705874579828628</v>
      </c>
      <c r="DI21" s="527">
        <f t="shared" si="58"/>
        <v>47.570325721590109</v>
      </c>
      <c r="DJ21" s="528">
        <f t="shared" si="59"/>
        <v>6.838234322478578</v>
      </c>
      <c r="DK21" s="97">
        <f t="shared" si="60"/>
        <v>0.60286531163062917</v>
      </c>
      <c r="DL21" s="263">
        <f t="shared" si="61"/>
        <v>0.69294863405819451</v>
      </c>
      <c r="DM21" s="527">
        <f t="shared" si="62"/>
        <v>60.256402961582133</v>
      </c>
      <c r="DN21" s="528">
        <f t="shared" si="63"/>
        <v>8.661857925727432</v>
      </c>
      <c r="DO21" s="97">
        <f t="shared" si="64"/>
        <v>1.2148971708946656</v>
      </c>
      <c r="DP21" s="263">
        <f t="shared" si="29"/>
        <v>1.3964335297639834</v>
      </c>
      <c r="DQ21" s="527">
        <f t="shared" si="65"/>
        <v>121.42900258817247</v>
      </c>
      <c r="DR21" s="528">
        <f t="shared" si="66"/>
        <v>17.455419122049793</v>
      </c>
      <c r="DS21" s="97">
        <f t="shared" si="67"/>
        <v>0.42460421586635189</v>
      </c>
      <c r="DT21" s="263">
        <f t="shared" si="30"/>
        <v>0.48805082283488721</v>
      </c>
      <c r="DU21" s="527">
        <f t="shared" si="68"/>
        <v>42.439201985642363</v>
      </c>
      <c r="DV21" s="528">
        <f t="shared" si="69"/>
        <v>6.1006352854360903</v>
      </c>
      <c r="DW21" s="97">
        <f t="shared" si="70"/>
        <v>1.2005502553847331</v>
      </c>
      <c r="DX21" s="263">
        <f t="shared" si="31"/>
        <v>1.3799428222813024</v>
      </c>
      <c r="DY21" s="68">
        <f t="shared" si="71"/>
        <v>119.99502802446108</v>
      </c>
      <c r="DZ21" s="97">
        <f t="shared" si="72"/>
        <v>2.419354838709677</v>
      </c>
      <c r="EA21" s="263">
        <f t="shared" si="32"/>
        <v>2.7808676307007785</v>
      </c>
      <c r="EB21" s="68">
        <f t="shared" si="73"/>
        <v>241.81457658267641</v>
      </c>
      <c r="EC21" s="97">
        <f t="shared" si="74"/>
        <v>0.84555984555984565</v>
      </c>
      <c r="ED21" s="263">
        <f t="shared" si="33"/>
        <v>0.97190786845959265</v>
      </c>
      <c r="EE21" s="68">
        <f t="shared" si="75"/>
        <v>84.513727692138488</v>
      </c>
      <c r="EF21" s="60"/>
      <c r="EG21" s="60"/>
      <c r="EH21" s="60"/>
      <c r="EI21" s="554">
        <f t="shared" si="76"/>
        <v>153.02003354600001</v>
      </c>
      <c r="EJ21" s="262">
        <f t="shared" si="77"/>
        <v>0.24363454117680775</v>
      </c>
      <c r="EK21" s="166">
        <f t="shared" si="78"/>
        <v>0.28003970250207788</v>
      </c>
      <c r="EL21" s="68">
        <f t="shared" si="79"/>
        <v>24.351278478441554</v>
      </c>
      <c r="EM21" s="97">
        <f t="shared" si="80"/>
        <v>3.5004962812759732</v>
      </c>
      <c r="EN21" s="429">
        <f>(EQ21*C21+EX21*D21)/B21</f>
        <v>3.9185503231763619E-2</v>
      </c>
      <c r="EO21" s="262">
        <f t="shared" si="81"/>
        <v>0.42687309032258064</v>
      </c>
      <c r="EP21" s="436">
        <f t="shared" si="82"/>
        <v>0.4906587245087134</v>
      </c>
      <c r="EQ21" s="101">
        <v>3.6700000000000003E-2</v>
      </c>
      <c r="ER21" s="433">
        <v>1</v>
      </c>
      <c r="ES21" s="433">
        <v>0</v>
      </c>
      <c r="ET21" s="434">
        <f>1-ER21-ES21</f>
        <v>0</v>
      </c>
      <c r="EU21" s="430">
        <f>ER21*$FC21+ES21*$FD21+ET21*$FE21+'Amortization metrics'!$B$6*(ER21*$FF21+ES21*$FG21+ET21*$FH21)/10^3+'Amortization metrics'!$B$5*(ER21*$FI21+ES21*$FJ21+ET21*$FK21)/10^3</f>
        <v>36.057400000000001</v>
      </c>
      <c r="EV21" s="262">
        <f t="shared" si="83"/>
        <v>0.19026427284427286</v>
      </c>
      <c r="EW21" s="436">
        <f t="shared" si="84"/>
        <v>0.21869456648766994</v>
      </c>
      <c r="EX21" s="101">
        <v>4.1000000000000002E-2</v>
      </c>
      <c r="EY21" s="433">
        <v>1</v>
      </c>
      <c r="EZ21" s="433">
        <v>0</v>
      </c>
      <c r="FA21" s="434">
        <f>1-EY21-EZ21</f>
        <v>0</v>
      </c>
      <c r="FB21" s="430">
        <f>EY21*$FC21+EZ21*$FD21+FA21*$FE21+'Amortization metrics'!$B$6*(EY21*$FF21+EZ21*$FG21+FA21*$FH21)/10^3+'Amortization metrics'!$B$5*(EY21*$FI21+EZ21*$FJ21+FA21*$FK21)/10^3</f>
        <v>36.057400000000001</v>
      </c>
      <c r="FC21" s="431">
        <v>34.5</v>
      </c>
      <c r="FD21" s="430">
        <f>FC21</f>
        <v>34.5</v>
      </c>
      <c r="FE21" s="430">
        <f>FC21</f>
        <v>34.5</v>
      </c>
      <c r="FF21" s="435">
        <v>0.4</v>
      </c>
      <c r="FG21" s="430">
        <f>FF21</f>
        <v>0.4</v>
      </c>
      <c r="FH21" s="430">
        <f>FF21</f>
        <v>0.4</v>
      </c>
      <c r="FI21" s="431">
        <v>42.3</v>
      </c>
      <c r="FJ21" s="430">
        <f>FI21</f>
        <v>42.3</v>
      </c>
      <c r="FK21" s="430">
        <f>FI21</f>
        <v>42.3</v>
      </c>
      <c r="FL21" s="554">
        <f t="shared" si="85"/>
        <v>1365.4857705323257</v>
      </c>
      <c r="FM21" s="554">
        <f t="shared" si="86"/>
        <v>54.025222062288151</v>
      </c>
      <c r="FN21" s="554">
        <f t="shared" si="87"/>
        <v>25.7456207992496</v>
      </c>
      <c r="FO21" s="554">
        <f t="shared" si="88"/>
        <v>70.359907995500805</v>
      </c>
      <c r="FP21" s="554">
        <f t="shared" si="89"/>
        <v>99.619850337607218</v>
      </c>
      <c r="FQ21" s="554">
        <f>GA21*$P21</f>
        <v>1115.73516933768</v>
      </c>
      <c r="FR21" s="167">
        <f t="shared" si="90"/>
        <v>2.1740911400800003</v>
      </c>
      <c r="FS21" s="166">
        <f t="shared" si="91"/>
        <v>2.4989553334252874</v>
      </c>
      <c r="FT21" s="68">
        <f t="shared" si="92"/>
        <v>217.30046377611194</v>
      </c>
      <c r="FU21" s="97">
        <f t="shared" si="93"/>
        <v>31.236941667816094</v>
      </c>
      <c r="FV21" s="473">
        <f t="shared" si="94"/>
        <v>0.12700907357999999</v>
      </c>
      <c r="FW21" s="269">
        <f t="shared" si="95"/>
        <v>0.14598744089655172</v>
      </c>
      <c r="FX21" s="473">
        <f t="shared" si="96"/>
        <v>0.27063737650000003</v>
      </c>
      <c r="FY21" s="269">
        <f t="shared" si="97"/>
        <v>0.31107744425287359</v>
      </c>
      <c r="FZ21" s="146">
        <v>1.7764446899999999</v>
      </c>
      <c r="GA21" s="269">
        <f>FZ21/$HB21</f>
        <v>2.0418904482758622</v>
      </c>
      <c r="GB21" s="435">
        <v>8.6017561779999988E-2</v>
      </c>
      <c r="GC21" s="522">
        <f t="shared" si="98"/>
        <v>9.8870760666666654E-2</v>
      </c>
      <c r="GD21" s="435">
        <v>4.0991511799999998E-2</v>
      </c>
      <c r="GE21" s="522">
        <f t="shared" si="99"/>
        <v>4.7116680229885056E-2</v>
      </c>
      <c r="GF21" s="435">
        <v>0.1120252264</v>
      </c>
      <c r="GG21" s="522">
        <f t="shared" si="100"/>
        <v>0.12876462804597702</v>
      </c>
      <c r="GH21" s="435">
        <v>0.15861215010000002</v>
      </c>
      <c r="GI21" s="522">
        <f t="shared" si="101"/>
        <v>0.18231281620689657</v>
      </c>
      <c r="GJ21" s="599">
        <f t="shared" si="102"/>
        <v>5.5170262991973047</v>
      </c>
      <c r="GK21" s="527">
        <f t="shared" si="103"/>
        <v>479.7414173215048</v>
      </c>
      <c r="GL21" s="528">
        <f t="shared" si="104"/>
        <v>68.962828739966312</v>
      </c>
      <c r="GM21" s="599">
        <f t="shared" si="105"/>
        <v>8.2416629272695303</v>
      </c>
      <c r="GN21" s="527">
        <f t="shared" si="106"/>
        <v>716.6663415016983</v>
      </c>
      <c r="GO21" s="528">
        <f t="shared" si="107"/>
        <v>103.02078659086912</v>
      </c>
      <c r="GP21" s="599">
        <f t="shared" si="108"/>
        <v>4.7235319678400067</v>
      </c>
      <c r="GQ21" s="527">
        <f t="shared" si="109"/>
        <v>410.7419102469571</v>
      </c>
      <c r="GR21" s="528">
        <f t="shared" si="110"/>
        <v>59.044149598000082</v>
      </c>
      <c r="GS21" s="599">
        <f t="shared" si="111"/>
        <v>5.3198066941407456</v>
      </c>
      <c r="GT21" s="527">
        <f t="shared" si="112"/>
        <v>462.59188644702141</v>
      </c>
      <c r="GU21" s="528">
        <f t="shared" si="113"/>
        <v>66.497583676759319</v>
      </c>
      <c r="GV21" s="599">
        <f t="shared" si="114"/>
        <v>8.1098703337352731</v>
      </c>
      <c r="GW21" s="527">
        <f t="shared" si="115"/>
        <v>705.20611597698019</v>
      </c>
      <c r="GX21" s="528">
        <f t="shared" si="116"/>
        <v>101.37337917169091</v>
      </c>
      <c r="GY21" s="599">
        <f t="shared" si="117"/>
        <v>4.5071695836408772</v>
      </c>
      <c r="GZ21" s="527">
        <f t="shared" si="118"/>
        <v>391.92778988181539</v>
      </c>
      <c r="HA21" s="528">
        <f t="shared" si="119"/>
        <v>56.339619795510963</v>
      </c>
      <c r="HB21" s="31">
        <v>0.87</v>
      </c>
      <c r="HC21" s="32">
        <f>$HB21*HD21</f>
        <v>15.572999999999999</v>
      </c>
      <c r="HD21" s="27">
        <v>17.899999999999999</v>
      </c>
      <c r="HE21" s="32">
        <f>$HB21*HF21</f>
        <v>10.005000000000001</v>
      </c>
      <c r="HF21" s="33">
        <v>11.5</v>
      </c>
      <c r="HG21" s="36">
        <f t="shared" ref="HG21:HG23" si="153">$HB21*HH21</f>
        <v>6.9599999999999995E-2</v>
      </c>
      <c r="HH21" s="35">
        <v>0.08</v>
      </c>
      <c r="HI21" s="36">
        <f t="shared" ref="HI21:HI23" si="154">$HB21*HJ21</f>
        <v>1.3049999999999999E-2</v>
      </c>
      <c r="HJ21" s="35">
        <v>1.4999999999999999E-2</v>
      </c>
    </row>
    <row r="22" spans="1:218" s="4" customFormat="1" x14ac:dyDescent="0.25">
      <c r="A22" s="4" t="s">
        <v>65</v>
      </c>
      <c r="B22" s="67">
        <f t="shared" si="121"/>
        <v>196.3</v>
      </c>
      <c r="C22" s="105">
        <v>152</v>
      </c>
      <c r="D22" s="33">
        <v>44.3</v>
      </c>
      <c r="E22" s="38">
        <f t="shared" si="122"/>
        <v>0.2256749872643912</v>
      </c>
      <c r="F22" s="108">
        <f t="shared" si="123"/>
        <v>3.1497147223637287</v>
      </c>
      <c r="G22" s="32">
        <f t="shared" si="124"/>
        <v>2.771748955680081</v>
      </c>
      <c r="H22" s="33">
        <v>2.66</v>
      </c>
      <c r="I22" s="32">
        <f t="shared" si="36"/>
        <v>2.3408000000000002</v>
      </c>
      <c r="J22" s="33">
        <v>4.83</v>
      </c>
      <c r="K22" s="32">
        <f t="shared" si="37"/>
        <v>4.2504</v>
      </c>
      <c r="L22" s="32">
        <f t="shared" si="125"/>
        <v>3.607830348238152</v>
      </c>
      <c r="M22" s="32">
        <f t="shared" si="126"/>
        <v>4.2720437457279559</v>
      </c>
      <c r="N22" s="32">
        <f t="shared" si="127"/>
        <v>2.3527197440240917</v>
      </c>
      <c r="O22" s="107">
        <f t="shared" si="128"/>
        <v>618.28899999999999</v>
      </c>
      <c r="P22" s="68">
        <f t="shared" si="129"/>
        <v>544.09431999999993</v>
      </c>
      <c r="Q22" s="68"/>
      <c r="R22" s="67">
        <f t="shared" si="130"/>
        <v>404.32000000000005</v>
      </c>
      <c r="S22" s="67">
        <f t="shared" si="131"/>
        <v>355.80160000000001</v>
      </c>
      <c r="T22" s="67">
        <f t="shared" si="132"/>
        <v>213.96899999999999</v>
      </c>
      <c r="U22" s="67">
        <f t="shared" si="133"/>
        <v>188.29271999999997</v>
      </c>
      <c r="V22" s="109">
        <f t="shared" si="134"/>
        <v>0.34606632173627544</v>
      </c>
      <c r="W22" s="294">
        <f t="shared" si="135"/>
        <v>8.8638619896338183E-3</v>
      </c>
      <c r="X22" s="294">
        <f t="shared" si="136"/>
        <v>0.2188085661934519</v>
      </c>
      <c r="Y22" s="294">
        <f t="shared" si="137"/>
        <v>0.18983673202164919</v>
      </c>
      <c r="Z22" s="294">
        <f t="shared" si="138"/>
        <v>2.4686996105792187E-2</v>
      </c>
      <c r="AA22" s="294">
        <f t="shared" si="139"/>
        <v>0.20857768954239847</v>
      </c>
      <c r="AB22" s="294">
        <f t="shared" si="140"/>
        <v>0.30254741632899068</v>
      </c>
      <c r="AC22" s="294">
        <f t="shared" si="141"/>
        <v>3.5563238709914416E-2</v>
      </c>
      <c r="AD22" s="294">
        <f t="shared" si="142"/>
        <v>2.693572126528787E-3</v>
      </c>
      <c r="AE22" s="294">
        <f t="shared" si="143"/>
        <v>8.200149770586496E-3</v>
      </c>
      <c r="AF22" s="433">
        <v>8.1041526231836105E-3</v>
      </c>
      <c r="AG22" s="433">
        <v>0.23339437733045754</v>
      </c>
      <c r="AH22" s="433">
        <v>0.24029597340835868</v>
      </c>
      <c r="AI22" s="433">
        <v>7.3037957022996543E-3</v>
      </c>
      <c r="AJ22" s="433">
        <v>0.22299964713051285</v>
      </c>
      <c r="AK22" s="433">
        <v>0.27173493936012677</v>
      </c>
      <c r="AL22" s="433">
        <v>5.2913838991497254E-3</v>
      </c>
      <c r="AM22" s="433">
        <v>1.3554801708152007E-4</v>
      </c>
      <c r="AN22" s="433">
        <v>1.0573612212313534E-2</v>
      </c>
      <c r="AO22" s="433">
        <v>1.1470539725535212E-2</v>
      </c>
      <c r="AP22" s="433">
        <v>0.16876244220192027</v>
      </c>
      <c r="AQ22" s="433">
        <v>1.6703443290727368E-2</v>
      </c>
      <c r="AR22" s="433">
        <v>8.433138575208711E-2</v>
      </c>
      <c r="AS22" s="433">
        <v>0.15909377185857501</v>
      </c>
      <c r="AT22" s="433">
        <v>0.40826968493547655</v>
      </c>
      <c r="AU22" s="433">
        <v>0.13943055092743664</v>
      </c>
      <c r="AV22" s="433">
        <v>1.1470539725535212E-2</v>
      </c>
      <c r="AW22" s="433">
        <v>5.6441166918100846E-5</v>
      </c>
      <c r="AX22" s="554">
        <f t="shared" si="39"/>
        <v>22.005410649220067</v>
      </c>
      <c r="AY22" s="554">
        <f t="shared" si="40"/>
        <v>6.349758354680997</v>
      </c>
      <c r="AZ22" s="554">
        <f t="shared" si="41"/>
        <v>15.655652294539067</v>
      </c>
      <c r="BA22" s="67">
        <f t="shared" si="144"/>
        <v>112.10092027111597</v>
      </c>
      <c r="BB22" s="67">
        <f t="shared" si="42"/>
        <v>32.347215255634218</v>
      </c>
      <c r="BC22" s="67">
        <f t="shared" si="42"/>
        <v>79.753705015481742</v>
      </c>
      <c r="BD22" s="67">
        <f t="shared" si="145"/>
        <v>126.2711385787437</v>
      </c>
      <c r="BE22" s="105">
        <v>36.850892562363967</v>
      </c>
      <c r="BF22" s="105">
        <v>89.420246016379735</v>
      </c>
      <c r="BG22" s="68">
        <f t="shared" si="146"/>
        <v>63.48075813207727</v>
      </c>
      <c r="BH22" s="106">
        <v>16.894417273175499</v>
      </c>
      <c r="BI22" s="106">
        <v>46.586340858901771</v>
      </c>
      <c r="BJ22" s="554">
        <f t="shared" si="43"/>
        <v>11.911768695904302</v>
      </c>
      <c r="BK22" s="554">
        <f t="shared" si="44"/>
        <v>0.17002947499999999</v>
      </c>
      <c r="BL22" s="554">
        <f t="shared" si="45"/>
        <v>11.741739220904304</v>
      </c>
      <c r="BM22" s="32">
        <f t="shared" si="147"/>
        <v>60.68145031026134</v>
      </c>
      <c r="BN22" s="32">
        <f t="shared" si="46"/>
        <v>0.86617154865002532</v>
      </c>
      <c r="BO22" s="67">
        <f t="shared" si="46"/>
        <v>59.815278761611317</v>
      </c>
      <c r="BP22" s="270"/>
      <c r="BQ22" s="67">
        <f t="shared" si="148"/>
        <v>67.796684512284799</v>
      </c>
      <c r="BR22" s="32">
        <f t="shared" si="47"/>
        <v>0.73150000000000004</v>
      </c>
      <c r="BS22" s="67">
        <f t="shared" si="48"/>
        <v>67.065184512284802</v>
      </c>
      <c r="BT22" s="67"/>
      <c r="BU22" s="34">
        <f t="shared" si="149"/>
        <v>0.25</v>
      </c>
      <c r="BV22" s="68">
        <f t="shared" si="150"/>
        <v>36.268005644176327</v>
      </c>
      <c r="BW22" s="32">
        <f t="shared" si="49"/>
        <v>1.3282499999999999</v>
      </c>
      <c r="BX22" s="67">
        <f t="shared" si="50"/>
        <v>34.93975564417633</v>
      </c>
      <c r="BY22" s="67"/>
      <c r="BZ22" s="34">
        <f t="shared" si="151"/>
        <v>0.25</v>
      </c>
      <c r="CA22" s="554"/>
      <c r="CB22" s="554"/>
      <c r="CC22" s="554"/>
      <c r="CD22" s="32">
        <f t="shared" si="26"/>
        <v>51.419469960854627</v>
      </c>
      <c r="CE22" s="67">
        <f t="shared" si="26"/>
        <v>31.481043706984192</v>
      </c>
      <c r="CF22" s="67">
        <f t="shared" si="26"/>
        <v>19.938426253870425</v>
      </c>
      <c r="CG22" s="32">
        <f t="shared" si="27"/>
        <v>58.474454066458904</v>
      </c>
      <c r="CH22" s="67">
        <f t="shared" si="27"/>
        <v>36.11939256236397</v>
      </c>
      <c r="CI22" s="67">
        <f t="shared" si="27"/>
        <v>22.355061504094934</v>
      </c>
      <c r="CJ22" s="32">
        <f t="shared" si="28"/>
        <v>27.212752487900943</v>
      </c>
      <c r="CK22" s="67">
        <f t="shared" si="28"/>
        <v>15.566167273175498</v>
      </c>
      <c r="CL22" s="67">
        <f t="shared" si="28"/>
        <v>11.646585214725441</v>
      </c>
      <c r="CM22" s="68"/>
      <c r="CN22" s="293"/>
      <c r="CO22" s="293"/>
      <c r="CS22" s="32">
        <f t="shared" si="152"/>
        <v>4.36666327050433</v>
      </c>
      <c r="CT22" s="33">
        <v>4.7300000000000004</v>
      </c>
      <c r="CU22" s="99">
        <v>3.12</v>
      </c>
      <c r="CY22" s="97">
        <f t="shared" si="51"/>
        <v>0.54207181318842645</v>
      </c>
      <c r="CZ22" s="263">
        <f>(BA22-BM22-EN22*CF22)/'Amortization metrics'!$D$4/G22</f>
        <v>0.61599069680503005</v>
      </c>
      <c r="DA22" s="527">
        <f t="shared" si="52"/>
        <v>43.999335486073576</v>
      </c>
      <c r="DB22" s="528">
        <f t="shared" si="53"/>
        <v>4.7383899754233081</v>
      </c>
      <c r="DC22" s="97">
        <f t="shared" si="54"/>
        <v>0.72920482187164026</v>
      </c>
      <c r="DD22" s="263">
        <f>(BD22-BQ22-EQ22*CI22)/'Amortization metrics'!$D$4/I22</f>
        <v>0.82864184303595489</v>
      </c>
      <c r="DE22" s="527">
        <f t="shared" si="55"/>
        <v>59.188703073996784</v>
      </c>
      <c r="DF22" s="528">
        <f t="shared" si="56"/>
        <v>6.3741680233534987</v>
      </c>
      <c r="DG22" s="97">
        <f t="shared" si="57"/>
        <v>0.18776348650996261</v>
      </c>
      <c r="DH22" s="263">
        <f>(BG22-BV22-EX22*CL22)/'Amortization metrics'!$D$4/K22</f>
        <v>0.21336759830677568</v>
      </c>
      <c r="DI22" s="527">
        <f t="shared" si="58"/>
        <v>15.240542736198263</v>
      </c>
      <c r="DJ22" s="528">
        <f t="shared" si="59"/>
        <v>1.6412892177444283</v>
      </c>
      <c r="DK22" s="97">
        <f t="shared" si="60"/>
        <v>0.69617501671274518</v>
      </c>
      <c r="DL22" s="263">
        <f t="shared" si="61"/>
        <v>0.79110797353721041</v>
      </c>
      <c r="DM22" s="527">
        <f t="shared" si="62"/>
        <v>56.507712395515036</v>
      </c>
      <c r="DN22" s="528">
        <f t="shared" si="63"/>
        <v>6.0854459502862337</v>
      </c>
      <c r="DO22" s="97">
        <f t="shared" si="64"/>
        <v>0.89293419633225468</v>
      </c>
      <c r="DP22" s="263">
        <f t="shared" si="29"/>
        <v>1.0146979503775622</v>
      </c>
      <c r="DQ22" s="527">
        <f t="shared" si="65"/>
        <v>72.478425026968722</v>
      </c>
      <c r="DR22" s="528">
        <f t="shared" si="66"/>
        <v>7.8053688490581701</v>
      </c>
      <c r="DS22" s="97">
        <f t="shared" si="67"/>
        <v>0.32437502931382212</v>
      </c>
      <c r="DT22" s="263">
        <f t="shared" si="30"/>
        <v>0.36860798785661603</v>
      </c>
      <c r="DU22" s="527">
        <f t="shared" si="68"/>
        <v>26.329141989758288</v>
      </c>
      <c r="DV22" s="528">
        <f t="shared" si="69"/>
        <v>2.8354460604355078</v>
      </c>
      <c r="DW22" s="97">
        <f t="shared" si="70"/>
        <v>1.3863678635718897</v>
      </c>
      <c r="DX22" s="263">
        <f t="shared" si="31"/>
        <v>1.5754180267862383</v>
      </c>
      <c r="DY22" s="68">
        <f t="shared" si="71"/>
        <v>112.52985905615988</v>
      </c>
      <c r="DZ22" s="97">
        <f t="shared" si="72"/>
        <v>1.7781954887218048</v>
      </c>
      <c r="EA22" s="263">
        <f t="shared" si="32"/>
        <v>2.0206766917293235</v>
      </c>
      <c r="EB22" s="68">
        <f t="shared" si="73"/>
        <v>144.33404940923739</v>
      </c>
      <c r="EC22" s="97">
        <f t="shared" si="74"/>
        <v>0.64596273291925466</v>
      </c>
      <c r="ED22" s="263">
        <f t="shared" si="33"/>
        <v>0.73404856013551667</v>
      </c>
      <c r="EE22" s="68">
        <f t="shared" si="75"/>
        <v>52.432040009679767</v>
      </c>
      <c r="EF22" s="60"/>
      <c r="EG22" s="60"/>
      <c r="EH22" s="60"/>
      <c r="EI22" s="554">
        <f t="shared" si="76"/>
        <v>69.265511967719988</v>
      </c>
      <c r="EJ22" s="262">
        <f t="shared" si="77"/>
        <v>0.11202772808139883</v>
      </c>
      <c r="EK22" s="166">
        <f t="shared" si="78"/>
        <v>0.12730423645613503</v>
      </c>
      <c r="EL22" s="68">
        <f t="shared" si="79"/>
        <v>9.0931597468667871</v>
      </c>
      <c r="EM22" s="97">
        <f t="shared" si="80"/>
        <v>0.97926335735488479</v>
      </c>
      <c r="EN22" s="429">
        <f>(EQ22*C22+EX22*D22)/B22</f>
        <v>9.9467651553744249E-3</v>
      </c>
      <c r="EO22" s="262">
        <f t="shared" si="81"/>
        <v>0.16886438885714283</v>
      </c>
      <c r="EP22" s="436">
        <f t="shared" si="82"/>
        <v>0.19189135097402596</v>
      </c>
      <c r="EQ22" s="101">
        <v>1.2699999999999999E-2</v>
      </c>
      <c r="ER22" s="101">
        <v>2.5999999999999999E-2</v>
      </c>
      <c r="ES22" s="101">
        <v>0.61899999999999999</v>
      </c>
      <c r="ET22" s="429">
        <f t="shared" ref="ET22:ET25" si="155">1-ER22-ES22</f>
        <v>0.35499999999999998</v>
      </c>
      <c r="EU22" s="430">
        <f>ER22*$FC22+ES22*$FD22+ET22*$FE22+'Amortization metrics'!$B$6*(ER22*$FF22+ES22*$FG22+ET22*$FH22)/10^3+'Amortization metrics'!$B$5*(ER22*$FI22+ES22*$FJ22+ET22*$FK22)/10^3</f>
        <v>35.368446800000001</v>
      </c>
      <c r="EV22" s="262">
        <f t="shared" si="83"/>
        <v>4.6280641821946182E-3</v>
      </c>
      <c r="EW22" s="436">
        <f t="shared" si="84"/>
        <v>5.2591638434029749E-3</v>
      </c>
      <c r="EX22" s="101">
        <v>5.0000000000000001E-4</v>
      </c>
      <c r="EY22" s="101">
        <v>0.5</v>
      </c>
      <c r="EZ22" s="101">
        <v>0.5</v>
      </c>
      <c r="FA22" s="429">
        <f t="shared" ref="FA22:FA24" si="156">1-EY22-EZ22</f>
        <v>0</v>
      </c>
      <c r="FB22" s="430">
        <f>EY22*$FC22+EZ22*$FD22+FA22*$FE22+'Amortization metrics'!$B$6*(EY22*$FF22+EZ22*$FG22+FA22*$FH22)/10^3+'Amortization metrics'!$B$5*(EY22*$FI22+EZ22*$FJ22+FA22*$FK22)/10^3</f>
        <v>44.707100000000004</v>
      </c>
      <c r="FC22" s="431">
        <v>51.3</v>
      </c>
      <c r="FD22" s="431">
        <v>29</v>
      </c>
      <c r="FE22" s="431">
        <v>29</v>
      </c>
      <c r="FF22" s="99">
        <v>5</v>
      </c>
      <c r="FG22" s="431">
        <v>13</v>
      </c>
      <c r="FH22" s="431">
        <v>13</v>
      </c>
      <c r="FI22" s="431">
        <v>52</v>
      </c>
      <c r="FJ22" s="431">
        <v>58.3</v>
      </c>
      <c r="FK22" s="431">
        <v>58.3</v>
      </c>
      <c r="FL22" s="554">
        <f t="shared" si="85"/>
        <v>425.71455254379083</v>
      </c>
      <c r="FM22" s="554">
        <f t="shared" si="86"/>
        <v>153.08702623777694</v>
      </c>
      <c r="FN22" s="554">
        <f t="shared" si="87"/>
        <v>29.748895599376798</v>
      </c>
      <c r="FO22" s="554">
        <f t="shared" si="88"/>
        <v>117.59310002305737</v>
      </c>
      <c r="FP22" s="554">
        <f t="shared" si="89"/>
        <v>125.28553068357968</v>
      </c>
      <c r="FQ22" s="554"/>
      <c r="FR22" s="167">
        <f t="shared" si="90"/>
        <v>0.68853651374000002</v>
      </c>
      <c r="FS22" s="166">
        <f t="shared" si="91"/>
        <v>0.78242785652272728</v>
      </c>
      <c r="FT22" s="68">
        <f t="shared" si="92"/>
        <v>55.887704037337663</v>
      </c>
      <c r="FU22" s="97">
        <f t="shared" si="93"/>
        <v>6.018675819405594</v>
      </c>
      <c r="FV22" s="473">
        <f t="shared" si="94"/>
        <v>0.29571271984000003</v>
      </c>
      <c r="FW22" s="269">
        <f t="shared" si="95"/>
        <v>0.33603718163636365</v>
      </c>
      <c r="FX22" s="473">
        <f t="shared" si="96"/>
        <v>0.3928237939</v>
      </c>
      <c r="FY22" s="269">
        <f t="shared" si="97"/>
        <v>0.44639067488636364</v>
      </c>
      <c r="FZ22" s="123"/>
      <c r="GA22" s="49"/>
      <c r="GB22" s="435">
        <v>0.24759784864000001</v>
      </c>
      <c r="GC22" s="522">
        <f t="shared" si="98"/>
        <v>0.28136119163636364</v>
      </c>
      <c r="GD22" s="435">
        <v>4.8114871199999999E-2</v>
      </c>
      <c r="GE22" s="522">
        <f t="shared" si="99"/>
        <v>5.4675990000000001E-2</v>
      </c>
      <c r="GF22" s="435">
        <v>0.19019115659999999</v>
      </c>
      <c r="GG22" s="522">
        <f t="shared" si="100"/>
        <v>0.2161263143181818</v>
      </c>
      <c r="GH22" s="435">
        <v>0.2026326373</v>
      </c>
      <c r="GI22" s="522">
        <f t="shared" si="101"/>
        <v>0.23026436056818181</v>
      </c>
      <c r="GJ22" s="599">
        <f t="shared" si="102"/>
        <v>3.1683646479306393</v>
      </c>
      <c r="GK22" s="527">
        <f t="shared" si="103"/>
        <v>226.31176056647425</v>
      </c>
      <c r="GL22" s="528">
        <f t="shared" si="104"/>
        <v>24.372035753312609</v>
      </c>
      <c r="GM22" s="599">
        <f t="shared" si="105"/>
        <v>4.0126726319619213</v>
      </c>
      <c r="GN22" s="527">
        <f t="shared" si="106"/>
        <v>286.61947371156577</v>
      </c>
      <c r="GO22" s="528">
        <f t="shared" si="107"/>
        <v>30.866712553553239</v>
      </c>
      <c r="GP22" s="599">
        <f t="shared" si="108"/>
        <v>1.5700348808243079</v>
      </c>
      <c r="GQ22" s="527">
        <f t="shared" si="109"/>
        <v>112.14534863030771</v>
      </c>
      <c r="GR22" s="528">
        <f t="shared" si="110"/>
        <v>12.077191390956214</v>
      </c>
      <c r="GS22" s="599">
        <f t="shared" si="111"/>
        <v>3.8104613292819671</v>
      </c>
      <c r="GT22" s="527">
        <f t="shared" si="112"/>
        <v>272.17580923442625</v>
      </c>
      <c r="GU22" s="528">
        <f t="shared" si="113"/>
        <v>29.31124099447667</v>
      </c>
      <c r="GV22" s="599">
        <f t="shared" si="114"/>
        <v>4.694878358881148</v>
      </c>
      <c r="GW22" s="527">
        <f t="shared" si="115"/>
        <v>335.34845420579632</v>
      </c>
      <c r="GX22" s="528">
        <f t="shared" si="116"/>
        <v>36.114448914470366</v>
      </c>
      <c r="GY22" s="599">
        <f t="shared" si="117"/>
        <v>2.1392496425070555</v>
      </c>
      <c r="GZ22" s="527">
        <f t="shared" si="118"/>
        <v>152.8035458933611</v>
      </c>
      <c r="HA22" s="528">
        <f t="shared" si="119"/>
        <v>16.455766480823502</v>
      </c>
      <c r="HB22" s="31">
        <v>0.88</v>
      </c>
      <c r="HC22" s="32">
        <f>$HB22*HD22</f>
        <v>16.192</v>
      </c>
      <c r="HD22" s="27">
        <v>18.399999999999999</v>
      </c>
      <c r="HE22" s="32">
        <f>$HB22*HF22</f>
        <v>12.32</v>
      </c>
      <c r="HF22" s="33">
        <v>14</v>
      </c>
      <c r="HG22" s="36">
        <f t="shared" si="153"/>
        <v>0.1144</v>
      </c>
      <c r="HH22" s="31">
        <v>0.13</v>
      </c>
      <c r="HI22" s="36">
        <f t="shared" si="154"/>
        <v>2.2000000000000002E-2</v>
      </c>
      <c r="HJ22" s="35">
        <v>2.5000000000000001E-2</v>
      </c>
    </row>
    <row r="23" spans="1:218" s="4" customFormat="1" x14ac:dyDescent="0.25">
      <c r="A23" s="4" t="s">
        <v>67</v>
      </c>
      <c r="B23" s="67">
        <f t="shared" si="121"/>
        <v>55.599999999999994</v>
      </c>
      <c r="C23" s="33">
        <v>51.3</v>
      </c>
      <c r="D23" s="33">
        <v>4.3</v>
      </c>
      <c r="E23" s="38">
        <f t="shared" si="122"/>
        <v>7.7338129496402883E-2</v>
      </c>
      <c r="F23" s="108">
        <f t="shared" si="123"/>
        <v>2.5787769784172663</v>
      </c>
      <c r="G23" s="32">
        <f t="shared" si="124"/>
        <v>2.2693237410071943</v>
      </c>
      <c r="H23" s="33">
        <v>2.52</v>
      </c>
      <c r="I23" s="32">
        <f t="shared" si="36"/>
        <v>2.2176</v>
      </c>
      <c r="J23" s="33">
        <v>3.28</v>
      </c>
      <c r="K23" s="32">
        <f t="shared" si="37"/>
        <v>2.8863999999999996</v>
      </c>
      <c r="L23" s="32">
        <f t="shared" si="125"/>
        <v>4.4065991199482619</v>
      </c>
      <c r="M23" s="32">
        <f t="shared" si="126"/>
        <v>4.5093795093795093</v>
      </c>
      <c r="N23" s="32">
        <f t="shared" si="127"/>
        <v>3.4645232815964526</v>
      </c>
      <c r="O23" s="107">
        <f t="shared" si="128"/>
        <v>143.38</v>
      </c>
      <c r="P23" s="68">
        <f t="shared" si="129"/>
        <v>126.17439999999999</v>
      </c>
      <c r="Q23" s="68"/>
      <c r="R23" s="67">
        <f t="shared" si="130"/>
        <v>129.27599999999998</v>
      </c>
      <c r="S23" s="67">
        <f t="shared" si="131"/>
        <v>113.76288</v>
      </c>
      <c r="T23" s="67">
        <f t="shared" si="132"/>
        <v>14.103999999999999</v>
      </c>
      <c r="U23" s="67">
        <f t="shared" si="133"/>
        <v>12.411519999999998</v>
      </c>
      <c r="V23" s="38">
        <f t="shared" si="134"/>
        <v>9.8367973218022028E-2</v>
      </c>
      <c r="W23" s="294">
        <f t="shared" si="135"/>
        <v>3.8762699904432429E-3</v>
      </c>
      <c r="X23" s="294">
        <f t="shared" si="136"/>
        <v>0.1789941347921207</v>
      </c>
      <c r="Y23" s="294">
        <f t="shared" si="137"/>
        <v>0.33088466202759581</v>
      </c>
      <c r="Z23" s="294">
        <f t="shared" si="138"/>
        <v>4.4351390337323176E-3</v>
      </c>
      <c r="AA23" s="294">
        <f t="shared" si="139"/>
        <v>0.1627772164562615</v>
      </c>
      <c r="AB23" s="294">
        <f t="shared" si="140"/>
        <v>0.29640903180632067</v>
      </c>
      <c r="AC23" s="294">
        <f t="shared" si="141"/>
        <v>9.5730614986966212E-3</v>
      </c>
      <c r="AD23" s="294">
        <f t="shared" si="142"/>
        <v>5.3692227750603879E-5</v>
      </c>
      <c r="AE23" s="294">
        <f t="shared" si="143"/>
        <v>1.28164576852214E-2</v>
      </c>
      <c r="AF23" s="433">
        <v>4.1440578630086728E-3</v>
      </c>
      <c r="AG23" s="433">
        <v>0.18236921500892564</v>
      </c>
      <c r="AH23" s="433">
        <v>0.35545918533072435</v>
      </c>
      <c r="AI23" s="433">
        <v>3.5599755292299801E-3</v>
      </c>
      <c r="AJ23" s="433">
        <v>0.16191198468976947</v>
      </c>
      <c r="AK23" s="433">
        <v>0.27688566783485546</v>
      </c>
      <c r="AL23" s="433">
        <v>1.6245308181258914E-3</v>
      </c>
      <c r="AM23" s="433">
        <v>1.069098764798728E-6</v>
      </c>
      <c r="AN23" s="433">
        <v>1.3884834053344265E-2</v>
      </c>
      <c r="AO23" s="433">
        <v>6.8149839448823277E-4</v>
      </c>
      <c r="AP23" s="433">
        <v>0.1387286429032614</v>
      </c>
      <c r="AQ23" s="433">
        <v>3.7704884015853257E-2</v>
      </c>
      <c r="AR23" s="433">
        <v>1.4876043168841595E-2</v>
      </c>
      <c r="AS23" s="433">
        <v>0.1730996326472011</v>
      </c>
      <c r="AT23" s="433">
        <v>0.5293273043031026</v>
      </c>
      <c r="AU23" s="433">
        <v>0.10440088101341252</v>
      </c>
      <c r="AV23" s="433">
        <v>6.8149839448823277E-4</v>
      </c>
      <c r="AW23" s="433">
        <v>7.0479153895118736E-5</v>
      </c>
      <c r="AX23" s="554">
        <f t="shared" si="39"/>
        <v>6.6541136166266339</v>
      </c>
      <c r="AY23" s="554">
        <f t="shared" si="40"/>
        <v>1.975319469460235</v>
      </c>
      <c r="AZ23" s="554">
        <f t="shared" si="41"/>
        <v>4.678794147166399</v>
      </c>
      <c r="BA23" s="67">
        <f t="shared" si="144"/>
        <v>119.67830245731358</v>
      </c>
      <c r="BB23" s="67">
        <f t="shared" si="42"/>
        <v>35.527328587414303</v>
      </c>
      <c r="BC23" s="67">
        <f t="shared" si="42"/>
        <v>84.150973869899275</v>
      </c>
      <c r="BD23" s="67">
        <f t="shared" si="145"/>
        <v>124.47305802425255</v>
      </c>
      <c r="BE23" s="105">
        <v>37.053364599202808</v>
      </c>
      <c r="BF23" s="105">
        <v>87.419693425049743</v>
      </c>
      <c r="BG23" s="68">
        <f t="shared" si="146"/>
        <v>62.475753484297243</v>
      </c>
      <c r="BH23" s="106">
        <v>17.321364074681664</v>
      </c>
      <c r="BI23" s="106">
        <v>45.154389409615582</v>
      </c>
      <c r="BJ23" s="554">
        <f t="shared" si="43"/>
        <v>3.5485251103747992</v>
      </c>
      <c r="BK23" s="554">
        <f t="shared" si="44"/>
        <v>3.9429499999999999E-2</v>
      </c>
      <c r="BL23" s="554">
        <f t="shared" si="45"/>
        <v>3.509095610374799</v>
      </c>
      <c r="BM23" s="32">
        <f t="shared" si="147"/>
        <v>63.8223940714892</v>
      </c>
      <c r="BN23" s="32">
        <f t="shared" si="46"/>
        <v>0.70916366906474826</v>
      </c>
      <c r="BO23" s="67">
        <f t="shared" si="46"/>
        <v>63.113230402424449</v>
      </c>
      <c r="BP23" s="270"/>
      <c r="BQ23" s="67">
        <f t="shared" si="148"/>
        <v>66.257770068787309</v>
      </c>
      <c r="BR23" s="32">
        <f t="shared" si="47"/>
        <v>0.69300000000000006</v>
      </c>
      <c r="BS23" s="67">
        <f t="shared" si="48"/>
        <v>65.564770068787311</v>
      </c>
      <c r="BT23" s="67"/>
      <c r="BU23" s="34">
        <f t="shared" si="149"/>
        <v>0.25</v>
      </c>
      <c r="BV23" s="68">
        <f t="shared" si="150"/>
        <v>34.767792057211686</v>
      </c>
      <c r="BW23" s="32">
        <f t="shared" si="49"/>
        <v>0.90199999999999991</v>
      </c>
      <c r="BX23" s="67">
        <f t="shared" si="50"/>
        <v>33.865792057211685</v>
      </c>
      <c r="BY23" s="67"/>
      <c r="BZ23" s="34">
        <f t="shared" si="151"/>
        <v>0.25</v>
      </c>
      <c r="CA23" s="554"/>
      <c r="CB23" s="554"/>
      <c r="CC23" s="554"/>
      <c r="CD23" s="67">
        <f t="shared" si="26"/>
        <v>55.855908385824378</v>
      </c>
      <c r="CE23" s="67">
        <f t="shared" si="26"/>
        <v>34.818164918349552</v>
      </c>
      <c r="CF23" s="67">
        <f t="shared" si="26"/>
        <v>21.037743467474826</v>
      </c>
      <c r="CG23" s="67">
        <f t="shared" si="27"/>
        <v>58.215287955465243</v>
      </c>
      <c r="CH23" s="67">
        <f t="shared" si="27"/>
        <v>36.360364599202811</v>
      </c>
      <c r="CI23" s="67">
        <f t="shared" si="27"/>
        <v>21.854923356262432</v>
      </c>
      <c r="CJ23" s="67">
        <f t="shared" si="28"/>
        <v>27.707961427085557</v>
      </c>
      <c r="CK23" s="67">
        <f t="shared" si="28"/>
        <v>16.419364074681663</v>
      </c>
      <c r="CL23" s="67">
        <f t="shared" si="28"/>
        <v>11.288597352403897</v>
      </c>
      <c r="CM23" s="68"/>
      <c r="CN23" s="293"/>
      <c r="CO23" s="293"/>
      <c r="CS23" s="32">
        <f t="shared" si="152"/>
        <v>4.6292985611510797</v>
      </c>
      <c r="CT23" s="33">
        <v>4.76</v>
      </c>
      <c r="CU23" s="99">
        <v>3.07</v>
      </c>
      <c r="CY23" s="97">
        <f t="shared" si="51"/>
        <v>0.71777963858786131</v>
      </c>
      <c r="CZ23" s="263">
        <f>(BA23-BM23-EN23*CF23)/'Amortization metrics'!$D$4/G23</f>
        <v>0.81565868021347876</v>
      </c>
      <c r="DA23" s="527">
        <f t="shared" si="52"/>
        <v>58.261334300962766</v>
      </c>
      <c r="DB23" s="528">
        <f t="shared" si="53"/>
        <v>6.7971556684456562</v>
      </c>
      <c r="DC23" s="97">
        <f t="shared" si="54"/>
        <v>0.765186841839683</v>
      </c>
      <c r="DD23" s="263">
        <f>(BD23-BQ23-EQ23*CI23)/'Amortization metrics'!$D$4/I23</f>
        <v>0.86953050209054883</v>
      </c>
      <c r="DE23" s="527">
        <f t="shared" si="55"/>
        <v>62.109321577896345</v>
      </c>
      <c r="DF23" s="528">
        <f t="shared" si="56"/>
        <v>7.2460875174212402</v>
      </c>
      <c r="DG23" s="97">
        <f t="shared" si="57"/>
        <v>0.28158497385249553</v>
      </c>
      <c r="DH23" s="263">
        <f>(BG23-BV23-EX23*CL23)/'Amortization metrics'!$D$4/K23</f>
        <v>0.31998292483238128</v>
      </c>
      <c r="DI23" s="527">
        <f t="shared" si="58"/>
        <v>22.855923202312947</v>
      </c>
      <c r="DJ23" s="528">
        <f t="shared" si="59"/>
        <v>2.6665243736031776</v>
      </c>
      <c r="DK23" s="97">
        <f t="shared" si="60"/>
        <v>0.90144940768137061</v>
      </c>
      <c r="DL23" s="263">
        <f t="shared" si="61"/>
        <v>1.0243743269106484</v>
      </c>
      <c r="DM23" s="527">
        <f t="shared" si="62"/>
        <v>73.16959477933203</v>
      </c>
      <c r="DN23" s="528">
        <f t="shared" si="63"/>
        <v>8.5364527242554047</v>
      </c>
      <c r="DO23" s="97">
        <f t="shared" si="64"/>
        <v>0.94851971712813132</v>
      </c>
      <c r="DP23" s="263">
        <f t="shared" si="29"/>
        <v>1.077863314918331</v>
      </c>
      <c r="DQ23" s="527">
        <f t="shared" si="65"/>
        <v>76.990236779880789</v>
      </c>
      <c r="DR23" s="528">
        <f t="shared" si="66"/>
        <v>8.9821942909860919</v>
      </c>
      <c r="DS23" s="97">
        <f t="shared" si="67"/>
        <v>0.47000716973189161</v>
      </c>
      <c r="DT23" s="263">
        <f t="shared" si="30"/>
        <v>0.53409905651351319</v>
      </c>
      <c r="DU23" s="527">
        <f t="shared" si="68"/>
        <v>38.149932608108088</v>
      </c>
      <c r="DV23" s="528">
        <f t="shared" si="69"/>
        <v>4.4508254709459436</v>
      </c>
      <c r="DW23" s="97">
        <f t="shared" si="70"/>
        <v>1.795152740968057</v>
      </c>
      <c r="DX23" s="263">
        <f t="shared" si="31"/>
        <v>2.0399462965546102</v>
      </c>
      <c r="DY23" s="68">
        <f t="shared" si="71"/>
        <v>145.71044975390072</v>
      </c>
      <c r="DZ23" s="97">
        <f t="shared" si="72"/>
        <v>1.8888888888888886</v>
      </c>
      <c r="EA23" s="263">
        <f t="shared" si="32"/>
        <v>2.1464646464646462</v>
      </c>
      <c r="EB23" s="68">
        <f t="shared" si="73"/>
        <v>153.3189033189033</v>
      </c>
      <c r="EC23" s="97">
        <f t="shared" si="74"/>
        <v>0.93597560975609762</v>
      </c>
      <c r="ED23" s="263">
        <f t="shared" si="33"/>
        <v>1.063608647450111</v>
      </c>
      <c r="EE23" s="68">
        <f t="shared" si="75"/>
        <v>75.972046246436506</v>
      </c>
      <c r="EF23" s="60"/>
      <c r="EG23" s="60"/>
      <c r="EH23" s="60"/>
      <c r="EI23" s="554">
        <f t="shared" si="76"/>
        <v>30.244224999743999</v>
      </c>
      <c r="EJ23" s="262">
        <f t="shared" si="77"/>
        <v>0.21093754358867345</v>
      </c>
      <c r="EK23" s="166">
        <f t="shared" si="78"/>
        <v>0.23970175407803801</v>
      </c>
      <c r="EL23" s="68">
        <f t="shared" si="79"/>
        <v>17.121553862717001</v>
      </c>
      <c r="EM23" s="97">
        <f t="shared" si="80"/>
        <v>1.9975146173169835</v>
      </c>
      <c r="EN23" s="429">
        <f>(EQ23*C23+EX23*D23)/B23</f>
        <v>1.5500719424460432E-2</v>
      </c>
      <c r="EO23" s="262">
        <f t="shared" si="81"/>
        <v>0.23395081066666668</v>
      </c>
      <c r="EP23" s="436">
        <f t="shared" si="82"/>
        <v>0.26585319393939394</v>
      </c>
      <c r="EQ23" s="101">
        <v>1.6799999999999999E-2</v>
      </c>
      <c r="ER23" s="101">
        <v>1.2E-2</v>
      </c>
      <c r="ES23" s="101">
        <v>0.76700000000000002</v>
      </c>
      <c r="ET23" s="429">
        <f t="shared" si="155"/>
        <v>0.22099999999999997</v>
      </c>
      <c r="EU23" s="430">
        <f>ER23*$FC23+ES23*$FD23+ET23*$FE23+'Amortization metrics'!$B$6*(ER23*$FF23+ES23*$FG23+ET23*$FH23)/10^3+'Amortization metrics'!$B$5*(ER23*$FI23+ES23*$FJ23+ET23*$FK23)/10^3</f>
        <v>35.092621600000001</v>
      </c>
      <c r="EV23" s="262">
        <f t="shared" si="83"/>
        <v>0</v>
      </c>
      <c r="EW23" s="436">
        <f t="shared" si="84"/>
        <v>0</v>
      </c>
      <c r="EX23" s="101">
        <v>0</v>
      </c>
      <c r="EY23" s="433">
        <v>1</v>
      </c>
      <c r="EZ23" s="433">
        <v>0</v>
      </c>
      <c r="FA23" s="434">
        <f t="shared" si="156"/>
        <v>0</v>
      </c>
      <c r="FB23" s="430">
        <f>EY23*$FC23+EZ23*$FD23+FA23*$FE23+'Amortization metrics'!$B$6*(EY23*$FF23+EZ23*$FG23+FA23*$FH23)/10^3+'Amortization metrics'!$B$5*(EY23*$FI23+EZ23*$FJ23+FA23*$FK23)/10^3</f>
        <v>54.558</v>
      </c>
      <c r="FC23" s="431">
        <v>51.3</v>
      </c>
      <c r="FD23" s="431">
        <v>29</v>
      </c>
      <c r="FE23" s="431">
        <v>29</v>
      </c>
      <c r="FF23" s="99">
        <v>5</v>
      </c>
      <c r="FG23" s="431">
        <v>13</v>
      </c>
      <c r="FH23" s="431">
        <v>13</v>
      </c>
      <c r="FI23" s="431">
        <v>52</v>
      </c>
      <c r="FJ23" s="431">
        <v>58.3</v>
      </c>
      <c r="FK23" s="431">
        <v>58.3</v>
      </c>
      <c r="FL23" s="554">
        <f t="shared" si="85"/>
        <v>74.104593708850786</v>
      </c>
      <c r="FM23" s="554">
        <f t="shared" si="86"/>
        <v>20.9545940728452</v>
      </c>
      <c r="FN23" s="554">
        <f t="shared" si="87"/>
        <v>6.2529226693400002</v>
      </c>
      <c r="FO23" s="554">
        <f t="shared" si="88"/>
        <v>29.061773123671998</v>
      </c>
      <c r="FP23" s="554">
        <f t="shared" si="89"/>
        <v>17.8353038429936</v>
      </c>
      <c r="FQ23" s="554"/>
      <c r="FR23" s="167">
        <f t="shared" si="90"/>
        <v>0.51684051966</v>
      </c>
      <c r="FS23" s="166">
        <f t="shared" si="91"/>
        <v>0.58731877234090912</v>
      </c>
      <c r="FT23" s="68">
        <f t="shared" si="92"/>
        <v>41.951340881493515</v>
      </c>
      <c r="FU23" s="97">
        <f t="shared" si="93"/>
        <v>4.8943231028409091</v>
      </c>
      <c r="FV23" s="473">
        <f t="shared" si="94"/>
        <v>0.18975810254</v>
      </c>
      <c r="FW23" s="269">
        <f t="shared" si="95"/>
        <v>0.21563420743181819</v>
      </c>
      <c r="FX23" s="473">
        <f t="shared" si="96"/>
        <v>0.32708241712000002</v>
      </c>
      <c r="FY23" s="269">
        <f t="shared" si="97"/>
        <v>0.37168456490909091</v>
      </c>
      <c r="FZ23" s="123"/>
      <c r="GA23" s="49"/>
      <c r="GB23" s="435">
        <v>0.14614725953999999</v>
      </c>
      <c r="GC23" s="522">
        <f t="shared" si="98"/>
        <v>0.16607643129545455</v>
      </c>
      <c r="GD23" s="435">
        <v>4.3610843000000003E-2</v>
      </c>
      <c r="GE23" s="522">
        <f t="shared" si="99"/>
        <v>4.955777613636364E-2</v>
      </c>
      <c r="GF23" s="435">
        <v>0.2026905644</v>
      </c>
      <c r="GG23" s="522">
        <f t="shared" si="100"/>
        <v>0.23033018681818182</v>
      </c>
      <c r="GH23" s="435">
        <v>0.12439185272</v>
      </c>
      <c r="GI23" s="522">
        <f t="shared" si="101"/>
        <v>0.14135437809090909</v>
      </c>
      <c r="GJ23" s="599">
        <f t="shared" si="102"/>
        <v>3.8177690205350356</v>
      </c>
      <c r="GK23" s="527">
        <f t="shared" si="103"/>
        <v>272.69778718107398</v>
      </c>
      <c r="GL23" s="528">
        <f t="shared" si="104"/>
        <v>31.814741837791964</v>
      </c>
      <c r="GM23" s="599">
        <f t="shared" si="105"/>
        <v>4.0414504739456492</v>
      </c>
      <c r="GN23" s="527">
        <f t="shared" si="106"/>
        <v>288.67503385326069</v>
      </c>
      <c r="GO23" s="528">
        <f t="shared" si="107"/>
        <v>33.67875394954708</v>
      </c>
      <c r="GP23" s="599">
        <f t="shared" si="108"/>
        <v>1.7605894967263072</v>
      </c>
      <c r="GQ23" s="527">
        <f t="shared" si="109"/>
        <v>125.75639262330765</v>
      </c>
      <c r="GR23" s="528">
        <f t="shared" si="110"/>
        <v>14.671579139385894</v>
      </c>
      <c r="GS23" s="599">
        <f t="shared" si="111"/>
        <v>4.5830597250913252</v>
      </c>
      <c r="GT23" s="527">
        <f t="shared" si="112"/>
        <v>327.36140893509463</v>
      </c>
      <c r="GU23" s="528">
        <f t="shared" si="113"/>
        <v>38.192164375761045</v>
      </c>
      <c r="GV23" s="599">
        <f t="shared" si="114"/>
        <v>4.8053374543141834</v>
      </c>
      <c r="GW23" s="527">
        <f t="shared" si="115"/>
        <v>343.23838959387024</v>
      </c>
      <c r="GX23" s="528">
        <f t="shared" si="116"/>
        <v>40.044478785951526</v>
      </c>
      <c r="GY23" s="599">
        <f t="shared" si="117"/>
        <v>2.5456819795571239</v>
      </c>
      <c r="GZ23" s="527">
        <f t="shared" si="118"/>
        <v>181.83442711122316</v>
      </c>
      <c r="HA23" s="528">
        <f t="shared" si="119"/>
        <v>21.214016496309366</v>
      </c>
      <c r="HB23" s="31">
        <v>0.88</v>
      </c>
      <c r="HC23" s="32">
        <f>$HB23*HD23</f>
        <v>16.015999999999998</v>
      </c>
      <c r="HD23" s="27">
        <v>18.2</v>
      </c>
      <c r="HE23" s="32">
        <f>$HB23*HF23</f>
        <v>12.32</v>
      </c>
      <c r="HF23" s="33">
        <v>14</v>
      </c>
      <c r="HG23" s="34">
        <f t="shared" si="153"/>
        <v>0.1056</v>
      </c>
      <c r="HH23" s="31">
        <v>0.12</v>
      </c>
      <c r="HI23" s="36">
        <f t="shared" si="154"/>
        <v>1.7600000000000001E-2</v>
      </c>
      <c r="HJ23" s="35">
        <v>0.02</v>
      </c>
    </row>
    <row r="24" spans="1:218" s="4" customFormat="1" x14ac:dyDescent="0.25">
      <c r="A24" s="4" t="s">
        <v>307</v>
      </c>
      <c r="B24" s="67">
        <f t="shared" si="121"/>
        <v>41.4</v>
      </c>
      <c r="C24" s="33">
        <v>38.6</v>
      </c>
      <c r="D24" s="33">
        <v>2.8</v>
      </c>
      <c r="E24" s="38">
        <f t="shared" si="122"/>
        <v>6.7632850241545889E-2</v>
      </c>
      <c r="F24" s="108">
        <f t="shared" si="123"/>
        <v>1.4148792270531401</v>
      </c>
      <c r="G24" s="32">
        <f t="shared" si="124"/>
        <v>1.2450937198067633</v>
      </c>
      <c r="H24" s="33">
        <v>1.26</v>
      </c>
      <c r="I24" s="32">
        <f t="shared" si="36"/>
        <v>1.1088</v>
      </c>
      <c r="J24" s="33">
        <v>3.55</v>
      </c>
      <c r="K24" s="32">
        <f t="shared" si="37"/>
        <v>3.1239999999999997</v>
      </c>
      <c r="L24" s="32">
        <f t="shared" si="125"/>
        <v>8.031523925405379</v>
      </c>
      <c r="M24" s="32">
        <f t="shared" si="126"/>
        <v>9.0187590187590185</v>
      </c>
      <c r="N24" s="32">
        <f t="shared" si="127"/>
        <v>3.2010243277848915</v>
      </c>
      <c r="O24" s="107">
        <f t="shared" si="128"/>
        <v>58.576000000000001</v>
      </c>
      <c r="P24" s="68">
        <f t="shared" si="129"/>
        <v>51.546880000000002</v>
      </c>
      <c r="Q24" s="68"/>
      <c r="R24" s="67">
        <f t="shared" si="130"/>
        <v>48.636000000000003</v>
      </c>
      <c r="S24" s="67">
        <f t="shared" si="131"/>
        <v>42.799680000000002</v>
      </c>
      <c r="T24" s="67">
        <f t="shared" si="132"/>
        <v>9.94</v>
      </c>
      <c r="U24" s="67">
        <f t="shared" si="133"/>
        <v>8.7471999999999976</v>
      </c>
      <c r="V24" s="38">
        <f t="shared" si="134"/>
        <v>0.16969407265774372</v>
      </c>
      <c r="W24" s="294">
        <f t="shared" si="135"/>
        <v>0.2061921660418892</v>
      </c>
      <c r="X24" s="294">
        <f t="shared" si="136"/>
        <v>7.8546765716909772E-2</v>
      </c>
      <c r="Y24" s="294">
        <f t="shared" si="137"/>
        <v>1.1613609806009458E-2</v>
      </c>
      <c r="Z24" s="294">
        <f t="shared" si="138"/>
        <v>0.48759384583377735</v>
      </c>
      <c r="AA24" s="294">
        <f t="shared" si="139"/>
        <v>5.1801610003975131E-2</v>
      </c>
      <c r="AB24" s="294">
        <f t="shared" si="140"/>
        <v>0.11357181753211001</v>
      </c>
      <c r="AC24" s="294">
        <f t="shared" si="141"/>
        <v>4.3018354861055833E-2</v>
      </c>
      <c r="AD24" s="294">
        <f t="shared" si="142"/>
        <v>7.4144829390221136E-3</v>
      </c>
      <c r="AE24" s="294">
        <f t="shared" si="143"/>
        <v>2.4579287253669691E-4</v>
      </c>
      <c r="AF24" s="433">
        <v>0.21770880332473203</v>
      </c>
      <c r="AG24" s="433">
        <v>8.0640490153734951E-2</v>
      </c>
      <c r="AH24" s="433">
        <v>1.1553792598749904E-2</v>
      </c>
      <c r="AI24" s="433">
        <v>0.50407796371559088</v>
      </c>
      <c r="AJ24" s="433">
        <v>5.0964700266447407E-2</v>
      </c>
      <c r="AK24" s="433">
        <v>0.1007157315116729</v>
      </c>
      <c r="AL24" s="433">
        <v>2.9575306893254664E-2</v>
      </c>
      <c r="AM24" s="433">
        <v>4.5120136755429918E-3</v>
      </c>
      <c r="AN24" s="433">
        <v>2.5035568958677989E-4</v>
      </c>
      <c r="AO24" s="433">
        <v>4.7427094928412877E-2</v>
      </c>
      <c r="AP24" s="433">
        <v>4.9683278837819866E-2</v>
      </c>
      <c r="AQ24" s="433">
        <v>1.2438232734659015E-2</v>
      </c>
      <c r="AR24" s="433">
        <v>0.26034850646306196</v>
      </c>
      <c r="AS24" s="433">
        <v>6.3339008528464413E-2</v>
      </c>
      <c r="AT24" s="433">
        <v>0.29080214624242151</v>
      </c>
      <c r="AU24" s="433">
        <v>0.22834037327431478</v>
      </c>
      <c r="AV24" s="433">
        <v>4.7427094928412877E-2</v>
      </c>
      <c r="AW24" s="433">
        <v>1.8289118034626672E-4</v>
      </c>
      <c r="AX24" s="554">
        <f t="shared" si="39"/>
        <v>4.5365253873832279</v>
      </c>
      <c r="AY24" s="554">
        <f t="shared" si="40"/>
        <v>1.0958046867329283</v>
      </c>
      <c r="AZ24" s="554">
        <f t="shared" si="41"/>
        <v>3.4407207006502993</v>
      </c>
      <c r="BA24" s="67">
        <f t="shared" si="144"/>
        <v>109.57790790780744</v>
      </c>
      <c r="BB24" s="67">
        <f t="shared" si="42"/>
        <v>26.468712239925804</v>
      </c>
      <c r="BC24" s="67">
        <f t="shared" si="42"/>
        <v>83.109195667881636</v>
      </c>
      <c r="BD24" s="67">
        <f t="shared" si="145"/>
        <v>112.06103848403282</v>
      </c>
      <c r="BE24" s="105">
        <v>27.383662522817957</v>
      </c>
      <c r="BF24" s="105">
        <v>84.677375961214864</v>
      </c>
      <c r="BG24" s="68">
        <f t="shared" si="146"/>
        <v>75.346179249843246</v>
      </c>
      <c r="BH24" s="106">
        <v>13.855469054341118</v>
      </c>
      <c r="BI24" s="106">
        <v>61.490710195502132</v>
      </c>
      <c r="BJ24" s="554">
        <f t="shared" si="43"/>
        <v>2.5966489254877247</v>
      </c>
      <c r="BK24" s="554">
        <f t="shared" si="44"/>
        <v>1.6108400000000002E-2</v>
      </c>
      <c r="BL24" s="554">
        <f t="shared" si="45"/>
        <v>2.5805405254877249</v>
      </c>
      <c r="BM24" s="32">
        <f t="shared" si="147"/>
        <v>62.720988538350845</v>
      </c>
      <c r="BN24" s="32">
        <f t="shared" si="46"/>
        <v>0.38909178743961359</v>
      </c>
      <c r="BO24" s="67">
        <f t="shared" si="46"/>
        <v>62.331896750911234</v>
      </c>
      <c r="BP24" s="270"/>
      <c r="BQ24" s="67">
        <f t="shared" si="148"/>
        <v>63.854531970911147</v>
      </c>
      <c r="BR24" s="32">
        <f t="shared" si="47"/>
        <v>0.34650000000000003</v>
      </c>
      <c r="BS24" s="67">
        <f t="shared" si="48"/>
        <v>63.508031970911148</v>
      </c>
      <c r="BT24" s="67"/>
      <c r="BU24" s="34">
        <f t="shared" si="149"/>
        <v>0.25</v>
      </c>
      <c r="BV24" s="68">
        <f t="shared" si="150"/>
        <v>47.094282646626603</v>
      </c>
      <c r="BW24" s="32">
        <f t="shared" si="49"/>
        <v>0.97624999999999984</v>
      </c>
      <c r="BX24" s="67">
        <f t="shared" si="50"/>
        <v>46.118032646626602</v>
      </c>
      <c r="BY24" s="67"/>
      <c r="BZ24" s="34">
        <f t="shared" si="151"/>
        <v>0.25</v>
      </c>
      <c r="CA24" s="554"/>
      <c r="CB24" s="554"/>
      <c r="CC24" s="554"/>
      <c r="CD24" s="67">
        <f t="shared" si="26"/>
        <v>46.856919369456598</v>
      </c>
      <c r="CE24" s="67">
        <f t="shared" si="26"/>
        <v>26.079620452486189</v>
      </c>
      <c r="CF24" s="67">
        <f t="shared" si="26"/>
        <v>20.777298916970402</v>
      </c>
      <c r="CG24" s="67">
        <f t="shared" si="27"/>
        <v>48.206506513121674</v>
      </c>
      <c r="CH24" s="67">
        <f t="shared" si="27"/>
        <v>27.037162522817958</v>
      </c>
      <c r="CI24" s="67">
        <f t="shared" si="27"/>
        <v>21.169343990303716</v>
      </c>
      <c r="CJ24" s="67">
        <f t="shared" si="28"/>
        <v>28.251896603216643</v>
      </c>
      <c r="CK24" s="67">
        <f t="shared" si="28"/>
        <v>12.879219054341117</v>
      </c>
      <c r="CL24" s="67">
        <f t="shared" si="28"/>
        <v>15.372677548875529</v>
      </c>
      <c r="CM24" s="68"/>
      <c r="CN24" s="293"/>
      <c r="CO24" s="293"/>
      <c r="CS24" s="32">
        <f t="shared" si="152"/>
        <v>5.2320772946859915</v>
      </c>
      <c r="CT24" s="33">
        <v>5.32</v>
      </c>
      <c r="CU24" s="99">
        <v>4.0199999999999996</v>
      </c>
      <c r="CY24" s="97">
        <f t="shared" si="51"/>
        <v>1.0983583619217763</v>
      </c>
      <c r="CZ24" s="263">
        <f>(BA24-BM24-EN24*CF24)/'Amortization metrics'!$D$4/G24</f>
        <v>1.2481345021838366</v>
      </c>
      <c r="DA24" s="527">
        <f t="shared" si="52"/>
        <v>86.078241529919765</v>
      </c>
      <c r="DB24" s="528">
        <f t="shared" si="53"/>
        <v>12.481345021838365</v>
      </c>
      <c r="DC24" s="97">
        <f t="shared" si="54"/>
        <v>1.2686399820009806</v>
      </c>
      <c r="DD24" s="263">
        <f>(BD24-BQ24-EQ24*CI24)/'Amortization metrics'!$D$4/I24</f>
        <v>1.4416363431829324</v>
      </c>
      <c r="DE24" s="527">
        <f t="shared" si="55"/>
        <v>99.423196081581551</v>
      </c>
      <c r="DF24" s="528">
        <f t="shared" si="56"/>
        <v>14.416363431829323</v>
      </c>
      <c r="DG24" s="97">
        <f t="shared" si="57"/>
        <v>0.26475638463887979</v>
      </c>
      <c r="DH24" s="263">
        <f>(BG24-BV24-EX24*CL24)/'Amortization metrics'!$D$4/K24</f>
        <v>0.30085952799872701</v>
      </c>
      <c r="DI24" s="527">
        <f t="shared" si="58"/>
        <v>20.74893296542945</v>
      </c>
      <c r="DJ24" s="528">
        <f t="shared" si="59"/>
        <v>3.0085952799872699</v>
      </c>
      <c r="DK24" s="97">
        <f t="shared" si="60"/>
        <v>1.8569265770253358</v>
      </c>
      <c r="DL24" s="263">
        <f t="shared" si="61"/>
        <v>2.1101438375287906</v>
      </c>
      <c r="DM24" s="527">
        <f t="shared" si="62"/>
        <v>145.52716120888212</v>
      </c>
      <c r="DN24" s="528">
        <f t="shared" si="63"/>
        <v>21.101438375287906</v>
      </c>
      <c r="DO24" s="97">
        <f t="shared" si="64"/>
        <v>2.1202205441687649</v>
      </c>
      <c r="DP24" s="263">
        <f t="shared" si="29"/>
        <v>2.4093415274645054</v>
      </c>
      <c r="DQ24" s="527">
        <f t="shared" si="65"/>
        <v>166.16148465272451</v>
      </c>
      <c r="DR24" s="528">
        <f t="shared" si="66"/>
        <v>24.093415274645054</v>
      </c>
      <c r="DS24" s="97">
        <f t="shared" si="67"/>
        <v>0.56864032088973981</v>
      </c>
      <c r="DT24" s="263">
        <f t="shared" si="30"/>
        <v>0.64618218282924977</v>
      </c>
      <c r="DU24" s="527">
        <f t="shared" si="68"/>
        <v>44.564288470982746</v>
      </c>
      <c r="DV24" s="528">
        <f t="shared" si="69"/>
        <v>6.4618218282924973</v>
      </c>
      <c r="DW24" s="97">
        <f t="shared" si="70"/>
        <v>3.6978967495219894</v>
      </c>
      <c r="DX24" s="263">
        <f t="shared" si="31"/>
        <v>4.2021553971840788</v>
      </c>
      <c r="DY24" s="68">
        <f t="shared" si="71"/>
        <v>289.80382049545369</v>
      </c>
      <c r="DZ24" s="97">
        <f t="shared" si="72"/>
        <v>4.2222222222222223</v>
      </c>
      <c r="EA24" s="263">
        <f t="shared" si="32"/>
        <v>4.7979797979797985</v>
      </c>
      <c r="EB24" s="68">
        <f t="shared" si="73"/>
        <v>330.8951584813654</v>
      </c>
      <c r="EC24" s="97">
        <f t="shared" si="74"/>
        <v>1.1323943661971831</v>
      </c>
      <c r="ED24" s="263">
        <f t="shared" si="33"/>
        <v>1.2868117797695262</v>
      </c>
      <c r="EE24" s="68">
        <f t="shared" si="75"/>
        <v>88.745639984105267</v>
      </c>
      <c r="EF24" s="60"/>
      <c r="EG24" s="60"/>
      <c r="EH24" s="60"/>
      <c r="EI24" s="554">
        <f t="shared" si="76"/>
        <v>25.411520214136004</v>
      </c>
      <c r="EJ24" s="262">
        <f t="shared" si="77"/>
        <v>0.43382136393977061</v>
      </c>
      <c r="EK24" s="166">
        <f t="shared" si="78"/>
        <v>0.49297882265883025</v>
      </c>
      <c r="EL24" s="68">
        <f t="shared" si="79"/>
        <v>33.998539493712435</v>
      </c>
      <c r="EM24" s="97">
        <f t="shared" si="80"/>
        <v>4.9297882265883022</v>
      </c>
      <c r="EN24" s="429">
        <f>(EQ24*C24+EX24*D24)/B24</f>
        <v>1.1338647342995169E-2</v>
      </c>
      <c r="EO24" s="262">
        <f t="shared" si="81"/>
        <v>0.51117640377777784</v>
      </c>
      <c r="EP24" s="436">
        <f t="shared" si="82"/>
        <v>0.58088227702020212</v>
      </c>
      <c r="EQ24" s="101">
        <v>1.1900000000000001E-2</v>
      </c>
      <c r="ER24" s="101">
        <v>0.97799999999999998</v>
      </c>
      <c r="ES24" s="101">
        <v>2.1999999999999999E-2</v>
      </c>
      <c r="ET24" s="429">
        <f t="shared" si="155"/>
        <v>0</v>
      </c>
      <c r="EU24" s="430">
        <f>ER24*$FC24+ES24*$FD24+ET24*$FE24+'Amortization metrics'!$B$6*(ER24*$FF24+ES24*$FG24+ET24*$FH24)/10^3+'Amortization metrics'!$B$5*(ER24*$FI24+ES24*$FJ24+ET24*$FK24)/10^3</f>
        <v>54.1245604</v>
      </c>
      <c r="EV24" s="262">
        <f t="shared" si="83"/>
        <v>5.5326422535211278E-2</v>
      </c>
      <c r="EW24" s="436">
        <f t="shared" si="84"/>
        <v>6.2870934699103723E-2</v>
      </c>
      <c r="EX24" s="101">
        <v>3.5999999999999999E-3</v>
      </c>
      <c r="EY24" s="433">
        <v>1</v>
      </c>
      <c r="EZ24" s="433">
        <v>0</v>
      </c>
      <c r="FA24" s="434">
        <f t="shared" si="156"/>
        <v>0</v>
      </c>
      <c r="FB24" s="430">
        <f>EY24*$FC24+EZ24*$FD24+FA24*$FE24+'Amortization metrics'!$B$6*(EY24*$FF24+EZ24*$FG24+FA24*$FH24)/10^3+'Amortization metrics'!$B$5*(EY24*$FI24+EZ24*$FJ24+FA24*$FK24)/10^3</f>
        <v>54.558</v>
      </c>
      <c r="FC24" s="431">
        <v>51.3</v>
      </c>
      <c r="FD24" s="431">
        <v>29</v>
      </c>
      <c r="FE24" s="431">
        <v>29</v>
      </c>
      <c r="FF24" s="99">
        <v>5</v>
      </c>
      <c r="FG24" s="431">
        <v>13</v>
      </c>
      <c r="FH24" s="431">
        <v>13</v>
      </c>
      <c r="FI24" s="431">
        <v>52</v>
      </c>
      <c r="FJ24" s="431">
        <v>58.3</v>
      </c>
      <c r="FK24" s="431">
        <v>58.3</v>
      </c>
      <c r="FL24" s="554">
        <f t="shared" si="85"/>
        <v>25.058657182312324</v>
      </c>
      <c r="FM24" s="554">
        <f t="shared" si="86"/>
        <v>6.4466157290572808</v>
      </c>
      <c r="FN24" s="554">
        <f t="shared" si="87"/>
        <v>2.0743925280287998</v>
      </c>
      <c r="FO24" s="554">
        <f t="shared" si="88"/>
        <v>10.636258641657601</v>
      </c>
      <c r="FP24" s="554">
        <f t="shared" si="89"/>
        <v>5.9013902835686407</v>
      </c>
      <c r="FQ24" s="554"/>
      <c r="FR24" s="167">
        <f t="shared" si="90"/>
        <v>0.42779734332000002</v>
      </c>
      <c r="FS24" s="166">
        <f t="shared" si="91"/>
        <v>0.48613334468181824</v>
      </c>
      <c r="FT24" s="68">
        <f t="shared" si="92"/>
        <v>33.526437564263325</v>
      </c>
      <c r="FU24" s="97">
        <f t="shared" si="93"/>
        <v>4.8613334468181817</v>
      </c>
      <c r="FV24" s="473">
        <f t="shared" si="94"/>
        <v>0.14546927508000002</v>
      </c>
      <c r="FW24" s="269">
        <f t="shared" si="95"/>
        <v>0.16530599440909091</v>
      </c>
      <c r="FX24" s="473">
        <f t="shared" si="96"/>
        <v>0.28232806824000001</v>
      </c>
      <c r="FY24" s="269">
        <f t="shared" si="97"/>
        <v>0.3208273502727273</v>
      </c>
      <c r="FZ24" s="123"/>
      <c r="GA24" s="49"/>
      <c r="GB24" s="435">
        <v>0.11005558127999999</v>
      </c>
      <c r="GC24" s="522">
        <f t="shared" si="98"/>
        <v>0.12506316054545455</v>
      </c>
      <c r="GD24" s="435">
        <v>3.54136938E-2</v>
      </c>
      <c r="GE24" s="522">
        <f t="shared" si="99"/>
        <v>4.0242833863636363E-2</v>
      </c>
      <c r="GF24" s="435">
        <v>0.18158048760000001</v>
      </c>
      <c r="GG24" s="522">
        <f t="shared" si="100"/>
        <v>0.2063414631818182</v>
      </c>
      <c r="GH24" s="435">
        <v>0.10074758064000001</v>
      </c>
      <c r="GI24" s="522">
        <f t="shared" si="101"/>
        <v>0.11448588709090911</v>
      </c>
      <c r="GJ24" s="599">
        <f t="shared" si="102"/>
        <v>5.5556053420147151</v>
      </c>
      <c r="GK24" s="527">
        <f t="shared" si="103"/>
        <v>383.14519600101488</v>
      </c>
      <c r="GL24" s="528">
        <f t="shared" si="104"/>
        <v>55.556053420147151</v>
      </c>
      <c r="GM24" s="599">
        <f t="shared" si="105"/>
        <v>6.3530155467061054</v>
      </c>
      <c r="GN24" s="527">
        <f t="shared" si="106"/>
        <v>438.13900322111067</v>
      </c>
      <c r="GO24" s="528">
        <f t="shared" si="107"/>
        <v>63.53015546706105</v>
      </c>
      <c r="GP24" s="599">
        <f t="shared" si="108"/>
        <v>1.652155882042921</v>
      </c>
      <c r="GQ24" s="527">
        <f t="shared" si="109"/>
        <v>113.94178496847731</v>
      </c>
      <c r="GR24" s="528">
        <f t="shared" si="110"/>
        <v>16.52155882042921</v>
      </c>
      <c r="GS24" s="599">
        <f t="shared" si="111"/>
        <v>8.7163062382795484</v>
      </c>
      <c r="GT24" s="527">
        <f t="shared" si="112"/>
        <v>601.12456815721021</v>
      </c>
      <c r="GU24" s="528">
        <f t="shared" si="113"/>
        <v>87.163062382795474</v>
      </c>
      <c r="GV24" s="599">
        <f t="shared" si="114"/>
        <v>9.9012678890718711</v>
      </c>
      <c r="GW24" s="527">
        <f t="shared" si="115"/>
        <v>682.84606131530143</v>
      </c>
      <c r="GX24" s="528">
        <f t="shared" si="116"/>
        <v>99.012678890718703</v>
      </c>
      <c r="GY24" s="599">
        <f t="shared" si="117"/>
        <v>2.9183389497548378</v>
      </c>
      <c r="GZ24" s="527">
        <f t="shared" si="118"/>
        <v>201.26475515550607</v>
      </c>
      <c r="HA24" s="528">
        <f t="shared" si="119"/>
        <v>29.183389497548376</v>
      </c>
      <c r="HB24" s="31">
        <v>0.88</v>
      </c>
      <c r="HC24" s="32">
        <f t="shared" ref="HC24:HC25" si="157">$HB24*HD24</f>
        <v>16.015999999999998</v>
      </c>
      <c r="HD24" s="27">
        <v>18.2</v>
      </c>
      <c r="HE24" s="32">
        <f t="shared" ref="HE24:HE25" si="158">$HB24*HF24</f>
        <v>12.76</v>
      </c>
      <c r="HF24" s="33">
        <v>14.5</v>
      </c>
      <c r="HG24" s="36">
        <f t="shared" ref="HG24:HG25" si="159">$HB24*HH24</f>
        <v>8.8000000000000009E-2</v>
      </c>
      <c r="HH24" s="31">
        <v>0.1</v>
      </c>
      <c r="HI24" s="36">
        <f t="shared" ref="HI24:HI25" si="160">$HB24*HJ24</f>
        <v>3.0800000000000004E-2</v>
      </c>
      <c r="HJ24" s="35">
        <v>3.5000000000000003E-2</v>
      </c>
    </row>
    <row r="25" spans="1:218" s="4" customFormat="1" x14ac:dyDescent="0.25">
      <c r="A25" s="4" t="s">
        <v>308</v>
      </c>
      <c r="B25" s="67">
        <f t="shared" si="121"/>
        <v>31.400000000000002</v>
      </c>
      <c r="C25" s="33">
        <v>30.3</v>
      </c>
      <c r="D25" s="33">
        <v>1.1000000000000001</v>
      </c>
      <c r="E25" s="38">
        <f t="shared" si="122"/>
        <v>3.5031847133757961E-2</v>
      </c>
      <c r="F25" s="108">
        <f t="shared" si="123"/>
        <v>0.98079617834394894</v>
      </c>
      <c r="G25" s="32">
        <f t="shared" si="124"/>
        <v>0.86310063694267525</v>
      </c>
      <c r="H25" s="33">
        <v>0.93</v>
      </c>
      <c r="I25" s="32">
        <f t="shared" si="36"/>
        <v>0.81840000000000002</v>
      </c>
      <c r="J25" s="33">
        <v>2.38</v>
      </c>
      <c r="K25" s="32">
        <f t="shared" si="37"/>
        <v>2.0943999999999998</v>
      </c>
      <c r="L25" s="32">
        <f t="shared" si="125"/>
        <v>11.586134422774354</v>
      </c>
      <c r="M25" s="32">
        <f t="shared" si="126"/>
        <v>12.218963831867057</v>
      </c>
      <c r="N25" s="32">
        <f t="shared" si="127"/>
        <v>4.7746371275783046</v>
      </c>
      <c r="O25" s="107">
        <f t="shared" si="128"/>
        <v>30.797000000000001</v>
      </c>
      <c r="P25" s="68">
        <f t="shared" si="129"/>
        <v>27.101360000000003</v>
      </c>
      <c r="Q25" s="68"/>
      <c r="R25" s="67">
        <f t="shared" si="130"/>
        <v>28.179000000000002</v>
      </c>
      <c r="S25" s="67">
        <f t="shared" si="131"/>
        <v>24.797520000000002</v>
      </c>
      <c r="T25" s="67">
        <f t="shared" si="132"/>
        <v>2.6179999999999999</v>
      </c>
      <c r="U25" s="67">
        <f t="shared" si="133"/>
        <v>2.3038400000000001</v>
      </c>
      <c r="V25" s="38">
        <f t="shared" si="134"/>
        <v>8.5008280027275382E-2</v>
      </c>
      <c r="W25" s="294">
        <f t="shared" si="135"/>
        <v>0.11451853169148631</v>
      </c>
      <c r="X25" s="294">
        <f t="shared" si="136"/>
        <v>3.2573462238392178E-2</v>
      </c>
      <c r="Y25" s="294">
        <f t="shared" si="137"/>
        <v>4.337613974081439E-2</v>
      </c>
      <c r="Z25" s="294">
        <f t="shared" si="138"/>
        <v>0.36682063674105486</v>
      </c>
      <c r="AA25" s="294">
        <f t="shared" si="139"/>
        <v>7.5629719489535382E-2</v>
      </c>
      <c r="AB25" s="294">
        <f t="shared" si="140"/>
        <v>0.26513538663402764</v>
      </c>
      <c r="AC25" s="294">
        <f t="shared" si="141"/>
        <v>0.10016609837489622</v>
      </c>
      <c r="AD25" s="294">
        <f t="shared" si="142"/>
        <v>1.1989822898968027E-3</v>
      </c>
      <c r="AE25" s="294">
        <f t="shared" si="143"/>
        <v>5.3949272461489047E-4</v>
      </c>
      <c r="AF25" s="433">
        <v>0.11854358762387592</v>
      </c>
      <c r="AG25" s="433">
        <v>3.1893711692667692E-2</v>
      </c>
      <c r="AH25" s="433">
        <v>4.289496227003043E-2</v>
      </c>
      <c r="AI25" s="433">
        <v>0.36869170601226903</v>
      </c>
      <c r="AJ25" s="433">
        <v>7.4467283737083889E-2</v>
      </c>
      <c r="AK25" s="433">
        <v>0.26038599364358594</v>
      </c>
      <c r="AL25" s="433">
        <v>0.10146889380347351</v>
      </c>
      <c r="AM25" s="433">
        <v>1.1101271879052656E-3</v>
      </c>
      <c r="AN25" s="433">
        <v>5.006886313334843E-4</v>
      </c>
      <c r="AO25" s="433">
        <v>3.6465364629364189E-3</v>
      </c>
      <c r="AP25" s="433">
        <v>5.1297499997893903E-2</v>
      </c>
      <c r="AQ25" s="433">
        <v>5.6630391890590749E-2</v>
      </c>
      <c r="AR25" s="433">
        <v>0.3152811831794286</v>
      </c>
      <c r="AS25" s="433">
        <v>0.10764954067069912</v>
      </c>
      <c r="AT25" s="433">
        <v>0.39595957537074083</v>
      </c>
      <c r="AU25" s="433">
        <v>6.428000611499457E-2</v>
      </c>
      <c r="AV25" s="433">
        <v>3.6465364629364189E-3</v>
      </c>
      <c r="AW25" s="433">
        <v>1.6083691122754423E-3</v>
      </c>
      <c r="AX25" s="554">
        <f t="shared" si="39"/>
        <v>2.4807715415804958</v>
      </c>
      <c r="AY25" s="554">
        <f t="shared" si="40"/>
        <v>0.51494109334819038</v>
      </c>
      <c r="AZ25" s="554">
        <f t="shared" si="41"/>
        <v>1.965830448232305</v>
      </c>
      <c r="BA25" s="67">
        <f t="shared" si="144"/>
        <v>79.005463107659097</v>
      </c>
      <c r="BB25" s="67">
        <f t="shared" si="42"/>
        <v>16.399397877330905</v>
      </c>
      <c r="BC25" s="67">
        <f t="shared" si="42"/>
        <v>62.606065230328184</v>
      </c>
      <c r="BD25" s="67">
        <f t="shared" si="145"/>
        <v>78.640257078774525</v>
      </c>
      <c r="BE25" s="105">
        <v>16.212167628450363</v>
      </c>
      <c r="BF25" s="105">
        <v>62.428089450324165</v>
      </c>
      <c r="BG25" s="68">
        <f t="shared" si="146"/>
        <v>89.065229176024872</v>
      </c>
      <c r="BH25" s="106">
        <v>21.556740187404003</v>
      </c>
      <c r="BI25" s="106">
        <v>67.508488988620869</v>
      </c>
      <c r="BJ25" s="554">
        <f t="shared" si="43"/>
        <v>1.4828420111742289</v>
      </c>
      <c r="BK25" s="554">
        <f t="shared" si="44"/>
        <v>8.4691750000000024E-3</v>
      </c>
      <c r="BL25" s="554">
        <f t="shared" si="45"/>
        <v>1.474372836174229</v>
      </c>
      <c r="BM25" s="32">
        <f t="shared" si="147"/>
        <v>47.22426787179073</v>
      </c>
      <c r="BN25" s="32">
        <f t="shared" si="46"/>
        <v>0.26971894904458604</v>
      </c>
      <c r="BO25" s="67">
        <f t="shared" si="46"/>
        <v>46.954548922746142</v>
      </c>
      <c r="BP25" s="270"/>
      <c r="BQ25" s="67">
        <f t="shared" si="148"/>
        <v>47.076817087743123</v>
      </c>
      <c r="BR25" s="32">
        <f t="shared" si="47"/>
        <v>0.25575000000000003</v>
      </c>
      <c r="BS25" s="67">
        <f t="shared" si="48"/>
        <v>46.821067087743124</v>
      </c>
      <c r="BT25" s="67"/>
      <c r="BU25" s="34">
        <f t="shared" si="149"/>
        <v>0.25</v>
      </c>
      <c r="BV25" s="68">
        <f t="shared" si="150"/>
        <v>51.285866741465654</v>
      </c>
      <c r="BW25" s="32">
        <f t="shared" si="49"/>
        <v>0.65449999999999997</v>
      </c>
      <c r="BX25" s="67">
        <f t="shared" si="50"/>
        <v>50.631366741465655</v>
      </c>
      <c r="BY25" s="67"/>
      <c r="BZ25" s="34">
        <f t="shared" si="151"/>
        <v>0.25</v>
      </c>
      <c r="CA25" s="554"/>
      <c r="CB25" s="554"/>
      <c r="CC25" s="554"/>
      <c r="CD25" s="67">
        <f t="shared" si="26"/>
        <v>31.781195235868367</v>
      </c>
      <c r="CE25" s="67">
        <f t="shared" si="26"/>
        <v>16.129678928286321</v>
      </c>
      <c r="CF25" s="67">
        <f t="shared" si="26"/>
        <v>15.651516307582042</v>
      </c>
      <c r="CG25" s="67">
        <f t="shared" si="27"/>
        <v>31.563439991031402</v>
      </c>
      <c r="CH25" s="67">
        <f t="shared" si="27"/>
        <v>15.956417628450362</v>
      </c>
      <c r="CI25" s="67">
        <f t="shared" si="27"/>
        <v>15.607022362581041</v>
      </c>
      <c r="CJ25" s="67">
        <f t="shared" si="28"/>
        <v>37.779362434559218</v>
      </c>
      <c r="CK25" s="67">
        <f t="shared" si="28"/>
        <v>20.902240187404004</v>
      </c>
      <c r="CL25" s="67">
        <f t="shared" si="28"/>
        <v>16.877122247155214</v>
      </c>
      <c r="CM25" s="68"/>
      <c r="CN25" s="293"/>
      <c r="CO25" s="293"/>
      <c r="CS25" s="32">
        <f t="shared" si="152"/>
        <v>3.8798089171974524</v>
      </c>
      <c r="CT25" s="33">
        <v>3.87</v>
      </c>
      <c r="CU25" s="99">
        <v>4.1500000000000004</v>
      </c>
      <c r="CY25" s="97">
        <f t="shared" si="51"/>
        <v>1.0709688251088458</v>
      </c>
      <c r="CZ25" s="263">
        <f>(BA25-BM25-EN25*CF25)/'Amortization metrics'!$D$4/G25</f>
        <v>1.2170100285327794</v>
      </c>
      <c r="DA25" s="527">
        <f t="shared" si="52"/>
        <v>83.931726105708918</v>
      </c>
      <c r="DB25" s="528">
        <f t="shared" si="53"/>
        <v>13.522333650364216</v>
      </c>
      <c r="DC25" s="97">
        <f t="shared" si="54"/>
        <v>1.1215167419242378</v>
      </c>
      <c r="DD25" s="263">
        <f>(BD25-BQ25-EQ25*CI25)/'Amortization metrics'!$D$4/I25</f>
        <v>1.2744508430957247</v>
      </c>
      <c r="DE25" s="527">
        <f t="shared" si="55"/>
        <v>87.893161592808596</v>
      </c>
      <c r="DF25" s="528">
        <f t="shared" si="56"/>
        <v>14.160564923285831</v>
      </c>
      <c r="DG25" s="97">
        <f t="shared" si="57"/>
        <v>0.52704262967484949</v>
      </c>
      <c r="DH25" s="263">
        <f>(BG25-BV25-EX25*CL25)/'Amortization metrics'!$D$4/K25</f>
        <v>0.59891207917596534</v>
      </c>
      <c r="DI25" s="527">
        <f t="shared" si="58"/>
        <v>41.304281322480371</v>
      </c>
      <c r="DJ25" s="528">
        <f t="shared" si="59"/>
        <v>6.6545786575107266</v>
      </c>
      <c r="DK25" s="97">
        <f t="shared" si="60"/>
        <v>1.9864220302773294</v>
      </c>
      <c r="DL25" s="263">
        <f t="shared" si="61"/>
        <v>2.2572977616787835</v>
      </c>
      <c r="DM25" s="527">
        <f t="shared" si="62"/>
        <v>155.67570770198506</v>
      </c>
      <c r="DN25" s="528">
        <f t="shared" si="63"/>
        <v>25.081086240875372</v>
      </c>
      <c r="DO25" s="97">
        <f t="shared" si="64"/>
        <v>2.0896231339388245</v>
      </c>
      <c r="DP25" s="263">
        <f t="shared" si="29"/>
        <v>2.3745717431123006</v>
      </c>
      <c r="DQ25" s="527">
        <f t="shared" si="65"/>
        <v>163.7635684905035</v>
      </c>
      <c r="DR25" s="528">
        <f t="shared" si="66"/>
        <v>26.384130479025561</v>
      </c>
      <c r="DS25" s="97">
        <f t="shared" si="67"/>
        <v>0.87561076210419475</v>
      </c>
      <c r="DT25" s="263">
        <f t="shared" si="30"/>
        <v>0.99501222966385761</v>
      </c>
      <c r="DU25" s="527">
        <f t="shared" si="68"/>
        <v>68.621533080266047</v>
      </c>
      <c r="DV25" s="528">
        <f t="shared" si="69"/>
        <v>11.055691440709529</v>
      </c>
      <c r="DW25" s="97">
        <f t="shared" si="70"/>
        <v>3.9557749131408899</v>
      </c>
      <c r="DX25" s="263">
        <f t="shared" si="31"/>
        <v>4.4951987649328293</v>
      </c>
      <c r="DY25" s="68">
        <f t="shared" si="71"/>
        <v>310.01370792640205</v>
      </c>
      <c r="DZ25" s="97">
        <f t="shared" si="72"/>
        <v>4.161290322580645</v>
      </c>
      <c r="EA25" s="263">
        <f t="shared" si="32"/>
        <v>4.7287390029325511</v>
      </c>
      <c r="EB25" s="68">
        <f t="shared" si="73"/>
        <v>326.11993123672767</v>
      </c>
      <c r="EC25" s="97">
        <f t="shared" si="74"/>
        <v>1.7436974789915971</v>
      </c>
      <c r="ED25" s="263">
        <f t="shared" si="33"/>
        <v>1.9814744079449966</v>
      </c>
      <c r="EE25" s="68">
        <f t="shared" si="75"/>
        <v>136.65340744448253</v>
      </c>
      <c r="EF25" s="60"/>
      <c r="EG25" s="60"/>
      <c r="EH25" s="60"/>
      <c r="EI25" s="554">
        <f t="shared" si="76"/>
        <v>29.248563350999998</v>
      </c>
      <c r="EJ25" s="262">
        <f t="shared" si="77"/>
        <v>0.94972118553755225</v>
      </c>
      <c r="EK25" s="166">
        <f t="shared" si="78"/>
        <v>1.0792286199290366</v>
      </c>
      <c r="EL25" s="68">
        <f t="shared" si="79"/>
        <v>74.429559995105961</v>
      </c>
      <c r="EM25" s="97">
        <f t="shared" si="80"/>
        <v>11.991429110322629</v>
      </c>
      <c r="EN25" s="429">
        <f>(EQ25*C25+EX25*D25)/B25</f>
        <v>1.7195222929936308E-2</v>
      </c>
      <c r="EO25" s="262">
        <f t="shared" si="81"/>
        <v>1.019214376344086</v>
      </c>
      <c r="EP25" s="436">
        <f t="shared" si="82"/>
        <v>1.1581981549364613</v>
      </c>
      <c r="EQ25" s="101">
        <v>1.7500000000000002E-2</v>
      </c>
      <c r="ER25" s="433">
        <v>0.98</v>
      </c>
      <c r="ES25" s="433">
        <v>0.02</v>
      </c>
      <c r="ET25" s="434">
        <f t="shared" si="155"/>
        <v>0</v>
      </c>
      <c r="EU25" s="430">
        <f>ER25*$FC25+ES25*$FD25+ET25*$FE25+'Amortization metrics'!$B$6*(ER25*$FF25+ES25*$FG25+ET25*$FH25)/10^3+'Amortization metrics'!$B$5*(ER25*$FI25+ES25*$FJ25+ET25*$FK25)/10^3</f>
        <v>54.163963999999993</v>
      </c>
      <c r="EV25" s="262">
        <f t="shared" si="83"/>
        <v>0.20172705882352945</v>
      </c>
      <c r="EW25" s="436">
        <f t="shared" si="84"/>
        <v>0.22923529411764709</v>
      </c>
      <c r="EX25" s="101">
        <v>8.8000000000000005E-3</v>
      </c>
      <c r="EY25" s="433">
        <v>1</v>
      </c>
      <c r="EZ25" s="433">
        <v>0</v>
      </c>
      <c r="FA25" s="434">
        <f t="shared" ref="FA25" si="161">1-EY25-EZ25</f>
        <v>0</v>
      </c>
      <c r="FB25" s="430">
        <f>EY25*$FC25+EZ25*$FD25+FA25*$FE25+'Amortization metrics'!$B$6*(EY25*$FF25+EZ25*$FG25+FA25*$FH25)/10^3+'Amortization metrics'!$B$5*(EY25*$FI25+EZ25*$FJ25+FA25*$FK25)/10^3</f>
        <v>54.558</v>
      </c>
      <c r="FC25" s="431">
        <v>51.3</v>
      </c>
      <c r="FD25" s="431">
        <v>29</v>
      </c>
      <c r="FE25" s="431">
        <v>29</v>
      </c>
      <c r="FF25" s="99">
        <v>5</v>
      </c>
      <c r="FG25" s="431">
        <v>13</v>
      </c>
      <c r="FH25" s="431">
        <v>13</v>
      </c>
      <c r="FI25" s="431">
        <v>52</v>
      </c>
      <c r="FJ25" s="431">
        <v>58.3</v>
      </c>
      <c r="FK25" s="431">
        <v>58.3</v>
      </c>
      <c r="FL25" s="554">
        <f t="shared" si="85"/>
        <v>16.699488984157721</v>
      </c>
      <c r="FM25" s="554">
        <f t="shared" si="86"/>
        <v>4.0266726192461606</v>
      </c>
      <c r="FN25" s="554">
        <f t="shared" si="87"/>
        <v>1.2417908256858001</v>
      </c>
      <c r="FO25" s="554">
        <f t="shared" si="88"/>
        <v>8.0924751010428011</v>
      </c>
      <c r="FP25" s="554">
        <f t="shared" si="89"/>
        <v>3.3385504381829603</v>
      </c>
      <c r="FQ25" s="554"/>
      <c r="FR25" s="167">
        <f t="shared" si="90"/>
        <v>0.54224401676</v>
      </c>
      <c r="FS25" s="166">
        <f t="shared" si="91"/>
        <v>0.61618638268181813</v>
      </c>
      <c r="FT25" s="68">
        <f t="shared" si="92"/>
        <v>42.495612598746078</v>
      </c>
      <c r="FU25" s="97">
        <f t="shared" si="93"/>
        <v>6.8465153631313127</v>
      </c>
      <c r="FV25" s="473">
        <f t="shared" si="94"/>
        <v>0.17107067068000004</v>
      </c>
      <c r="FW25" s="269">
        <f t="shared" si="95"/>
        <v>0.19439848940909094</v>
      </c>
      <c r="FX25" s="473">
        <f t="shared" si="96"/>
        <v>0.37117334607999997</v>
      </c>
      <c r="FY25" s="269">
        <f t="shared" si="97"/>
        <v>0.42178789327272725</v>
      </c>
      <c r="FZ25" s="123"/>
      <c r="GA25" s="49"/>
      <c r="GB25" s="435">
        <v>0.13074885928000002</v>
      </c>
      <c r="GC25" s="522">
        <f t="shared" si="98"/>
        <v>0.14857824918181819</v>
      </c>
      <c r="GD25" s="435">
        <v>4.0321811399999997E-2</v>
      </c>
      <c r="GE25" s="522">
        <f t="shared" si="99"/>
        <v>4.5820240227272727E-2</v>
      </c>
      <c r="GF25" s="435">
        <v>0.26276829239999999</v>
      </c>
      <c r="GG25" s="522">
        <f t="shared" si="100"/>
        <v>0.29860033227272725</v>
      </c>
      <c r="GH25" s="435">
        <v>0.10840505368</v>
      </c>
      <c r="GI25" s="522">
        <f t="shared" si="101"/>
        <v>0.123187561</v>
      </c>
      <c r="GJ25" s="599">
        <f t="shared" si="102"/>
        <v>6.1577851072310459</v>
      </c>
      <c r="GK25" s="527">
        <f t="shared" si="103"/>
        <v>424.67483498145145</v>
      </c>
      <c r="GL25" s="528">
        <f t="shared" si="104"/>
        <v>68.419834524789408</v>
      </c>
      <c r="GM25" s="599">
        <f t="shared" si="105"/>
        <v>6.4473709623026023</v>
      </c>
      <c r="GN25" s="527">
        <f t="shared" si="106"/>
        <v>444.64627326224843</v>
      </c>
      <c r="GO25" s="528">
        <f t="shared" si="107"/>
        <v>71.637455136695579</v>
      </c>
      <c r="GP25" s="599">
        <f t="shared" si="108"/>
        <v>3.0414326337780047</v>
      </c>
      <c r="GQ25" s="527">
        <f t="shared" si="109"/>
        <v>209.75397474331069</v>
      </c>
      <c r="GR25" s="528">
        <f t="shared" si="110"/>
        <v>33.793695930866718</v>
      </c>
      <c r="GS25" s="599">
        <f t="shared" si="111"/>
        <v>9.9721734620997271</v>
      </c>
      <c r="GT25" s="527">
        <f t="shared" si="112"/>
        <v>687.73610083446397</v>
      </c>
      <c r="GU25" s="528">
        <f t="shared" si="113"/>
        <v>110.80192735666364</v>
      </c>
      <c r="GV25" s="599">
        <f t="shared" si="114"/>
        <v>10.481147595696713</v>
      </c>
      <c r="GW25" s="527">
        <f t="shared" si="115"/>
        <v>722.83776522046298</v>
      </c>
      <c r="GX25" s="528">
        <f t="shared" si="116"/>
        <v>116.45719550774126</v>
      </c>
      <c r="GY25" s="599">
        <f t="shared" si="117"/>
        <v>4.4937998522336091</v>
      </c>
      <c r="GZ25" s="527">
        <f t="shared" si="118"/>
        <v>309.9172311885248</v>
      </c>
      <c r="HA25" s="528">
        <f t="shared" si="119"/>
        <v>49.931109469262324</v>
      </c>
      <c r="HB25" s="31">
        <v>0.88</v>
      </c>
      <c r="HC25" s="32">
        <f t="shared" si="157"/>
        <v>16.015999999999998</v>
      </c>
      <c r="HD25" s="27">
        <v>18.2</v>
      </c>
      <c r="HE25" s="32">
        <f t="shared" si="158"/>
        <v>12.76</v>
      </c>
      <c r="HF25" s="33">
        <v>14.5</v>
      </c>
      <c r="HG25" s="36">
        <f t="shared" si="159"/>
        <v>7.9199999999999993E-2</v>
      </c>
      <c r="HH25" s="35">
        <v>0.09</v>
      </c>
      <c r="HI25" s="36">
        <f t="shared" si="160"/>
        <v>3.0800000000000004E-2</v>
      </c>
      <c r="HJ25" s="35">
        <v>3.5000000000000003E-2</v>
      </c>
    </row>
    <row r="26" spans="1:218" s="4" customFormat="1" x14ac:dyDescent="0.25">
      <c r="A26" s="14"/>
      <c r="C26" s="33"/>
      <c r="D26" s="33"/>
      <c r="E26" s="33"/>
      <c r="H26" s="33"/>
      <c r="J26" s="33"/>
      <c r="O26" s="60"/>
      <c r="W26" s="60"/>
      <c r="X26" s="60"/>
      <c r="Y26" s="60"/>
      <c r="Z26" s="60"/>
      <c r="AA26" s="60"/>
      <c r="AB26" s="60"/>
      <c r="AC26" s="60"/>
      <c r="AD26" s="60"/>
      <c r="AE26" s="60"/>
      <c r="AF26" s="293"/>
      <c r="AG26" s="293"/>
      <c r="AH26" s="293"/>
      <c r="AI26" s="293"/>
      <c r="AJ26" s="293"/>
      <c r="AK26" s="293"/>
      <c r="AL26" s="293"/>
      <c r="AM26" s="293"/>
      <c r="AN26" s="293"/>
      <c r="AO26" s="293"/>
      <c r="AP26" s="293"/>
      <c r="AQ26" s="293"/>
      <c r="AR26" s="293"/>
      <c r="AS26" s="293"/>
      <c r="AT26" s="293"/>
      <c r="AU26" s="293"/>
      <c r="AV26" s="293"/>
      <c r="AW26" s="293"/>
      <c r="AX26" s="60"/>
      <c r="AY26" s="60"/>
      <c r="AZ26" s="60"/>
      <c r="BD26" s="67"/>
      <c r="BE26" s="105"/>
      <c r="BF26" s="105"/>
      <c r="BG26" s="60"/>
      <c r="BH26" s="106"/>
      <c r="BI26" s="106"/>
      <c r="BJ26" s="60"/>
      <c r="BK26" s="60"/>
      <c r="BL26" s="60"/>
      <c r="BM26" s="32"/>
      <c r="BN26" s="32"/>
      <c r="BO26" s="67"/>
      <c r="BP26" s="270"/>
      <c r="BV26" s="60"/>
      <c r="CA26" s="60"/>
      <c r="CB26" s="60"/>
      <c r="CC26" s="60"/>
      <c r="CM26" s="60"/>
      <c r="CN26" s="60"/>
      <c r="CO26" s="60"/>
      <c r="CT26" s="33"/>
      <c r="CU26" s="99"/>
      <c r="CY26" s="97"/>
      <c r="CZ26" s="32"/>
      <c r="DB26" s="67"/>
      <c r="DC26" s="97"/>
      <c r="DD26" s="32"/>
      <c r="DF26" s="67"/>
      <c r="DG26" s="97"/>
      <c r="DH26" s="32"/>
      <c r="DJ26" s="67"/>
      <c r="DK26" s="97"/>
      <c r="DL26" s="32"/>
      <c r="DN26" s="67"/>
      <c r="DO26" s="97"/>
      <c r="DP26" s="32"/>
      <c r="DR26" s="67"/>
      <c r="DS26" s="97"/>
      <c r="DT26" s="32"/>
      <c r="DV26" s="67"/>
      <c r="DW26" s="97"/>
      <c r="DY26" s="60"/>
      <c r="DZ26" s="97"/>
      <c r="EB26" s="60"/>
      <c r="EC26" s="97"/>
      <c r="EE26" s="60"/>
      <c r="EF26" s="60"/>
      <c r="EG26" s="60"/>
      <c r="EH26" s="60"/>
      <c r="EI26" s="97"/>
      <c r="EJ26" s="49"/>
      <c r="EK26" s="60"/>
      <c r="EL26" s="60"/>
      <c r="EM26" s="97"/>
      <c r="EN26" s="601"/>
      <c r="EO26" s="49"/>
      <c r="EP26" s="60"/>
      <c r="EQ26" s="100"/>
      <c r="ER26" s="100"/>
      <c r="ES26" s="100"/>
      <c r="ET26" s="100"/>
      <c r="EU26" s="100"/>
      <c r="EV26" s="49"/>
      <c r="EW26" s="60"/>
      <c r="EX26" s="100"/>
      <c r="EY26" s="100"/>
      <c r="EZ26" s="100"/>
      <c r="FA26" s="100"/>
      <c r="FB26" s="100"/>
      <c r="FC26" s="97"/>
      <c r="FD26" s="97"/>
      <c r="FE26" s="97"/>
      <c r="FF26" s="97"/>
      <c r="FG26" s="97"/>
      <c r="FH26" s="97"/>
      <c r="FI26" s="97"/>
      <c r="FJ26" s="97"/>
      <c r="FK26" s="97"/>
      <c r="FL26" s="97"/>
      <c r="FM26" s="97"/>
      <c r="FN26" s="97"/>
      <c r="FO26" s="97"/>
      <c r="FP26" s="97"/>
      <c r="FQ26" s="97"/>
      <c r="FR26" s="522"/>
      <c r="FS26" s="60"/>
      <c r="FT26" s="60"/>
      <c r="FU26" s="97"/>
      <c r="FV26" s="123"/>
      <c r="FW26" s="123"/>
      <c r="FX26" s="123"/>
      <c r="FY26" s="123"/>
      <c r="FZ26" s="123"/>
      <c r="GA26" s="49"/>
      <c r="GB26" s="60"/>
      <c r="GC26" s="60"/>
      <c r="GD26" s="60"/>
      <c r="GE26" s="60"/>
      <c r="GF26" s="60"/>
      <c r="GG26" s="60"/>
      <c r="GH26" s="60"/>
      <c r="GI26" s="60"/>
    </row>
    <row r="27" spans="1:218" s="4" customFormat="1" ht="13.8" x14ac:dyDescent="0.3">
      <c r="A27" s="15" t="s">
        <v>75</v>
      </c>
      <c r="B27" s="152">
        <f>B28+B29+B30+B31</f>
        <v>49.589999999999996</v>
      </c>
      <c r="C27" s="152">
        <f t="shared" ref="C27:D27" si="162">C28+C29+C30+C31</f>
        <v>46.199999999999996</v>
      </c>
      <c r="D27" s="152">
        <f t="shared" si="162"/>
        <v>3.39</v>
      </c>
      <c r="E27" s="33"/>
      <c r="F27" s="153">
        <f>O27/B27</f>
        <v>14.177354305303489</v>
      </c>
      <c r="G27" s="153">
        <f>P27/B27</f>
        <v>3.8576106069772136</v>
      </c>
      <c r="I27" s="153">
        <f>S27/C27</f>
        <v>3.6929826839826845</v>
      </c>
      <c r="K27" s="153">
        <f>U27/D27</f>
        <v>6.1012123893805308</v>
      </c>
      <c r="O27" s="152">
        <f>O28+O29+O30+O31</f>
        <v>703.05499999999995</v>
      </c>
      <c r="P27" s="152">
        <f>P28+P29+P30+P31</f>
        <v>191.29891000000001</v>
      </c>
      <c r="Q27" s="592">
        <f>P27/P$17</f>
        <v>5.0449696408953311E-2</v>
      </c>
      <c r="S27" s="152">
        <f>S28+S29+S30+S31</f>
        <v>170.61580000000001</v>
      </c>
      <c r="U27" s="152">
        <f>U28+U29+U30+U31</f>
        <v>20.683109999999999</v>
      </c>
      <c r="V27" s="154"/>
      <c r="W27" s="265">
        <f t="shared" ref="W27:AE27" si="163">($B28*W28+$B29*W29+$B30*W30+$B31*W31)/$B27</f>
        <v>0.42741180246726307</v>
      </c>
      <c r="X27" s="265">
        <f t="shared" si="163"/>
        <v>0.20187943102024589</v>
      </c>
      <c r="Y27" s="265">
        <f t="shared" si="163"/>
        <v>0.14872118580698304</v>
      </c>
      <c r="Z27" s="265">
        <f t="shared" si="163"/>
        <v>0.10957688685601377</v>
      </c>
      <c r="AA27" s="265">
        <f t="shared" si="163"/>
        <v>4.4616467114376862E-2</v>
      </c>
      <c r="AB27" s="265">
        <f t="shared" si="163"/>
        <v>3.4727847031074593E-2</v>
      </c>
      <c r="AC27" s="265">
        <f t="shared" si="163"/>
        <v>3.684800393308511E-3</v>
      </c>
      <c r="AD27" s="265">
        <f t="shared" si="163"/>
        <v>2.4390393208665654E-2</v>
      </c>
      <c r="AE27" s="265">
        <f t="shared" si="163"/>
        <v>4.6657853799990309E-3</v>
      </c>
      <c r="AF27" s="502"/>
      <c r="AG27" s="502"/>
      <c r="AH27" s="502"/>
      <c r="AI27" s="502"/>
      <c r="AJ27" s="502"/>
      <c r="AK27" s="502"/>
      <c r="AL27" s="502"/>
      <c r="AM27" s="502"/>
      <c r="AN27" s="502"/>
      <c r="AO27" s="502"/>
      <c r="AP27" s="502"/>
      <c r="AQ27" s="502"/>
      <c r="AR27" s="502"/>
      <c r="AS27" s="502"/>
      <c r="AT27" s="502"/>
      <c r="AU27" s="502"/>
      <c r="AV27" s="502"/>
      <c r="AW27" s="502"/>
      <c r="AX27" s="152">
        <f>AX28+AX29+AX30+AX31</f>
        <v>10.435149538003008</v>
      </c>
      <c r="AY27" s="152">
        <f t="shared" ref="AY27:AZ27" si="164">AY28+AY29+AY30+AY31</f>
        <v>4.7863914362147648</v>
      </c>
      <c r="AZ27" s="152">
        <f t="shared" si="164"/>
        <v>5.6487581017882453</v>
      </c>
      <c r="BA27" s="49">
        <f>($B28*BA28+$B29*BA29+$B30*BA30+$B31*BA31)/$B27</f>
        <v>210.42850449693506</v>
      </c>
      <c r="BB27" s="49">
        <f>($B28*BB28+$B29*BB29+$B30*BB30+$B31*BB31)/$B27</f>
        <v>96.519286876684106</v>
      </c>
      <c r="BC27" s="49">
        <f>($B28*BC28+$B29*BC29+$B30*BC30+$B31*BC31)/$B27</f>
        <v>113.90921762025097</v>
      </c>
      <c r="BD27" s="49">
        <f>($C28*BD28+$C29*BD29+$C30*BD30+$C31*BD31)/$C27</f>
        <v>214.65930751919765</v>
      </c>
      <c r="BE27" s="152">
        <f t="shared" ref="BE27:BF27" si="165">($C28*BE28+$C29*BE29+$C30*BE30+$C31*BE31)/$C27</f>
        <v>99.124546777825586</v>
      </c>
      <c r="BF27" s="152">
        <f t="shared" si="165"/>
        <v>115.53476074137207</v>
      </c>
      <c r="BG27" s="49">
        <f>($D28*BG28+$D29*BG29+$D30*BG30+$D31*BG31)/$D27</f>
        <v>152.76977304309091</v>
      </c>
      <c r="BH27" s="152">
        <f>($D28*BH28+$D29*BH29+$D30*BH30+$D31*BH31)/$D27</f>
        <v>61.013974949623147</v>
      </c>
      <c r="BI27" s="152">
        <f>($D28*BI28+$D29*BI29+$D30*BI30+$D31*BI31)/$D27</f>
        <v>91.755798093467774</v>
      </c>
      <c r="BJ27" s="152">
        <f>BJ28+BJ29+BJ30+BJ31</f>
        <v>4.2963494857161839</v>
      </c>
      <c r="BK27" s="152">
        <f t="shared" ref="BK27" si="166">BK28+BK29+BK30+BK31</f>
        <v>5.9780909374999996E-2</v>
      </c>
      <c r="BL27" s="152">
        <f t="shared" ref="BL27" si="167">BL28+BL29+BL30+BL31</f>
        <v>4.2365685763411838</v>
      </c>
      <c r="BM27" s="153">
        <f>($B28*BM28+$B29*BM29+$B30*BM30+$B31*BM31)/$B27</f>
        <v>86.637416529868617</v>
      </c>
      <c r="BN27" s="153">
        <f>($B28*BN28+$B29*BN29+$B30*BN30+$B31*BN31)/$B27</f>
        <v>1.2055033146803791</v>
      </c>
      <c r="BO27" s="152">
        <f>($B28*BO28+$B29*BO29+$B30*BO30+$B31*BO31)/$B27</f>
        <v>85.431913215188203</v>
      </c>
      <c r="BP27" s="270"/>
      <c r="BQ27" s="152">
        <f>($C28*BQ28+$C29*BQ29+$C30*BQ30+$C31*BQ31)/$C27</f>
        <v>87.805127644773634</v>
      </c>
      <c r="BR27" s="153">
        <f t="shared" ref="BR27:BS27" si="168">($C28*BR28+$C29*BR29+$C30*BR30+$C31*BR31)/$C27</f>
        <v>1.1540570887445889</v>
      </c>
      <c r="BS27" s="152">
        <f t="shared" si="168"/>
        <v>86.651070556029055</v>
      </c>
      <c r="BT27" s="152"/>
      <c r="BV27" s="49">
        <f>($D28*BV28+$D29*BV29+$D30*BV30+$D31*BV31)/$D27</f>
        <v>70.723477441782251</v>
      </c>
      <c r="BW27" s="153">
        <f>($D28*BW28+$D29*BW29+$D30*BW30+$D31*BW31)/$D27</f>
        <v>1.9066288716814157</v>
      </c>
      <c r="BX27" s="152">
        <f>($D28*BX28+$D29*BX29+$D30*BX30+$D31*BX31)/$D27</f>
        <v>68.816848570100831</v>
      </c>
      <c r="BY27" s="152"/>
      <c r="CA27" s="154"/>
      <c r="CB27" s="154"/>
      <c r="CC27" s="154"/>
      <c r="CD27" s="152">
        <f t="shared" ref="CD27:CF31" si="169">BA27-BM27</f>
        <v>123.79108796706645</v>
      </c>
      <c r="CE27" s="152">
        <f t="shared" si="169"/>
        <v>95.313783562003721</v>
      </c>
      <c r="CF27" s="152">
        <f t="shared" si="169"/>
        <v>28.477304405062768</v>
      </c>
      <c r="CG27" s="152">
        <f t="shared" ref="CG27:CI31" si="170">BD27-BQ27</f>
        <v>126.85417987442402</v>
      </c>
      <c r="CH27" s="152">
        <f t="shared" si="170"/>
        <v>97.970489689080992</v>
      </c>
      <c r="CI27" s="152">
        <f t="shared" si="170"/>
        <v>28.883690185343013</v>
      </c>
      <c r="CJ27" s="152">
        <f t="shared" ref="CJ27:CL31" si="171">BG27-BV27</f>
        <v>82.046295601308657</v>
      </c>
      <c r="CK27" s="152">
        <f t="shared" si="171"/>
        <v>59.107346077941735</v>
      </c>
      <c r="CL27" s="152">
        <f t="shared" si="171"/>
        <v>22.938949523366944</v>
      </c>
      <c r="CM27" s="60"/>
      <c r="CN27" s="60"/>
      <c r="CO27" s="60"/>
      <c r="CS27" s="153">
        <f>($B28*CS28+$B29*CS29+$B30*CS30+$B31*CS31)/$B27</f>
        <v>7.1275478927203073</v>
      </c>
      <c r="CT27" s="153">
        <f t="shared" ref="CT27" si="172">($C28*CT28+$C29*CT29+$C30*CT30+$C31*CT31)/$C27</f>
        <v>7.2545887445887463</v>
      </c>
      <c r="CU27" s="153">
        <f>($D28*CU28+$D29*CU29+$D30*CU30+$D31*CU31)/$D27</f>
        <v>5.396194690265486</v>
      </c>
      <c r="CY27" s="269">
        <f>(BA27-BM27)/'Amortization metrics'!$D$4/F27</f>
        <v>0.29105357107133983</v>
      </c>
      <c r="CZ27" s="525">
        <f>(BA27-BM27-EN27*CF27)/'Amortization metrics'!$D$4/G27</f>
        <v>1.0635661876799127</v>
      </c>
      <c r="DA27" s="144">
        <f>10^3*CZ27/(($P28*$HF28+$P29*$HF29+$P30*$HF30+$P31*$HF31)/$P27)</f>
        <v>79.67860822872214</v>
      </c>
      <c r="DB27" s="152"/>
      <c r="DC27" s="97"/>
      <c r="DD27" s="525">
        <f>(BD27-BQ27-EQ27*CI27)/'Amortization metrics'!$D$4/I27</f>
        <v>1.1384563416617919</v>
      </c>
      <c r="DE27" s="144">
        <f>10^3*DD27/(($S28*$HF28+$S29*$HF29+$S30*$HF30+$S31*$HF31)/$S27)</f>
        <v>85.368450685683896</v>
      </c>
      <c r="DF27" s="152"/>
      <c r="DG27" s="97"/>
      <c r="DH27" s="525">
        <f>(BG27-BV27-EX27*CL27)/'Amortization metrics'!$D$4/K27</f>
        <v>0.44566020947412821</v>
      </c>
      <c r="DI27" s="144">
        <f>10^3*DH27/(($U28*$HF28+$U29*$HF29+$U30*$HF30+$U31*$HF31)/$U27)</f>
        <v>33.133273693177856</v>
      </c>
      <c r="DJ27" s="152"/>
      <c r="DK27" s="269">
        <f>$EF$11*DW27</f>
        <v>0.25245553822251038</v>
      </c>
      <c r="DL27" s="525">
        <f>$EF$11*DX27</f>
        <v>0.92781568083700516</v>
      </c>
      <c r="DM27" s="144">
        <f>10^3*DL27/(($P28*$HF28+$P29*$HF29+$P30*$HF30+$P31*$HF31)/$P27)</f>
        <v>69.508661518417583</v>
      </c>
      <c r="DN27" s="152"/>
      <c r="DO27" s="97"/>
      <c r="DP27" s="525">
        <f>$EF$11*EA27</f>
        <v>0.98645090965262971</v>
      </c>
      <c r="DQ27" s="144">
        <f>10^3*DP27/(($S28*$HF28+$S29*$HF29+$S30*$HF30+$S31*$HF31)/$S27)</f>
        <v>73.970149537403913</v>
      </c>
      <c r="DR27" s="152"/>
      <c r="DS27" s="97"/>
      <c r="DT27" s="525">
        <f>$EF$11*ED27</f>
        <v>0.4441313377879757</v>
      </c>
      <c r="DU27" s="144">
        <f>10^3*DT27/(($U28*$HF28+$U29*$HF29+$U30*$HF30+$U31*$HF31)/$U27)</f>
        <v>33.01960744489687</v>
      </c>
      <c r="DV27" s="152"/>
      <c r="DW27" s="149">
        <f>CS27/F27</f>
        <v>0.50274174851185194</v>
      </c>
      <c r="DX27" s="525">
        <f>CS27/G27</f>
        <v>1.8476587242446911</v>
      </c>
      <c r="DY27" s="123"/>
      <c r="DZ27" s="97"/>
      <c r="EA27" s="525">
        <f>CT27/I27</f>
        <v>1.9644253345821432</v>
      </c>
      <c r="EB27" s="123"/>
      <c r="EC27" s="97"/>
      <c r="ED27" s="525">
        <f>CU27/K27</f>
        <v>0.884446294585292</v>
      </c>
      <c r="EE27" s="123"/>
      <c r="EF27" s="60"/>
      <c r="EG27" s="60"/>
      <c r="EH27" s="60"/>
      <c r="EI27" s="152">
        <f t="shared" ref="EI27" si="173">EI28+EI29+EI30+EI31</f>
        <v>61.210112377368006</v>
      </c>
      <c r="EJ27" s="269">
        <f>($O28*EJ28+$O29*EJ29+$O30*EJ30+$O31*EJ31)/$O27</f>
        <v>8.7063049658089336E-2</v>
      </c>
      <c r="EK27" s="473">
        <f>($P28*EK28+$P29*EK29+$P30*EK30+$P31*EK31)/$P27</f>
        <v>0.31997104624050393</v>
      </c>
      <c r="EL27" s="144"/>
      <c r="EM27" s="149"/>
      <c r="EN27" s="594">
        <f>($B28*EN28+$B29*EN29+$B30*EN30+$B31*EN31)/$B27</f>
        <v>2.4804375882234324E-2</v>
      </c>
      <c r="EO27" s="269"/>
      <c r="EP27" s="473">
        <f>($S28*EP28+$S29*EP29+$S30*EP30+$S31*EP31)/$S27</f>
        <v>0.33866853418832255</v>
      </c>
      <c r="EQ27" s="594">
        <f>($C28*EQ28+$C29*EQ29+$C30*EQ30+$C31*EQ31)/$C27</f>
        <v>2.5107359307359311E-2</v>
      </c>
      <c r="ER27" s="594"/>
      <c r="ES27" s="594"/>
      <c r="ET27" s="594"/>
      <c r="EU27" s="594"/>
      <c r="EV27" s="269"/>
      <c r="EW27" s="473">
        <f>($U28*EW28+$U29*EW29+$U30*EW30+$U31*EW31)/$U27</f>
        <v>0.1657347218092444</v>
      </c>
      <c r="EX27" s="594">
        <f>($D28*EX28+$D29*EX29+$D30*EX30+$D31*EX31)/$D27</f>
        <v>2.067522123893805E-2</v>
      </c>
      <c r="EY27" s="594"/>
      <c r="EZ27" s="594"/>
      <c r="FA27" s="594"/>
      <c r="FB27" s="594"/>
      <c r="FC27" s="595"/>
      <c r="FD27" s="595"/>
      <c r="FE27" s="595"/>
      <c r="FF27" s="595"/>
      <c r="FG27" s="595"/>
      <c r="FH27" s="595"/>
      <c r="FI27" s="595"/>
      <c r="FJ27" s="595"/>
      <c r="FK27" s="595"/>
      <c r="FL27" s="152">
        <f>FL28+FL29+FL30+FL31</f>
        <v>47.746639165426707</v>
      </c>
      <c r="FM27" s="152">
        <f>FM28+FM29+FM30+FM31</f>
        <v>8.362090760860772</v>
      </c>
      <c r="FN27" s="152">
        <f>FN28+FN29+FN30+FN31</f>
        <v>3.5518051958991999</v>
      </c>
      <c r="FO27" s="152">
        <f t="shared" ref="FO27:FP27" si="174">FO28+FO29+FO30+FO31</f>
        <v>18.377937262013802</v>
      </c>
      <c r="FP27" s="152">
        <f t="shared" si="174"/>
        <v>17.454805946652936</v>
      </c>
      <c r="FQ27" s="152"/>
      <c r="FR27" s="269">
        <f>($P28*FR28+$P29*FR29+$P30*FR30+$P31*FR31)/$P27</f>
        <v>6.3158360903075902E-2</v>
      </c>
      <c r="FS27" s="473">
        <f>($P28*FS28+$P29*FS29+$P30*FS30+$P31*FS31)/$P27</f>
        <v>0.2495917993752641</v>
      </c>
      <c r="FT27" s="144">
        <f>10^3*FS27/(($P28*$HF28+$P29*$HF29+$P30*$HF30+$P31*$HF31)/$P27)</f>
        <v>18.698532756955835</v>
      </c>
      <c r="FU27" s="149"/>
      <c r="FV27" s="123"/>
      <c r="FW27" s="269">
        <f>($P28*FW28+$P29*FW29+$P30*FW30+$P31*FW31)/$P27</f>
        <v>6.2278953689594845E-2</v>
      </c>
      <c r="FX27" s="123"/>
      <c r="FY27" s="269">
        <f>($P28*FY28+$P29*FY29+$P30*FY30+$P31*FY31)/$P27</f>
        <v>0.1873128456856693</v>
      </c>
      <c r="FZ27" s="269"/>
      <c r="GA27" s="269">
        <f>($P28*GA28+$P29*GA29+$P30*GA30+$P31*GA31)/$P27</f>
        <v>0</v>
      </c>
      <c r="GB27" s="269">
        <f>($O28*GB28+$O29*GB29+$O30*GB30+$O31*GB31)/$O27</f>
        <v>1.1893935411682974E-2</v>
      </c>
      <c r="GC27" s="269">
        <f>($P28*GC28+$P29*GC29+$P30*GC30+$P31*GC31)/$P27</f>
        <v>4.3712171495701529E-2</v>
      </c>
      <c r="GD27" s="269">
        <f>($O28*GD28+$O29*GD29+$O30*GD30+$O31*GD31)/$O27</f>
        <v>5.0519592292199052E-3</v>
      </c>
      <c r="GE27" s="269">
        <f>($P28*GE28+$P29*GE29+$P30*GE30+$P31*GE31)/$P27</f>
        <v>1.8566782193893315E-2</v>
      </c>
      <c r="GF27" s="269">
        <f>($O28*GF28+$O29*GF29+$O30*GF30+$O31*GF31)/$O27</f>
        <v>2.6140113166130394E-2</v>
      </c>
      <c r="GG27" s="269">
        <f>($P28*GG28+$P29*GG29+$P30*GG30+$P31*GG31)/$P27</f>
        <v>9.6069221000860905E-2</v>
      </c>
      <c r="GH27" s="269">
        <f>($O28*GH28+$O29*GH29+$O30*GH30+$O31*GH31)/$O27</f>
        <v>2.4827084576104198E-2</v>
      </c>
      <c r="GI27" s="269">
        <f>($P28*GI28+$P29*GI29+$P30*GI30+$P31*GI31)/$P27</f>
        <v>9.1243624684808372E-2</v>
      </c>
      <c r="GJ27" s="149">
        <f>($P28*GJ28+$P29*GJ29+$P30*GJ30+$P31*GJ31)/$P27</f>
        <v>4.4687486200198006</v>
      </c>
      <c r="GM27" s="149">
        <f>($S28*GM28+$S29*GM29+$S30*GM30+$S31*GM31)/$S27</f>
        <v>4.7449333850147557</v>
      </c>
      <c r="GP27" s="149">
        <f>($U28*GP28+$U29*GP29+$U30*GP30+$U31*GP31)/$U27</f>
        <v>2.1893660972162445</v>
      </c>
      <c r="GS27" s="149">
        <f>($P28*GS28+$P29*GS29+$P30*GS30+$P31*GS31)/$P27</f>
        <v>3.971553675351454</v>
      </c>
      <c r="GV27" s="149">
        <f>($S28*GV28+$S29*GV29+$S30*GV30+$S31*GV31)/$S27</f>
        <v>4.1880468084446418</v>
      </c>
      <c r="GY27" s="149">
        <f>($U28*GY28+$U29*GY29+$U30*GY30+$U31*GY31)/$U27</f>
        <v>2.1856931786852973</v>
      </c>
    </row>
    <row r="28" spans="1:218" s="4" customFormat="1" x14ac:dyDescent="0.25">
      <c r="A28" s="14" t="s">
        <v>68</v>
      </c>
      <c r="B28" s="67">
        <f t="shared" ref="B28:B31" si="175">C28+D28</f>
        <v>17.98</v>
      </c>
      <c r="C28" s="33">
        <v>17.8</v>
      </c>
      <c r="D28" s="33">
        <v>0.18</v>
      </c>
      <c r="E28" s="38">
        <f t="shared" ref="E28:E31" si="176">D28/B28</f>
        <v>1.0011123470522803E-2</v>
      </c>
      <c r="F28" s="108">
        <f t="shared" ref="F28:F31" si="177">O28/B28</f>
        <v>11.716129032258063</v>
      </c>
      <c r="G28" s="32">
        <f t="shared" ref="G28:G31" si="178">P28/B28</f>
        <v>4.1006451612903225</v>
      </c>
      <c r="H28" s="33">
        <v>11.6</v>
      </c>
      <c r="I28" s="32">
        <f>$HB28*H28</f>
        <v>4.0599999999999996</v>
      </c>
      <c r="J28" s="33">
        <v>23.2</v>
      </c>
      <c r="K28" s="32">
        <f>$HB28*J28</f>
        <v>8.1199999999999992</v>
      </c>
      <c r="L28" s="32">
        <f t="shared" ref="L28:L31" si="179">10/G28</f>
        <v>2.4386406544996855</v>
      </c>
      <c r="M28" s="32">
        <f t="shared" ref="M28:M31" si="180">10/I28</f>
        <v>2.4630541871921183</v>
      </c>
      <c r="N28" s="32">
        <f t="shared" ref="N28:N31" si="181">10/K28</f>
        <v>1.2315270935960592</v>
      </c>
      <c r="O28" s="107">
        <f t="shared" ref="O28:O31" si="182">R28+T28</f>
        <v>210.65599999999998</v>
      </c>
      <c r="P28" s="68">
        <f t="shared" ref="P28:P31" si="183">S28+U28</f>
        <v>73.729600000000005</v>
      </c>
      <c r="Q28" s="68"/>
      <c r="R28" s="67">
        <f t="shared" ref="R28:R31" si="184">C28*H28</f>
        <v>206.48</v>
      </c>
      <c r="S28" s="67">
        <f t="shared" ref="S28:S31" si="185">C28*I28</f>
        <v>72.268000000000001</v>
      </c>
      <c r="T28" s="67">
        <f t="shared" ref="T28:T31" si="186">D28*J28</f>
        <v>4.1760000000000002</v>
      </c>
      <c r="U28" s="67">
        <f t="shared" ref="U28:U31" si="187">D28*K28</f>
        <v>1.4615999999999998</v>
      </c>
      <c r="V28" s="38">
        <f t="shared" ref="V28:V31" si="188">U28/P28</f>
        <v>1.9823788546255501E-2</v>
      </c>
      <c r="W28" s="294">
        <f t="shared" ref="W28:W31" si="189">($C28*AF28+$D28*AO28)/$B28</f>
        <v>0.75671082118609667</v>
      </c>
      <c r="X28" s="294">
        <f t="shared" ref="X28:X31" si="190">($C28*AG28+$D28*AP28)/$B28</f>
        <v>4.2806509655634269E-2</v>
      </c>
      <c r="Y28" s="294">
        <f t="shared" ref="Y28:Y31" si="191">($C28*AH28+$D28*AQ28)/$B28</f>
        <v>0</v>
      </c>
      <c r="Z28" s="294">
        <f t="shared" ref="Z28:Z31" si="192">($C28*AI28+$D28*AR28)/$B28</f>
        <v>0.16273038620021213</v>
      </c>
      <c r="AA28" s="294">
        <f t="shared" ref="AA28:AA31" si="193">($C28*AJ28+$D28*AS28)/$B28</f>
        <v>1.2477007420300969E-3</v>
      </c>
      <c r="AB28" s="294">
        <f t="shared" ref="AB28:AB31" si="194">($C28*AK28+$D28*AT28)/$B28</f>
        <v>1.1798303568451057E-3</v>
      </c>
      <c r="AC28" s="294">
        <f t="shared" ref="AC28:AC31" si="195">($C28*AL28+$D28*AU28)/$B28</f>
        <v>3.6090307415666255E-5</v>
      </c>
      <c r="AD28" s="294">
        <f t="shared" ref="AD28:AD31" si="196">($C28*AM28+$D28*AV28)/$B28</f>
        <v>3.528866155176584E-2</v>
      </c>
      <c r="AE28" s="294">
        <f t="shared" ref="AE28:AE31" si="197">($C28*AN28+$D28*AW28)/$B28</f>
        <v>0</v>
      </c>
      <c r="AF28" s="433">
        <v>0.75957029401918574</v>
      </c>
      <c r="AG28" s="433">
        <v>4.2895566599551113E-2</v>
      </c>
      <c r="AH28" s="433">
        <v>0</v>
      </c>
      <c r="AI28" s="433">
        <v>0.16419277152177139</v>
      </c>
      <c r="AJ28" s="433">
        <v>1.2603179405450079E-3</v>
      </c>
      <c r="AK28" s="433">
        <v>1.1917405344763841E-3</v>
      </c>
      <c r="AL28" s="433">
        <v>3.6455265580543772E-5</v>
      </c>
      <c r="AM28" s="433">
        <v>3.0852854118889682E-2</v>
      </c>
      <c r="AN28" s="433">
        <v>0</v>
      </c>
      <c r="AO28" s="433">
        <v>0.47394072991396391</v>
      </c>
      <c r="AP28" s="433">
        <v>3.3999767423857741E-2</v>
      </c>
      <c r="AQ28" s="433">
        <v>0</v>
      </c>
      <c r="AR28" s="433">
        <v>1.8116726623795813E-2</v>
      </c>
      <c r="AS28" s="433">
        <v>0</v>
      </c>
      <c r="AT28" s="433">
        <v>2.0461244186875269E-6</v>
      </c>
      <c r="AU28" s="433">
        <v>0</v>
      </c>
      <c r="AV28" s="433">
        <v>0.47394072991396391</v>
      </c>
      <c r="AW28" s="433">
        <v>0</v>
      </c>
      <c r="AX28" s="554">
        <f>BA28*$B28/10^3</f>
        <v>4.3322550872014203</v>
      </c>
      <c r="AY28" s="554">
        <f t="shared" ref="AY28:AZ31" si="198">BB28*$B28/10^3</f>
        <v>2.0770744002324966</v>
      </c>
      <c r="AZ28" s="554">
        <f t="shared" si="198"/>
        <v>2.2551806869689242</v>
      </c>
      <c r="BA28" s="67">
        <f t="shared" ref="BA28:BA31" si="199">BB28+BC28</f>
        <v>240.94855879874416</v>
      </c>
      <c r="BB28" s="67">
        <f t="shared" ref="BB28:BC31" si="200">(BE28*$C28+BH28*$D28)/$B28</f>
        <v>115.52137932327565</v>
      </c>
      <c r="BC28" s="67">
        <f t="shared" si="200"/>
        <v>125.42717947546852</v>
      </c>
      <c r="BD28" s="67">
        <f t="shared" ref="BD28:BD31" si="201">BE28+BF28</f>
        <v>240.69370350117924</v>
      </c>
      <c r="BE28" s="105">
        <v>115.25864269809551</v>
      </c>
      <c r="BF28" s="105">
        <v>125.43506080308372</v>
      </c>
      <c r="BG28" s="68">
        <f t="shared" ref="BG28:BG31" si="202">BH28+BI28</f>
        <v>266.15091600238839</v>
      </c>
      <c r="BH28" s="106">
        <v>141.5031122577563</v>
      </c>
      <c r="BI28" s="106">
        <v>124.6478037446321</v>
      </c>
      <c r="BJ28" s="554">
        <f>BM28*$B28/10^3</f>
        <v>1.714426015226693</v>
      </c>
      <c r="BK28" s="554">
        <f t="shared" ref="BK28:BK31" si="203">BN28*$B28/10^3</f>
        <v>2.3040499999999998E-2</v>
      </c>
      <c r="BL28" s="554">
        <f t="shared" ref="BL28:BL31" si="204">BO28*$B28/10^3</f>
        <v>1.6913855152266928</v>
      </c>
      <c r="BM28" s="32">
        <f t="shared" ref="BM28:BM31" si="205">BN28+BO28</f>
        <v>95.351836219504605</v>
      </c>
      <c r="BN28" s="32">
        <f t="shared" ref="BN28:BO31" si="206">(BR28*$C28+BW28*$D28)/$B28</f>
        <v>1.2814516129032256</v>
      </c>
      <c r="BO28" s="67">
        <f t="shared" si="206"/>
        <v>94.07038460660138</v>
      </c>
      <c r="BP28" s="270"/>
      <c r="BQ28" s="67">
        <f t="shared" ref="BQ28:BQ31" si="207">BR28+BS28</f>
        <v>95.34504560231278</v>
      </c>
      <c r="BR28" s="32">
        <f>I28*0.5*2.5*0.25</f>
        <v>1.2687499999999998</v>
      </c>
      <c r="BS28" s="67">
        <f>(1-BU28)*BF28</f>
        <v>94.076295602312783</v>
      </c>
      <c r="BT28" s="67"/>
      <c r="BU28" s="34">
        <f t="shared" ref="BU28:BU31" si="208">BU$17</f>
        <v>0.25</v>
      </c>
      <c r="BV28" s="68">
        <f t="shared" ref="BV28:BV31" si="209">BW28+BX28</f>
        <v>96.023352808474073</v>
      </c>
      <c r="BW28" s="32">
        <f>K28*0.5*2.5*0.25</f>
        <v>2.5374999999999996</v>
      </c>
      <c r="BX28" s="67">
        <f>(1-BZ28)*BI28</f>
        <v>93.485852808474078</v>
      </c>
      <c r="BY28" s="67"/>
      <c r="BZ28" s="34">
        <f t="shared" ref="BZ28:BZ31" si="210">BZ$17</f>
        <v>0.25</v>
      </c>
      <c r="CA28" s="294"/>
      <c r="CB28" s="294"/>
      <c r="CC28" s="294"/>
      <c r="CD28" s="67">
        <f t="shared" si="169"/>
        <v>145.59672257923955</v>
      </c>
      <c r="CE28" s="67">
        <f t="shared" si="169"/>
        <v>114.23992771037243</v>
      </c>
      <c r="CF28" s="67">
        <f t="shared" si="169"/>
        <v>31.356794868867141</v>
      </c>
      <c r="CG28" s="67">
        <f t="shared" si="170"/>
        <v>145.34865789886646</v>
      </c>
      <c r="CH28" s="67">
        <f t="shared" si="170"/>
        <v>113.98989269809552</v>
      </c>
      <c r="CI28" s="67">
        <f t="shared" si="170"/>
        <v>31.358765200770932</v>
      </c>
      <c r="CJ28" s="67">
        <f t="shared" si="171"/>
        <v>170.12756319391431</v>
      </c>
      <c r="CK28" s="67">
        <f t="shared" si="171"/>
        <v>138.96561225775631</v>
      </c>
      <c r="CL28" s="67">
        <f t="shared" si="171"/>
        <v>31.161950936158021</v>
      </c>
      <c r="CM28" s="68"/>
      <c r="CN28" s="293"/>
      <c r="CO28" s="293"/>
      <c r="CS28" s="32">
        <f t="shared" ref="CS28:CS31" si="211">(CT28*$C28+CU28*$D28)/$B28</f>
        <v>8.5350055617352627</v>
      </c>
      <c r="CT28" s="33">
        <v>8.5299999999999994</v>
      </c>
      <c r="CU28" s="99">
        <v>9.0299999999999994</v>
      </c>
      <c r="CY28" s="97">
        <f>CZ28*$HB28</f>
        <v>0.41111477175567041</v>
      </c>
      <c r="CZ28" s="263">
        <f>(BA28-BM28-EN28*CF28)/'Amortization metrics'!$D$4/G28</f>
        <v>1.1746136335876298</v>
      </c>
      <c r="DA28" s="527">
        <f>10^3*CZ28/$HF28</f>
        <v>91.766690124033587</v>
      </c>
      <c r="DB28" s="528">
        <f>CZ28/$HH28</f>
        <v>39.153787786254327</v>
      </c>
      <c r="DC28" s="97">
        <f>DD28*$HB28</f>
        <v>0.41458674749712671</v>
      </c>
      <c r="DD28" s="263">
        <f>(BD28-BQ28-EQ28*CI28)/'Amortization metrics'!$D$4/I28</f>
        <v>1.184533564277505</v>
      </c>
      <c r="DE28" s="527">
        <f>10^3*DD28/$HF28</f>
        <v>92.541684709180075</v>
      </c>
      <c r="DF28" s="528">
        <f>DD28/$HH28</f>
        <v>39.4844521425835</v>
      </c>
      <c r="DG28" s="97">
        <f>DH28*$HB28</f>
        <v>0.23946636011494365</v>
      </c>
      <c r="DH28" s="263">
        <f>(BG28-BV28-EX28*CL28)/'Amortization metrics'!$D$4/K28</f>
        <v>0.68418960032841047</v>
      </c>
      <c r="DI28" s="527">
        <f>10^3*DH28/$HF28</f>
        <v>53.452312525657071</v>
      </c>
      <c r="DJ28" s="528">
        <f>DH28/$HH28</f>
        <v>22.806320010947015</v>
      </c>
      <c r="DK28" s="97">
        <f>DL28*$HB28</f>
        <v>0.3658134030914843</v>
      </c>
      <c r="DL28" s="263">
        <f>$EF$11*DX28</f>
        <v>1.0451811516899552</v>
      </c>
      <c r="DM28" s="527">
        <f>10^3*DL28/$HF28</f>
        <v>81.654777475777749</v>
      </c>
      <c r="DN28" s="528">
        <f>DL28/$HH28</f>
        <v>34.839371722998507</v>
      </c>
      <c r="DO28" s="97">
        <f>DP28*$HB28</f>
        <v>0.36925891827549012</v>
      </c>
      <c r="DP28" s="263">
        <f>$EF$11*EA28</f>
        <v>1.0550254807871147</v>
      </c>
      <c r="DQ28" s="527">
        <f>10^3*DP28/$HF28</f>
        <v>82.423865686493329</v>
      </c>
      <c r="DR28" s="528">
        <f>DP28/$HH28</f>
        <v>35.167516026237159</v>
      </c>
      <c r="DS28" s="97">
        <f>DT28*$HB28</f>
        <v>0.19545181899341593</v>
      </c>
      <c r="DT28" s="263">
        <f>$EF$11*ED28</f>
        <v>0.55843376855261695</v>
      </c>
      <c r="DU28" s="527">
        <f>10^3*DT28/$HF28</f>
        <v>43.627638168173192</v>
      </c>
      <c r="DV28" s="528">
        <f>DT28/$HH28</f>
        <v>18.6144589517539</v>
      </c>
      <c r="DW28" s="97">
        <f>DX28*$HB28</f>
        <v>0.72848340422299873</v>
      </c>
      <c r="DX28" s="263">
        <f>CS28/G28</f>
        <v>2.0813811549228536</v>
      </c>
      <c r="DY28" s="68">
        <f>10^3*DX28/$HF28</f>
        <v>162.60790272834791</v>
      </c>
      <c r="DZ28" s="97">
        <f>EA28*$HB28</f>
        <v>0.73534482758620678</v>
      </c>
      <c r="EA28" s="263">
        <f>CT28/I28</f>
        <v>2.1009852216748768</v>
      </c>
      <c r="EB28" s="68">
        <f>10^3*EA28/$HF28</f>
        <v>164.13947044334975</v>
      </c>
      <c r="EC28" s="97">
        <f>ED28*$HB28</f>
        <v>0.38922413793103444</v>
      </c>
      <c r="ED28" s="263">
        <f>CU28/K28</f>
        <v>1.1120689655172413</v>
      </c>
      <c r="EE28" s="68">
        <f>10^3*ED28/$HF28</f>
        <v>86.880387931034477</v>
      </c>
      <c r="EF28" s="60"/>
      <c r="EG28" s="60"/>
      <c r="EH28" s="60"/>
      <c r="EI28" s="554">
        <f>EK28*$P28</f>
        <v>34.302796920000006</v>
      </c>
      <c r="EJ28" s="262">
        <f>EK28*$HB28</f>
        <v>0.16283797717605955</v>
      </c>
      <c r="EK28" s="166">
        <f>(EP28*S28+EW28*U28)/P28</f>
        <v>0.4652513633601702</v>
      </c>
      <c r="EL28" s="68">
        <f>10^3*EK28/$HF28</f>
        <v>36.347762762513298</v>
      </c>
      <c r="EM28" s="97">
        <f>EK28/$HH28</f>
        <v>15.508378778672341</v>
      </c>
      <c r="EN28" s="429">
        <f>(EQ28*C28+EX28*D28)/B28</f>
        <v>3.4968854282536155E-2</v>
      </c>
      <c r="EO28" s="262">
        <f>EP28*$HB28</f>
        <v>0.16085203448275862</v>
      </c>
      <c r="EP28" s="436">
        <f>EQ28*EU28/I28</f>
        <v>0.45957724137931039</v>
      </c>
      <c r="EQ28" s="101">
        <v>3.4200000000000001E-2</v>
      </c>
      <c r="ER28" s="433">
        <v>1</v>
      </c>
      <c r="ES28" s="433">
        <v>0</v>
      </c>
      <c r="ET28" s="434">
        <f>1-ER28-ES28</f>
        <v>0</v>
      </c>
      <c r="EU28" s="430">
        <f>ER28*$FC28+ES28*$FD28+ET28*$FE28+'Amortization metrics'!$B$6*(ER28*$FF28+ES28*$FG28+ET28*$FH28)/10^3+'Amortization metrics'!$B$5*(ER28*$FI28+ES28*$FJ28+ET28*$FK28)/10^3</f>
        <v>54.558</v>
      </c>
      <c r="EV28" s="262">
        <f>EW28*$HB28</f>
        <v>0.26103181034482759</v>
      </c>
      <c r="EW28" s="436">
        <f>EX28*FB28/K28</f>
        <v>0.74580517241379318</v>
      </c>
      <c r="EX28" s="101">
        <v>0.111</v>
      </c>
      <c r="EY28" s="433">
        <v>1</v>
      </c>
      <c r="EZ28" s="433">
        <v>0</v>
      </c>
      <c r="FA28" s="434">
        <f>1-EY28-EZ28</f>
        <v>0</v>
      </c>
      <c r="FB28" s="430">
        <f>EY28*$FC28+EZ28*$FD28+FA28*$FE28+'Amortization metrics'!$B$6*(EY28*$FF28+EZ28*$FG28+FA28*$FH28)/10^3+'Amortization metrics'!$B$5*(EY28*$FI28+EZ28*$FJ28+FA28*$FK28)/10^3</f>
        <v>54.558</v>
      </c>
      <c r="FC28" s="431">
        <v>51.3</v>
      </c>
      <c r="FD28" s="431">
        <v>29</v>
      </c>
      <c r="FE28" s="431">
        <v>29</v>
      </c>
      <c r="FF28" s="99">
        <v>5</v>
      </c>
      <c r="FG28" s="431">
        <v>13</v>
      </c>
      <c r="FH28" s="431">
        <v>13</v>
      </c>
      <c r="FI28" s="431">
        <v>52</v>
      </c>
      <c r="FJ28" s="431">
        <v>58.3</v>
      </c>
      <c r="FK28" s="431">
        <v>58.3</v>
      </c>
      <c r="FL28" s="554">
        <f>FO28+FP28+FM28+FN28+FQ28</f>
        <v>8.6012562699680011</v>
      </c>
      <c r="FM28" s="554">
        <f>GC28*$P28</f>
        <v>1.8210664716204801</v>
      </c>
      <c r="FN28" s="554">
        <f>GE28*$P28</f>
        <v>0.7300762711744001</v>
      </c>
      <c r="FO28" s="554">
        <f>GG28*$P28</f>
        <v>2.5018969776576006</v>
      </c>
      <c r="FP28" s="554">
        <f>GI28*$P28</f>
        <v>3.5482165495155207</v>
      </c>
      <c r="FQ28" s="554"/>
      <c r="FR28" s="167">
        <f>FS28*HB28</f>
        <v>4.0830815499999999E-2</v>
      </c>
      <c r="FS28" s="166">
        <f>FY28+FW28+GA28</f>
        <v>0.11665947285714287</v>
      </c>
      <c r="FT28" s="68">
        <f>10^3*FS28/$HF28</f>
        <v>9.114021316964287</v>
      </c>
      <c r="FU28" s="97">
        <f>FS28/$HH28</f>
        <v>3.8886490952380957</v>
      </c>
      <c r="FV28" s="473">
        <f>FW28*HB28</f>
        <v>1.2110467979999999E-2</v>
      </c>
      <c r="FW28" s="269">
        <f>GC28+GE28</f>
        <v>3.4601337085714286E-2</v>
      </c>
      <c r="FX28" s="473">
        <f>FY28*HB28</f>
        <v>2.8720347520000002E-2</v>
      </c>
      <c r="FY28" s="269">
        <f>GG28+GI28</f>
        <v>8.2058135771428578E-2</v>
      </c>
      <c r="FZ28" s="123"/>
      <c r="GA28" s="49"/>
      <c r="GB28" s="435">
        <v>8.6447405799999991E-3</v>
      </c>
      <c r="GC28" s="522">
        <f>GB28/$HB28</f>
        <v>2.4699258799999999E-2</v>
      </c>
      <c r="GD28" s="435">
        <v>3.4657274000000002E-3</v>
      </c>
      <c r="GE28" s="522">
        <f>GD28/$HB28</f>
        <v>9.9020782857142872E-3</v>
      </c>
      <c r="GF28" s="435">
        <v>1.1876694599999999E-2</v>
      </c>
      <c r="GG28" s="522">
        <f>GF28/$HB28</f>
        <v>3.3933413142857145E-2</v>
      </c>
      <c r="GH28" s="435">
        <v>1.684365292E-2</v>
      </c>
      <c r="GI28" s="522">
        <f>GH28/$HB28</f>
        <v>4.8124722628571433E-2</v>
      </c>
      <c r="GJ28" s="599">
        <f>44/12*CZ28+$FS28+$EK28</f>
        <v>4.888827492705289</v>
      </c>
      <c r="GK28" s="527">
        <f>10^3*GJ28/$HF28</f>
        <v>381.93964786760068</v>
      </c>
      <c r="GL28" s="528">
        <f>GJ28/$HH28</f>
        <v>162.96091642350964</v>
      </c>
      <c r="GM28" s="599">
        <f>44/12*DD28+$FS28+$EP28</f>
        <v>4.9195264499206388</v>
      </c>
      <c r="GN28" s="527">
        <f>10^3*GM28/$HF28</f>
        <v>384.3380039000499</v>
      </c>
      <c r="GO28" s="528">
        <f>GM28/$HH28</f>
        <v>163.98421499735463</v>
      </c>
      <c r="GP28" s="599">
        <f>44/12*DH28+$FS28+$EW28</f>
        <v>3.3711598464751078</v>
      </c>
      <c r="GQ28" s="527">
        <f>10^3*GP28/$HF28</f>
        <v>263.37186300586779</v>
      </c>
      <c r="GR28" s="528">
        <f>GP28/$HH28</f>
        <v>112.3719948825036</v>
      </c>
      <c r="GS28" s="599">
        <f>44/12*DL28+$FS28+$EK28</f>
        <v>4.4142417257471482</v>
      </c>
      <c r="GT28" s="527">
        <f>10^3*GS28/$HF28</f>
        <v>344.8626348239959</v>
      </c>
      <c r="GU28" s="528">
        <f>GS28/$HH28</f>
        <v>147.14139085823828</v>
      </c>
      <c r="GV28" s="599">
        <f>44/12*DP28+$FS28+$EP28</f>
        <v>4.4446634771225408</v>
      </c>
      <c r="GW28" s="527">
        <f>10^3*GV28/$HF28</f>
        <v>347.23933415019849</v>
      </c>
      <c r="GX28" s="528">
        <f>GV28/$HH28</f>
        <v>148.15544923741803</v>
      </c>
      <c r="GY28" s="599">
        <f>44/12*DT28+$FS28+$EW28</f>
        <v>2.9100551299638653</v>
      </c>
      <c r="GZ28" s="527">
        <f>10^3*GY28/$HF28</f>
        <v>227.34805702842698</v>
      </c>
      <c r="HA28" s="528">
        <f>GY28/$HH28</f>
        <v>97.001837665462176</v>
      </c>
      <c r="HB28" s="31">
        <v>0.35</v>
      </c>
      <c r="HC28" s="32">
        <f>$HB28*HD28</f>
        <v>6.0549999999999997</v>
      </c>
      <c r="HD28" s="27">
        <v>17.3</v>
      </c>
      <c r="HE28" s="32">
        <f>$HB28*HF28</f>
        <v>4.4799999999999995</v>
      </c>
      <c r="HF28" s="33">
        <v>12.8</v>
      </c>
      <c r="HG28" s="36">
        <f t="shared" ref="HG28:HG30" si="212">$HB28*HH28</f>
        <v>1.0499999999999999E-2</v>
      </c>
      <c r="HH28" s="35">
        <v>0.03</v>
      </c>
      <c r="HI28" s="36">
        <f t="shared" ref="HI28:HI30" si="213">$HB28*HJ28</f>
        <v>3.4999999999999996E-3</v>
      </c>
      <c r="HJ28" s="35">
        <v>0.01</v>
      </c>
    </row>
    <row r="29" spans="1:218" s="4" customFormat="1" x14ac:dyDescent="0.25">
      <c r="A29" s="14" t="s">
        <v>69</v>
      </c>
      <c r="B29" s="67">
        <f t="shared" si="175"/>
        <v>18.8</v>
      </c>
      <c r="C29" s="33">
        <v>15.8</v>
      </c>
      <c r="D29" s="33">
        <v>3</v>
      </c>
      <c r="E29" s="38">
        <f t="shared" si="176"/>
        <v>0.15957446808510636</v>
      </c>
      <c r="F29" s="108">
        <f t="shared" si="177"/>
        <v>17.106382978723406</v>
      </c>
      <c r="G29" s="32">
        <f t="shared" si="178"/>
        <v>3.5923404255319147</v>
      </c>
      <c r="H29" s="33">
        <v>15</v>
      </c>
      <c r="I29" s="32">
        <f>$HB29*H29</f>
        <v>3.15</v>
      </c>
      <c r="J29" s="33">
        <v>28.2</v>
      </c>
      <c r="K29" s="32">
        <f>$HB29*J29</f>
        <v>5.9219999999999997</v>
      </c>
      <c r="L29" s="32">
        <f t="shared" si="179"/>
        <v>2.7837005448945749</v>
      </c>
      <c r="M29" s="32">
        <f t="shared" si="180"/>
        <v>3.1746031746031749</v>
      </c>
      <c r="N29" s="32">
        <f t="shared" si="181"/>
        <v>1.6886187098953058</v>
      </c>
      <c r="O29" s="107">
        <f t="shared" si="182"/>
        <v>321.60000000000002</v>
      </c>
      <c r="P29" s="68">
        <f t="shared" si="183"/>
        <v>67.536000000000001</v>
      </c>
      <c r="Q29" s="68"/>
      <c r="R29" s="67">
        <f t="shared" si="184"/>
        <v>237</v>
      </c>
      <c r="S29" s="67">
        <f t="shared" si="185"/>
        <v>49.77</v>
      </c>
      <c r="T29" s="67">
        <f t="shared" si="186"/>
        <v>84.6</v>
      </c>
      <c r="U29" s="67">
        <f t="shared" si="187"/>
        <v>17.765999999999998</v>
      </c>
      <c r="V29" s="109">
        <f t="shared" si="188"/>
        <v>0.26305970149253727</v>
      </c>
      <c r="W29" s="294">
        <f t="shared" si="189"/>
        <v>7.6882041814463301E-2</v>
      </c>
      <c r="X29" s="294">
        <f t="shared" si="190"/>
        <v>0.26023214563421854</v>
      </c>
      <c r="Y29" s="294">
        <f t="shared" si="191"/>
        <v>0.38876338037486108</v>
      </c>
      <c r="Z29" s="294">
        <f t="shared" si="192"/>
        <v>4.5523400762217947E-2</v>
      </c>
      <c r="AA29" s="294">
        <f t="shared" si="193"/>
        <v>0.10550893633543264</v>
      </c>
      <c r="AB29" s="294">
        <f t="shared" si="194"/>
        <v>8.7127602045309629E-2</v>
      </c>
      <c r="AC29" s="294">
        <f t="shared" si="195"/>
        <v>8.5604857549355737E-3</v>
      </c>
      <c r="AD29" s="294">
        <f t="shared" si="196"/>
        <v>1.4373332134517221E-2</v>
      </c>
      <c r="AE29" s="294">
        <f t="shared" si="197"/>
        <v>1.2287076706232121E-2</v>
      </c>
      <c r="AF29" s="433">
        <v>7.4642086313315675E-2</v>
      </c>
      <c r="AG29" s="433">
        <v>0.26356454395507228</v>
      </c>
      <c r="AH29" s="433">
        <v>0.43386387588561615</v>
      </c>
      <c r="AI29" s="433">
        <v>4.7010109468106992E-2</v>
      </c>
      <c r="AJ29" s="433">
        <v>0.10139424115569777</v>
      </c>
      <c r="AK29" s="433">
        <v>6.2601857776535749E-2</v>
      </c>
      <c r="AL29" s="433">
        <v>1.9556254830574763E-3</v>
      </c>
      <c r="AM29" s="433">
        <v>2.6463428907603061E-4</v>
      </c>
      <c r="AN29" s="433">
        <v>1.3989582973483981E-2</v>
      </c>
      <c r="AO29" s="433">
        <v>8.8679140787174177E-2</v>
      </c>
      <c r="AP29" s="433">
        <v>0.24268151447772224</v>
      </c>
      <c r="AQ29" s="433">
        <v>0.1512341040182178</v>
      </c>
      <c r="AR29" s="433">
        <v>3.7693401577868962E-2</v>
      </c>
      <c r="AS29" s="433">
        <v>0.12717966428203631</v>
      </c>
      <c r="AT29" s="433">
        <v>0.21629652186085208</v>
      </c>
      <c r="AU29" s="433">
        <v>4.3346083186826881E-2</v>
      </c>
      <c r="AV29" s="433">
        <v>8.8679140787174177E-2</v>
      </c>
      <c r="AW29" s="433">
        <v>3.3205436987056467E-3</v>
      </c>
      <c r="AX29" s="554">
        <f>BA29*$B29/10^3</f>
        <v>3.2257958340066484</v>
      </c>
      <c r="AY29" s="554">
        <f t="shared" si="198"/>
        <v>1.2396944002539632</v>
      </c>
      <c r="AZ29" s="554">
        <f t="shared" si="198"/>
        <v>1.9861014337526854</v>
      </c>
      <c r="BA29" s="67">
        <f t="shared" si="199"/>
        <v>171.58488478758767</v>
      </c>
      <c r="BB29" s="67">
        <f t="shared" si="200"/>
        <v>65.941191502870367</v>
      </c>
      <c r="BC29" s="67">
        <f t="shared" si="200"/>
        <v>105.6436932847173</v>
      </c>
      <c r="BD29" s="67">
        <f t="shared" si="201"/>
        <v>177.6014257133539</v>
      </c>
      <c r="BE29" s="105">
        <v>68.625015591524388</v>
      </c>
      <c r="BF29" s="105">
        <v>108.97641012182952</v>
      </c>
      <c r="BG29" s="68">
        <f t="shared" si="202"/>
        <v>139.89776924521883</v>
      </c>
      <c r="BH29" s="106">
        <v>51.806384635959176</v>
      </c>
      <c r="BI29" s="106">
        <v>88.091384609259649</v>
      </c>
      <c r="BJ29" s="554">
        <f>BM29*$B29/10^3</f>
        <v>1.5106810753145139</v>
      </c>
      <c r="BK29" s="554">
        <f t="shared" si="203"/>
        <v>2.1104999999999999E-2</v>
      </c>
      <c r="BL29" s="554">
        <f t="shared" si="204"/>
        <v>1.489576075314514</v>
      </c>
      <c r="BM29" s="32">
        <f t="shared" si="205"/>
        <v>80.355376346516692</v>
      </c>
      <c r="BN29" s="32">
        <f t="shared" si="206"/>
        <v>1.1226063829787234</v>
      </c>
      <c r="BO29" s="67">
        <f t="shared" si="206"/>
        <v>79.232769963537976</v>
      </c>
      <c r="BP29" s="270"/>
      <c r="BQ29" s="67">
        <f t="shared" si="207"/>
        <v>82.716682591372134</v>
      </c>
      <c r="BR29" s="32">
        <f>I29*0.5*2.5*0.25</f>
        <v>0.984375</v>
      </c>
      <c r="BS29" s="67">
        <f>(1-BU29)*BF29</f>
        <v>81.732307591372134</v>
      </c>
      <c r="BT29" s="67"/>
      <c r="BU29" s="34">
        <f t="shared" si="208"/>
        <v>0.25</v>
      </c>
      <c r="BV29" s="68">
        <f t="shared" si="209"/>
        <v>67.91916345694473</v>
      </c>
      <c r="BW29" s="32">
        <f>K29*0.5*2.5*0.25</f>
        <v>1.850625</v>
      </c>
      <c r="BX29" s="67">
        <f>(1-BZ29)*BI29</f>
        <v>66.068538456944736</v>
      </c>
      <c r="BY29" s="67"/>
      <c r="BZ29" s="34">
        <f t="shared" si="210"/>
        <v>0.25</v>
      </c>
      <c r="CA29" s="294"/>
      <c r="CB29" s="294"/>
      <c r="CC29" s="294"/>
      <c r="CD29" s="67">
        <f t="shared" si="169"/>
        <v>91.229508441070976</v>
      </c>
      <c r="CE29" s="67">
        <f t="shared" si="169"/>
        <v>64.818585119891651</v>
      </c>
      <c r="CF29" s="67">
        <f t="shared" si="169"/>
        <v>26.410923321179325</v>
      </c>
      <c r="CG29" s="67">
        <f t="shared" si="170"/>
        <v>94.884743121981771</v>
      </c>
      <c r="CH29" s="67">
        <f t="shared" si="170"/>
        <v>67.640640591524388</v>
      </c>
      <c r="CI29" s="67">
        <f t="shared" si="170"/>
        <v>27.244102530457383</v>
      </c>
      <c r="CJ29" s="67">
        <f t="shared" si="171"/>
        <v>71.978605788274095</v>
      </c>
      <c r="CK29" s="67">
        <f t="shared" si="171"/>
        <v>49.955759635959176</v>
      </c>
      <c r="CL29" s="67">
        <f t="shared" si="171"/>
        <v>22.022846152314912</v>
      </c>
      <c r="CM29" s="68"/>
      <c r="CN29" s="293"/>
      <c r="CO29" s="293"/>
      <c r="CS29" s="32">
        <f t="shared" si="211"/>
        <v>5.5946808510638295</v>
      </c>
      <c r="CT29" s="33">
        <v>5.7</v>
      </c>
      <c r="CU29" s="99">
        <v>5.04</v>
      </c>
      <c r="CY29" s="97">
        <f>CZ29*$HB29</f>
        <v>0.17692241342913484</v>
      </c>
      <c r="CZ29" s="263">
        <f>(BA29-BM29-EN29*CF29)/'Amortization metrics'!$D$4/G29</f>
        <v>0.84248768299588017</v>
      </c>
      <c r="DA29" s="527">
        <f>10^3*CZ29/$HF29</f>
        <v>62.406495036731862</v>
      </c>
      <c r="DB29" s="528">
        <f>CZ29/$HH29</f>
        <v>9.3609742555097792</v>
      </c>
      <c r="DC29" s="97">
        <f>DD29*$HB29</f>
        <v>0.20974705787927644</v>
      </c>
      <c r="DD29" s="263">
        <f>(BD29-BQ29-EQ29*CI29)/'Amortization metrics'!$D$4/I29</f>
        <v>0.9987955137108403</v>
      </c>
      <c r="DE29" s="527">
        <f>10^3*DD29/$HF29</f>
        <v>73.984852867469655</v>
      </c>
      <c r="DF29" s="528">
        <f>DD29/$HH29</f>
        <v>11.097727930120449</v>
      </c>
      <c r="DG29" s="97">
        <f>DH29*$HB29</f>
        <v>8.4906681701008971E-2</v>
      </c>
      <c r="DH29" s="263">
        <f>(BG29-BV29-EX29*CL29)/'Amortization metrics'!$D$4/K29</f>
        <v>0.40431753190956654</v>
      </c>
      <c r="DI29" s="527">
        <f>10^3*DH29/$HF29</f>
        <v>29.94944680811604</v>
      </c>
      <c r="DJ29" s="528">
        <f>DH29/$HH29</f>
        <v>4.4924170212174062</v>
      </c>
      <c r="DK29" s="97">
        <f>DL29*$HB29</f>
        <v>0.16423173372619107</v>
      </c>
      <c r="DL29" s="263">
        <f>$EF$11*DX29</f>
        <v>0.7820558748866242</v>
      </c>
      <c r="DM29" s="527">
        <f>10^3*DL29/$HF29</f>
        <v>57.93006480641661</v>
      </c>
      <c r="DN29" s="528">
        <f>DL29/$HH29</f>
        <v>8.6895097209624907</v>
      </c>
      <c r="DO29" s="97">
        <f>DP29*$HB29</f>
        <v>0.19081984897518878</v>
      </c>
      <c r="DP29" s="263">
        <f>$EF$11*EA29</f>
        <v>0.90866594750089902</v>
      </c>
      <c r="DQ29" s="527">
        <f>10^3*DP29/$HF29</f>
        <v>67.308588703770297</v>
      </c>
      <c r="DR29" s="528">
        <f>DP29/$HH29</f>
        <v>10.096288305565546</v>
      </c>
      <c r="DS29" s="97">
        <f>DT29*$HB29</f>
        <v>8.9747297390346356E-2</v>
      </c>
      <c r="DT29" s="263">
        <f>$EF$11*ED29</f>
        <v>0.42736808281117311</v>
      </c>
      <c r="DU29" s="527">
        <f>10^3*DT29/$HF29</f>
        <v>31.656895023049859</v>
      </c>
      <c r="DV29" s="528">
        <f>DT29/$HH29</f>
        <v>4.7485342534574793</v>
      </c>
      <c r="DW29" s="97">
        <f>DX29*$HB29</f>
        <v>0.32705223880597017</v>
      </c>
      <c r="DX29" s="263">
        <f>CS29/G29</f>
        <v>1.5573916133617627</v>
      </c>
      <c r="DY29" s="68">
        <f>10^3*DX29/$HF29</f>
        <v>115.36234173050094</v>
      </c>
      <c r="DZ29" s="97">
        <f>EA29*$HB29</f>
        <v>0.38</v>
      </c>
      <c r="EA29" s="263">
        <f>CT29/I29</f>
        <v>1.8095238095238095</v>
      </c>
      <c r="EB29" s="68">
        <f>10^3*EA29/$HF29</f>
        <v>134.03880070546737</v>
      </c>
      <c r="EC29" s="97">
        <f>ED29*$HB29</f>
        <v>0.17872340425531916</v>
      </c>
      <c r="ED29" s="263">
        <f>CU29/K29</f>
        <v>0.85106382978723405</v>
      </c>
      <c r="EE29" s="68">
        <f>10^3*ED29/$HF29</f>
        <v>63.041765169424743</v>
      </c>
      <c r="EF29" s="60"/>
      <c r="EG29" s="60"/>
      <c r="EH29" s="60"/>
      <c r="EI29" s="554">
        <f>EK29*$P29</f>
        <v>10.972614955368002</v>
      </c>
      <c r="EJ29" s="262">
        <f>EK29*$HB29</f>
        <v>3.4118827597537316E-2</v>
      </c>
      <c r="EK29" s="166">
        <f>(EP29*S29+EW29*U29)/P29</f>
        <v>0.16247060760732057</v>
      </c>
      <c r="EL29" s="68">
        <f>10^3*EK29/$HF29</f>
        <v>12.034859822764487</v>
      </c>
      <c r="EM29" s="97">
        <f>EK29/$HH29</f>
        <v>1.8052289734146731</v>
      </c>
      <c r="EN29" s="429">
        <f>(EQ29*C29+EX29*D29)/B29</f>
        <v>1.6448936170212765E-2</v>
      </c>
      <c r="EO29" s="262">
        <f>EP29*$HB29</f>
        <v>4.3341794664000004E-2</v>
      </c>
      <c r="EP29" s="436">
        <f>EQ29*EU29/I29</f>
        <v>0.20638949840000001</v>
      </c>
      <c r="EQ29" s="101">
        <v>1.83E-2</v>
      </c>
      <c r="ER29" s="101">
        <v>3.4000000000000002E-2</v>
      </c>
      <c r="ES29" s="101">
        <v>0.86199999999999999</v>
      </c>
      <c r="ET29" s="429">
        <f t="shared" ref="ET29" si="214">1-ER29-ES29</f>
        <v>0.10399999999999998</v>
      </c>
      <c r="EU29" s="430">
        <f>ER29*$FC29+ES29*$FD29+ET29*$FE29+'Amortization metrics'!$B$6*(ER29*$FF29+ES29*$FG29+ET29*$FH29)/10^3+'Amortization metrics'!$B$5*(ER29*$FI29+ES29*$FJ29+ET29*$FK29)/10^3</f>
        <v>35.526061200000001</v>
      </c>
      <c r="EV29" s="262">
        <f>EW29*$HB29</f>
        <v>8.2814375886524818E-3</v>
      </c>
      <c r="EW29" s="436">
        <f>EX29*FB29/K29</f>
        <v>3.9435417088821346E-2</v>
      </c>
      <c r="EX29" s="101">
        <v>6.7000000000000002E-3</v>
      </c>
      <c r="EY29" s="101">
        <v>0</v>
      </c>
      <c r="EZ29" s="101">
        <v>1</v>
      </c>
      <c r="FA29" s="429">
        <f t="shared" ref="FA29:FA31" si="215">1-EY29-EZ29</f>
        <v>0</v>
      </c>
      <c r="FB29" s="430">
        <f>EY29*$FC29+EZ29*$FD29+FA29*$FE29+'Amortization metrics'!$B$6*(EY29*$FF29+EZ29*$FG29+FA29*$FH29)/10^3+'Amortization metrics'!$B$5*(EY29*$FI29+EZ29*$FJ29+FA29*$FK29)/10^3</f>
        <v>34.856200000000001</v>
      </c>
      <c r="FC29" s="431">
        <v>51.3</v>
      </c>
      <c r="FD29" s="431">
        <v>29</v>
      </c>
      <c r="FE29" s="431">
        <v>29</v>
      </c>
      <c r="FF29" s="99">
        <v>5</v>
      </c>
      <c r="FG29" s="431">
        <v>13</v>
      </c>
      <c r="FH29" s="431">
        <v>13</v>
      </c>
      <c r="FI29" s="431">
        <v>52</v>
      </c>
      <c r="FJ29" s="431">
        <v>58.3</v>
      </c>
      <c r="FK29" s="431">
        <v>58.3</v>
      </c>
      <c r="FL29" s="554">
        <f>FO29+FP29+FM29+FN29+FQ29</f>
        <v>28.640188635072001</v>
      </c>
      <c r="FM29" s="554">
        <f>GC29*$P29</f>
        <v>5.2860419481600012</v>
      </c>
      <c r="FN29" s="554">
        <f>GE29*$P29</f>
        <v>2.2534220630399999</v>
      </c>
      <c r="FO29" s="554">
        <f>GG29*$P29</f>
        <v>11.597443749120002</v>
      </c>
      <c r="FP29" s="554">
        <f>GI29*$P29</f>
        <v>9.503280874751999</v>
      </c>
      <c r="FQ29" s="554"/>
      <c r="FR29" s="167">
        <f>FS29*HB29</f>
        <v>8.9055312920000004E-2</v>
      </c>
      <c r="FS29" s="166">
        <f>FY29+FW29+GA29</f>
        <v>0.42407291866666669</v>
      </c>
      <c r="FT29" s="68">
        <f>10^3*FS29/$HF29</f>
        <v>31.412808790123457</v>
      </c>
      <c r="FU29" s="97">
        <f>FS29/$HH29</f>
        <v>4.7119213185185194</v>
      </c>
      <c r="FV29" s="473">
        <f>FW29*HB29</f>
        <v>2.3443607000000002E-2</v>
      </c>
      <c r="FW29" s="269">
        <f>GC29+GE29</f>
        <v>0.11163622380952382</v>
      </c>
      <c r="FX29" s="473">
        <f>FY29*HB29</f>
        <v>6.5611705919999999E-2</v>
      </c>
      <c r="FY29" s="269">
        <f>GG29+GI29</f>
        <v>0.31243669485714287</v>
      </c>
      <c r="FZ29" s="123"/>
      <c r="GA29" s="49"/>
      <c r="GB29" s="435">
        <v>1.6436697600000001E-2</v>
      </c>
      <c r="GC29" s="522">
        <f>GB29/$HB29</f>
        <v>7.8269988571428584E-2</v>
      </c>
      <c r="GD29" s="435">
        <v>7.0069093999999997E-3</v>
      </c>
      <c r="GE29" s="522">
        <f>GD29/$HB29</f>
        <v>3.3366235238095239E-2</v>
      </c>
      <c r="GF29" s="435">
        <v>3.6061703200000003E-2</v>
      </c>
      <c r="GG29" s="522">
        <f>GF29/$HB29</f>
        <v>0.17172239619047622</v>
      </c>
      <c r="GH29" s="435">
        <v>2.9550002719999996E-2</v>
      </c>
      <c r="GI29" s="522">
        <f>GH29/$HB29</f>
        <v>0.14071429866666665</v>
      </c>
      <c r="GJ29" s="599">
        <f>44/12*CZ29+$FS29+$EK29</f>
        <v>3.6756650305922145</v>
      </c>
      <c r="GK29" s="527">
        <f>10^3*GJ29/$HF29</f>
        <v>272.27148374757144</v>
      </c>
      <c r="GL29" s="528">
        <f>GJ29/$HH29</f>
        <v>40.840722562135717</v>
      </c>
      <c r="GM29" s="599">
        <f>44/12*DD29+$FS29+$EP29</f>
        <v>4.2927126340064143</v>
      </c>
      <c r="GN29" s="527">
        <f>10^3*GM29/$HF29</f>
        <v>317.97871363010478</v>
      </c>
      <c r="GO29" s="528">
        <f>GM29/$HH29</f>
        <v>47.696807044515715</v>
      </c>
      <c r="GP29" s="599">
        <f>44/12*DH29+$FS29+$EW29</f>
        <v>1.946005952757232</v>
      </c>
      <c r="GQ29" s="527">
        <f>10^3*GP29/$HF29</f>
        <v>144.14858909312829</v>
      </c>
      <c r="GR29" s="528">
        <f>GP29/$HH29</f>
        <v>21.622288363969243</v>
      </c>
      <c r="GS29" s="599">
        <f>44/12*DL29+$FS29+$EK29</f>
        <v>3.4540817341916092</v>
      </c>
      <c r="GT29" s="527">
        <f>10^3*GS29/$HF29</f>
        <v>255.85790623641549</v>
      </c>
      <c r="GU29" s="528">
        <f>GS29/$HH29</f>
        <v>38.378685935462329</v>
      </c>
      <c r="GV29" s="599">
        <f>44/12*DP29+$FS29+$EP29</f>
        <v>3.962237557903296</v>
      </c>
      <c r="GW29" s="527">
        <f>10^3*GV29/$HF29</f>
        <v>293.4990783632071</v>
      </c>
      <c r="GX29" s="528">
        <f>GV29/$HH29</f>
        <v>44.024861754481066</v>
      </c>
      <c r="GY29" s="599">
        <f>44/12*DT29+$FS29+$EW29</f>
        <v>2.030524639396456</v>
      </c>
      <c r="GZ29" s="527">
        <f>10^3*GY29/$HF29</f>
        <v>150.40923254788564</v>
      </c>
      <c r="HA29" s="528">
        <f>GY29/$HH29</f>
        <v>22.561384882182846</v>
      </c>
      <c r="HB29" s="31">
        <v>0.21</v>
      </c>
      <c r="HC29" s="32">
        <f t="shared" ref="HC29:HC30" si="216">$HB29*HD29</f>
        <v>3.633</v>
      </c>
      <c r="HD29" s="27">
        <v>17.3</v>
      </c>
      <c r="HE29" s="32">
        <f t="shared" ref="HE29:HE30" si="217">$HB29*HF29</f>
        <v>2.835</v>
      </c>
      <c r="HF29" s="33">
        <v>13.5</v>
      </c>
      <c r="HG29" s="36">
        <f t="shared" si="212"/>
        <v>1.89E-2</v>
      </c>
      <c r="HH29" s="35">
        <v>0.09</v>
      </c>
      <c r="HI29" s="36">
        <f t="shared" si="213"/>
        <v>2.0999999999999999E-3</v>
      </c>
      <c r="HJ29" s="35">
        <v>0.01</v>
      </c>
    </row>
    <row r="30" spans="1:218" s="4" customFormat="1" x14ac:dyDescent="0.25">
      <c r="A30" s="14" t="s">
        <v>70</v>
      </c>
      <c r="B30" s="67">
        <f t="shared" si="175"/>
        <v>8.41</v>
      </c>
      <c r="C30" s="33">
        <v>8.1999999999999993</v>
      </c>
      <c r="D30" s="33">
        <v>0.21</v>
      </c>
      <c r="E30" s="38">
        <f t="shared" si="176"/>
        <v>2.4970273483947682E-2</v>
      </c>
      <c r="F30" s="108">
        <f t="shared" si="177"/>
        <v>14.344708680142686</v>
      </c>
      <c r="G30" s="32">
        <f t="shared" si="178"/>
        <v>4.1599655172413783</v>
      </c>
      <c r="H30" s="33">
        <v>14.1</v>
      </c>
      <c r="I30" s="32">
        <f>$HB30*H30</f>
        <v>4.0889999999999995</v>
      </c>
      <c r="J30" s="33">
        <v>23.9</v>
      </c>
      <c r="K30" s="32">
        <f>$HB30*J30</f>
        <v>6.9309999999999992</v>
      </c>
      <c r="L30" s="32">
        <f t="shared" si="179"/>
        <v>2.4038660797917761</v>
      </c>
      <c r="M30" s="32">
        <f t="shared" si="180"/>
        <v>2.4455857177794083</v>
      </c>
      <c r="N30" s="32">
        <f t="shared" si="181"/>
        <v>1.4427932477276009</v>
      </c>
      <c r="O30" s="107">
        <f t="shared" si="182"/>
        <v>120.639</v>
      </c>
      <c r="P30" s="68">
        <f t="shared" si="183"/>
        <v>34.985309999999991</v>
      </c>
      <c r="Q30" s="68"/>
      <c r="R30" s="67">
        <f t="shared" si="184"/>
        <v>115.61999999999999</v>
      </c>
      <c r="S30" s="67">
        <f t="shared" si="185"/>
        <v>33.529799999999994</v>
      </c>
      <c r="T30" s="67">
        <f t="shared" si="186"/>
        <v>5.0189999999999992</v>
      </c>
      <c r="U30" s="67">
        <f t="shared" si="187"/>
        <v>1.4555099999999999</v>
      </c>
      <c r="V30" s="38">
        <f t="shared" si="188"/>
        <v>4.1603461567154908E-2</v>
      </c>
      <c r="W30" s="294">
        <f t="shared" si="189"/>
        <v>0.34450014962569048</v>
      </c>
      <c r="X30" s="294">
        <f t="shared" si="190"/>
        <v>0.51534198235231699</v>
      </c>
      <c r="Y30" s="294">
        <f t="shared" si="191"/>
        <v>7.1051656195266722E-3</v>
      </c>
      <c r="Z30" s="294">
        <f t="shared" si="192"/>
        <v>7.9328766745831003E-2</v>
      </c>
      <c r="AA30" s="294">
        <f t="shared" si="193"/>
        <v>2.4484689634681558E-2</v>
      </c>
      <c r="AB30" s="294">
        <f t="shared" si="194"/>
        <v>7.4841457792024727E-3</v>
      </c>
      <c r="AC30" s="294">
        <f t="shared" si="195"/>
        <v>2.5004834560040014E-3</v>
      </c>
      <c r="AD30" s="294">
        <f t="shared" si="196"/>
        <v>1.894857325600283E-2</v>
      </c>
      <c r="AE30" s="294">
        <f t="shared" si="197"/>
        <v>4.5095709511061517E-5</v>
      </c>
      <c r="AF30" s="433">
        <v>0.34641534542926733</v>
      </c>
      <c r="AG30" s="433">
        <v>0.52050616326696109</v>
      </c>
      <c r="AH30" s="433">
        <v>5.6446961878352121E-3</v>
      </c>
      <c r="AI30" s="433">
        <v>8.1180803754938469E-2</v>
      </c>
      <c r="AJ30" s="433">
        <v>2.4464252034819878E-2</v>
      </c>
      <c r="AK30" s="433">
        <v>7.179129993987207E-3</v>
      </c>
      <c r="AL30" s="433">
        <v>1.7692662620359693E-3</v>
      </c>
      <c r="AM30" s="433">
        <v>1.2526472591575417E-2</v>
      </c>
      <c r="AN30" s="433">
        <v>4.6239847290703299E-5</v>
      </c>
      <c r="AO30" s="433">
        <v>0.26971631348602565</v>
      </c>
      <c r="AP30" s="433">
        <v>0.3136930133043131</v>
      </c>
      <c r="AQ30" s="433">
        <v>6.4133019618907522E-2</v>
      </c>
      <c r="AR30" s="433">
        <v>7.011131152111192E-3</v>
      </c>
      <c r="AS30" s="433">
        <v>2.528272924832815E-2</v>
      </c>
      <c r="AT30" s="433">
        <v>1.9394285963798569E-2</v>
      </c>
      <c r="AU30" s="433">
        <v>3.1052773887136707E-2</v>
      </c>
      <c r="AV30" s="433">
        <v>0.26971631348602565</v>
      </c>
      <c r="AW30" s="433">
        <v>4.1985335362064749E-7</v>
      </c>
      <c r="AX30" s="554">
        <f>BA30*$B30/10^3</f>
        <v>1.9569351471481384</v>
      </c>
      <c r="AY30" s="554">
        <f t="shared" si="198"/>
        <v>1.0317513959549047</v>
      </c>
      <c r="AZ30" s="554">
        <f t="shared" si="198"/>
        <v>0.92518375119323382</v>
      </c>
      <c r="BA30" s="67">
        <f t="shared" si="199"/>
        <v>232.69145626018292</v>
      </c>
      <c r="BB30" s="67">
        <f t="shared" si="200"/>
        <v>122.68149773542267</v>
      </c>
      <c r="BC30" s="67">
        <f t="shared" si="200"/>
        <v>110.00995852476025</v>
      </c>
      <c r="BD30" s="67">
        <f t="shared" si="201"/>
        <v>232.517815749774</v>
      </c>
      <c r="BE30" s="105">
        <v>122.65899207194585</v>
      </c>
      <c r="BF30" s="105">
        <v>109.85882367782814</v>
      </c>
      <c r="BG30" s="68">
        <f t="shared" si="202"/>
        <v>239.47170476186602</v>
      </c>
      <c r="BH30" s="106">
        <v>123.56029030928008</v>
      </c>
      <c r="BI30" s="106">
        <v>115.91141445258594</v>
      </c>
      <c r="BJ30" s="554">
        <f>BM30*$B30/10^3</f>
        <v>0.70482072276992525</v>
      </c>
      <c r="BK30" s="554">
        <f t="shared" si="203"/>
        <v>1.0932909374999997E-2</v>
      </c>
      <c r="BL30" s="554">
        <f t="shared" si="204"/>
        <v>0.69388781339492522</v>
      </c>
      <c r="BM30" s="32">
        <f t="shared" si="205"/>
        <v>83.807458117708123</v>
      </c>
      <c r="BN30" s="32">
        <f t="shared" si="206"/>
        <v>1.2999892241379307</v>
      </c>
      <c r="BO30" s="67">
        <f t="shared" si="206"/>
        <v>82.507468893570191</v>
      </c>
      <c r="BP30" s="270"/>
      <c r="BQ30" s="67">
        <f t="shared" si="207"/>
        <v>83.671930258371106</v>
      </c>
      <c r="BR30" s="32">
        <f>I30*0.5*2.5*0.25</f>
        <v>1.2778124999999998</v>
      </c>
      <c r="BS30" s="67">
        <f>(1-BU30)*BF30</f>
        <v>82.39411775837111</v>
      </c>
      <c r="BT30" s="67"/>
      <c r="BU30" s="34">
        <f t="shared" si="208"/>
        <v>0.25</v>
      </c>
      <c r="BV30" s="68">
        <f t="shared" si="209"/>
        <v>89.09949833943945</v>
      </c>
      <c r="BW30" s="32">
        <f>K30*0.5*2.5*0.25</f>
        <v>2.1659374999999996</v>
      </c>
      <c r="BX30" s="67">
        <f>(1-BZ30)*BI30</f>
        <v>86.933560839439451</v>
      </c>
      <c r="BY30" s="67"/>
      <c r="BZ30" s="34">
        <f t="shared" si="210"/>
        <v>0.25</v>
      </c>
      <c r="CA30" s="294"/>
      <c r="CB30" s="294"/>
      <c r="CC30" s="294"/>
      <c r="CD30" s="67">
        <f t="shared" si="169"/>
        <v>148.88399814247481</v>
      </c>
      <c r="CE30" s="67">
        <f t="shared" si="169"/>
        <v>121.38150851128474</v>
      </c>
      <c r="CF30" s="67">
        <f t="shared" si="169"/>
        <v>27.502489631190059</v>
      </c>
      <c r="CG30" s="67">
        <f t="shared" si="170"/>
        <v>148.8458854914029</v>
      </c>
      <c r="CH30" s="67">
        <f t="shared" si="170"/>
        <v>121.38117957194585</v>
      </c>
      <c r="CI30" s="67">
        <f t="shared" si="170"/>
        <v>27.464705919457032</v>
      </c>
      <c r="CJ30" s="67">
        <f t="shared" si="171"/>
        <v>150.37220642242659</v>
      </c>
      <c r="CK30" s="67">
        <f t="shared" si="171"/>
        <v>121.39435280928008</v>
      </c>
      <c r="CL30" s="67">
        <f t="shared" si="171"/>
        <v>28.977853613146493</v>
      </c>
      <c r="CM30" s="68"/>
      <c r="CN30" s="293"/>
      <c r="CO30" s="293"/>
      <c r="CS30" s="32">
        <f t="shared" si="211"/>
        <v>7.2822473246135546</v>
      </c>
      <c r="CT30" s="33">
        <v>7.28</v>
      </c>
      <c r="CU30" s="99">
        <v>7.37</v>
      </c>
      <c r="CY30" s="97">
        <f>CZ30*$HB30</f>
        <v>0.34489802263079605</v>
      </c>
      <c r="CZ30" s="263">
        <f>(BA30-BM30-EN30*CF30)/'Amortization metrics'!$D$4/G30</f>
        <v>1.18930352631309</v>
      </c>
      <c r="DA30" s="527">
        <f>10^3*CZ30/$HF30</f>
        <v>88.096557504673342</v>
      </c>
      <c r="DB30" s="528">
        <f>CZ30/$HH30</f>
        <v>23.786070526261799</v>
      </c>
      <c r="DC30" s="97">
        <f>DD30*$HB30</f>
        <v>0.35100499281676184</v>
      </c>
      <c r="DD30" s="263">
        <f>(BD30-BQ30-EQ30*CI30)/'Amortization metrics'!$D$4/I30</f>
        <v>1.2103620441957306</v>
      </c>
      <c r="DE30" s="527">
        <f>10^3*DD30/$HF30</f>
        <v>89.656447718202259</v>
      </c>
      <c r="DF30" s="528">
        <f>DD30/$HH30</f>
        <v>24.207240883914611</v>
      </c>
      <c r="DG30" s="97">
        <f>DH30*$HB30</f>
        <v>0.20394877425538069</v>
      </c>
      <c r="DH30" s="263">
        <f>(BG30-BV30-EX30*CL30)/'Amortization metrics'!$D$4/K30</f>
        <v>0.70327163536338178</v>
      </c>
      <c r="DI30" s="527">
        <f>10^3*DH30/$HF30</f>
        <v>52.094195212102349</v>
      </c>
      <c r="DJ30" s="528">
        <f>DH30/$HH30</f>
        <v>14.065432707267634</v>
      </c>
      <c r="DK30" s="97">
        <f>DL30*$HB30</f>
        <v>0.25492571322361429</v>
      </c>
      <c r="DL30" s="263">
        <f>$EF$11*DX30</f>
        <v>0.87905418352970455</v>
      </c>
      <c r="DM30" s="527">
        <f>10^3*DL30/$HF30</f>
        <v>65.115124705904037</v>
      </c>
      <c r="DN30" s="528">
        <f>DL30/$HH30</f>
        <v>17.58108367059409</v>
      </c>
      <c r="DO30" s="97">
        <f>DP30*$HB30</f>
        <v>0.2592699702387784</v>
      </c>
      <c r="DP30" s="263">
        <f>$EF$11*EA30</f>
        <v>0.89403438013371872</v>
      </c>
      <c r="DQ30" s="527">
        <f>10^3*DP30/$HF30</f>
        <v>66.224768898793982</v>
      </c>
      <c r="DR30" s="528">
        <f>DP30/$HH30</f>
        <v>17.880687602674374</v>
      </c>
      <c r="DS30" s="97">
        <f>DT30*$HB30</f>
        <v>0.15484940398008604</v>
      </c>
      <c r="DT30" s="263">
        <f>$EF$11*ED30</f>
        <v>0.53396346200029676</v>
      </c>
      <c r="DU30" s="527">
        <f>10^3*DT30/$HF30</f>
        <v>39.552849037059019</v>
      </c>
      <c r="DV30" s="528">
        <f>DT30/$HH30</f>
        <v>10.679269240005935</v>
      </c>
      <c r="DW30" s="97">
        <f>DX30*$HB30</f>
        <v>0.50766087252049508</v>
      </c>
      <c r="DX30" s="263">
        <f>CS30/G30</f>
        <v>1.7505547328292934</v>
      </c>
      <c r="DY30" s="68">
        <f>10^3*DX30/$HF30</f>
        <v>129.67072095031804</v>
      </c>
      <c r="DZ30" s="97">
        <f>EA30*$HB30</f>
        <v>0.51631205673758873</v>
      </c>
      <c r="EA30" s="263">
        <f>CT30/I30</f>
        <v>1.7803864025434095</v>
      </c>
      <c r="EB30" s="68">
        <f>10^3*EA30/$HF30</f>
        <v>131.88047426247479</v>
      </c>
      <c r="EC30" s="97">
        <f>ED30*$HB30</f>
        <v>0.30836820083682009</v>
      </c>
      <c r="ED30" s="263">
        <f>CU30/K30</f>
        <v>1.0633386235752418</v>
      </c>
      <c r="EE30" s="68">
        <f>10^3*ED30/$HF30</f>
        <v>78.765823968536438</v>
      </c>
      <c r="EF30" s="60"/>
      <c r="EG30" s="60"/>
      <c r="EH30" s="60"/>
      <c r="EI30" s="554">
        <f>EK30*$P30</f>
        <v>7.6768016219999993</v>
      </c>
      <c r="EJ30" s="262">
        <f>EK30*$HB30</f>
        <v>6.3634493173849255E-2</v>
      </c>
      <c r="EK30" s="166">
        <f>(EP30*S30+EW30*U30)/P30</f>
        <v>0.21942928680637677</v>
      </c>
      <c r="EL30" s="68">
        <f>10^3*EK30/$HF30</f>
        <v>16.2540212449168</v>
      </c>
      <c r="EM30" s="97">
        <f>EK30/$HH30</f>
        <v>4.3885857361275349</v>
      </c>
      <c r="EN30" s="429">
        <f>(EQ30*C30+EX30*D30)/B30</f>
        <v>1.673115338882283E-2</v>
      </c>
      <c r="EO30" s="262">
        <f>EP30*$HB30</f>
        <v>5.2236382978723406E-2</v>
      </c>
      <c r="EP30" s="436">
        <f>EQ30*EU30/I30</f>
        <v>0.18012545854732209</v>
      </c>
      <c r="EQ30" s="101">
        <v>1.35E-2</v>
      </c>
      <c r="ER30" s="433">
        <v>1</v>
      </c>
      <c r="ES30" s="433">
        <v>0</v>
      </c>
      <c r="ET30" s="434">
        <f>1-ER30-ES30</f>
        <v>0</v>
      </c>
      <c r="EU30" s="430">
        <f>ER30*$FC30+ES30*$FD30+ET30*$FE30+'Amortization metrics'!$B$6*(ER30*$FF30+ES30*$FG30+ET30*$FH30)/10^3+'Amortization metrics'!$B$5*(ER30*$FI30+ES30*$FJ30+ET30*$FK30)/10^3</f>
        <v>54.558</v>
      </c>
      <c r="EV30" s="262">
        <f>EW30*$HB30</f>
        <v>0.32620661924686195</v>
      </c>
      <c r="EW30" s="436">
        <f>EX30*FB30/K30</f>
        <v>1.1248504111960758</v>
      </c>
      <c r="EX30" s="101">
        <v>0.1429</v>
      </c>
      <c r="EY30" s="433">
        <v>1</v>
      </c>
      <c r="EZ30" s="433">
        <v>0</v>
      </c>
      <c r="FA30" s="434">
        <f t="shared" si="215"/>
        <v>0</v>
      </c>
      <c r="FB30" s="430">
        <f>EY30*$FC30+EZ30*$FD30+FA30*$FE30+'Amortization metrics'!$B$6*(EY30*$FF30+EZ30*$FG30+FA30*$FH30)/10^3+'Amortization metrics'!$B$5*(EY30*$FI30+EZ30*$FJ30+FA30*$FK30)/10^3</f>
        <v>54.558</v>
      </c>
      <c r="FC30" s="431">
        <v>51.3</v>
      </c>
      <c r="FD30" s="431">
        <v>29</v>
      </c>
      <c r="FE30" s="431">
        <v>29</v>
      </c>
      <c r="FF30" s="99">
        <v>5</v>
      </c>
      <c r="FG30" s="431">
        <v>13</v>
      </c>
      <c r="FH30" s="431">
        <v>13</v>
      </c>
      <c r="FI30" s="431">
        <v>52</v>
      </c>
      <c r="FJ30" s="431">
        <v>58.3</v>
      </c>
      <c r="FK30" s="431">
        <v>58.3</v>
      </c>
      <c r="FL30" s="554">
        <f>FO30+FP30+FM30+FN30+FQ30</f>
        <v>9.431198782489739</v>
      </c>
      <c r="FM30" s="554">
        <f>GC30*$P30</f>
        <v>1.0451149616530211</v>
      </c>
      <c r="FN30" s="554">
        <f>GE30*$P30</f>
        <v>0.30324919267679995</v>
      </c>
      <c r="FO30" s="554">
        <f>GG30*$P30</f>
        <v>3.9737189489471989</v>
      </c>
      <c r="FP30" s="554">
        <f>GI30*$P30</f>
        <v>4.109115679212719</v>
      </c>
      <c r="FQ30" s="554"/>
      <c r="FR30" s="167">
        <f>FS30*HB30</f>
        <v>7.8177030500001979E-2</v>
      </c>
      <c r="FS30" s="166">
        <f>FY30+FW30+GA30</f>
        <v>0.26957596724138616</v>
      </c>
      <c r="FT30" s="68">
        <f>10^3*FS30/$HF30</f>
        <v>19.968590166028601</v>
      </c>
      <c r="FU30" s="97">
        <f>FS30/$HH30</f>
        <v>5.3915193448277225</v>
      </c>
      <c r="FV30" s="473">
        <f>FW30*HB30</f>
        <v>1.1176851220001999E-2</v>
      </c>
      <c r="FW30" s="269">
        <f>GC30+GE30</f>
        <v>3.8540866275868967E-2</v>
      </c>
      <c r="FX30" s="473">
        <f>FY30*HB30</f>
        <v>6.7000179279999988E-2</v>
      </c>
      <c r="FY30" s="269">
        <f>GG30+GI30</f>
        <v>0.23103510096551721</v>
      </c>
      <c r="FZ30" s="123"/>
      <c r="GA30" s="49"/>
      <c r="GB30" s="435">
        <v>8.6631600200019997E-3</v>
      </c>
      <c r="GC30" s="522">
        <f>GB30/$HB30</f>
        <v>2.9872965586213794E-2</v>
      </c>
      <c r="GD30" s="435">
        <v>2.5136911999999998E-3</v>
      </c>
      <c r="GE30" s="522">
        <f>GD30/$HB30</f>
        <v>8.6679006896551725E-3</v>
      </c>
      <c r="GF30" s="435">
        <v>3.2938924799999998E-2</v>
      </c>
      <c r="GG30" s="522">
        <f>GF30/$HB30</f>
        <v>0.11358249931034482</v>
      </c>
      <c r="GH30" s="435">
        <v>3.4061254479999997E-2</v>
      </c>
      <c r="GI30" s="522">
        <f>GH30/$HB30</f>
        <v>0.11745260165517241</v>
      </c>
      <c r="GJ30" s="599">
        <f>44/12*CZ30+$FS30+$EK30</f>
        <v>4.849784850529093</v>
      </c>
      <c r="GK30" s="527">
        <f>10^3*GJ30/$HF30</f>
        <v>359.24332226141428</v>
      </c>
      <c r="GL30" s="528">
        <f>GJ30/$HH30</f>
        <v>96.99569701058185</v>
      </c>
      <c r="GM30" s="599">
        <f>44/12*DD30+$FS30+$EP30</f>
        <v>4.8876955878397199</v>
      </c>
      <c r="GN30" s="527">
        <f>10^3*GM30/$HF30</f>
        <v>362.05152502516444</v>
      </c>
      <c r="GO30" s="528">
        <f>GM30/$HH30</f>
        <v>97.753911756794395</v>
      </c>
      <c r="GP30" s="599">
        <f>44/12*DH30+$FS30+$EW30</f>
        <v>3.9730890414365283</v>
      </c>
      <c r="GQ30" s="527">
        <f>10^3*GP30/$HF30</f>
        <v>294.30289195826134</v>
      </c>
      <c r="GR30" s="528">
        <f>GP30/$HH30</f>
        <v>79.461780828730568</v>
      </c>
      <c r="GS30" s="599">
        <f>44/12*DL30+$FS30+$EK30</f>
        <v>3.7122039269900129</v>
      </c>
      <c r="GT30" s="527">
        <f>10^3*GS30/$HF30</f>
        <v>274.97806866592686</v>
      </c>
      <c r="GU30" s="528">
        <f>GS30/$HH30</f>
        <v>74.244078539800256</v>
      </c>
      <c r="GV30" s="599">
        <f>44/12*DP30+$FS30+$EP30</f>
        <v>3.7278274862790104</v>
      </c>
      <c r="GW30" s="527">
        <f>10^3*GV30/$HF30</f>
        <v>276.13536935400077</v>
      </c>
      <c r="GX30" s="528">
        <f>GV30/$HH30</f>
        <v>74.556549725580197</v>
      </c>
      <c r="GY30" s="599">
        <f>44/12*DT30+$FS30+$EW30</f>
        <v>3.352292405771883</v>
      </c>
      <c r="GZ30" s="527">
        <f>10^3*GY30/$HF30</f>
        <v>248.31795598310242</v>
      </c>
      <c r="HA30" s="528">
        <f>GY30/$HH30</f>
        <v>67.04584811543765</v>
      </c>
      <c r="HB30" s="31">
        <v>0.28999999999999998</v>
      </c>
      <c r="HC30" s="32">
        <f t="shared" si="216"/>
        <v>5.0169999999999995</v>
      </c>
      <c r="HD30" s="27">
        <v>17.3</v>
      </c>
      <c r="HE30" s="32">
        <f t="shared" si="217"/>
        <v>3.9149999999999996</v>
      </c>
      <c r="HF30" s="33">
        <v>13.5</v>
      </c>
      <c r="HG30" s="36">
        <f t="shared" si="212"/>
        <v>1.4499999999999999E-2</v>
      </c>
      <c r="HH30" s="35">
        <v>0.05</v>
      </c>
      <c r="HI30" s="36">
        <f t="shared" si="213"/>
        <v>2.8999999999999998E-3</v>
      </c>
      <c r="HJ30" s="35">
        <v>0.01</v>
      </c>
    </row>
    <row r="31" spans="1:218" s="4" customFormat="1" x14ac:dyDescent="0.25">
      <c r="A31" s="14" t="s">
        <v>311</v>
      </c>
      <c r="B31" s="67">
        <f t="shared" si="175"/>
        <v>4.4000000000000004</v>
      </c>
      <c r="C31" s="33">
        <v>4.4000000000000004</v>
      </c>
      <c r="D31" s="33">
        <v>0</v>
      </c>
      <c r="E31" s="38">
        <f t="shared" si="176"/>
        <v>0</v>
      </c>
      <c r="F31" s="108">
        <f t="shared" si="177"/>
        <v>11.4</v>
      </c>
      <c r="G31" s="32">
        <f t="shared" si="178"/>
        <v>3.42</v>
      </c>
      <c r="H31" s="33">
        <v>11.4</v>
      </c>
      <c r="I31" s="32">
        <f>$HB31*H31</f>
        <v>3.42</v>
      </c>
      <c r="J31" s="33">
        <v>12.5</v>
      </c>
      <c r="K31" s="32">
        <f>$HB31*J31</f>
        <v>3.75</v>
      </c>
      <c r="L31" s="32">
        <f t="shared" si="179"/>
        <v>2.9239766081871346</v>
      </c>
      <c r="M31" s="32">
        <f t="shared" si="180"/>
        <v>2.9239766081871346</v>
      </c>
      <c r="N31" s="32">
        <f t="shared" si="181"/>
        <v>2.6666666666666665</v>
      </c>
      <c r="O31" s="107">
        <f t="shared" si="182"/>
        <v>50.160000000000004</v>
      </c>
      <c r="P31" s="68">
        <f t="shared" si="183"/>
        <v>15.048</v>
      </c>
      <c r="Q31" s="68"/>
      <c r="R31" s="67">
        <f t="shared" si="184"/>
        <v>50.160000000000004</v>
      </c>
      <c r="S31" s="67">
        <f t="shared" si="185"/>
        <v>15.048</v>
      </c>
      <c r="T31" s="67">
        <f t="shared" si="186"/>
        <v>0</v>
      </c>
      <c r="U31" s="67">
        <f t="shared" si="187"/>
        <v>0</v>
      </c>
      <c r="V31" s="38">
        <f t="shared" si="188"/>
        <v>0</v>
      </c>
      <c r="W31" s="294">
        <f t="shared" si="189"/>
        <v>0.73796865340036055</v>
      </c>
      <c r="X31" s="294">
        <f t="shared" si="190"/>
        <v>3.4430752680437858E-3</v>
      </c>
      <c r="Y31" s="294">
        <f t="shared" si="191"/>
        <v>1.4949114228821263E-3</v>
      </c>
      <c r="Z31" s="294">
        <f t="shared" si="192"/>
        <v>0.22387059378358459</v>
      </c>
      <c r="AA31" s="294">
        <f t="shared" si="193"/>
        <v>1.392504378277228E-4</v>
      </c>
      <c r="AB31" s="294">
        <f t="shared" si="194"/>
        <v>0</v>
      </c>
      <c r="AC31" s="294">
        <f t="shared" si="195"/>
        <v>2.5943117966574249E-5</v>
      </c>
      <c r="AD31" s="294">
        <f t="shared" si="196"/>
        <v>3.3057572569334663E-2</v>
      </c>
      <c r="AE31" s="294">
        <f t="shared" si="197"/>
        <v>0</v>
      </c>
      <c r="AF31" s="433">
        <v>0.73796865340036055</v>
      </c>
      <c r="AG31" s="433">
        <v>3.4430752680437858E-3</v>
      </c>
      <c r="AH31" s="433">
        <v>1.4949114228821263E-3</v>
      </c>
      <c r="AI31" s="433">
        <v>0.22387059378358459</v>
      </c>
      <c r="AJ31" s="433">
        <v>1.392504378277228E-4</v>
      </c>
      <c r="AK31" s="433">
        <v>0</v>
      </c>
      <c r="AL31" s="433">
        <v>2.5943117966574249E-5</v>
      </c>
      <c r="AM31" s="433">
        <v>3.3057572569334663E-2</v>
      </c>
      <c r="AN31" s="433">
        <v>0</v>
      </c>
      <c r="AO31" s="433">
        <v>0.26910569105691057</v>
      </c>
      <c r="AP31" s="433">
        <v>0.41626016260162602</v>
      </c>
      <c r="AQ31" s="433">
        <v>0</v>
      </c>
      <c r="AR31" s="433">
        <v>4.5528455284552842E-2</v>
      </c>
      <c r="AS31" s="433">
        <v>0</v>
      </c>
      <c r="AT31" s="433">
        <v>0</v>
      </c>
      <c r="AU31" s="433">
        <v>0</v>
      </c>
      <c r="AV31" s="433">
        <v>0.26910569105691057</v>
      </c>
      <c r="AW31" s="433">
        <v>0</v>
      </c>
      <c r="AX31" s="554">
        <f>BA31*$B31/10^3</f>
        <v>0.92016346964680129</v>
      </c>
      <c r="AY31" s="554">
        <f t="shared" si="198"/>
        <v>0.43787123977339948</v>
      </c>
      <c r="AZ31" s="554">
        <f t="shared" si="198"/>
        <v>0.48229222987340187</v>
      </c>
      <c r="BA31" s="67">
        <f t="shared" si="199"/>
        <v>209.12806128336393</v>
      </c>
      <c r="BB31" s="67">
        <f t="shared" si="200"/>
        <v>99.516190857590772</v>
      </c>
      <c r="BC31" s="67">
        <f t="shared" si="200"/>
        <v>109.61187042577315</v>
      </c>
      <c r="BD31" s="67">
        <f t="shared" si="201"/>
        <v>209.12806128336393</v>
      </c>
      <c r="BE31" s="105">
        <v>99.516190857590772</v>
      </c>
      <c r="BF31" s="105">
        <v>109.61187042577315</v>
      </c>
      <c r="BG31" s="68">
        <f t="shared" si="202"/>
        <v>258.64820746958952</v>
      </c>
      <c r="BH31" s="106">
        <v>140.9295005154701</v>
      </c>
      <c r="BI31" s="106">
        <v>117.71870695411944</v>
      </c>
      <c r="BJ31" s="554">
        <f>BM31*$B31/10^3</f>
        <v>0.36642167240505141</v>
      </c>
      <c r="BK31" s="554">
        <f t="shared" si="203"/>
        <v>4.702500000000001E-3</v>
      </c>
      <c r="BL31" s="554">
        <f t="shared" si="204"/>
        <v>0.36171917240505141</v>
      </c>
      <c r="BM31" s="32">
        <f t="shared" si="205"/>
        <v>83.277652819329859</v>
      </c>
      <c r="BN31" s="32">
        <f t="shared" si="206"/>
        <v>1.0687500000000001</v>
      </c>
      <c r="BO31" s="67">
        <f t="shared" si="206"/>
        <v>82.208902819329865</v>
      </c>
      <c r="BP31" s="270"/>
      <c r="BQ31" s="67">
        <f t="shared" si="207"/>
        <v>83.277652819329859</v>
      </c>
      <c r="BR31" s="32">
        <f>I31*0.5*2.5*0.25</f>
        <v>1.0687500000000001</v>
      </c>
      <c r="BS31" s="67">
        <f>(1-BU31)*BF31</f>
        <v>82.208902819329865</v>
      </c>
      <c r="BT31" s="67"/>
      <c r="BU31" s="34">
        <f t="shared" si="208"/>
        <v>0.25</v>
      </c>
      <c r="BV31" s="68">
        <f t="shared" si="209"/>
        <v>89.460905215589577</v>
      </c>
      <c r="BW31" s="32">
        <f>K31*0.5*2.5*0.25</f>
        <v>1.171875</v>
      </c>
      <c r="BX31" s="67">
        <f>(1-BZ31)*BI31</f>
        <v>88.289030215589577</v>
      </c>
      <c r="BY31" s="67"/>
      <c r="BZ31" s="34">
        <f t="shared" si="210"/>
        <v>0.25</v>
      </c>
      <c r="CA31" s="294"/>
      <c r="CB31" s="294"/>
      <c r="CC31" s="294"/>
      <c r="CD31" s="67">
        <f t="shared" si="169"/>
        <v>125.85040846403407</v>
      </c>
      <c r="CE31" s="67">
        <f t="shared" si="169"/>
        <v>98.447440857590777</v>
      </c>
      <c r="CF31" s="67">
        <f t="shared" si="169"/>
        <v>27.402967606443283</v>
      </c>
      <c r="CG31" s="67">
        <f t="shared" si="170"/>
        <v>125.85040846403407</v>
      </c>
      <c r="CH31" s="67">
        <f t="shared" si="170"/>
        <v>98.447440857590777</v>
      </c>
      <c r="CI31" s="67">
        <f t="shared" si="170"/>
        <v>27.402967606443283</v>
      </c>
      <c r="CJ31" s="67">
        <f t="shared" si="171"/>
        <v>169.18730225399995</v>
      </c>
      <c r="CK31" s="67">
        <f t="shared" si="171"/>
        <v>139.7576255154701</v>
      </c>
      <c r="CL31" s="67">
        <f t="shared" si="171"/>
        <v>29.429676738529864</v>
      </c>
      <c r="CM31" s="68"/>
      <c r="CN31" s="293"/>
      <c r="CO31" s="293"/>
      <c r="CS31" s="32">
        <f t="shared" si="211"/>
        <v>7.63</v>
      </c>
      <c r="CT31" s="33">
        <v>7.63</v>
      </c>
      <c r="CU31" s="99">
        <v>8.0399999999999991</v>
      </c>
      <c r="CY31" s="97">
        <f>CZ31*$HB31</f>
        <v>0.36522732859173229</v>
      </c>
      <c r="CZ31" s="263">
        <f>(BA31-BM31-EN31*CF31)/'Amortization metrics'!$D$4/G31</f>
        <v>1.2174244286391076</v>
      </c>
      <c r="DA31" s="527">
        <f>10^3*CZ31/$HF31</f>
        <v>81.161628575940512</v>
      </c>
      <c r="DB31" s="528">
        <f>CZ31/$HH31</f>
        <v>24.348488572782152</v>
      </c>
      <c r="DC31" s="97">
        <f>DD31*$HB31</f>
        <v>0.36522732859173229</v>
      </c>
      <c r="DD31" s="263">
        <f>(BD31-BQ31-EQ31*CI31)/'Amortization metrics'!$D$4/I31</f>
        <v>1.2174244286391076</v>
      </c>
      <c r="DE31" s="527">
        <f>10^3*DD31/$HF31</f>
        <v>81.161628575940512</v>
      </c>
      <c r="DF31" s="528">
        <f>DD31/$HH31</f>
        <v>24.348488572782152</v>
      </c>
      <c r="DG31" s="97">
        <f>DH31*$HB31</f>
        <v>0.45116613934399985</v>
      </c>
      <c r="DH31" s="263">
        <f>(BG31-BV31-EX31*CL31)/'Amortization metrics'!$D$4/K31</f>
        <v>1.5038871311466662</v>
      </c>
      <c r="DI31" s="527">
        <f>10^3*DH31/$HF31</f>
        <v>100.25914207644442</v>
      </c>
      <c r="DJ31" s="528">
        <f>DH31/$HH31</f>
        <v>30.077742622933322</v>
      </c>
      <c r="DK31" s="97">
        <f>DL31*$HB31</f>
        <v>0.33609313196691837</v>
      </c>
      <c r="DL31" s="263">
        <f>$EF$11*DX31</f>
        <v>1.1203104398897279</v>
      </c>
      <c r="DM31" s="527">
        <f>10^3*DL31/$HF31</f>
        <v>74.687362659315184</v>
      </c>
      <c r="DN31" s="528">
        <f>DL31/$HH31</f>
        <v>22.406208797794555</v>
      </c>
      <c r="DO31" s="97">
        <f>DP31*$HB31</f>
        <v>0.33609313196691837</v>
      </c>
      <c r="DP31" s="263">
        <f>$EF$11*EA31</f>
        <v>1.1203104398897279</v>
      </c>
      <c r="DQ31" s="527">
        <f>10^3*DP31/$HF31</f>
        <v>74.687362659315184</v>
      </c>
      <c r="DR31" s="528">
        <f>DP31/$HH31</f>
        <v>22.406208797794555</v>
      </c>
      <c r="DS31" s="97">
        <f>DT31*$HB31</f>
        <v>0.32298770226537216</v>
      </c>
      <c r="DT31" s="263">
        <f>$EF$11*ED31</f>
        <v>1.0766256742179072</v>
      </c>
      <c r="DU31" s="527">
        <f>10^3*DT31/$HF31</f>
        <v>71.775044947860493</v>
      </c>
      <c r="DV31" s="528">
        <f>DT31/$HH31</f>
        <v>21.532513484358144</v>
      </c>
      <c r="DW31" s="97">
        <f>DX31*$HB31</f>
        <v>0.66929824561403506</v>
      </c>
      <c r="DX31" s="263">
        <f>CS31/G31</f>
        <v>2.2309941520467835</v>
      </c>
      <c r="DY31" s="68">
        <f>10^3*DX31/$HF31</f>
        <v>148.73294346978557</v>
      </c>
      <c r="DZ31" s="97">
        <f>EA31*$HB31</f>
        <v>0.66929824561403506</v>
      </c>
      <c r="EA31" s="263">
        <f>CT31/I31</f>
        <v>2.2309941520467835</v>
      </c>
      <c r="EB31" s="68">
        <f>10^3*EA31/$HF31</f>
        <v>148.73294346978557</v>
      </c>
      <c r="EC31" s="97">
        <f>ED31*$HB31</f>
        <v>0.64319999999999988</v>
      </c>
      <c r="ED31" s="263">
        <f>CU31/K31</f>
        <v>2.1439999999999997</v>
      </c>
      <c r="EE31" s="68">
        <f>10^3*ED31/$HF31</f>
        <v>142.93333333333331</v>
      </c>
      <c r="EF31" s="60"/>
      <c r="EG31" s="60"/>
      <c r="EH31" s="60"/>
      <c r="EI31" s="554">
        <f>EK31*$P31</f>
        <v>8.2578988800000008</v>
      </c>
      <c r="EJ31" s="262">
        <f>EK31*$HB31</f>
        <v>0.16463115789473684</v>
      </c>
      <c r="EK31" s="166">
        <f>(EP31*S31+EW31*U31)/P31</f>
        <v>0.54877052631578949</v>
      </c>
      <c r="EL31" s="68">
        <f>10^3*EK31/$HF31</f>
        <v>36.584701754385968</v>
      </c>
      <c r="EM31" s="97">
        <f>EK31/$HH31</f>
        <v>10.975410526315789</v>
      </c>
      <c r="EN31" s="429">
        <f>(EQ31*C31+EX31*D31)/B31</f>
        <v>3.44E-2</v>
      </c>
      <c r="EO31" s="262">
        <f>EP31*$HB31</f>
        <v>0.16463115789473684</v>
      </c>
      <c r="EP31" s="436">
        <f>EQ31*EU31/I31</f>
        <v>0.54877052631578949</v>
      </c>
      <c r="EQ31" s="101">
        <v>3.44E-2</v>
      </c>
      <c r="ER31" s="433">
        <v>1</v>
      </c>
      <c r="ES31" s="433">
        <v>0</v>
      </c>
      <c r="ET31" s="434">
        <f>1-ER31-ES31</f>
        <v>0</v>
      </c>
      <c r="EU31" s="430">
        <f>ER31*$FC31+ES31*$FD31+ET31*$FE31+'Amortization metrics'!$B$6*(ER31*$FF31+ES31*$FG31+ET31*$FH31)/10^3+'Amortization metrics'!$B$5*(ER31*$FI31+ES31*$FJ31+ET31*$FK31)/10^3</f>
        <v>54.558</v>
      </c>
      <c r="EV31" s="262">
        <f>EW31*$HB31</f>
        <v>0</v>
      </c>
      <c r="EW31" s="436">
        <f>EX31*FB31/K31</f>
        <v>0</v>
      </c>
      <c r="EX31" s="101">
        <v>0</v>
      </c>
      <c r="EY31" s="433">
        <v>1</v>
      </c>
      <c r="EZ31" s="433">
        <v>0</v>
      </c>
      <c r="FA31" s="434">
        <f t="shared" si="215"/>
        <v>0</v>
      </c>
      <c r="FB31" s="430">
        <f>EY31*$FC31+EZ31*$FD31+FA31*$FE31+'Amortization metrics'!$B$6*(EY31*$FF31+EZ31*$FG31+FA31*$FH31)/10^3+'Amortization metrics'!$B$5*(EY31*$FI31+EZ31*$FJ31+FA31*$FK31)/10^3</f>
        <v>54.558</v>
      </c>
      <c r="FC31" s="431">
        <v>51.3</v>
      </c>
      <c r="FD31" s="431">
        <v>29</v>
      </c>
      <c r="FE31" s="431">
        <v>29</v>
      </c>
      <c r="FF31" s="99">
        <v>5</v>
      </c>
      <c r="FG31" s="431">
        <v>13</v>
      </c>
      <c r="FH31" s="431">
        <v>13</v>
      </c>
      <c r="FI31" s="431">
        <v>52</v>
      </c>
      <c r="FJ31" s="431">
        <v>58.3</v>
      </c>
      <c r="FK31" s="431">
        <v>58.3</v>
      </c>
      <c r="FL31" s="554">
        <f>FO31+FP31+FM31+FN31+FQ31</f>
        <v>1.0739954778969731</v>
      </c>
      <c r="FM31" s="554">
        <f>GC31*$P31</f>
        <v>0.20986737942727027</v>
      </c>
      <c r="FN31" s="554">
        <f>GE31*$P31</f>
        <v>0.26505766900799999</v>
      </c>
      <c r="FO31" s="554">
        <f>GG31*$P31</f>
        <v>0.30487758628900319</v>
      </c>
      <c r="FP31" s="554">
        <f>GI31*$P31</f>
        <v>0.29419284317269973</v>
      </c>
      <c r="FQ31" s="554"/>
      <c r="FR31" s="167">
        <f>FS31*HB31</f>
        <v>2.14113931000194E-2</v>
      </c>
      <c r="FS31" s="166">
        <f>FY31+FW31+GA31</f>
        <v>7.1371310333397997E-2</v>
      </c>
      <c r="FT31" s="68">
        <f>10^3*FS31/$HF31</f>
        <v>4.7580873555598666</v>
      </c>
      <c r="FU31" s="97">
        <f>FS31/$HH31</f>
        <v>1.4274262066679599</v>
      </c>
      <c r="FV31" s="473">
        <f>FW31*HB31</f>
        <v>9.4682027200014007E-3</v>
      </c>
      <c r="FW31" s="269">
        <f>GC31+GE31</f>
        <v>3.1560675733338005E-2</v>
      </c>
      <c r="FX31" s="473">
        <f>FY31*HB31</f>
        <v>1.1943190380017999E-2</v>
      </c>
      <c r="FY31" s="269">
        <f>GG31+GI31</f>
        <v>3.9810634600059999E-2</v>
      </c>
      <c r="FZ31" s="123"/>
      <c r="GA31" s="49"/>
      <c r="GB31" s="435">
        <v>4.1839589200014004E-3</v>
      </c>
      <c r="GC31" s="522">
        <f>GB31/$HB31</f>
        <v>1.3946529733338002E-2</v>
      </c>
      <c r="GD31" s="435">
        <v>5.2842438000000004E-3</v>
      </c>
      <c r="GE31" s="522">
        <f>GD31/$HB31</f>
        <v>1.7614146000000001E-2</v>
      </c>
      <c r="GF31" s="435">
        <v>6.0781018000199997E-3</v>
      </c>
      <c r="GG31" s="522">
        <f>GF31/$HB31</f>
        <v>2.0260339333400001E-2</v>
      </c>
      <c r="GH31" s="435">
        <v>5.8650885799980002E-3</v>
      </c>
      <c r="GI31" s="522">
        <f>GH31/$HB31</f>
        <v>1.9550295266660002E-2</v>
      </c>
      <c r="GJ31" s="599">
        <f>44/12*CZ31+$FS31+$EK31</f>
        <v>5.0840314083259148</v>
      </c>
      <c r="GK31" s="527">
        <f>10^3*GJ31/$HF31</f>
        <v>338.93542722172765</v>
      </c>
      <c r="GL31" s="528">
        <f>GJ31/$HH31</f>
        <v>101.68062816651829</v>
      </c>
      <c r="GM31" s="599">
        <f>44/12*DD31+$FS31+$EP31</f>
        <v>5.0840314083259148</v>
      </c>
      <c r="GN31" s="527">
        <f>10^3*GM31/$HF31</f>
        <v>338.93542722172765</v>
      </c>
      <c r="GO31" s="528">
        <f>GM31/$HH31</f>
        <v>101.68062816651829</v>
      </c>
      <c r="GP31" s="599">
        <f>44/12*DH31+$FS31+$EW31</f>
        <v>5.5856241245378406</v>
      </c>
      <c r="GQ31" s="527">
        <f>10^3*GP31/$HF31</f>
        <v>372.37494163585603</v>
      </c>
      <c r="GR31" s="528">
        <f>GP31/$HH31</f>
        <v>111.71248249075681</v>
      </c>
      <c r="GS31" s="599">
        <f>44/12*DL31+$FS31+$EK31</f>
        <v>4.7279467829115234</v>
      </c>
      <c r="GT31" s="527">
        <f>10^3*GS31/$HF31</f>
        <v>315.1964521941016</v>
      </c>
      <c r="GU31" s="528">
        <f>GS31/$HH31</f>
        <v>94.558935658230467</v>
      </c>
      <c r="GV31" s="599">
        <f>44/12*DP31+$FS31+$EP31</f>
        <v>4.7279467829115234</v>
      </c>
      <c r="GW31" s="527">
        <f>10^3*GV31/$HF31</f>
        <v>315.1964521941016</v>
      </c>
      <c r="GX31" s="528">
        <f>GV31/$HH31</f>
        <v>94.558935658230467</v>
      </c>
      <c r="GY31" s="599">
        <f>44/12*DT31+$FS31+$EW31</f>
        <v>4.0189987824657241</v>
      </c>
      <c r="GZ31" s="527">
        <f>10^3*GY31/$HF31</f>
        <v>267.9332521643816</v>
      </c>
      <c r="HA31" s="528">
        <f>GY31/$HH31</f>
        <v>80.379975649314474</v>
      </c>
      <c r="HB31" s="31">
        <v>0.3</v>
      </c>
      <c r="HC31" s="32">
        <f t="shared" ref="HC31" si="218">$HB31*HD31</f>
        <v>5.19</v>
      </c>
      <c r="HD31" s="27">
        <v>17.3</v>
      </c>
      <c r="HE31" s="32">
        <f t="shared" ref="HE31" si="219">$HB31*HF31</f>
        <v>4.5</v>
      </c>
      <c r="HF31" s="33">
        <v>15</v>
      </c>
      <c r="HG31" s="36">
        <f t="shared" ref="HG31" si="220">$HB31*HH31</f>
        <v>1.4999999999999999E-2</v>
      </c>
      <c r="HH31" s="35">
        <v>0.05</v>
      </c>
      <c r="HI31" s="36">
        <f t="shared" ref="HI31" si="221">$HB31*HJ31</f>
        <v>1.5E-3</v>
      </c>
      <c r="HJ31" s="35">
        <v>5.0000000000000001E-3</v>
      </c>
    </row>
    <row r="32" spans="1:218" s="4" customFormat="1" x14ac:dyDescent="0.25">
      <c r="A32" s="14"/>
      <c r="C32" s="33"/>
      <c r="D32" s="33"/>
      <c r="E32" s="33"/>
      <c r="H32" s="33"/>
      <c r="J32" s="33"/>
      <c r="O32" s="60"/>
      <c r="W32" s="60"/>
      <c r="X32" s="60"/>
      <c r="Y32" s="60"/>
      <c r="Z32" s="60"/>
      <c r="AA32" s="60"/>
      <c r="AB32" s="60"/>
      <c r="AC32" s="60"/>
      <c r="AD32" s="60"/>
      <c r="AE32" s="60"/>
      <c r="AF32" s="602"/>
      <c r="AG32" s="602"/>
      <c r="AH32" s="602"/>
      <c r="AI32" s="602"/>
      <c r="AJ32" s="602"/>
      <c r="AK32" s="602"/>
      <c r="AL32" s="602"/>
      <c r="AM32" s="602"/>
      <c r="AN32" s="602"/>
      <c r="AO32" s="602"/>
      <c r="AP32" s="602"/>
      <c r="AQ32" s="602"/>
      <c r="AR32" s="602"/>
      <c r="AS32" s="602"/>
      <c r="AT32" s="602"/>
      <c r="AU32" s="602"/>
      <c r="AV32" s="602"/>
      <c r="AW32" s="602"/>
      <c r="AX32" s="60"/>
      <c r="AY32" s="60"/>
      <c r="AZ32" s="60"/>
      <c r="BD32" s="67"/>
      <c r="BE32" s="105"/>
      <c r="BF32" s="105"/>
      <c r="BG32" s="60"/>
      <c r="BH32" s="106"/>
      <c r="BI32" s="106"/>
      <c r="BJ32" s="60"/>
      <c r="BK32" s="60"/>
      <c r="BL32" s="60"/>
      <c r="BM32" s="32"/>
      <c r="BN32" s="32"/>
      <c r="BO32" s="67"/>
      <c r="BP32" s="270"/>
      <c r="BV32" s="60"/>
      <c r="CA32" s="60"/>
      <c r="CB32" s="60"/>
      <c r="CC32" s="60"/>
      <c r="CM32" s="60"/>
      <c r="CN32" s="60"/>
      <c r="CO32" s="60"/>
      <c r="CT32" s="33"/>
      <c r="CU32" s="99"/>
      <c r="CY32" s="97"/>
      <c r="CZ32" s="32"/>
      <c r="DB32" s="67"/>
      <c r="DC32" s="97"/>
      <c r="DD32" s="32"/>
      <c r="DF32" s="67"/>
      <c r="DG32" s="97"/>
      <c r="DH32" s="32"/>
      <c r="DJ32" s="67"/>
      <c r="DK32" s="97"/>
      <c r="DL32" s="32"/>
      <c r="DN32" s="67"/>
      <c r="DO32" s="97"/>
      <c r="DP32" s="32"/>
      <c r="DR32" s="67"/>
      <c r="DS32" s="97"/>
      <c r="DT32" s="32"/>
      <c r="DV32" s="67"/>
      <c r="DW32" s="97"/>
      <c r="DY32" s="60"/>
      <c r="DZ32" s="97"/>
      <c r="EB32" s="60"/>
      <c r="EC32" s="97"/>
      <c r="EE32" s="60"/>
      <c r="EF32" s="60"/>
      <c r="EG32" s="60"/>
      <c r="EH32" s="60"/>
      <c r="EI32" s="97"/>
      <c r="EJ32" s="49"/>
      <c r="EK32" s="60"/>
      <c r="EL32" s="60"/>
      <c r="EM32" s="97"/>
      <c r="EN32" s="601"/>
      <c r="EO32" s="49"/>
      <c r="EP32" s="60"/>
      <c r="EQ32" s="100"/>
      <c r="ER32" s="100"/>
      <c r="ES32" s="100"/>
      <c r="ET32" s="100"/>
      <c r="EU32" s="100"/>
      <c r="EV32" s="49"/>
      <c r="EW32" s="60"/>
      <c r="EX32" s="100"/>
      <c r="EY32" s="100"/>
      <c r="EZ32" s="100"/>
      <c r="FA32" s="100"/>
      <c r="FB32" s="100"/>
      <c r="FC32" s="97"/>
      <c r="FD32" s="97"/>
      <c r="FE32" s="97"/>
      <c r="FF32" s="97"/>
      <c r="FG32" s="97"/>
      <c r="FH32" s="97"/>
      <c r="FI32" s="97"/>
      <c r="FJ32" s="97"/>
      <c r="FK32" s="97"/>
      <c r="FL32" s="97"/>
      <c r="FM32" s="97"/>
      <c r="FN32" s="97"/>
      <c r="FO32" s="97"/>
      <c r="FP32" s="97"/>
      <c r="FQ32" s="97"/>
      <c r="FR32" s="522"/>
      <c r="FS32" s="60"/>
      <c r="FT32" s="60"/>
      <c r="FU32" s="97"/>
      <c r="FV32" s="123"/>
      <c r="FW32" s="123"/>
      <c r="FX32" s="123"/>
      <c r="FY32" s="123"/>
      <c r="FZ32" s="123"/>
      <c r="GA32" s="49"/>
      <c r="GB32" s="60"/>
      <c r="GC32" s="60"/>
      <c r="GD32" s="60"/>
      <c r="GE32" s="60"/>
      <c r="GF32" s="60"/>
      <c r="GG32" s="60"/>
      <c r="GH32" s="60"/>
      <c r="GI32" s="60"/>
    </row>
    <row r="33" spans="1:218" s="4" customFormat="1" ht="13.8" x14ac:dyDescent="0.3">
      <c r="A33" s="15" t="s">
        <v>76</v>
      </c>
      <c r="B33" s="152">
        <f>B34+B35</f>
        <v>25.5</v>
      </c>
      <c r="C33" s="152">
        <f t="shared" ref="C33:D33" si="222">C34+C35</f>
        <v>15.8</v>
      </c>
      <c r="D33" s="152">
        <f t="shared" si="222"/>
        <v>9.7000000000000011</v>
      </c>
      <c r="E33" s="33"/>
      <c r="F33" s="153">
        <f>O33/B33</f>
        <v>63.074509803921565</v>
      </c>
      <c r="G33" s="153">
        <f>P33/B33</f>
        <v>16.728611764705885</v>
      </c>
      <c r="I33" s="153">
        <f>S33/C33</f>
        <v>14.986025316455695</v>
      </c>
      <c r="K33" s="153">
        <f>U33/D33</f>
        <v>19.567051546391752</v>
      </c>
      <c r="O33" s="152">
        <f>O34+O35</f>
        <v>1608.3999999999999</v>
      </c>
      <c r="P33" s="152">
        <f>P34+P35</f>
        <v>426.57960000000003</v>
      </c>
      <c r="Q33" s="265">
        <f>P33/P$17</f>
        <v>0.1124983478173124</v>
      </c>
      <c r="S33" s="152">
        <f>S34+S35</f>
        <v>236.7792</v>
      </c>
      <c r="U33" s="152">
        <f>U34+U35</f>
        <v>189.80040000000002</v>
      </c>
      <c r="V33" s="154"/>
      <c r="W33" s="265">
        <f t="shared" ref="W33:AE33" si="223">($B34*W34+$B35*W35)/$B33</f>
        <v>0.40572649079476014</v>
      </c>
      <c r="X33" s="265">
        <f t="shared" si="223"/>
        <v>0.15858240078281421</v>
      </c>
      <c r="Y33" s="265">
        <f t="shared" si="223"/>
        <v>0.10735642279680457</v>
      </c>
      <c r="Z33" s="265">
        <f t="shared" si="223"/>
        <v>8.5007810867061967E-2</v>
      </c>
      <c r="AA33" s="265">
        <f t="shared" si="223"/>
        <v>6.6650713201964876E-2</v>
      </c>
      <c r="AB33" s="265">
        <f t="shared" si="223"/>
        <v>6.2633227955993978E-2</v>
      </c>
      <c r="AC33" s="265">
        <f t="shared" si="223"/>
        <v>2.5633274797698627E-2</v>
      </c>
      <c r="AD33" s="265">
        <f t="shared" si="223"/>
        <v>8.6275243780349023E-2</v>
      </c>
      <c r="AE33" s="265">
        <f t="shared" si="223"/>
        <v>2.0815454744106537E-3</v>
      </c>
      <c r="AF33" s="603"/>
      <c r="AG33" s="603"/>
      <c r="AH33" s="603"/>
      <c r="AI33" s="603"/>
      <c r="AJ33" s="603"/>
      <c r="AK33" s="603"/>
      <c r="AL33" s="603"/>
      <c r="AM33" s="603"/>
      <c r="AN33" s="603"/>
      <c r="AO33" s="603"/>
      <c r="AP33" s="603"/>
      <c r="AQ33" s="603"/>
      <c r="AR33" s="603"/>
      <c r="AS33" s="603"/>
      <c r="AT33" s="603"/>
      <c r="AU33" s="603"/>
      <c r="AV33" s="603"/>
      <c r="AW33" s="603"/>
      <c r="AX33" s="152">
        <f>AX34+AX35</f>
        <v>4.8519586047670078</v>
      </c>
      <c r="AY33" s="152">
        <f t="shared" ref="AY33:AZ33" si="224">AY34+AY35</f>
        <v>2.172542860271486</v>
      </c>
      <c r="AZ33" s="152">
        <f t="shared" si="224"/>
        <v>2.6794157444955213</v>
      </c>
      <c r="BA33" s="152">
        <f>($B34*BA34+$B35*BA35)/$B33</f>
        <v>190.27288646145126</v>
      </c>
      <c r="BB33" s="152">
        <f>($B34*BB34+$B35*BB35)/$B33</f>
        <v>85.197759226332778</v>
      </c>
      <c r="BC33" s="152">
        <f>($B34*BC34+$B35*BC35)/$B33</f>
        <v>105.0751272351185</v>
      </c>
      <c r="BD33" s="152">
        <f>($C34*BD34+$C35*BD35)/$C33</f>
        <v>224.74772771255272</v>
      </c>
      <c r="BE33" s="152">
        <f t="shared" ref="BE33:BF33" si="225">($C34*BE34+$C35*BE35)/$C33</f>
        <v>104.00918171306742</v>
      </c>
      <c r="BF33" s="152">
        <f t="shared" si="225"/>
        <v>120.73854599948528</v>
      </c>
      <c r="BG33" s="152">
        <f>($D34*BG34+$D35*BG35)/$D33</f>
        <v>134.11799040295611</v>
      </c>
      <c r="BH33" s="152">
        <f>($D34*BH34+$D35*BH35)/$D33</f>
        <v>54.556473113919608</v>
      </c>
      <c r="BI33" s="152">
        <f>($D34*BI34+$D35*BI35)/$D33</f>
        <v>79.561517289036502</v>
      </c>
      <c r="BJ33" s="152">
        <f>BJ34+BJ35</f>
        <v>2.268782808371641</v>
      </c>
      <c r="BK33" s="152">
        <f t="shared" ref="BK33" si="226">BK34+BK35</f>
        <v>0.25922099999999998</v>
      </c>
      <c r="BL33" s="152">
        <f t="shared" ref="BL33" si="227">BL34+BL35</f>
        <v>2.0095618083716409</v>
      </c>
      <c r="BM33" s="153">
        <f>($B34*BM34+$B35*BM35)/$B33</f>
        <v>88.97187483810356</v>
      </c>
      <c r="BN33" s="153">
        <f>($B34*BN34+$B35*BN35)/$B33</f>
        <v>10.165529411764705</v>
      </c>
      <c r="BO33" s="152">
        <f>($B34*BO34+$B35*BO35)/$B33</f>
        <v>78.806345426338851</v>
      </c>
      <c r="BP33" s="270"/>
      <c r="BQ33" s="152">
        <f>($C34*BQ34+$C35*BQ35)/$C33</f>
        <v>100.23128291733548</v>
      </c>
      <c r="BR33" s="152">
        <f t="shared" ref="BR33:BS33" si="228">($C34*BR34+$C35*BR35)/$C33</f>
        <v>9.6773734177215172</v>
      </c>
      <c r="BS33" s="152">
        <f t="shared" si="228"/>
        <v>90.553909499613951</v>
      </c>
      <c r="BT33" s="152"/>
      <c r="BV33" s="152">
        <f>($D34*BV34+$D35*BV35)/$D33</f>
        <v>70.631808069870146</v>
      </c>
      <c r="BW33" s="152">
        <f>($D34*BW34+$D35*BW35)/$D33</f>
        <v>10.960670103092784</v>
      </c>
      <c r="BX33" s="152">
        <f>($D34*BX34+$D35*BX35)/$D33</f>
        <v>59.67113796677738</v>
      </c>
      <c r="BY33" s="152"/>
      <c r="CA33" s="154"/>
      <c r="CB33" s="154"/>
      <c r="CC33" s="154"/>
      <c r="CD33" s="152">
        <f t="shared" ref="CD33:CF35" si="229">BA33-BM33</f>
        <v>101.3010116233477</v>
      </c>
      <c r="CE33" s="152">
        <f t="shared" si="229"/>
        <v>75.032229814568069</v>
      </c>
      <c r="CF33" s="152">
        <f t="shared" si="229"/>
        <v>26.26878180877965</v>
      </c>
      <c r="CG33" s="152">
        <f t="shared" ref="CG33:CI35" si="230">BD33-BQ33</f>
        <v>124.51644479521724</v>
      </c>
      <c r="CH33" s="152">
        <f t="shared" si="230"/>
        <v>94.331808295345908</v>
      </c>
      <c r="CI33" s="152">
        <f t="shared" si="230"/>
        <v>30.184636499871331</v>
      </c>
      <c r="CJ33" s="152">
        <f t="shared" ref="CJ33:CL35" si="231">BG33-BV33</f>
        <v>63.486182333085964</v>
      </c>
      <c r="CK33" s="152">
        <f t="shared" si="231"/>
        <v>43.595803010826828</v>
      </c>
      <c r="CL33" s="152">
        <f t="shared" si="231"/>
        <v>19.890379322259122</v>
      </c>
      <c r="CM33" s="60"/>
      <c r="CN33" s="60"/>
      <c r="CO33" s="60"/>
      <c r="CS33" s="153">
        <f>($B34*CS34+$B35*CS35)/$B33</f>
        <v>6.9030980392156875</v>
      </c>
      <c r="CT33" s="153">
        <f t="shared" ref="CT33" si="232">($C34*CT34+$C35*CT35)/$C33</f>
        <v>7.843291139240506</v>
      </c>
      <c r="CU33" s="152">
        <f>($D34*CU34+$D35*CU35)/$D33</f>
        <v>5.371649484536082</v>
      </c>
      <c r="CY33" s="269">
        <f>(BA33-BM33)/'Amortization metrics'!$D$4/F33</f>
        <v>5.353510313345284E-2</v>
      </c>
      <c r="CZ33" s="525">
        <f>(BA33-BM33-EN33*CF33)/'Amortization metrics'!$D$4/G33</f>
        <v>0.20074397485277209</v>
      </c>
      <c r="DA33" s="49"/>
      <c r="DB33" s="152"/>
      <c r="DC33" s="97"/>
      <c r="DD33" s="525">
        <f>(BD33-BQ33-EQ33*CI33)/'Amortization metrics'!$D$4/I33</f>
        <v>0.27589712146620632</v>
      </c>
      <c r="DE33" s="49"/>
      <c r="DF33" s="152"/>
      <c r="DG33" s="97"/>
      <c r="DH33" s="525">
        <f>(BG33-BV33-EX33*CL33)/'Amortization metrics'!$D$4/K33</f>
        <v>0.10714098946412315</v>
      </c>
      <c r="DI33" s="49"/>
      <c r="DJ33" s="152"/>
      <c r="DK33" s="269">
        <f>$EF$11*DW33</f>
        <v>5.4957897346911477E-2</v>
      </c>
      <c r="DL33" s="525">
        <f>$EF$11*DX33</f>
        <v>0.20721638374824392</v>
      </c>
      <c r="DM33" s="49"/>
      <c r="DN33" s="152"/>
      <c r="DO33" s="97"/>
      <c r="DP33" s="525">
        <f>$EF$11*EA33</f>
        <v>0.26281601464906074</v>
      </c>
      <c r="DQ33" s="49"/>
      <c r="DR33" s="152"/>
      <c r="DS33" s="97"/>
      <c r="DT33" s="525">
        <f>$EF$11*ED33</f>
        <v>0.13785490650693838</v>
      </c>
      <c r="DU33" s="49"/>
      <c r="DV33" s="152"/>
      <c r="DW33" s="149">
        <f>CS33/F33</f>
        <v>0.10944354638149717</v>
      </c>
      <c r="DX33" s="525">
        <f>CS33/G33</f>
        <v>0.41265217558458023</v>
      </c>
      <c r="DY33" s="123"/>
      <c r="DZ33" s="97"/>
      <c r="EA33" s="525">
        <f>CT33/I33</f>
        <v>0.52337367471467089</v>
      </c>
      <c r="EB33" s="123"/>
      <c r="EC33" s="97"/>
      <c r="ED33" s="525">
        <f>CU33/K33</f>
        <v>0.2745252380922274</v>
      </c>
      <c r="EE33" s="123"/>
      <c r="EF33" s="60"/>
      <c r="EG33" s="60"/>
      <c r="EH33" s="60"/>
      <c r="EI33" s="152">
        <f t="shared" ref="EI33" si="233">EI34+EI35</f>
        <v>27.446160857968</v>
      </c>
      <c r="EJ33" s="269">
        <f>($O34*EJ34+$O35*EJ35)/$O33</f>
        <v>1.7064263154667997E-2</v>
      </c>
      <c r="EK33" s="473">
        <f>($P34*EK34+$P35*EK35)/$P33</f>
        <v>6.4340068906173664E-2</v>
      </c>
      <c r="EL33" s="123"/>
      <c r="EM33" s="149"/>
      <c r="EN33" s="594">
        <f>($B34*EN34+$B35*EN35)/$B33</f>
        <v>2.116470588235294E-2</v>
      </c>
      <c r="EO33" s="269"/>
      <c r="EP33" s="473">
        <f>($S34*EP34+$S35*EP35)/$S33</f>
        <v>5.0124847697635602E-2</v>
      </c>
      <c r="EQ33" s="594">
        <f>($C34*EQ34+$C35*EQ35)/$C33</f>
        <v>1.5849367088607593E-2</v>
      </c>
      <c r="ER33" s="594"/>
      <c r="ES33" s="594"/>
      <c r="ET33" s="594"/>
      <c r="EU33" s="594"/>
      <c r="EV33" s="269"/>
      <c r="EW33" s="473">
        <f>($U34*EW34+$U35*EW35)/$U33</f>
        <v>8.2073797104747936E-2</v>
      </c>
      <c r="EX33" s="594">
        <f>($D34*EX34+$D35*EX35)/$D33</f>
        <v>2.9822680412371134E-2</v>
      </c>
      <c r="EY33" s="594"/>
      <c r="EZ33" s="594"/>
      <c r="FA33" s="594"/>
      <c r="FB33" s="594"/>
      <c r="FC33" s="595"/>
      <c r="FD33" s="595"/>
      <c r="FE33" s="595"/>
      <c r="FF33" s="595"/>
      <c r="FG33" s="595"/>
      <c r="FH33" s="595"/>
      <c r="FI33" s="595"/>
      <c r="FJ33" s="595"/>
      <c r="FK33" s="595"/>
      <c r="FL33" s="152">
        <f>FL34+FL35</f>
        <v>63.93485731603279</v>
      </c>
      <c r="FM33" s="152">
        <f>FM34+FM35</f>
        <v>22.025221086735215</v>
      </c>
      <c r="FN33" s="152">
        <f>FN34+FN35</f>
        <v>2.0554089639732958</v>
      </c>
      <c r="FO33" s="152">
        <f t="shared" ref="FO33:FQ33" si="234">FO34+FO35</f>
        <v>11.356244999391999</v>
      </c>
      <c r="FP33" s="152">
        <f t="shared" si="234"/>
        <v>19.736244665932286</v>
      </c>
      <c r="FQ33" s="152">
        <f t="shared" si="234"/>
        <v>8.7617376</v>
      </c>
      <c r="FR33" s="269">
        <f>($P34*FR34+$P35*FR35)/$P33</f>
        <v>3.9396429857948757E-2</v>
      </c>
      <c r="FS33" s="473">
        <f>($P34*FS34+$P35*FS35)/$P33</f>
        <v>0.14987790629470513</v>
      </c>
      <c r="FT33" s="123"/>
      <c r="FU33" s="149"/>
      <c r="FV33" s="123"/>
      <c r="FW33" s="269">
        <f>($P34*FW34+$P35*FW35)/$P33</f>
        <v>5.6450496110710659E-2</v>
      </c>
      <c r="FX33" s="123"/>
      <c r="FY33" s="269">
        <f>($P34*FY34+$P35*FY35)/$P33</f>
        <v>7.2887896339450559E-2</v>
      </c>
      <c r="FZ33" s="123"/>
      <c r="GA33" s="269">
        <f>($P34*GA34+$P35*GA35)/$P33</f>
        <v>2.0539513844543902E-2</v>
      </c>
      <c r="GB33" s="269">
        <f>($O34*GB34+$O35*GB35)/$O33</f>
        <v>1.3693870359820453E-2</v>
      </c>
      <c r="GC33" s="269">
        <f>($P34*GC34+$P35*GC35)/$P33</f>
        <v>5.1632148107258795E-2</v>
      </c>
      <c r="GD33" s="269">
        <f>($O34*GD34+$O35*GD35)/$O33</f>
        <v>1.2779215145320168E-3</v>
      </c>
      <c r="GE33" s="269">
        <f>($P34*GE34+$P35*GE35)/$P33</f>
        <v>4.8183480034518656E-3</v>
      </c>
      <c r="GF33" s="269">
        <f>($O34*GF34+$O35*GF35)/$O33</f>
        <v>7.0605850530912721E-3</v>
      </c>
      <c r="GG33" s="269">
        <f>($P34*GG34+$P35*GG35)/$P33</f>
        <v>2.6621631694042559E-2</v>
      </c>
      <c r="GH33" s="269">
        <f>($O34*GH34+$O35*GH35)/$O33</f>
        <v>1.2270731575436638E-2</v>
      </c>
      <c r="GI33" s="269">
        <f>($P34*GI34+$P35*GI35)/$P33</f>
        <v>4.6266264645407999E-2</v>
      </c>
      <c r="GJ33" s="269">
        <f>($P34*GJ34+$P35*GJ35)/$P33</f>
        <v>0.95025322021555347</v>
      </c>
      <c r="GM33" s="269">
        <f>($S34*GM34+$S35*GM35)/$S33</f>
        <v>1.2163515324656862</v>
      </c>
      <c r="GP33" s="269">
        <f>($U34*GP34+$U35*GP35)/$U33</f>
        <v>0.61890948540034885</v>
      </c>
      <c r="GS33" s="269">
        <f>($P34*GS34+$P35*GS35)/$P33</f>
        <v>0.97401138227777306</v>
      </c>
      <c r="GV33" s="269">
        <f>($S34*GV34+$S35*GV35)/$S33</f>
        <v>1.1683383095586637</v>
      </c>
      <c r="GY33" s="269">
        <f>($U34*GY34+$U35*GY35)/$U33</f>
        <v>0.73158526315459194</v>
      </c>
      <c r="HF33" s="16"/>
    </row>
    <row r="34" spans="1:218" s="4" customFormat="1" x14ac:dyDescent="0.25">
      <c r="A34" s="14" t="s">
        <v>72</v>
      </c>
      <c r="B34" s="67">
        <f t="shared" ref="B34:B35" si="235">C34+D34</f>
        <v>20</v>
      </c>
      <c r="C34" s="33">
        <v>11.6</v>
      </c>
      <c r="D34" s="33">
        <v>8.4</v>
      </c>
      <c r="E34" s="38">
        <f t="shared" ref="E34:E35" si="236">D34/B34</f>
        <v>0.42000000000000004</v>
      </c>
      <c r="F34" s="108">
        <f t="shared" ref="F34:F35" si="237">O34/B34</f>
        <v>67.605999999999995</v>
      </c>
      <c r="G34" s="32">
        <f t="shared" ref="G34:G35" si="238">P34/B34</f>
        <v>18.253620000000002</v>
      </c>
      <c r="H34" s="33">
        <v>61.6</v>
      </c>
      <c r="I34" s="32">
        <f>$HB34*H34</f>
        <v>16.632000000000001</v>
      </c>
      <c r="J34" s="33">
        <v>75.900000000000006</v>
      </c>
      <c r="K34" s="32">
        <f>$HB34*J34</f>
        <v>20.493000000000002</v>
      </c>
      <c r="L34" s="32">
        <f t="shared" ref="L34:L35" si="239">10/G34</f>
        <v>0.54783653872492133</v>
      </c>
      <c r="M34" s="32">
        <f t="shared" ref="M34:M35" si="240">10/I34</f>
        <v>0.60125060125060115</v>
      </c>
      <c r="N34" s="32">
        <f t="shared" ref="N34:N35" si="241">10/K34</f>
        <v>0.48797150246425602</v>
      </c>
      <c r="O34" s="107">
        <f t="shared" ref="O34:O35" si="242">R34+T34</f>
        <v>1352.12</v>
      </c>
      <c r="P34" s="68">
        <f t="shared" ref="P34:P35" si="243">S34+U34</f>
        <v>365.07240000000002</v>
      </c>
      <c r="Q34" s="68"/>
      <c r="R34" s="67">
        <f t="shared" ref="R34:R35" si="244">C34*H34</f>
        <v>714.56</v>
      </c>
      <c r="S34" s="67">
        <f t="shared" ref="S34:S35" si="245">C34*I34</f>
        <v>192.93120000000002</v>
      </c>
      <c r="T34" s="67">
        <f t="shared" ref="T34:T35" si="246">D34*J34</f>
        <v>637.56000000000006</v>
      </c>
      <c r="U34" s="67">
        <f t="shared" ref="U34:U35" si="247">D34*K34</f>
        <v>172.14120000000003</v>
      </c>
      <c r="V34" s="600">
        <f t="shared" ref="V34:V35" si="248">U34/P34</f>
        <v>0.47152619589977224</v>
      </c>
      <c r="W34" s="294">
        <f t="shared" ref="W34:W35" si="249">($C34*AF34+$D34*AO34)/$B34</f>
        <v>0.51723286728248008</v>
      </c>
      <c r="X34" s="294">
        <f t="shared" ref="X34:X35" si="250">($C34*AG34+$D34*AP34)/$B34</f>
        <v>0.12312672962201147</v>
      </c>
      <c r="Y34" s="294">
        <f t="shared" ref="Y34:Y35" si="251">($C34*AH34+$D34*AQ34)/$B34</f>
        <v>4.4614144210153844E-3</v>
      </c>
      <c r="Z34" s="294">
        <f t="shared" ref="Z34:Z35" si="252">($C34*AI34+$D34*AR34)/$B34</f>
        <v>0.10838141405704942</v>
      </c>
      <c r="AA34" s="294">
        <f t="shared" ref="AA34:AA35" si="253">($C34*AJ34+$D34*AS34)/$B34</f>
        <v>6.0138118534440989E-2</v>
      </c>
      <c r="AB34" s="294">
        <f t="shared" ref="AB34:AB35" si="254">($C34*AK34+$D34*AT34)/$B34</f>
        <v>4.8408892291828785E-2</v>
      </c>
      <c r="AC34" s="294">
        <f t="shared" ref="AC34:AC35" si="255">($C34*AL34+$D34*AU34)/$B34</f>
        <v>2.7996932745068065E-2</v>
      </c>
      <c r="AD34" s="294">
        <f t="shared" ref="AD34:AD35" si="256">($C34*AM34+$D34*AV34)/$B34</f>
        <v>0.1100005987065473</v>
      </c>
      <c r="AE34" s="294">
        <f t="shared" ref="AE34:AE35" si="257">($C34*AN34+$D34*AW34)/$B34</f>
        <v>2.1204993403145666E-4</v>
      </c>
      <c r="AF34" s="433">
        <v>0.71511060573821572</v>
      </c>
      <c r="AG34" s="433">
        <v>0.16678621526948259</v>
      </c>
      <c r="AH34" s="433">
        <v>7.6901189321109138E-3</v>
      </c>
      <c r="AI34" s="433">
        <v>7.3232573782964758E-2</v>
      </c>
      <c r="AJ34" s="433">
        <v>1.309016326479184E-2</v>
      </c>
      <c r="AK34" s="433">
        <v>8.9053046222622254E-3</v>
      </c>
      <c r="AL34" s="433">
        <v>1.7627509905322376E-3</v>
      </c>
      <c r="AM34" s="433">
        <v>1.2986004745228279E-2</v>
      </c>
      <c r="AN34" s="433">
        <v>3.6560333453699423E-4</v>
      </c>
      <c r="AO34" s="433">
        <v>0.24397313322455927</v>
      </c>
      <c r="AP34" s="433">
        <v>6.2835058965979934E-2</v>
      </c>
      <c r="AQ34" s="433">
        <v>2.7272390263204764E-6</v>
      </c>
      <c r="AR34" s="433">
        <v>0.15692028872126157</v>
      </c>
      <c r="AS34" s="433">
        <v>0.12510910438300407</v>
      </c>
      <c r="AT34" s="433">
        <v>0.10296146574027784</v>
      </c>
      <c r="AU34" s="433">
        <v>6.4225088501331823E-2</v>
      </c>
      <c r="AV34" s="433">
        <v>0.24397313322455927</v>
      </c>
      <c r="AW34" s="433">
        <v>0</v>
      </c>
      <c r="AX34" s="554">
        <f>BA34*$B34/10^3</f>
        <v>4.0338955300406596</v>
      </c>
      <c r="AY34" s="554">
        <f t="shared" ref="AY34:AZ35" si="258">BB34*$B34/10^3</f>
        <v>1.8696345748955214</v>
      </c>
      <c r="AZ34" s="554">
        <f t="shared" si="258"/>
        <v>2.1642609551451382</v>
      </c>
      <c r="BA34" s="67">
        <f t="shared" ref="BA34:BA35" si="259">BB34+BC34</f>
        <v>201.69477650203299</v>
      </c>
      <c r="BB34" s="67">
        <f>(BE34*$C34+BH34*$D34)/$B34</f>
        <v>93.481728744776063</v>
      </c>
      <c r="BC34" s="67">
        <f>(BF34*$C34+BI34*$D34)/$B34</f>
        <v>108.21304775725692</v>
      </c>
      <c r="BD34" s="67">
        <f t="shared" ref="BD34:BD35" si="260">BE34+BF34</f>
        <v>247.25521603516057</v>
      </c>
      <c r="BE34" s="105">
        <v>119.52871939633211</v>
      </c>
      <c r="BF34" s="105">
        <v>127.72649663882848</v>
      </c>
      <c r="BG34" s="68">
        <f t="shared" ref="BG34:BG35" si="261">BH34+BI34</f>
        <v>138.7779790515234</v>
      </c>
      <c r="BH34" s="106">
        <v>57.512074987865319</v>
      </c>
      <c r="BI34" s="106">
        <v>81.265904063658098</v>
      </c>
      <c r="BJ34" s="554">
        <f>BM34*$B34/10^3</f>
        <v>1.8631957163588535</v>
      </c>
      <c r="BK34" s="554">
        <f t="shared" ref="BK34:BK35" si="262">BN34*$B34/10^3</f>
        <v>0.24</v>
      </c>
      <c r="BL34" s="554">
        <f t="shared" ref="BL34:BL35" si="263">BO34*$B34/10^3</f>
        <v>1.6231957163588535</v>
      </c>
      <c r="BM34" s="32">
        <f t="shared" ref="BM34:BM35" si="264">BN34+BO34</f>
        <v>93.159785817942677</v>
      </c>
      <c r="BN34" s="32">
        <f>(BR34*$C34+BW34*$D34)/$B34</f>
        <v>12</v>
      </c>
      <c r="BO34" s="67">
        <f>(BS34*$C34+BX34*$D34)/$B34</f>
        <v>81.159785817942677</v>
      </c>
      <c r="BP34" s="270"/>
      <c r="BQ34" s="67">
        <f t="shared" ref="BQ34:BQ35" si="265">BR34+BS34</f>
        <v>107.79487247912135</v>
      </c>
      <c r="BR34" s="105">
        <v>12</v>
      </c>
      <c r="BS34" s="67">
        <f>(1-BU34)*BF34</f>
        <v>95.794872479121352</v>
      </c>
      <c r="BT34" s="67"/>
      <c r="BU34" s="34">
        <f t="shared" ref="BU34:BU35" si="266">BU$17</f>
        <v>0.25</v>
      </c>
      <c r="BV34" s="68">
        <f t="shared" ref="BV34:BV35" si="267">BW34+BX34</f>
        <v>72.949428047743567</v>
      </c>
      <c r="BW34" s="105">
        <v>12</v>
      </c>
      <c r="BX34" s="67">
        <f>(1-BZ34)*BI34</f>
        <v>60.949428047743574</v>
      </c>
      <c r="BY34" s="67"/>
      <c r="BZ34" s="34">
        <f t="shared" ref="BZ34:BZ35" si="268">BZ$17</f>
        <v>0.25</v>
      </c>
      <c r="CA34" s="294"/>
      <c r="CB34" s="294"/>
      <c r="CC34" s="294"/>
      <c r="CD34" s="32">
        <f t="shared" si="229"/>
        <v>108.53499068409032</v>
      </c>
      <c r="CE34" s="67">
        <f t="shared" si="229"/>
        <v>81.481728744776063</v>
      </c>
      <c r="CF34" s="67">
        <f t="shared" si="229"/>
        <v>27.05326193931424</v>
      </c>
      <c r="CG34" s="32">
        <f t="shared" si="230"/>
        <v>139.46034355603922</v>
      </c>
      <c r="CH34" s="67">
        <f t="shared" si="230"/>
        <v>107.52871939633211</v>
      </c>
      <c r="CI34" s="67">
        <f t="shared" si="230"/>
        <v>31.931624159707127</v>
      </c>
      <c r="CJ34" s="67">
        <f t="shared" si="231"/>
        <v>65.828551003779836</v>
      </c>
      <c r="CK34" s="67">
        <f t="shared" si="231"/>
        <v>45.512074987865319</v>
      </c>
      <c r="CL34" s="67">
        <f t="shared" si="231"/>
        <v>20.316476015914525</v>
      </c>
      <c r="CM34" s="68"/>
      <c r="CN34" s="293"/>
      <c r="CO34" s="293"/>
      <c r="CS34" s="32">
        <f t="shared" ref="CS34:CS35" si="269">(CT34*$C34+CU34*$D34)/$B34</f>
        <v>7.3680000000000003</v>
      </c>
      <c r="CT34" s="33">
        <v>8.67</v>
      </c>
      <c r="CU34" s="99">
        <v>5.57</v>
      </c>
      <c r="CY34" s="97">
        <f>CZ34*$HB34</f>
        <v>5.3214543569853966E-2</v>
      </c>
      <c r="CZ34" s="263">
        <f>(BA34-BM34-EN34*CF34)/'Amortization metrics'!$D$4/G34</f>
        <v>0.19709090211057023</v>
      </c>
      <c r="DA34" s="527">
        <f>10^3*CZ34/$HF34</f>
        <v>34.760300195867771</v>
      </c>
      <c r="DB34" s="528">
        <f>CZ34/$HH34</f>
        <v>13.139393474038016</v>
      </c>
      <c r="DC34" s="97">
        <f>DD34*$HB34</f>
        <v>7.5213280218239975E-2</v>
      </c>
      <c r="DD34" s="263">
        <f>(BD34-BQ34-EQ34*CI34)/'Amortization metrics'!$D$4/I34</f>
        <v>0.27856770451199991</v>
      </c>
      <c r="DE34" s="527">
        <f>10^3*DD34/$HF34</f>
        <v>49.130106615873011</v>
      </c>
      <c r="DF34" s="528">
        <f>DD34/$HH34</f>
        <v>18.571180300799995</v>
      </c>
      <c r="DG34" s="97">
        <f>DH34*$HB34</f>
        <v>2.8613985068094632E-2</v>
      </c>
      <c r="DH34" s="263">
        <f>(BG34-BV34-EX34*CL34)/'Amortization metrics'!$D$4/K34</f>
        <v>0.10597772247442455</v>
      </c>
      <c r="DI34" s="527">
        <f>10^3*DH34/$HF34</f>
        <v>18.690956344695692</v>
      </c>
      <c r="DJ34" s="528">
        <f>DH34/$HH34</f>
        <v>7.0651814982949706</v>
      </c>
      <c r="DK34" s="97">
        <f>DL34*$HB34</f>
        <v>5.4727338403831767E-2</v>
      </c>
      <c r="DL34" s="263">
        <f>$EF$11*DX34</f>
        <v>0.20269384594011763</v>
      </c>
      <c r="DM34" s="527">
        <f>10^3*DL34/$HF34</f>
        <v>35.74847371077913</v>
      </c>
      <c r="DN34" s="528">
        <f>DL34/$HH34</f>
        <v>13.51292306267451</v>
      </c>
      <c r="DO34" s="97">
        <f>DP34*$HB34</f>
        <v>7.0677037363930578E-2</v>
      </c>
      <c r="DP34" s="263">
        <f>$EF$11*EA34</f>
        <v>0.26176680505159472</v>
      </c>
      <c r="DQ34" s="527">
        <f>10^3*DP34/$HF34</f>
        <v>46.166985017917945</v>
      </c>
      <c r="DR34" s="528">
        <f>DP34/$HH34</f>
        <v>17.451120336772981</v>
      </c>
      <c r="DS34" s="97">
        <f>DT34*$HB34</f>
        <v>3.6851347298793483E-2</v>
      </c>
      <c r="DT34" s="263">
        <f>$EF$11*ED34</f>
        <v>0.1364864714770129</v>
      </c>
      <c r="DU34" s="527">
        <f>10^3*DT34/$HF34</f>
        <v>24.07168809118394</v>
      </c>
      <c r="DV34" s="528">
        <f>DT34/$HH34</f>
        <v>9.0990980984675272</v>
      </c>
      <c r="DW34" s="97">
        <f>DX34*$HB34</f>
        <v>0.10898440966778097</v>
      </c>
      <c r="DX34" s="263">
        <f>CS34/G34</f>
        <v>0.4036459617325221</v>
      </c>
      <c r="DY34" s="68">
        <f>10^3*DX34/$HF34</f>
        <v>71.189763973989798</v>
      </c>
      <c r="DZ34" s="97">
        <f>EA34*$HB34</f>
        <v>0.14074675324675323</v>
      </c>
      <c r="EA34" s="263">
        <f>CT34/I34</f>
        <v>0.52128427128427124</v>
      </c>
      <c r="EB34" s="68">
        <f>10^3*EA34/$HF34</f>
        <v>91.937261249430563</v>
      </c>
      <c r="EC34" s="97">
        <f>ED34*$HB34</f>
        <v>7.3386034255599475E-2</v>
      </c>
      <c r="ED34" s="263">
        <f>CU34/K34</f>
        <v>0.27180012687259064</v>
      </c>
      <c r="EE34" s="68">
        <f>10^3*ED34/$HF34</f>
        <v>47.936530312626218</v>
      </c>
      <c r="EF34" s="60"/>
      <c r="EG34" s="60"/>
      <c r="EH34" s="60"/>
      <c r="EI34" s="554">
        <f>EK34*$P34</f>
        <v>24.258212805968</v>
      </c>
      <c r="EJ34" s="262">
        <f>EK34*$HB34</f>
        <v>1.794087270802E-2</v>
      </c>
      <c r="EK34" s="166">
        <f>(EP34*S34+EW34*U34)/P34</f>
        <v>6.6447676696370361E-2</v>
      </c>
      <c r="EL34" s="68">
        <f>10^3*EK34/$HF34</f>
        <v>11.719166965850155</v>
      </c>
      <c r="EM34" s="97">
        <f>EK34/$HH34</f>
        <v>4.4298451130913579</v>
      </c>
      <c r="EN34" s="429">
        <f>(EQ34*C34+EX34*D34)/B34</f>
        <v>2.2411999999999998E-2</v>
      </c>
      <c r="EO34" s="262">
        <f>EP34*$HB34</f>
        <v>1.2655449179870128E-2</v>
      </c>
      <c r="EP34" s="436">
        <f>EQ34*EU34/I34</f>
        <v>4.6872033999518989E-2</v>
      </c>
      <c r="EQ34" s="101">
        <v>1.46E-2</v>
      </c>
      <c r="ER34" s="101">
        <v>0.94099999999999995</v>
      </c>
      <c r="ES34" s="101">
        <v>5.8999999999999997E-2</v>
      </c>
      <c r="ET34" s="429">
        <f t="shared" ref="ET34:ET35" si="270">1-ER34-ES34</f>
        <v>5.5511151231257827E-17</v>
      </c>
      <c r="EU34" s="430">
        <f>ER34*$FC34+ES34*$FD34+ET34*$FE34+'Amortization metrics'!$B$6*(ER34*$FF34+ES34*$FG34+ET34*$FH34)/10^3+'Amortization metrics'!$B$5*(ER34*$FI34+ES34*$FJ34+ET34*$FK34)/10^3</f>
        <v>53.395593799999993</v>
      </c>
      <c r="EV34" s="262">
        <f>EW34*$HB34</f>
        <v>2.3864632411067194E-2</v>
      </c>
      <c r="EW34" s="436">
        <f>EX34*FB34/K34</f>
        <v>8.8387527448397007E-2</v>
      </c>
      <c r="EX34" s="101">
        <v>3.32E-2</v>
      </c>
      <c r="EY34" s="433">
        <v>1</v>
      </c>
      <c r="EZ34" s="433">
        <v>0</v>
      </c>
      <c r="FA34" s="434">
        <f t="shared" ref="FA34:FA35" si="271">1-EY34-EZ34</f>
        <v>0</v>
      </c>
      <c r="FB34" s="430">
        <f>EY34*$FC34+EZ34*$FD34+FA34*$FE34+'Amortization metrics'!$B$6*(EY34*$FF34+EZ34*$FG34+FA34*$FH34)/10^3+'Amortization metrics'!$B$5*(EY34*$FI34+EZ34*$FJ34+FA34*$FK34)/10^3</f>
        <v>54.558</v>
      </c>
      <c r="FC34" s="431">
        <v>51.3</v>
      </c>
      <c r="FD34" s="431">
        <v>29</v>
      </c>
      <c r="FE34" s="431">
        <v>29</v>
      </c>
      <c r="FF34" s="99">
        <v>5</v>
      </c>
      <c r="FG34" s="431">
        <v>13</v>
      </c>
      <c r="FH34" s="431">
        <v>13</v>
      </c>
      <c r="FI34" s="431">
        <v>52</v>
      </c>
      <c r="FJ34" s="431">
        <v>58.3</v>
      </c>
      <c r="FK34" s="431">
        <v>58.3</v>
      </c>
      <c r="FL34" s="554">
        <f>FO34+FP34+FM34+FN34+FQ34</f>
        <v>48.711584479465586</v>
      </c>
      <c r="FM34" s="554">
        <f>GC34*$P34</f>
        <v>16.177054926650701</v>
      </c>
      <c r="FN34" s="554">
        <f>GE34*$P34</f>
        <v>0.85198676701329568</v>
      </c>
      <c r="FO34" s="554">
        <f>GG34*$P34</f>
        <v>8.2033723445519993</v>
      </c>
      <c r="FP34" s="554">
        <f>GI34*$P34</f>
        <v>14.717432841249598</v>
      </c>
      <c r="FQ34" s="554">
        <f>GA34*$P34</f>
        <v>8.7617376</v>
      </c>
      <c r="FR34" s="167">
        <f>FS34*HB34</f>
        <v>3.6026080879999998E-2</v>
      </c>
      <c r="FS34" s="166">
        <f>FY34+FW34+GA34</f>
        <v>0.13342992918518518</v>
      </c>
      <c r="FT34" s="68">
        <f>10^3*FS34/$HF34</f>
        <v>23.532615376575876</v>
      </c>
      <c r="FU34" s="97">
        <f>FS34/$HH34</f>
        <v>8.8953286123456792</v>
      </c>
      <c r="FV34" s="473">
        <f>FW34*HB34</f>
        <v>1.2594327199999998E-2</v>
      </c>
      <c r="FW34" s="269">
        <f>GC34+GE34</f>
        <v>4.6645656296296287E-2</v>
      </c>
      <c r="FX34" s="473">
        <f>FY34*HB34</f>
        <v>1.6951753680000001E-2</v>
      </c>
      <c r="FY34" s="269">
        <f>GG34+GI34</f>
        <v>6.2784272888888881E-2</v>
      </c>
      <c r="FZ34" s="473">
        <f>GA34*HB34</f>
        <v>6.4800000000000005E-3</v>
      </c>
      <c r="GA34" s="604">
        <v>2.4E-2</v>
      </c>
      <c r="GB34" s="435">
        <v>1.1964215400001999E-2</v>
      </c>
      <c r="GC34" s="522">
        <f>GB34/$HB34</f>
        <v>4.4311908888896287E-2</v>
      </c>
      <c r="GD34" s="435">
        <v>6.3011179999799996E-4</v>
      </c>
      <c r="GE34" s="522">
        <f>GD34/$HB34</f>
        <v>2.3337474073999998E-3</v>
      </c>
      <c r="GF34" s="435">
        <v>6.0670445999999999E-3</v>
      </c>
      <c r="GG34" s="522">
        <f>GF34/$HB34</f>
        <v>2.2470535555555553E-2</v>
      </c>
      <c r="GH34" s="435">
        <v>1.0884709079999999E-2</v>
      </c>
      <c r="GI34" s="522">
        <f>GH34/$HB34</f>
        <v>4.0313737333333328E-2</v>
      </c>
      <c r="GJ34" s="599">
        <f>44/12*CZ34+$FS34+$EK34</f>
        <v>0.92254424695364623</v>
      </c>
      <c r="GK34" s="527">
        <f>10^3*GJ34/$HF34</f>
        <v>162.70621639394116</v>
      </c>
      <c r="GM34" s="599">
        <f>44/12*DD34+$FS34+$EP34</f>
        <v>1.2017168797287039</v>
      </c>
      <c r="GN34" s="527">
        <f>10^3*GM34/$HF34</f>
        <v>211.94301229783139</v>
      </c>
      <c r="GP34" s="599">
        <f>44/12*DH34+$FS34+$EW34</f>
        <v>0.61040243903980551</v>
      </c>
      <c r="GQ34" s="527">
        <f>10^3*GP34/$HF34</f>
        <v>107.65475115340486</v>
      </c>
      <c r="GS34" s="599">
        <f>44/12*DL34+$FS34+$EK34</f>
        <v>0.94308837432865356</v>
      </c>
      <c r="GT34" s="527">
        <f>10^3*GS34/$HF34</f>
        <v>166.3295192819495</v>
      </c>
      <c r="GV34" s="599">
        <f>44/12*DP34+$FS34+$EP34</f>
        <v>1.1401135817072181</v>
      </c>
      <c r="GW34" s="527">
        <f>10^3*GV34/$HF34</f>
        <v>201.0782331053295</v>
      </c>
      <c r="GY34" s="599">
        <f>44/12*DT34+$FS34+$EW34</f>
        <v>0.722267852049296</v>
      </c>
      <c r="GZ34" s="527">
        <f>10^3*GY34/$HF34</f>
        <v>127.38410089052843</v>
      </c>
      <c r="HB34" s="31">
        <v>0.27</v>
      </c>
      <c r="HC34" s="32">
        <f t="shared" ref="HC34:HC35" si="272">$HB34*HD34</f>
        <v>4.59</v>
      </c>
      <c r="HD34" s="33">
        <v>17</v>
      </c>
      <c r="HE34" s="32">
        <f t="shared" ref="HE34:HE35" si="273">$HB34*HF34</f>
        <v>1.5308999999999999</v>
      </c>
      <c r="HF34" s="41">
        <f>'Crops proc. &amp; prod. AMORTIZED'!OB63*'Crops proc. &amp; prod. AMORTIZED'!C63</f>
        <v>5.669999999999999</v>
      </c>
      <c r="HG34" s="36">
        <f t="shared" ref="HG34:HG35" si="274">$HB34*HH34</f>
        <v>4.0499999999999998E-3</v>
      </c>
      <c r="HH34" s="35">
        <v>1.4999999999999999E-2</v>
      </c>
      <c r="HI34" s="36">
        <f t="shared" ref="HI34:HI35" si="275">$HB34*HJ34</f>
        <v>0</v>
      </c>
      <c r="HJ34" s="35">
        <v>0</v>
      </c>
    </row>
    <row r="35" spans="1:218" s="4" customFormat="1" x14ac:dyDescent="0.25">
      <c r="A35" s="14" t="s">
        <v>73</v>
      </c>
      <c r="B35" s="67">
        <f t="shared" si="235"/>
        <v>5.5</v>
      </c>
      <c r="C35" s="33">
        <v>4.2</v>
      </c>
      <c r="D35" s="33">
        <v>1.3</v>
      </c>
      <c r="E35" s="38">
        <f t="shared" si="236"/>
        <v>0.23636363636363636</v>
      </c>
      <c r="F35" s="108">
        <f t="shared" si="237"/>
        <v>46.596363636363641</v>
      </c>
      <c r="G35" s="32">
        <f t="shared" si="238"/>
        <v>11.183127272727273</v>
      </c>
      <c r="H35" s="33">
        <v>43.5</v>
      </c>
      <c r="I35" s="32">
        <f>$HB35*H35</f>
        <v>10.44</v>
      </c>
      <c r="J35" s="33">
        <v>56.6</v>
      </c>
      <c r="K35" s="32">
        <f>$HB35*J35</f>
        <v>13.584</v>
      </c>
      <c r="L35" s="32">
        <f t="shared" si="239"/>
        <v>0.89420425576192708</v>
      </c>
      <c r="M35" s="32">
        <f t="shared" si="240"/>
        <v>0.95785440613026829</v>
      </c>
      <c r="N35" s="32">
        <f t="shared" si="241"/>
        <v>0.73616018845700826</v>
      </c>
      <c r="O35" s="107">
        <f t="shared" si="242"/>
        <v>256.28000000000003</v>
      </c>
      <c r="P35" s="68">
        <f t="shared" si="243"/>
        <v>61.507199999999997</v>
      </c>
      <c r="Q35" s="68"/>
      <c r="R35" s="67">
        <f t="shared" si="244"/>
        <v>182.70000000000002</v>
      </c>
      <c r="S35" s="67">
        <f t="shared" si="245"/>
        <v>43.847999999999999</v>
      </c>
      <c r="T35" s="67">
        <f t="shared" si="246"/>
        <v>73.58</v>
      </c>
      <c r="U35" s="67">
        <f t="shared" si="247"/>
        <v>17.659199999999998</v>
      </c>
      <c r="V35" s="109">
        <f t="shared" si="248"/>
        <v>0.28710785078820039</v>
      </c>
      <c r="W35" s="294">
        <f t="shared" si="249"/>
        <v>2.4875811214215366E-4</v>
      </c>
      <c r="X35" s="294">
        <f t="shared" si="250"/>
        <v>0.2875121140948243</v>
      </c>
      <c r="Y35" s="294">
        <f t="shared" si="251"/>
        <v>0.4815200896178562</v>
      </c>
      <c r="Z35" s="294">
        <f t="shared" si="252"/>
        <v>1.2890176198510767E-5</v>
      </c>
      <c r="AA35" s="294">
        <f t="shared" si="253"/>
        <v>9.0332875629324502E-2</v>
      </c>
      <c r="AB35" s="294">
        <f t="shared" si="254"/>
        <v>0.11435808491659466</v>
      </c>
      <c r="AC35" s="294">
        <f t="shared" si="255"/>
        <v>1.7038154989082489E-2</v>
      </c>
      <c r="AD35" s="294">
        <f t="shared" si="256"/>
        <v>1.2258669007229257E-6</v>
      </c>
      <c r="AE35" s="294">
        <f t="shared" si="257"/>
        <v>8.8797110757895519E-3</v>
      </c>
      <c r="AF35" s="433">
        <v>3.2575467066234411E-4</v>
      </c>
      <c r="AG35" s="433">
        <v>0.299529558983194</v>
      </c>
      <c r="AH35" s="433">
        <v>0.56778868837154817</v>
      </c>
      <c r="AI35" s="433">
        <v>1.6879992640906957E-5</v>
      </c>
      <c r="AJ35" s="433">
        <v>7.2181451067406574E-2</v>
      </c>
      <c r="AK35" s="433">
        <v>4.6198764296976759E-2</v>
      </c>
      <c r="AL35" s="433">
        <v>3.0396148131615879E-3</v>
      </c>
      <c r="AM35" s="433">
        <v>1.6053018938038312E-6</v>
      </c>
      <c r="AN35" s="433">
        <v>1.0880590299666568E-2</v>
      </c>
      <c r="AO35" s="433">
        <v>0</v>
      </c>
      <c r="AP35" s="433">
        <v>0.24868652291701446</v>
      </c>
      <c r="AQ35" s="433">
        <v>0.20280615518285142</v>
      </c>
      <c r="AR35" s="433">
        <v>0</v>
      </c>
      <c r="AS35" s="433">
        <v>0.14897593959859778</v>
      </c>
      <c r="AT35" s="433">
        <v>0.334565120764591</v>
      </c>
      <c r="AU35" s="433">
        <v>6.226420786513464E-2</v>
      </c>
      <c r="AV35" s="433">
        <v>0</v>
      </c>
      <c r="AW35" s="433">
        <v>2.4153320448022657E-3</v>
      </c>
      <c r="AX35" s="554">
        <f>BA35*$B35/10^3</f>
        <v>0.81806307472634787</v>
      </c>
      <c r="AY35" s="554">
        <f t="shared" si="258"/>
        <v>0.30290828537596459</v>
      </c>
      <c r="AZ35" s="554">
        <f t="shared" si="258"/>
        <v>0.51515478935038328</v>
      </c>
      <c r="BA35" s="67">
        <f t="shared" si="259"/>
        <v>148.73874085933596</v>
      </c>
      <c r="BB35" s="67">
        <f>(BE35*$C35+BH35*$D35)/$B35</f>
        <v>55.074233704720832</v>
      </c>
      <c r="BC35" s="67">
        <f>(BF35*$C35+BI35*$D35)/$B35</f>
        <v>93.664507154615137</v>
      </c>
      <c r="BD35" s="67">
        <f t="shared" si="260"/>
        <v>162.58418853582623</v>
      </c>
      <c r="BE35" s="105">
        <v>61.14569668309835</v>
      </c>
      <c r="BF35" s="105">
        <v>101.43849185272788</v>
      </c>
      <c r="BG35" s="68">
        <f t="shared" si="261"/>
        <v>104.00729451990588</v>
      </c>
      <c r="BH35" s="106">
        <v>35.458737928424256</v>
      </c>
      <c r="BI35" s="106">
        <v>68.548556591481628</v>
      </c>
      <c r="BJ35" s="554">
        <f>BM35*$B35/10^3</f>
        <v>0.40558709201278736</v>
      </c>
      <c r="BK35" s="554">
        <f t="shared" si="262"/>
        <v>1.9220999999999999E-2</v>
      </c>
      <c r="BL35" s="554">
        <f t="shared" si="263"/>
        <v>0.38636609201278738</v>
      </c>
      <c r="BM35" s="32">
        <f t="shared" si="264"/>
        <v>73.743107638688613</v>
      </c>
      <c r="BN35" s="32">
        <f>(BR35*$C35+BW35*$D35)/$B35</f>
        <v>3.4947272727272729</v>
      </c>
      <c r="BO35" s="67">
        <f>(BS35*$C35+BX35*$D35)/$B35</f>
        <v>70.248380365961339</v>
      </c>
      <c r="BP35" s="270"/>
      <c r="BQ35" s="67">
        <f t="shared" si="265"/>
        <v>79.341368889545905</v>
      </c>
      <c r="BR35" s="32">
        <f>I35*0.5*2.5*0.25</f>
        <v>3.2624999999999997</v>
      </c>
      <c r="BS35" s="67">
        <f>(1-BU35)*BF35</f>
        <v>76.078868889545902</v>
      </c>
      <c r="BT35" s="67"/>
      <c r="BU35" s="34">
        <f t="shared" si="266"/>
        <v>0.25</v>
      </c>
      <c r="BV35" s="68">
        <f t="shared" si="267"/>
        <v>55.656417443611218</v>
      </c>
      <c r="BW35" s="32">
        <f>K35*0.5*2.5*0.25</f>
        <v>4.2450000000000001</v>
      </c>
      <c r="BX35" s="67">
        <f>(1-BZ35)*BI35</f>
        <v>51.411417443611221</v>
      </c>
      <c r="BY35" s="67"/>
      <c r="BZ35" s="34">
        <f t="shared" si="268"/>
        <v>0.25</v>
      </c>
      <c r="CA35" s="294"/>
      <c r="CB35" s="294"/>
      <c r="CC35" s="294"/>
      <c r="CD35" s="67">
        <f t="shared" si="229"/>
        <v>74.995633220647349</v>
      </c>
      <c r="CE35" s="67">
        <f t="shared" si="229"/>
        <v>51.579506431993558</v>
      </c>
      <c r="CF35" s="67">
        <f t="shared" si="229"/>
        <v>23.416126788653798</v>
      </c>
      <c r="CG35" s="67">
        <f t="shared" si="230"/>
        <v>83.242819646280324</v>
      </c>
      <c r="CH35" s="67">
        <f t="shared" si="230"/>
        <v>57.883196683098348</v>
      </c>
      <c r="CI35" s="67">
        <f t="shared" si="230"/>
        <v>25.359622963181977</v>
      </c>
      <c r="CJ35" s="67">
        <f t="shared" si="231"/>
        <v>48.350877076294665</v>
      </c>
      <c r="CK35" s="67">
        <f t="shared" si="231"/>
        <v>31.213737928424255</v>
      </c>
      <c r="CL35" s="67">
        <f t="shared" si="231"/>
        <v>17.137139147870407</v>
      </c>
      <c r="CM35" s="68"/>
      <c r="CN35" s="293"/>
      <c r="CO35" s="293"/>
      <c r="CS35" s="32">
        <f t="shared" si="269"/>
        <v>5.212545454545455</v>
      </c>
      <c r="CT35" s="33">
        <v>5.56</v>
      </c>
      <c r="CU35" s="99">
        <v>4.09</v>
      </c>
      <c r="CY35" s="97">
        <f>CZ35*$HB35</f>
        <v>5.3370576941557432E-2</v>
      </c>
      <c r="CZ35" s="263">
        <f>(BA35-BM35-EN35*CF35)/'Amortization metrics'!$D$4/G35</f>
        <v>0.22237740392315597</v>
      </c>
      <c r="DA35" s="527">
        <f>10^3*CZ35/$HF35</f>
        <v>24.958182258491131</v>
      </c>
      <c r="DB35" s="528">
        <f>CZ35/$HH35</f>
        <v>6.3536401120901695</v>
      </c>
      <c r="DC35" s="97">
        <f>DD35*$HB35</f>
        <v>6.3412550898920242E-2</v>
      </c>
      <c r="DD35" s="263">
        <f>(BD35-BQ35-EQ35*CI35)/'Amortization metrics'!$D$4/I35</f>
        <v>0.26421896207883433</v>
      </c>
      <c r="DE35" s="527">
        <f>10^3*DD35/$HF35</f>
        <v>29.654204498185674</v>
      </c>
      <c r="DF35" s="528">
        <f>DD35/$HH35</f>
        <v>7.5491132022524088</v>
      </c>
      <c r="DG35" s="97">
        <f>DH35*$HB35</f>
        <v>2.8394452275095232E-2</v>
      </c>
      <c r="DH35" s="263">
        <f>(BG35-BV35-EX35*CL35)/'Amortization metrics'!$D$4/K35</f>
        <v>0.1183102178128968</v>
      </c>
      <c r="DI35" s="527">
        <f>10^3*DH35/$HF35</f>
        <v>13.278363390897507</v>
      </c>
      <c r="DJ35" s="528">
        <f>DH35/$HH35</f>
        <v>3.3802919375113367</v>
      </c>
      <c r="DK35" s="97">
        <f>DL35*$HB35</f>
        <v>5.6174314383421999E-2</v>
      </c>
      <c r="DL35" s="263">
        <f>$EF$11*DX35</f>
        <v>0.23405964326425835</v>
      </c>
      <c r="DM35" s="527">
        <f>10^3*DL35/$HF35</f>
        <v>26.269320231678826</v>
      </c>
      <c r="DN35" s="528">
        <f>DL35/$HH35</f>
        <v>6.6874183789788093</v>
      </c>
      <c r="DO35" s="97">
        <f>DP35*$HB35</f>
        <v>6.4183808850698715E-2</v>
      </c>
      <c r="DP35" s="263">
        <f>$EF$11*EA35</f>
        <v>0.2674325368779113</v>
      </c>
      <c r="DQ35" s="527">
        <f>10^3*DP35/$HF35</f>
        <v>30.014875070472645</v>
      </c>
      <c r="DR35" s="528">
        <f>DP35/$HH35</f>
        <v>7.6409296250831789</v>
      </c>
      <c r="DS35" s="97">
        <f>DT35*$HB35</f>
        <v>3.6286646006533481E-2</v>
      </c>
      <c r="DT35" s="263">
        <f>$EF$11*ED35</f>
        <v>0.15119435836055617</v>
      </c>
      <c r="DU35" s="527">
        <f>10^3*DT35/$HF35</f>
        <v>16.969063789063544</v>
      </c>
      <c r="DV35" s="528">
        <f>DT35/$HH35</f>
        <v>4.3198388103016043</v>
      </c>
      <c r="DW35" s="97">
        <f>DX35*$HB35</f>
        <v>0.11186592789136883</v>
      </c>
      <c r="DX35" s="263">
        <f>CS35/G35</f>
        <v>0.46610803288070346</v>
      </c>
      <c r="DY35" s="68">
        <f>10^3*DX35/$HF35</f>
        <v>52.312910536554817</v>
      </c>
      <c r="DZ35" s="97">
        <f>EA35*$HB35</f>
        <v>0.12781609195402296</v>
      </c>
      <c r="EA35" s="263">
        <f>CT35/I35</f>
        <v>0.53256704980842906</v>
      </c>
      <c r="EB35" s="68">
        <f>10^3*EA35/$HF35</f>
        <v>59.771834995334345</v>
      </c>
      <c r="EC35" s="97">
        <f>ED35*$HB35</f>
        <v>7.2261484098939927E-2</v>
      </c>
      <c r="ED35" s="263">
        <f>CU35/K35</f>
        <v>0.30108951707891635</v>
      </c>
      <c r="EE35" s="68">
        <f>10^3*ED35/$HF35</f>
        <v>33.792313925804301</v>
      </c>
      <c r="EF35" s="60"/>
      <c r="EG35" s="60"/>
      <c r="EH35" s="60"/>
      <c r="EI35" s="554">
        <f>EK35*$P35</f>
        <v>3.1879480520000008</v>
      </c>
      <c r="EJ35" s="262">
        <f>EK35*$HB35</f>
        <v>1.2439316575620418E-2</v>
      </c>
      <c r="EK35" s="166">
        <f>(EP35*S35+EW35*U35)/P35</f>
        <v>5.1830485731751745E-2</v>
      </c>
      <c r="EL35" s="68">
        <f>10^3*EK35/$HF35</f>
        <v>5.8171139990742695</v>
      </c>
      <c r="EM35" s="97">
        <f>EK35/$HH35</f>
        <v>1.4808710209071925</v>
      </c>
      <c r="EN35" s="429">
        <f>(EQ35*C35+EX35*D35)/B35</f>
        <v>1.6629090909090913E-2</v>
      </c>
      <c r="EO35" s="262">
        <f>EP35*$HB35</f>
        <v>1.546493471264368E-2</v>
      </c>
      <c r="EP35" s="436">
        <f>EQ35*EU35/I35</f>
        <v>6.443722796934867E-2</v>
      </c>
      <c r="EQ35" s="101">
        <v>1.9300000000000001E-2</v>
      </c>
      <c r="ER35" s="433">
        <v>0</v>
      </c>
      <c r="ES35" s="433">
        <v>1</v>
      </c>
      <c r="ET35" s="434">
        <f t="shared" si="270"/>
        <v>0</v>
      </c>
      <c r="EU35" s="430">
        <f>ER35*$FC35+ES35*$FD35+ET35*$FE35+'Amortization metrics'!$B$6*(ER35*$FF35+ES35*$FG35+ET35*$FH35)/10^3+'Amortization metrics'!$B$5*(ER35*$FI35+ES35*$FJ35+ET35*$FK35)/10^3</f>
        <v>34.856200000000001</v>
      </c>
      <c r="EV35" s="262">
        <f>EW35*$HB35</f>
        <v>4.9266713780918726E-3</v>
      </c>
      <c r="EW35" s="436">
        <f>EX35*FB35/K35</f>
        <v>2.0527797408716138E-2</v>
      </c>
      <c r="EX35" s="101">
        <v>8.0000000000000002E-3</v>
      </c>
      <c r="EY35" s="433">
        <v>0</v>
      </c>
      <c r="EZ35" s="433">
        <v>1</v>
      </c>
      <c r="FA35" s="434">
        <f t="shared" si="271"/>
        <v>0</v>
      </c>
      <c r="FB35" s="430">
        <f>EY35*$FC35+EZ35*$FD35+FA35*$FE35+'Amortization metrics'!$B$6*(EY35*$FF35+EZ35*$FG35+FA35*$FH35)/10^3+'Amortization metrics'!$B$5*(EY35*$FI35+EZ35*$FJ35+FA35*$FK35)/10^3</f>
        <v>34.856200000000001</v>
      </c>
      <c r="FC35" s="431">
        <v>51.3</v>
      </c>
      <c r="FD35" s="431">
        <v>29</v>
      </c>
      <c r="FE35" s="431">
        <v>29</v>
      </c>
      <c r="FF35" s="99">
        <v>5</v>
      </c>
      <c r="FG35" s="431">
        <v>13</v>
      </c>
      <c r="FH35" s="431">
        <v>13</v>
      </c>
      <c r="FI35" s="431">
        <v>52</v>
      </c>
      <c r="FJ35" s="431">
        <v>58.3</v>
      </c>
      <c r="FK35" s="431">
        <v>58.3</v>
      </c>
      <c r="FL35" s="554">
        <f>FO35+FP35+FM35+FN35+FQ35</f>
        <v>15.223272836567203</v>
      </c>
      <c r="FM35" s="554">
        <f>GC35*$P35</f>
        <v>5.8481661600845127</v>
      </c>
      <c r="FN35" s="554">
        <f>GE35*$P35</f>
        <v>1.2034221969600001</v>
      </c>
      <c r="FO35" s="554">
        <f>GG35*$P35</f>
        <v>3.1528726548399999</v>
      </c>
      <c r="FP35" s="554">
        <f>GI35*$P35</f>
        <v>5.0188118246826887</v>
      </c>
      <c r="FQ35" s="554"/>
      <c r="FR35" s="167">
        <f>FS35*HB35</f>
        <v>5.9400939739999999E-2</v>
      </c>
      <c r="FS35" s="166">
        <f>FY35+FW35+GA35</f>
        <v>0.24750391558333334</v>
      </c>
      <c r="FT35" s="68">
        <f>10^3*FS35/$HF35</f>
        <v>27.778217237186681</v>
      </c>
      <c r="FU35" s="97">
        <f>FS35/$HH35</f>
        <v>7.071540445238095</v>
      </c>
      <c r="FV35" s="473">
        <f>FW35*HB35</f>
        <v>2.7515172300002003E-2</v>
      </c>
      <c r="FW35" s="269">
        <f>GC35+GE35</f>
        <v>0.11464655125000835</v>
      </c>
      <c r="FX35" s="473">
        <f>FY35*HB35</f>
        <v>3.1885767439997999E-2</v>
      </c>
      <c r="FY35" s="269">
        <f>GG35+GI35</f>
        <v>0.13285736433332501</v>
      </c>
      <c r="FZ35" s="123"/>
      <c r="GA35" s="49"/>
      <c r="GB35" s="435">
        <v>2.2819440300002002E-2</v>
      </c>
      <c r="GC35" s="522">
        <f>GB35/$HB35</f>
        <v>9.5081001250008346E-2</v>
      </c>
      <c r="GD35" s="435">
        <v>4.6957320000000002E-3</v>
      </c>
      <c r="GE35" s="522">
        <f>GD35/$HB35</f>
        <v>1.9565550000000001E-2</v>
      </c>
      <c r="GF35" s="435">
        <v>1.2302453E-2</v>
      </c>
      <c r="GG35" s="522">
        <f>GF35/$HB35</f>
        <v>5.1260220833333335E-2</v>
      </c>
      <c r="GH35" s="435">
        <v>1.9583314439998004E-2</v>
      </c>
      <c r="GI35" s="522">
        <f>GH35/$HB35</f>
        <v>8.1597143499991684E-2</v>
      </c>
      <c r="GJ35" s="599">
        <f>44/12*CZ35+$FS35+$EK35</f>
        <v>1.1147182156999902</v>
      </c>
      <c r="GK35" s="527">
        <f>10^3*GJ35/$HF35</f>
        <v>125.10866618406175</v>
      </c>
      <c r="GM35" s="599">
        <f>44/12*DD35+$FS35+$EP35</f>
        <v>1.2807440045084078</v>
      </c>
      <c r="GN35" s="527">
        <f>10^3*GM35/$HF35</f>
        <v>143.74231251497281</v>
      </c>
      <c r="GP35" s="599">
        <f>44/12*DH35+$FS35+$EW35</f>
        <v>0.70183584497267104</v>
      </c>
      <c r="GQ35" s="527">
        <f>10^3*GP35/$HF35</f>
        <v>78.769455103554549</v>
      </c>
      <c r="GS35" s="599">
        <f>44/12*DL35+$FS35+$EK35</f>
        <v>1.1575530932840323</v>
      </c>
      <c r="GT35" s="527">
        <f>10^3*GS35/$HF35</f>
        <v>129.91617208574996</v>
      </c>
      <c r="GV35" s="599">
        <f>44/12*DP35+$FS35+$EP35</f>
        <v>1.2925271121050232</v>
      </c>
      <c r="GW35" s="527">
        <f>10^3*GV35/$HF35</f>
        <v>145.06477128002504</v>
      </c>
      <c r="GY35" s="599">
        <f>44/12*DT35+$FS35+$EW35</f>
        <v>0.82241102698075541</v>
      </c>
      <c r="GZ35" s="527">
        <f>10^3*GY35/$HF35</f>
        <v>92.302023230163343</v>
      </c>
      <c r="HB35" s="31">
        <v>0.24</v>
      </c>
      <c r="HC35" s="32">
        <f t="shared" si="272"/>
        <v>4.08</v>
      </c>
      <c r="HD35" s="33">
        <v>17</v>
      </c>
      <c r="HE35" s="32">
        <f t="shared" si="273"/>
        <v>2.1383999999999999</v>
      </c>
      <c r="HF35" s="41">
        <f>'Crops proc. &amp; prod. AMORTIZED'!OB68*'Crops proc. &amp; prod. AMORTIZED'!C68</f>
        <v>8.91</v>
      </c>
      <c r="HG35" s="36">
        <f t="shared" si="274"/>
        <v>8.4000000000000012E-3</v>
      </c>
      <c r="HH35" s="35">
        <v>3.5000000000000003E-2</v>
      </c>
      <c r="HI35" s="36">
        <f t="shared" si="275"/>
        <v>0</v>
      </c>
      <c r="HJ35" s="35">
        <v>0</v>
      </c>
    </row>
    <row r="36" spans="1:218" s="4" customFormat="1" x14ac:dyDescent="0.25">
      <c r="A36" s="14"/>
      <c r="C36" s="33"/>
      <c r="D36" s="33"/>
      <c r="E36" s="33"/>
      <c r="H36" s="33"/>
      <c r="J36" s="33"/>
      <c r="O36" s="60"/>
      <c r="W36" s="60"/>
      <c r="X36" s="60"/>
      <c r="Y36" s="60"/>
      <c r="Z36" s="60"/>
      <c r="AA36" s="60"/>
      <c r="AB36" s="60"/>
      <c r="AC36" s="60"/>
      <c r="AD36" s="60"/>
      <c r="AE36" s="60"/>
      <c r="AF36" s="602"/>
      <c r="AG36" s="602"/>
      <c r="AH36" s="602"/>
      <c r="AI36" s="602"/>
      <c r="AJ36" s="602"/>
      <c r="AK36" s="602"/>
      <c r="AL36" s="602"/>
      <c r="AM36" s="602"/>
      <c r="AN36" s="602"/>
      <c r="AO36" s="602"/>
      <c r="AP36" s="602"/>
      <c r="AQ36" s="602"/>
      <c r="AR36" s="602"/>
      <c r="AS36" s="602"/>
      <c r="AT36" s="602"/>
      <c r="AU36" s="602"/>
      <c r="AV36" s="602"/>
      <c r="AW36" s="602"/>
      <c r="AX36" s="60"/>
      <c r="AY36" s="60"/>
      <c r="AZ36" s="60"/>
      <c r="BD36" s="67"/>
      <c r="BE36" s="105"/>
      <c r="BF36" s="105"/>
      <c r="BG36" s="60"/>
      <c r="BH36" s="106"/>
      <c r="BI36" s="106"/>
      <c r="BJ36" s="60"/>
      <c r="BK36" s="60"/>
      <c r="BL36" s="60"/>
      <c r="BM36" s="32"/>
      <c r="BN36" s="32"/>
      <c r="BO36" s="67"/>
      <c r="BP36" s="270"/>
      <c r="BV36" s="60"/>
      <c r="CA36" s="60"/>
      <c r="CB36" s="60"/>
      <c r="CC36" s="60"/>
      <c r="CM36" s="60"/>
      <c r="CN36" s="60"/>
      <c r="CO36" s="60"/>
      <c r="CT36" s="33"/>
      <c r="CU36" s="99"/>
      <c r="CX36" s="605"/>
      <c r="CY36" s="97"/>
      <c r="CZ36" s="32"/>
      <c r="DB36" s="67"/>
      <c r="DC36" s="97"/>
      <c r="DD36" s="32"/>
      <c r="DF36" s="67"/>
      <c r="DG36" s="97"/>
      <c r="DH36" s="32"/>
      <c r="DJ36" s="67"/>
      <c r="DK36" s="97"/>
      <c r="DL36" s="32"/>
      <c r="DN36" s="67"/>
      <c r="DO36" s="97"/>
      <c r="DP36" s="32"/>
      <c r="DR36" s="67"/>
      <c r="DS36" s="97"/>
      <c r="DT36" s="32"/>
      <c r="DV36" s="67"/>
      <c r="DW36" s="97"/>
      <c r="DY36" s="60"/>
      <c r="DZ36" s="97"/>
      <c r="EB36" s="60"/>
      <c r="EC36" s="97"/>
      <c r="EE36" s="60"/>
      <c r="EF36" s="60"/>
      <c r="EG36" s="60"/>
      <c r="EH36" s="60"/>
      <c r="EI36" s="97"/>
      <c r="EJ36" s="97"/>
      <c r="EK36" s="60"/>
      <c r="EL36" s="60"/>
      <c r="EM36" s="97"/>
      <c r="EN36" s="601"/>
      <c r="EO36" s="97"/>
      <c r="EP36" s="522"/>
      <c r="EQ36" s="100"/>
      <c r="ER36" s="100"/>
      <c r="ES36" s="100"/>
      <c r="ET36" s="100"/>
      <c r="EU36" s="100"/>
      <c r="EV36" s="97"/>
      <c r="EW36" s="522"/>
      <c r="EX36" s="100"/>
      <c r="EY36" s="100"/>
      <c r="EZ36" s="100"/>
      <c r="FA36" s="100"/>
      <c r="FB36" s="100"/>
      <c r="FC36" s="97"/>
      <c r="FD36" s="97"/>
      <c r="FE36" s="97"/>
      <c r="FF36" s="97"/>
      <c r="FG36" s="97"/>
      <c r="FH36" s="97"/>
      <c r="FI36" s="97"/>
      <c r="FJ36" s="97"/>
      <c r="FK36" s="97"/>
      <c r="FL36" s="97"/>
      <c r="FM36" s="97"/>
      <c r="FN36" s="97"/>
      <c r="FO36" s="97"/>
      <c r="FP36" s="97"/>
      <c r="FQ36" s="97"/>
      <c r="FR36" s="522"/>
      <c r="FS36" s="60"/>
      <c r="FT36" s="60"/>
      <c r="FU36" s="97"/>
      <c r="FV36" s="123"/>
      <c r="FW36" s="123"/>
      <c r="FX36" s="123"/>
      <c r="FY36" s="123"/>
      <c r="FZ36" s="123"/>
      <c r="GA36" s="49"/>
      <c r="GB36" s="60"/>
      <c r="GC36" s="60"/>
      <c r="GD36" s="60"/>
      <c r="GE36" s="60"/>
      <c r="GF36" s="60"/>
      <c r="GG36" s="60"/>
      <c r="GH36" s="60"/>
      <c r="GI36" s="60"/>
    </row>
    <row r="37" spans="1:218" s="4" customFormat="1" ht="13.8" x14ac:dyDescent="0.3">
      <c r="A37" s="15" t="s">
        <v>78</v>
      </c>
      <c r="B37" s="152">
        <f>B38+B39+B40+B41+B42+B43</f>
        <v>185.29999999999998</v>
      </c>
      <c r="C37" s="152">
        <f t="shared" ref="C37:D37" si="276">C38+C39+C40+C41+C42+C43</f>
        <v>172.6</v>
      </c>
      <c r="D37" s="152">
        <f t="shared" si="276"/>
        <v>12.7</v>
      </c>
      <c r="E37" s="33"/>
      <c r="F37" s="153">
        <f>O37/B37</f>
        <v>3.0423961144090672</v>
      </c>
      <c r="G37" s="153">
        <f>P37/B37</f>
        <v>2.2605430113329739</v>
      </c>
      <c r="I37" s="153">
        <f>S37/C37</f>
        <v>2.2733873696407878</v>
      </c>
      <c r="K37" s="153">
        <f>U37/D37</f>
        <v>2.0859811023622048</v>
      </c>
      <c r="O37" s="152">
        <f>O38+O39+O40+O41+O42+O43</f>
        <v>563.75600000000009</v>
      </c>
      <c r="P37" s="152">
        <f>P38+P39+P40+P41+P42+P43</f>
        <v>418.87862000000001</v>
      </c>
      <c r="Q37" s="265">
        <f>P37/P$17</f>
        <v>0.11046743136801626</v>
      </c>
      <c r="S37" s="152">
        <f>S38+S39+S40+S41+S42+S43</f>
        <v>392.38665999999995</v>
      </c>
      <c r="U37" s="152">
        <f>U38+U39+U40+U41+U42+U43</f>
        <v>26.491959999999999</v>
      </c>
      <c r="V37" s="154"/>
      <c r="W37" s="265">
        <f t="shared" ref="W37:AE37" si="277">($B38*W38+$B39*W39+$B40*W40+$B41*W41+$B42*W42+$B43*W43)/$B37</f>
        <v>0.24024175138628373</v>
      </c>
      <c r="X37" s="265">
        <f t="shared" si="277"/>
        <v>0.38200889094762047</v>
      </c>
      <c r="Y37" s="265">
        <f t="shared" si="277"/>
        <v>0.14375158833105511</v>
      </c>
      <c r="Z37" s="265">
        <f t="shared" si="277"/>
        <v>8.3988796532109722E-2</v>
      </c>
      <c r="AA37" s="265">
        <f t="shared" si="277"/>
        <v>7.3572647690752807E-2</v>
      </c>
      <c r="AB37" s="265">
        <f t="shared" si="277"/>
        <v>4.6774478078847791E-2</v>
      </c>
      <c r="AC37" s="265">
        <f t="shared" si="277"/>
        <v>6.0194544556169275E-3</v>
      </c>
      <c r="AD37" s="265">
        <f t="shared" si="277"/>
        <v>1.6641433344570428E-2</v>
      </c>
      <c r="AE37" s="265">
        <f t="shared" si="277"/>
        <v>6.5637681840621191E-3</v>
      </c>
      <c r="AF37" s="603"/>
      <c r="AG37" s="603"/>
      <c r="AH37" s="603"/>
      <c r="AI37" s="603"/>
      <c r="AJ37" s="603"/>
      <c r="AK37" s="603"/>
      <c r="AL37" s="603"/>
      <c r="AM37" s="603"/>
      <c r="AN37" s="603"/>
      <c r="AO37" s="603"/>
      <c r="AP37" s="603"/>
      <c r="AQ37" s="603"/>
      <c r="AR37" s="603"/>
      <c r="AS37" s="603"/>
      <c r="AT37" s="603"/>
      <c r="AU37" s="603"/>
      <c r="AV37" s="603"/>
      <c r="AW37" s="603"/>
      <c r="AX37" s="152">
        <f>AX38+AX39+AX40+AX41+AX42+AX43</f>
        <v>37.07560574396603</v>
      </c>
      <c r="AY37" s="152">
        <f t="shared" ref="AY37:AZ37" si="278">AY38+AY39+AY40+AY41+AY42+AY43</f>
        <v>16.094403166966011</v>
      </c>
      <c r="AZ37" s="152">
        <f t="shared" si="278"/>
        <v>20.981202577000019</v>
      </c>
      <c r="BA37" s="152">
        <f>($B38*BA38+$B39*BA39+$B40*BA40+$B41*BA41+$B42*BA42+$B43*BA43)/$B37</f>
        <v>200.08421880175948</v>
      </c>
      <c r="BB37" s="152">
        <f>($B38*BB38+$B39*BB39+$B40*BB40+$B41*BB41+$B42*BB42+$B43*BB43)/$B37</f>
        <v>86.855926427231594</v>
      </c>
      <c r="BC37" s="152">
        <f>($B38*BC38+$B39*BC39+$B40*BC40+$B41*BC41+$B42*BC42+$B43*BC43)/$B37</f>
        <v>113.22829237452792</v>
      </c>
      <c r="BD37" s="152">
        <f>($C38*BD38+$C39*BD39+$C40*BD40+$C41*BD41+$C42*BD42+$C43*BD43)/$C37</f>
        <v>204.65973306672785</v>
      </c>
      <c r="BE37" s="152">
        <f t="shared" ref="BE37:BF37" si="279">($C38*BE38+$C39*BE39+$C40*BE40+$C41*BE41+$C42*BE42+$C43*BE43)/$C37</f>
        <v>89.146264769384757</v>
      </c>
      <c r="BF37" s="152">
        <f t="shared" si="279"/>
        <v>115.51346829734311</v>
      </c>
      <c r="BG37" s="152">
        <f>($D38*BG38+$D39*BG39+$D40*BG40+$D41*BG41+$D42*BG42+$D43*BG43)/$D37</f>
        <v>137.90045800384263</v>
      </c>
      <c r="BH37" s="152">
        <f>($D38*BH38+$D39*BH39+$D40*BH40+$D41*BH41+$D42*BH42+$D43*BH43)/$D37</f>
        <v>55.728965966157638</v>
      </c>
      <c r="BI37" s="152">
        <f>($D38*BI38+$D39*BI39+$D40*BI40+$D41*BI41+$D42*BI42+$D43*BI43)/$D37</f>
        <v>82.171492037684985</v>
      </c>
      <c r="BJ37" s="152">
        <f>BJ38+BJ39+BJ40+BJ41+BJ42+BJ43</f>
        <v>16.875355376500014</v>
      </c>
      <c r="BK37" s="152">
        <f t="shared" ref="BK37" si="280">BK38+BK39+BK40+BK41+BK42+BK43</f>
        <v>1.1394534437499999</v>
      </c>
      <c r="BL37" s="152">
        <f t="shared" ref="BL37" si="281">BL38+BL39+BL40+BL41+BL42+BL43</f>
        <v>15.735901932750014</v>
      </c>
      <c r="BM37" s="153">
        <f>($B38*BM38+$B39*BM39+$B40*BM40+$B41*BM41+$B42*BM42+$B43*BM43)/$B37</f>
        <v>91.070455350782623</v>
      </c>
      <c r="BN37" s="153">
        <f>($B38*BN38+$B39*BN39+$B40*BN40+$B41*BN41+$B42*BN42+$B43*BN43)/$B37</f>
        <v>6.1492360698866699</v>
      </c>
      <c r="BO37" s="152">
        <f>($B38*BO38+$B39*BO39+$B40*BO40+$B41*BO41+$B42*BO42+$B43*BO43)/$B37</f>
        <v>84.92121928089594</v>
      </c>
      <c r="BP37" s="270"/>
      <c r="BQ37" s="152">
        <f>($C38*BQ38+$C39*BQ39+$C40*BQ40+$C41*BQ41+$C42*BQ42+$C43*BQ43)/$C37</f>
        <v>93.188836485174193</v>
      </c>
      <c r="BR37" s="153">
        <f t="shared" ref="BR37:BS37" si="282">($C38*BR38+$C39*BR39+$C40*BR40+$C41*BR41+$C42*BR42+$C43*BR43)/$C37</f>
        <v>6.5537352621668603</v>
      </c>
      <c r="BS37" s="152">
        <f t="shared" si="282"/>
        <v>86.635101223007339</v>
      </c>
      <c r="BT37" s="152"/>
      <c r="BV37" s="152">
        <f>($D38*BV38+$D39*BV39+$D40*BV40+$D41*BV41+$D42*BV42+$D43*BV43)/$D37</f>
        <v>62.280488122751933</v>
      </c>
      <c r="BW37" s="153">
        <f>($D38*BW38+$D39*BW39+$D40*BW40+$D41*BW41+$D42*BW42+$D43*BW43)/$D37</f>
        <v>0.65186909448818897</v>
      </c>
      <c r="BX37" s="152">
        <f>($D38*BX38+$D39*BX39+$D40*BX40+$D41*BX41+$D42*BX42+$D43*BX43)/$D37</f>
        <v>61.628619028263742</v>
      </c>
      <c r="BY37" s="152"/>
      <c r="CA37" s="154"/>
      <c r="CB37" s="154"/>
      <c r="CC37" s="154"/>
      <c r="CD37" s="152">
        <f t="shared" ref="CD37:CF43" si="283">BA37-BM37</f>
        <v>109.01376345097685</v>
      </c>
      <c r="CE37" s="152">
        <f t="shared" si="283"/>
        <v>80.706690357344925</v>
      </c>
      <c r="CF37" s="152">
        <f t="shared" si="283"/>
        <v>28.307073093631985</v>
      </c>
      <c r="CG37" s="152">
        <f t="shared" ref="CG37:CI43" si="284">BD37-BQ37</f>
        <v>111.47089658155366</v>
      </c>
      <c r="CH37" s="152">
        <f t="shared" si="284"/>
        <v>82.592529507217904</v>
      </c>
      <c r="CI37" s="152">
        <f t="shared" si="284"/>
        <v>28.87836707433577</v>
      </c>
      <c r="CJ37" s="152">
        <f t="shared" ref="CJ37:CL43" si="285">BG37-BV37</f>
        <v>75.619969881090697</v>
      </c>
      <c r="CK37" s="152">
        <f t="shared" si="285"/>
        <v>55.077096871669447</v>
      </c>
      <c r="CL37" s="152">
        <f t="shared" si="285"/>
        <v>20.542873009421243</v>
      </c>
      <c r="CM37" s="60"/>
      <c r="CN37" s="60"/>
      <c r="CO37" s="60"/>
      <c r="CS37" s="153">
        <f>($B38*CS38+$B39*CS39+$B40*CS40+$B41*CS41+$B42*CS42+$B43*CS43)/$B37</f>
        <v>6.6702320561252026</v>
      </c>
      <c r="CT37" s="153">
        <f t="shared" ref="CT37" si="286">($C38*CT38+$C39*CT39+$C40*CT40+$C41*CT41+$C42*CT42+$C43*CT43)/$C37</f>
        <v>6.8037601390498263</v>
      </c>
      <c r="CU37" s="153">
        <f>($D38*CU38+$D39*CU39+$D40*CU40+$D41*CU41+$D42*CU42+$D43*CU43)/$D37</f>
        <v>4.8555118110236215</v>
      </c>
      <c r="CY37" s="269">
        <f>(BA37-BM37)/'Amortization metrics'!$D$4/F37</f>
        <v>1.1943849447554147</v>
      </c>
      <c r="CZ37" s="525">
        <f>(BA37-BM37-EN37*CF37)/'Amortization metrics'!$D$4/G37</f>
        <v>1.5981311492585482</v>
      </c>
      <c r="DA37" s="49"/>
      <c r="DB37" s="525">
        <f>CZ37/(($P38*$HH38+$P39*$HH39+$P40*$HH40+$P41*$HH41+$P42*$HH42+$P43*$HH43)/$P37)</f>
        <v>6.4081358391150882</v>
      </c>
      <c r="DC37" s="97"/>
      <c r="DD37" s="525">
        <f>(BD37-BQ37-EQ37*CI37)/'Amortization metrics'!$D$4/I37</f>
        <v>1.6244635663080684</v>
      </c>
      <c r="DE37" s="49"/>
      <c r="DF37" s="525">
        <f>DD37/(($S38*$HH38+$S39*$HH39+$S40*$HH40+$S41*$HH41+$S42*$HH42+$S43*$HH43)/$S37)</f>
        <v>6.5731284180374834</v>
      </c>
      <c r="DG37" s="97"/>
      <c r="DH37" s="525">
        <f>(BG37-BV37-EX37*CL37)/'Amortization metrics'!$D$4/K37</f>
        <v>1.2060636374312887</v>
      </c>
      <c r="DI37" s="49"/>
      <c r="DJ37" s="525">
        <f>DH37/(($U38*$HH38+$U39*$HH39+$U40*$HH40+$U41*$HH41+$U42*$HH42+$U43*$HH43)/$U37)</f>
        <v>4.2651024455599167</v>
      </c>
      <c r="DK37" s="269">
        <f>$EF$11*DW37</f>
        <v>1.1009437659584691</v>
      </c>
      <c r="DL37" s="525">
        <f>$EF$11*DX37</f>
        <v>1.4817267439471675</v>
      </c>
      <c r="DM37" s="49"/>
      <c r="DN37" s="525">
        <f>DL37/(($P38*$HH38+$P39*$HH39+$P40*$HH40+$P41*$HH41+$P42*$HH42+$P43*$HH43)/$P37)</f>
        <v>5.9413811288694278</v>
      </c>
      <c r="DO37" s="97"/>
      <c r="DP37" s="525">
        <f t="shared" ref="DP37:DP43" si="287">$EF$11*EA37</f>
        <v>1.5028495404264903</v>
      </c>
      <c r="DQ37" s="49"/>
      <c r="DR37" s="525">
        <f>DP37/(($S38*$HH38+$S39*$HH39+$S40*$HH40+$S41*$HH41+$S42*$HH42+$S43*$HH43)/$S37)</f>
        <v>6.0810369817420451</v>
      </c>
      <c r="DS37" s="97"/>
      <c r="DT37" s="525">
        <f t="shared" ref="DT37:DT43" si="288">$EF$11*ED37</f>
        <v>1.1688656509823134</v>
      </c>
      <c r="DU37" s="49"/>
      <c r="DV37" s="525">
        <f>DT37/(($U38*$HH38+$U39*$HH39+$U40*$HH40+$U41*$HH41+$U42*$HH42+$U43*$HH43)/$U37)</f>
        <v>4.1335561340308384</v>
      </c>
      <c r="DW37" s="149">
        <f>CS37/F37</f>
        <v>2.19242722028679</v>
      </c>
      <c r="DX37" s="525">
        <f t="shared" ref="DX37:DX43" si="289">CS37/G37</f>
        <v>2.9507211420816843</v>
      </c>
      <c r="DY37" s="123"/>
      <c r="DZ37" s="97"/>
      <c r="EA37" s="525">
        <f t="shared" ref="EA37:EA43" si="290">CT37/I37</f>
        <v>2.9927852287333114</v>
      </c>
      <c r="EB37" s="123"/>
      <c r="EC37" s="97"/>
      <c r="ED37" s="525">
        <f t="shared" ref="ED37:ED43" si="291">CU37/K37</f>
        <v>2.3276873436318035</v>
      </c>
      <c r="EE37" s="123"/>
      <c r="EF37" s="60"/>
      <c r="EG37" s="60"/>
      <c r="EH37" s="60"/>
      <c r="EI37" s="152">
        <f t="shared" ref="EI37" si="292">EI38+EI39+EI40+EI41+EI42+EI43</f>
        <v>206.27549954781</v>
      </c>
      <c r="EJ37" s="269">
        <f>($O38*EJ38+$O39*EJ39+$O40*EJ40+$O41*EJ41+$O42*EJ42+$O43*EJ43)/$O37</f>
        <v>0.36589499632431394</v>
      </c>
      <c r="EK37" s="473">
        <f>($P38*EK38+$P39*EK39+$P40*EK40+$P41*EK41+$P42*EK42+$P43*EK43)/$P37</f>
        <v>0.49244695169166186</v>
      </c>
      <c r="EL37" s="123"/>
      <c r="EM37" s="149"/>
      <c r="EN37" s="594">
        <f>($B38*EN38+$B39*EN39+$B40*EN40+$B41*EN41+$B42*EN42+$B43*EN43)/$B37</f>
        <v>2.2412682137075014E-2</v>
      </c>
      <c r="EO37" s="269"/>
      <c r="EP37" s="473">
        <f>($S38*EP38+$S39*EP39+$S40*EP40+$S41*EP41+$S42*EP42+$S43*EP43)/$S37</f>
        <v>0.51321411759464508</v>
      </c>
      <c r="EQ37" s="594">
        <f>($C38*EQ38+$C39*EQ39+$C40*EQ40+$C41*EQ41+$C42*EQ42+$C43*EQ43)/$C37</f>
        <v>2.354177288528389E-2</v>
      </c>
      <c r="ER37" s="594"/>
      <c r="ES37" s="594"/>
      <c r="ET37" s="594"/>
      <c r="EU37" s="594"/>
      <c r="EV37" s="269"/>
      <c r="EW37" s="473">
        <f>($U38*EW38+$U39*EW39+$U40*EW40+$U41*EW41+$U42*EW42+$U43*EW43)/$U37</f>
        <v>0.18485329435798634</v>
      </c>
      <c r="EX37" s="594">
        <f>($D38*EX38+$D39*EX39+$D40*EX40+$D41*EX41+$D42*EX42+$D43*EX43)/$D37</f>
        <v>7.0677165354330711E-3</v>
      </c>
      <c r="EY37" s="594"/>
      <c r="EZ37" s="594"/>
      <c r="FA37" s="594"/>
      <c r="FB37" s="594"/>
      <c r="FC37" s="595"/>
      <c r="FD37" s="595"/>
      <c r="FE37" s="595"/>
      <c r="FF37" s="595"/>
      <c r="FG37" s="595"/>
      <c r="FH37" s="595"/>
      <c r="FI37" s="595"/>
      <c r="FJ37" s="595"/>
      <c r="FK37" s="595"/>
      <c r="FL37" s="152">
        <f>FL38+FL39+FL40+FL41+FL42+FL43</f>
        <v>159.61094203779243</v>
      </c>
      <c r="FM37" s="152">
        <f>FM38+FM39+FM40+FM41+FM42+FM43</f>
        <v>6.8683460843088788</v>
      </c>
      <c r="FN37" s="152">
        <f>FN38+FN39+FN40+FN41+FN42+FN43</f>
        <v>32.287792388347192</v>
      </c>
      <c r="FO37" s="152">
        <f t="shared" ref="FO37:FP37" si="293">FO38+FO39+FO40+FO41+FO42+FO43</f>
        <v>81.403956653549599</v>
      </c>
      <c r="FP37" s="152">
        <f t="shared" si="293"/>
        <v>39.050846911586753</v>
      </c>
      <c r="FQ37" s="152"/>
      <c r="FR37" s="269">
        <f>($P38*FR38+$P39*FR39+$P40*FR40+$P41*FR41+$P42*FR42+$P43*FR43)/$P37</f>
        <v>0.32796564764976682</v>
      </c>
      <c r="FS37" s="473">
        <f>($P38*FS38+$P39*FS39+$P40*FS40+$P41*FS41+$P42*FS42+$P43*FS43)/$P37</f>
        <v>0.38104342025809868</v>
      </c>
      <c r="FT37" s="123"/>
      <c r="FU37" s="149">
        <f>FS37/(($S38*$HH38+$S39*$HH39+$S40*$HH40+$S41*$HH41+$S42*$HH42+$S43*$HH43)/$S37)</f>
        <v>1.5418304147608803</v>
      </c>
      <c r="FV37" s="123"/>
      <c r="FW37" s="269">
        <f>($P38*FW38+$P39*FW39+$P40*FW40+$P41*FW41+$P42*FW42+$P43*FW43)/$P37</f>
        <v>9.3478484226901054E-2</v>
      </c>
      <c r="FX37" s="123"/>
      <c r="FY37" s="269">
        <f>($P38*FY38+$P39*FY39+$P40*FY40+$P41*FY41+$P42*FY42+$P43*FY43)/$P37</f>
        <v>0.28756493603119765</v>
      </c>
      <c r="FZ37" s="123"/>
      <c r="GA37" s="269">
        <f>($P38*GA38+$P39*GA39+$P40*GA40+$P41*GA41+$P42*GA42+$P43*GA43)/$P37</f>
        <v>0</v>
      </c>
      <c r="GB37" s="269">
        <f>($O38*GB38+$O39*GB39+$O40*GB40+$O41*GB41+$O42*GB42+$O43*GB43)/$O37</f>
        <v>1.2183189330683625E-2</v>
      </c>
      <c r="GC37" s="269">
        <f>($P38*GC38+$P39*GC39+$P40*GC40+$P41*GC41+$P42*GC42+$P43*GC43)/$P37</f>
        <v>1.639698412945707E-2</v>
      </c>
      <c r="GD37" s="269">
        <f>($O38*GD38+$O39*GD39+$O40*GD40+$O41*GD41+$O42*GD42+$O43*GD43)/$O37</f>
        <v>5.7272636368122354E-2</v>
      </c>
      <c r="GE37" s="269">
        <f>($P38*GE38+$P39*GE39+$P40*GE40+$P41*GE41+$P42*GE42+$P43*GE43)/$P37</f>
        <v>7.7081500097443953E-2</v>
      </c>
      <c r="GF37" s="269">
        <f>($O38*GF38+$O39*GF39+$O40*GF40+$O41*GF41+$O42*GF42+$O43*GF43)/$O37</f>
        <v>0.14439572555068078</v>
      </c>
      <c r="GG37" s="269">
        <f>($P38*GG38+$P39*GG39+$P40*GG40+$P41*GG41+$P42*GG42+$P43*GG43)/$P37</f>
        <v>0.19433781713077072</v>
      </c>
      <c r="GH37" s="269">
        <f>($O38*GH38+$O39*GH39+$O40*GH40+$O41*GH41+$O42*GH42+$O43*GH43)/$O37</f>
        <v>6.9269057733464034E-2</v>
      </c>
      <c r="GI37" s="269">
        <f>($P38*GI38+$P39*GI39+$P40*GI40+$P41*GI41+$P42*GI42+$P43*GI43)/$P37</f>
        <v>9.3227118900426939E-2</v>
      </c>
      <c r="GJ37" s="149">
        <f>($P38*GJ38+$P39*GJ39+$P40*GJ40+$P41*GJ41+$P42*GJ42+$P43*GJ43)/$P37</f>
        <v>6.7282373690455701</v>
      </c>
      <c r="GL37" s="149"/>
      <c r="GM37" s="149">
        <f>($S38*GM38+$S39*GM39+$S40*GM40+$S41*GM41+$S42*GM42+$S43*GM43)/$S37</f>
        <v>6.8359375676874379</v>
      </c>
      <c r="GO37" s="149"/>
      <c r="GP37" s="149">
        <f>($U38*GP38+$U39*GP39+$U40*GP40+$U41*GP41+$U42*GP42+$U43*GP43)/$U37</f>
        <v>5.1267126953583713</v>
      </c>
      <c r="GR37" s="149"/>
      <c r="GS37" s="149">
        <f>($P38*GS38+$P39*GS39+$P40*GS40+$P41*GS41+$P42*GS42+$P43*GS43)/$P37</f>
        <v>6.306488433089374</v>
      </c>
      <c r="GU37" s="149"/>
      <c r="GV37" s="149">
        <f>($S38*GV38+$S39*GV39+$S40*GV40+$S41*GV41+$S42*GV42+$S43*GV43)/$S37</f>
        <v>6.3952853495820507</v>
      </c>
      <c r="GX37" s="149"/>
      <c r="GY37" s="149">
        <f>($U38*GY38+$U39*GY39+$U40*GY40+$U41*GY41+$U42*GY42+$U43*GY43)/$U37</f>
        <v>4.9912695711833628</v>
      </c>
      <c r="HF37" s="16"/>
      <c r="HH37" s="154"/>
    </row>
    <row r="38" spans="1:218" s="4" customFormat="1" x14ac:dyDescent="0.25">
      <c r="A38" s="14" t="s">
        <v>77</v>
      </c>
      <c r="B38" s="67">
        <f t="shared" ref="B38:B43" si="294">C38+D38</f>
        <v>89.399999999999991</v>
      </c>
      <c r="C38" s="33">
        <v>85.1</v>
      </c>
      <c r="D38" s="33">
        <v>4.3</v>
      </c>
      <c r="E38" s="38">
        <f t="shared" ref="E38:E43" si="295">D38/B38</f>
        <v>4.8098434004474278E-2</v>
      </c>
      <c r="F38" s="108">
        <f t="shared" ref="F38:F43" si="296">O38/B38</f>
        <v>2.3925055928411636</v>
      </c>
      <c r="G38" s="32">
        <f t="shared" ref="G38:G43" si="297">P38/B38</f>
        <v>2.1771800894854585</v>
      </c>
      <c r="H38" s="33">
        <v>2.38</v>
      </c>
      <c r="I38" s="32">
        <f t="shared" ref="I38:I43" si="298">$HB38*H38</f>
        <v>2.1657999999999999</v>
      </c>
      <c r="J38" s="33">
        <v>2.64</v>
      </c>
      <c r="K38" s="32">
        <f t="shared" ref="K38:K43" si="299">$HB38*J38</f>
        <v>2.4024000000000001</v>
      </c>
      <c r="L38" s="32">
        <f t="shared" ref="L38:L43" si="300">10/G38</f>
        <v>4.593097304304</v>
      </c>
      <c r="M38" s="32">
        <f t="shared" ref="M38:M43" si="301">10/I38</f>
        <v>4.6172315079878103</v>
      </c>
      <c r="N38" s="32">
        <f t="shared" ref="N38:N43" si="302">10/K38</f>
        <v>4.1625041625041623</v>
      </c>
      <c r="O38" s="107">
        <f t="shared" ref="O38:O42" si="303">R38+T38</f>
        <v>213.89</v>
      </c>
      <c r="P38" s="68">
        <f t="shared" ref="P38:P42" si="304">S38+U38</f>
        <v>194.63989999999998</v>
      </c>
      <c r="Q38" s="68"/>
      <c r="R38" s="67">
        <f t="shared" ref="R38:R42" si="305">C38*H38</f>
        <v>202.53799999999998</v>
      </c>
      <c r="S38" s="67">
        <f t="shared" ref="S38:S42" si="306">C38*I38</f>
        <v>184.30957999999998</v>
      </c>
      <c r="T38" s="67">
        <f t="shared" ref="T38:T42" si="307">D38*J38</f>
        <v>11.352</v>
      </c>
      <c r="U38" s="67">
        <f t="shared" ref="U38:U42" si="308">D38*K38</f>
        <v>10.33032</v>
      </c>
      <c r="V38" s="38">
        <f t="shared" ref="V38:V43" si="309">U38/P38</f>
        <v>5.3074010005142835E-2</v>
      </c>
      <c r="W38" s="294">
        <f t="shared" ref="W38:W43" si="310">($C38*AF38+$D38*AO38)/$B38</f>
        <v>0.19988434811488784</v>
      </c>
      <c r="X38" s="294">
        <f t="shared" ref="X38:X43" si="311">($C38*AG38+$D38*AP38)/$B38</f>
        <v>0.55581893043676966</v>
      </c>
      <c r="Y38" s="294">
        <f t="shared" ref="Y38:Y43" si="312">($C38*AH38+$D38*AQ38)/$B38</f>
        <v>0.1258549554786437</v>
      </c>
      <c r="Z38" s="294">
        <f t="shared" ref="Z38:Z43" si="313">($C38*AI38+$D38*AR38)/$B38</f>
        <v>3.622323138494208E-2</v>
      </c>
      <c r="AA38" s="294">
        <f t="shared" ref="AA38:AA43" si="314">($C38*AJ38+$D38*AS38)/$B38</f>
        <v>5.6976235105576617E-2</v>
      </c>
      <c r="AB38" s="294">
        <f t="shared" ref="AB38:AB43" si="315">($C38*AK38+$D38*AT38)/$B38</f>
        <v>1.5494523396672523E-2</v>
      </c>
      <c r="AC38" s="294">
        <f t="shared" ref="AC38:AC43" si="316">($C38*AL38+$D38*AU38)/$B38</f>
        <v>1.3475536005855764E-4</v>
      </c>
      <c r="AD38" s="294">
        <f t="shared" ref="AD38:AD43" si="317">($C38*AM38+$D38*AV38)/$B38</f>
        <v>5.18064623055351E-3</v>
      </c>
      <c r="AE38" s="294">
        <f t="shared" ref="AE38:AE43" si="318">($C38*AN38+$D38*AW38)/$B38</f>
        <v>4.3995925098253745E-3</v>
      </c>
      <c r="AF38" s="433">
        <v>0.20772112034852472</v>
      </c>
      <c r="AG38" s="433">
        <v>0.55129741539265842</v>
      </c>
      <c r="AH38" s="433">
        <v>0.12888279976474731</v>
      </c>
      <c r="AI38" s="433">
        <v>3.7652179613802413E-2</v>
      </c>
      <c r="AJ38" s="433">
        <v>5.2434214172636155E-2</v>
      </c>
      <c r="AK38" s="433">
        <v>1.4093973749008148E-2</v>
      </c>
      <c r="AL38" s="433">
        <v>1.3578121413959006E-4</v>
      </c>
      <c r="AM38" s="433">
        <v>3.1792760658044972E-3</v>
      </c>
      <c r="AN38" s="433">
        <v>4.5688012627319976E-3</v>
      </c>
      <c r="AO38" s="433">
        <v>4.478915809570256E-2</v>
      </c>
      <c r="AP38" s="433">
        <v>0.64530286770511081</v>
      </c>
      <c r="AQ38" s="433">
        <v>6.5931804607151451E-2</v>
      </c>
      <c r="AR38" s="433">
        <v>7.9433489951713163E-3</v>
      </c>
      <c r="AS38" s="433">
        <v>0.14686599822028193</v>
      </c>
      <c r="AT38" s="433">
        <v>4.3212378051611648E-2</v>
      </c>
      <c r="AU38" s="433">
        <v>1.144529920827769E-4</v>
      </c>
      <c r="AV38" s="433">
        <v>4.478915809570256E-2</v>
      </c>
      <c r="AW38" s="433">
        <v>1.0508332371849988E-3</v>
      </c>
      <c r="AX38" s="554">
        <f t="shared" ref="AX38:AX43" si="319">BA38*$B38/10^3</f>
        <v>19.172994171973187</v>
      </c>
      <c r="AY38" s="554">
        <f t="shared" ref="AY38:AY43" si="320">BB38*$B38/10^3</f>
        <v>8.5032567138888027</v>
      </c>
      <c r="AZ38" s="554">
        <f t="shared" ref="AZ38:AZ43" si="321">BC38*$B38/10^3</f>
        <v>10.669737458084384</v>
      </c>
      <c r="BA38" s="67">
        <f t="shared" ref="BA38:BA43" si="322">BB38+BC38</f>
        <v>214.46302205786566</v>
      </c>
      <c r="BB38" s="67">
        <f t="shared" ref="BB38:BC43" si="323">(BE38*$C38+BH38*$D38)/$B38</f>
        <v>95.114728343275203</v>
      </c>
      <c r="BC38" s="67">
        <f t="shared" si="323"/>
        <v>119.34829371459044</v>
      </c>
      <c r="BD38" s="67">
        <f t="shared" ref="BD38:BD43" si="324">BE38+BF38</f>
        <v>215.95179221418107</v>
      </c>
      <c r="BE38" s="105">
        <v>96.024763004623111</v>
      </c>
      <c r="BF38" s="105">
        <v>119.92702920955794</v>
      </c>
      <c r="BG38" s="68">
        <f t="shared" ref="BG38:BG43" si="325">BH38+BI38</f>
        <v>184.99922198753023</v>
      </c>
      <c r="BH38" s="106">
        <v>77.104507487296871</v>
      </c>
      <c r="BI38" s="106">
        <v>107.89471450023338</v>
      </c>
      <c r="BJ38" s="554">
        <f t="shared" ref="BJ38:BJ43" si="326">BM38*$B38/10^3</f>
        <v>8.0631280623132877</v>
      </c>
      <c r="BK38" s="554">
        <f t="shared" ref="BK38:BK43" si="327">BN38*$B38/10^3</f>
        <v>6.0824968750000007E-2</v>
      </c>
      <c r="BL38" s="554">
        <f t="shared" ref="BL38:BL43" si="328">BO38*$B38/10^3</f>
        <v>8.0023030935632882</v>
      </c>
      <c r="BM38" s="32">
        <f t="shared" ref="BM38:BM43" si="329">BN38+BO38</f>
        <v>90.191589063907031</v>
      </c>
      <c r="BN38" s="32">
        <f t="shared" ref="BN38:BO43" si="330">(BR38*$C38+BW38*$D38)/$B38</f>
        <v>0.68036877796420592</v>
      </c>
      <c r="BO38" s="67">
        <f t="shared" si="330"/>
        <v>89.511220285942827</v>
      </c>
      <c r="BP38" s="270"/>
      <c r="BQ38" s="67">
        <f t="shared" ref="BQ38:BQ43" si="331">BR38+BS38</f>
        <v>90.622084407168458</v>
      </c>
      <c r="BR38" s="32">
        <f>I38*0.5*2.5*0.25</f>
        <v>0.67681250000000004</v>
      </c>
      <c r="BS38" s="67">
        <f t="shared" ref="BS38:BS43" si="332">(1-BU38)*BF38</f>
        <v>89.945271907168461</v>
      </c>
      <c r="BT38" s="67"/>
      <c r="BU38" s="34">
        <f t="shared" ref="BU38:BU43" si="333">BU$17</f>
        <v>0.25</v>
      </c>
      <c r="BV38" s="68">
        <f t="shared" ref="BV38:BV43" si="334">BW38+BX38</f>
        <v>81.671785875175033</v>
      </c>
      <c r="BW38" s="32">
        <f>K38*0.5*2.5*0.25</f>
        <v>0.75075000000000003</v>
      </c>
      <c r="BX38" s="67">
        <f t="shared" ref="BX38:BX43" si="335">(1-BZ38)*BI38</f>
        <v>80.921035875175036</v>
      </c>
      <c r="BY38" s="67"/>
      <c r="BZ38" s="34">
        <f t="shared" ref="BZ38:BZ43" si="336">BZ$17</f>
        <v>0.25</v>
      </c>
      <c r="CA38" s="294"/>
      <c r="CB38" s="294"/>
      <c r="CC38" s="294"/>
      <c r="CD38" s="67">
        <f t="shared" si="283"/>
        <v>124.27143299395863</v>
      </c>
      <c r="CE38" s="67">
        <f t="shared" si="283"/>
        <v>94.434359565310999</v>
      </c>
      <c r="CF38" s="67">
        <f t="shared" si="283"/>
        <v>29.837073428647614</v>
      </c>
      <c r="CG38" s="67">
        <f t="shared" si="284"/>
        <v>125.32970780701261</v>
      </c>
      <c r="CH38" s="67">
        <f t="shared" si="284"/>
        <v>95.347950504623114</v>
      </c>
      <c r="CI38" s="67">
        <f t="shared" si="284"/>
        <v>29.981757302389482</v>
      </c>
      <c r="CJ38" s="67">
        <f t="shared" si="285"/>
        <v>103.3274361123552</v>
      </c>
      <c r="CK38" s="67">
        <f t="shared" si="285"/>
        <v>76.353757487296875</v>
      </c>
      <c r="CL38" s="67">
        <f t="shared" si="285"/>
        <v>26.973678625058341</v>
      </c>
      <c r="CM38" s="68"/>
      <c r="CN38" s="293"/>
      <c r="CO38" s="293"/>
      <c r="CS38" s="32">
        <f t="shared" ref="CS38:CS43" si="337">(CT38*$C38+CU38*$D38)/$B38</f>
        <v>6.9329642058165541</v>
      </c>
      <c r="CT38" s="33">
        <v>6.97</v>
      </c>
      <c r="CU38" s="99">
        <v>6.2</v>
      </c>
      <c r="CY38" s="97">
        <f t="shared" ref="CY38:CY43" si="338">CZ38*$HB38</f>
        <v>1.7277701078496928</v>
      </c>
      <c r="CZ38" s="263">
        <f>(BA38-BM38-EN38*CF38)/'Amortization metrics'!$D$4/G38</f>
        <v>1.8986484701644974</v>
      </c>
      <c r="DA38" s="527">
        <f t="shared" ref="DA38:DA43" si="339">10^3*CZ38/$HF38</f>
        <v>99.928866850763029</v>
      </c>
      <c r="DB38" s="528">
        <f t="shared" ref="DB38:DB43" si="340">CZ38/$HH38</f>
        <v>4.7466211754112431</v>
      </c>
      <c r="DC38" s="97">
        <f t="shared" ref="DC38:DC43" si="341">DD38*$HB38</f>
        <v>1.7516647971776167</v>
      </c>
      <c r="DD38" s="263">
        <f>(BD38-BQ38-EQ38*CI38)/'Amortization metrics'!$D$4/I38</f>
        <v>1.9249063705248535</v>
      </c>
      <c r="DE38" s="527">
        <f t="shared" ref="DE38:DE43" si="342">10^3*DD38/$HF38</f>
        <v>101.31086160657124</v>
      </c>
      <c r="DF38" s="528">
        <f t="shared" ref="DF38:DF43" si="343">DD38/$HH38</f>
        <v>4.8122659263121337</v>
      </c>
      <c r="DG38" s="97">
        <f t="shared" ref="DG38:DG43" si="344">DH38*$HB38</f>
        <v>1.3014719810750273</v>
      </c>
      <c r="DH38" s="263">
        <f>(BG38-BV38-EX38*CL38)/'Amortization metrics'!$D$4/K38</f>
        <v>1.4301889901923377</v>
      </c>
      <c r="DI38" s="527">
        <f t="shared" ref="DI38:DI43" si="345">10^3*DH38/$HF38</f>
        <v>75.273104746965146</v>
      </c>
      <c r="DJ38" s="528">
        <f t="shared" ref="DJ38:DJ43" si="346">DH38/$HH38</f>
        <v>3.575472475480844</v>
      </c>
      <c r="DK38" s="97">
        <f t="shared" ref="DK38:DK43" si="347">DL38*$HB38</f>
        <v>1.4551439147737628</v>
      </c>
      <c r="DL38" s="263">
        <f t="shared" ref="DL38:DL43" si="348">$EF$11*DX38</f>
        <v>1.5990592470041349</v>
      </c>
      <c r="DM38" s="527">
        <f t="shared" ref="DM38:DM43" si="349">10^3*DL38/$HF38</f>
        <v>84.161013000217622</v>
      </c>
      <c r="DN38" s="528">
        <f t="shared" ref="DN38:DN43" si="350">DL38/$HH38</f>
        <v>3.9976481175103373</v>
      </c>
      <c r="DO38" s="97">
        <f t="shared" ref="DO38:DO43" si="351">DP38*$HB38</f>
        <v>1.4706040992448761</v>
      </c>
      <c r="DP38" s="263">
        <f t="shared" si="287"/>
        <v>1.6160484607086549</v>
      </c>
      <c r="DQ38" s="527">
        <f t="shared" ref="DQ38:DQ43" si="352">10^3*DP38/$HF38</f>
        <v>85.055182142560781</v>
      </c>
      <c r="DR38" s="528">
        <f t="shared" ref="DR38:DR43" si="353">DP38/$HH38</f>
        <v>4.0401211517716371</v>
      </c>
      <c r="DS38" s="97">
        <f t="shared" ref="DS38:DS43" si="354">DT38*$HB38</f>
        <v>1.1793092739694682</v>
      </c>
      <c r="DT38" s="263">
        <f t="shared" si="288"/>
        <v>1.2959442571093056</v>
      </c>
      <c r="DU38" s="527">
        <f t="shared" ref="DU38:DU43" si="355">10^3*DT38/$HF38</f>
        <v>68.207592479437139</v>
      </c>
      <c r="DV38" s="528">
        <f t="shared" ref="DV38:DV43" si="356">DT38/$HH38</f>
        <v>3.2398606427732637</v>
      </c>
      <c r="DW38" s="97">
        <f t="shared" ref="DW38:DW43" si="357">DX38*$HB38</f>
        <v>2.8977839076160645</v>
      </c>
      <c r="DX38" s="263">
        <f t="shared" si="289"/>
        <v>3.1843779204572136</v>
      </c>
      <c r="DY38" s="68">
        <f t="shared" ref="DY38:DY43" si="358">10^3*DX38/$HF38</f>
        <v>167.59883791880071</v>
      </c>
      <c r="DZ38" s="97">
        <f t="shared" ref="DZ38:DZ43" si="359">EA38*$HB38</f>
        <v>2.9285714285714288</v>
      </c>
      <c r="EA38" s="263">
        <f t="shared" si="290"/>
        <v>3.2182103610675039</v>
      </c>
      <c r="EB38" s="68">
        <f t="shared" ref="EB38:EB43" si="360">10^3*EA38/$HF38</f>
        <v>169.37949268776336</v>
      </c>
      <c r="EC38" s="97">
        <f t="shared" ref="EC38:EC43" si="361">ED38*$HB38</f>
        <v>2.3484848484848486</v>
      </c>
      <c r="ED38" s="263">
        <f t="shared" si="291"/>
        <v>2.5807525807525806</v>
      </c>
      <c r="EE38" s="68">
        <f t="shared" ref="EE38:EE43" si="362">10^3*ED38/$HF38</f>
        <v>135.82908319750425</v>
      </c>
      <c r="EF38" s="60"/>
      <c r="EG38" s="60"/>
      <c r="EH38" s="60"/>
      <c r="EI38" s="554">
        <f t="shared" ref="EI38:EI43" si="363">EK38*$P38</f>
        <v>35.485782750323992</v>
      </c>
      <c r="EJ38" s="262">
        <f t="shared" ref="EJ38:EJ43" si="364">EK38*$HB38</f>
        <v>0.16590669386284537</v>
      </c>
      <c r="EK38" s="166">
        <f t="shared" ref="EK38:EK43" si="365">(EP38*S38+EW38*U38)/P38</f>
        <v>0.18231504820092898</v>
      </c>
      <c r="EL38" s="68">
        <f t="shared" ref="EL38:EL43" si="366">10^3*EK38/$HF38</f>
        <v>9.5955288526804718</v>
      </c>
      <c r="EM38" s="97">
        <f t="shared" ref="EM38:EM43" si="367">EK38/$HH38</f>
        <v>0.45578762050232241</v>
      </c>
      <c r="EN38" s="429">
        <f t="shared" ref="EN38:EN43" si="368">(EQ38*C38+EX38*D38)/B38</f>
        <v>8.7288590604026831E-3</v>
      </c>
      <c r="EO38" s="262">
        <f t="shared" ref="EO38:EO43" si="369">EP38*$HB38</f>
        <v>0.16443338203361341</v>
      </c>
      <c r="EP38" s="436">
        <f t="shared" ref="EP38:EP43" si="370">EQ38*EU38/I38</f>
        <v>0.18069602421276199</v>
      </c>
      <c r="EQ38" s="101">
        <v>8.6999999999999994E-3</v>
      </c>
      <c r="ER38" s="101">
        <v>0.51400000000000001</v>
      </c>
      <c r="ES38" s="101">
        <v>0.44600000000000001</v>
      </c>
      <c r="ET38" s="429">
        <f>1-ER38-ES38</f>
        <v>3.999999999999998E-2</v>
      </c>
      <c r="EU38" s="430">
        <f>ER38*$FC38+ES38*$FD38+ET38*$FE38+'Amortization metrics'!$B$6*(ER38*$FF38+ES38*$FG38+ET38*$FH38)/10^3+'Amortization metrics'!$B$5*(ER38*$FI38+ES38*$FJ38+ET38*$FK38)/10^3</f>
        <v>44.982925199999997</v>
      </c>
      <c r="EV38" s="262">
        <f t="shared" ref="EV38:EV43" si="371">EW38*$HB38</f>
        <v>0.19219295454545454</v>
      </c>
      <c r="EW38" s="436">
        <f t="shared" ref="EW38:EW43" si="372">EX38*FB38/K38</f>
        <v>0.21120104895104894</v>
      </c>
      <c r="EX38" s="101">
        <v>9.2999999999999992E-3</v>
      </c>
      <c r="EY38" s="433">
        <v>1</v>
      </c>
      <c r="EZ38" s="433">
        <v>0</v>
      </c>
      <c r="FA38" s="434">
        <f t="shared" ref="FA38" si="373">1-EY38-EZ38</f>
        <v>0</v>
      </c>
      <c r="FB38" s="430">
        <f>EY38*$FC38+EZ38*$FD38+FA38*$FE38+'Amortization metrics'!$B$6*(EY38*$FF38+EZ38*$FG38+FA38*$FH38)/10^3+'Amortization metrics'!$B$5*(EY38*$FI38+EZ38*$FJ38+FA38*$FK38)/10^3</f>
        <v>54.558</v>
      </c>
      <c r="FC38" s="431">
        <v>51.3</v>
      </c>
      <c r="FD38" s="431">
        <v>29</v>
      </c>
      <c r="FE38" s="431">
        <v>29</v>
      </c>
      <c r="FF38" s="99">
        <v>5</v>
      </c>
      <c r="FG38" s="431">
        <v>13</v>
      </c>
      <c r="FH38" s="431">
        <v>13</v>
      </c>
      <c r="FI38" s="431">
        <v>52</v>
      </c>
      <c r="FJ38" s="431">
        <v>58.3</v>
      </c>
      <c r="FK38" s="431">
        <v>58.3</v>
      </c>
      <c r="FL38" s="554">
        <f t="shared" ref="FL38:FL43" si="374">FO38+FP38+FM38+FN38+FQ38</f>
        <v>55.774445053093991</v>
      </c>
      <c r="FM38" s="554">
        <f t="shared" ref="FM38:FM43" si="375">GC38*$P38</f>
        <v>-20.958233826098599</v>
      </c>
      <c r="FN38" s="554">
        <f t="shared" ref="FN38:FN43" si="376">GE38*$P38</f>
        <v>23.117703554675998</v>
      </c>
      <c r="FO38" s="554">
        <f t="shared" ref="FO38:FO43" si="377">GG38*$P38</f>
        <v>45.020115699515998</v>
      </c>
      <c r="FP38" s="554">
        <f t="shared" ref="FP38:FP43" si="378">GI38*$P38</f>
        <v>8.5948596250005966</v>
      </c>
      <c r="FQ38" s="554"/>
      <c r="FR38" s="167">
        <f t="shared" ref="FR38:FR43" si="379">FS38*HB38</f>
        <v>0.2607622846</v>
      </c>
      <c r="FS38" s="166">
        <f t="shared" ref="FS38:FS43" si="380">FY38+FW38+GA38</f>
        <v>0.28655196109890108</v>
      </c>
      <c r="FT38" s="68">
        <f t="shared" ref="FT38:FT43" si="381">10^3*FS38/$HF38</f>
        <v>15.081682163100057</v>
      </c>
      <c r="FU38" s="97">
        <f t="shared" ref="FU38:FU43" si="382">FS38/$HH38</f>
        <v>0.71637990274725261</v>
      </c>
      <c r="FV38" s="473">
        <f t="shared" ref="FV38:FV43" si="383">FW38*HB38</f>
        <v>1.0096169660000005E-2</v>
      </c>
      <c r="FW38" s="269">
        <f t="shared" ref="FW38:FW43" si="384">GC38+GE38</f>
        <v>1.1094691934065939E-2</v>
      </c>
      <c r="FX38" s="473">
        <f t="shared" ref="FX38:FX43" si="385">FY38*HB38</f>
        <v>0.25066611494000002</v>
      </c>
      <c r="FY38" s="269">
        <f t="shared" ref="FY38:FY43" si="386">GG38+GI38</f>
        <v>0.27545726916483515</v>
      </c>
      <c r="FZ38" s="123"/>
      <c r="GA38" s="49"/>
      <c r="GB38" s="435">
        <v>-9.7986038740000003E-2</v>
      </c>
      <c r="GC38" s="522">
        <f t="shared" ref="GC38:GC43" si="387">GB38/$HB38</f>
        <v>-0.10767696564835165</v>
      </c>
      <c r="GD38" s="435">
        <v>0.1080822084</v>
      </c>
      <c r="GE38" s="522">
        <f t="shared" ref="GE38:GE43" si="388">GD38/$HB38</f>
        <v>0.11877165758241759</v>
      </c>
      <c r="GF38" s="435">
        <v>0.21048256439999999</v>
      </c>
      <c r="GG38" s="522">
        <f t="shared" ref="GG38:GG43" si="389">GF38/$HB38</f>
        <v>0.23129952131868131</v>
      </c>
      <c r="GH38" s="435">
        <v>4.0183550539999988E-2</v>
      </c>
      <c r="GI38" s="522">
        <f t="shared" ref="GI38:GI43" si="390">GH38/$HB38</f>
        <v>4.4157747846153832E-2</v>
      </c>
      <c r="GJ38" s="599">
        <f t="shared" ref="GJ38:GJ43" si="391">44/12*CZ38+$FS38+$EK38</f>
        <v>7.4305780665696535</v>
      </c>
      <c r="GK38" s="527">
        <f t="shared" ref="GK38:GK43" si="392">10^3*GJ38/$HF38</f>
        <v>391.08305613524493</v>
      </c>
      <c r="GL38" s="528">
        <f t="shared" ref="GL38:GL43" si="393">GJ38/$HH38</f>
        <v>18.576445166424133</v>
      </c>
      <c r="GM38" s="599">
        <f t="shared" ref="GM38:GM43" si="394">44/12*DD38+$FS38+$EP38</f>
        <v>7.525238010569459</v>
      </c>
      <c r="GN38" s="527">
        <f t="shared" ref="GN38:GN43" si="395">10^3*GM38/$HF38</f>
        <v>396.06515845102416</v>
      </c>
      <c r="GO38" s="528">
        <f t="shared" ref="GO38:GO43" si="396">GM38/$HH38</f>
        <v>18.813095026423646</v>
      </c>
      <c r="GP38" s="599">
        <f t="shared" ref="GP38:GP43" si="397">44/12*DH38+$FS38+$EW38</f>
        <v>5.7417793074218544</v>
      </c>
      <c r="GQ38" s="527">
        <f t="shared" ref="GQ38:GQ43" si="398">10^3*GP38/$HF38</f>
        <v>302.19891091693972</v>
      </c>
      <c r="GR38" s="528">
        <f t="shared" ref="GR38:GR43" si="399">GP38/$HH38</f>
        <v>14.354448268554636</v>
      </c>
      <c r="GS38" s="599">
        <f t="shared" ref="GS38:GS43" si="400">44/12*DL38+$FS38+$EK38</f>
        <v>6.3320842483149908</v>
      </c>
      <c r="GT38" s="527">
        <f t="shared" ref="GT38:GT43" si="401">10^3*GS38/$HF38</f>
        <v>333.26759201657848</v>
      </c>
      <c r="GU38" s="528">
        <f t="shared" ref="GU38:GU43" si="402">GS38/$HH38</f>
        <v>15.830210620787476</v>
      </c>
      <c r="GV38" s="599">
        <f t="shared" ref="GV38:GV43" si="403">44/12*DP38+$FS38+$EP38</f>
        <v>6.3927590079100645</v>
      </c>
      <c r="GW38" s="527">
        <f t="shared" ref="GW38:GW43" si="404">10^3*GV38/$HF38</f>
        <v>336.46100041631917</v>
      </c>
      <c r="GX38" s="528">
        <f t="shared" ref="GX38:GX43" si="405">GV38/$HH38</f>
        <v>15.98189751977516</v>
      </c>
      <c r="GY38" s="599">
        <f t="shared" ref="GY38:GY43" si="406">44/12*DT38+$FS38+$EW38</f>
        <v>5.2495486194507368</v>
      </c>
      <c r="GZ38" s="527">
        <f t="shared" ref="GZ38:GZ43" si="407">10^3*GY38/$HF38</f>
        <v>276.29203260267036</v>
      </c>
      <c r="HA38" s="528">
        <f t="shared" ref="HA38:HA43" si="408">GY38/$HH38</f>
        <v>13.123871548626841</v>
      </c>
      <c r="HB38" s="31">
        <v>0.91</v>
      </c>
      <c r="HC38" s="32">
        <f t="shared" ref="HC38:HC43" si="409">$HB38*HD38</f>
        <v>21.385000000000002</v>
      </c>
      <c r="HD38" s="27">
        <v>23.5</v>
      </c>
      <c r="HE38" s="32">
        <f t="shared" ref="HE38:HE43" si="410">$HB38*HF38</f>
        <v>17.29</v>
      </c>
      <c r="HF38" s="33">
        <v>19</v>
      </c>
      <c r="HG38" s="34">
        <f t="shared" ref="HG38:HG43" si="411">$HB38*HH38</f>
        <v>0.36400000000000005</v>
      </c>
      <c r="HH38" s="35">
        <v>0.4</v>
      </c>
      <c r="HI38" s="34">
        <f t="shared" ref="HI38:HI43" si="412">$HB38*HJ38</f>
        <v>0.19109999999999999</v>
      </c>
      <c r="HJ38" s="31">
        <v>0.21</v>
      </c>
    </row>
    <row r="39" spans="1:218" s="4" customFormat="1" x14ac:dyDescent="0.25">
      <c r="A39" s="14" t="s">
        <v>134</v>
      </c>
      <c r="B39" s="67">
        <f t="shared" si="294"/>
        <v>12.3</v>
      </c>
      <c r="C39" s="33">
        <v>12.3</v>
      </c>
      <c r="D39" s="33">
        <v>0</v>
      </c>
      <c r="E39" s="38">
        <f t="shared" si="295"/>
        <v>0</v>
      </c>
      <c r="F39" s="108">
        <f t="shared" si="296"/>
        <v>14.6</v>
      </c>
      <c r="G39" s="264">
        <f t="shared" si="297"/>
        <v>7.5919999999999996</v>
      </c>
      <c r="H39" s="33">
        <v>14.6</v>
      </c>
      <c r="I39" s="32">
        <f t="shared" si="298"/>
        <v>7.5919999999999996</v>
      </c>
      <c r="J39" s="33">
        <v>11.4</v>
      </c>
      <c r="K39" s="32">
        <f t="shared" si="299"/>
        <v>5.9280000000000008</v>
      </c>
      <c r="L39" s="32">
        <f t="shared" si="300"/>
        <v>1.3171759747102214</v>
      </c>
      <c r="M39" s="32">
        <f t="shared" si="301"/>
        <v>1.3171759747102214</v>
      </c>
      <c r="N39" s="32">
        <f t="shared" si="302"/>
        <v>1.6869095816464235</v>
      </c>
      <c r="O39" s="107">
        <f t="shared" si="303"/>
        <v>179.58</v>
      </c>
      <c r="P39" s="68">
        <f t="shared" si="304"/>
        <v>93.381600000000006</v>
      </c>
      <c r="Q39" s="68"/>
      <c r="R39" s="67">
        <f t="shared" si="305"/>
        <v>179.58</v>
      </c>
      <c r="S39" s="67">
        <f t="shared" si="306"/>
        <v>93.381600000000006</v>
      </c>
      <c r="T39" s="67">
        <f t="shared" si="307"/>
        <v>0</v>
      </c>
      <c r="U39" s="67">
        <f t="shared" si="308"/>
        <v>0</v>
      </c>
      <c r="V39" s="38">
        <f t="shared" si="309"/>
        <v>0</v>
      </c>
      <c r="W39" s="294">
        <f t="shared" si="310"/>
        <v>0.83059649691437742</v>
      </c>
      <c r="X39" s="294">
        <f t="shared" si="311"/>
        <v>4.8508025922147412E-3</v>
      </c>
      <c r="Y39" s="294">
        <f t="shared" si="312"/>
        <v>0</v>
      </c>
      <c r="Z39" s="294">
        <f t="shared" si="313"/>
        <v>2.7649796864772386E-2</v>
      </c>
      <c r="AA39" s="294">
        <f t="shared" si="314"/>
        <v>0</v>
      </c>
      <c r="AB39" s="294">
        <f t="shared" si="315"/>
        <v>0</v>
      </c>
      <c r="AC39" s="294">
        <f t="shared" si="316"/>
        <v>8.7259806197333988E-5</v>
      </c>
      <c r="AD39" s="294">
        <f t="shared" si="317"/>
        <v>0.13681564382243805</v>
      </c>
      <c r="AE39" s="294">
        <f t="shared" si="318"/>
        <v>0</v>
      </c>
      <c r="AF39" s="433">
        <v>0.83059649691437742</v>
      </c>
      <c r="AG39" s="433">
        <v>4.8508025922147412E-3</v>
      </c>
      <c r="AH39" s="433">
        <v>0</v>
      </c>
      <c r="AI39" s="433">
        <v>2.7649796864772386E-2</v>
      </c>
      <c r="AJ39" s="433">
        <v>0</v>
      </c>
      <c r="AK39" s="433">
        <v>0</v>
      </c>
      <c r="AL39" s="433">
        <v>8.7259806197333988E-5</v>
      </c>
      <c r="AM39" s="433">
        <v>0.13681564382243805</v>
      </c>
      <c r="AN39" s="433">
        <v>0</v>
      </c>
      <c r="AO39" s="433">
        <v>0.31258845094874138</v>
      </c>
      <c r="AP39" s="433">
        <v>1.3704456311138418E-3</v>
      </c>
      <c r="AQ39" s="433">
        <v>0</v>
      </c>
      <c r="AR39" s="433">
        <v>0.37345265247140352</v>
      </c>
      <c r="AS39" s="433">
        <v>0</v>
      </c>
      <c r="AT39" s="433">
        <v>0</v>
      </c>
      <c r="AU39" s="433">
        <v>0</v>
      </c>
      <c r="AV39" s="433">
        <v>0.31258845094874138</v>
      </c>
      <c r="AW39" s="433">
        <v>0</v>
      </c>
      <c r="AX39" s="554">
        <f t="shared" si="319"/>
        <v>4.2376010486645095</v>
      </c>
      <c r="AY39" s="554">
        <f t="shared" si="320"/>
        <v>2.3689259019647699</v>
      </c>
      <c r="AZ39" s="554">
        <f t="shared" si="321"/>
        <v>1.8686751466997402</v>
      </c>
      <c r="BA39" s="67">
        <f t="shared" si="322"/>
        <v>344.52041046052921</v>
      </c>
      <c r="BB39" s="67">
        <f t="shared" si="323"/>
        <v>192.59560178575362</v>
      </c>
      <c r="BC39" s="67">
        <f t="shared" si="323"/>
        <v>151.92480867477562</v>
      </c>
      <c r="BD39" s="67">
        <f t="shared" si="324"/>
        <v>344.52041046052926</v>
      </c>
      <c r="BE39" s="105">
        <v>192.59560178575364</v>
      </c>
      <c r="BF39" s="105">
        <v>151.92480867477562</v>
      </c>
      <c r="BG39" s="68">
        <f t="shared" si="325"/>
        <v>198.06756795907938</v>
      </c>
      <c r="BH39" s="106">
        <v>75.677694064034824</v>
      </c>
      <c r="BI39" s="106">
        <v>122.38987389504457</v>
      </c>
      <c r="BJ39" s="554">
        <f t="shared" si="326"/>
        <v>1.7213063600248053</v>
      </c>
      <c r="BK39" s="554">
        <f t="shared" si="327"/>
        <v>0.31980000000000003</v>
      </c>
      <c r="BL39" s="554">
        <f t="shared" si="328"/>
        <v>1.4015063600248052</v>
      </c>
      <c r="BM39" s="32">
        <f t="shared" si="329"/>
        <v>139.94360650608172</v>
      </c>
      <c r="BN39" s="32">
        <f t="shared" si="330"/>
        <v>26</v>
      </c>
      <c r="BO39" s="67">
        <f t="shared" si="330"/>
        <v>113.94360650608172</v>
      </c>
      <c r="BP39" s="270"/>
      <c r="BQ39" s="67">
        <f t="shared" si="331"/>
        <v>139.94360650608172</v>
      </c>
      <c r="BR39" s="106">
        <v>26</v>
      </c>
      <c r="BS39" s="68">
        <f t="shared" si="332"/>
        <v>113.94360650608172</v>
      </c>
      <c r="BT39" s="68"/>
      <c r="BU39" s="293">
        <f t="shared" si="333"/>
        <v>0.25</v>
      </c>
      <c r="BV39" s="68">
        <f t="shared" si="334"/>
        <v>117.79240542128343</v>
      </c>
      <c r="BW39" s="106">
        <v>26</v>
      </c>
      <c r="BX39" s="67">
        <f t="shared" si="335"/>
        <v>91.792405421283433</v>
      </c>
      <c r="BY39" s="67"/>
      <c r="BZ39" s="34">
        <f t="shared" si="336"/>
        <v>0.25</v>
      </c>
      <c r="CA39" s="294"/>
      <c r="CB39" s="294"/>
      <c r="CC39" s="294"/>
      <c r="CD39" s="67">
        <f t="shared" si="283"/>
        <v>204.57680395444748</v>
      </c>
      <c r="CE39" s="67">
        <f t="shared" si="283"/>
        <v>166.59560178575362</v>
      </c>
      <c r="CF39" s="67">
        <f t="shared" si="283"/>
        <v>37.981202168693898</v>
      </c>
      <c r="CG39" s="67">
        <f t="shared" si="284"/>
        <v>204.57680395444754</v>
      </c>
      <c r="CH39" s="67">
        <f t="shared" si="284"/>
        <v>166.59560178575364</v>
      </c>
      <c r="CI39" s="67">
        <f t="shared" si="284"/>
        <v>37.981202168693898</v>
      </c>
      <c r="CJ39" s="67">
        <f t="shared" si="285"/>
        <v>80.27516253779595</v>
      </c>
      <c r="CK39" s="67">
        <f t="shared" si="285"/>
        <v>49.677694064034824</v>
      </c>
      <c r="CL39" s="67">
        <f t="shared" si="285"/>
        <v>30.59746847376114</v>
      </c>
      <c r="CM39" s="68"/>
      <c r="CN39" s="293"/>
      <c r="CO39" s="293"/>
      <c r="CS39" s="32">
        <f t="shared" si="337"/>
        <v>10.199999999999999</v>
      </c>
      <c r="CT39" s="33">
        <v>10.199999999999999</v>
      </c>
      <c r="CU39" s="99">
        <v>7.8</v>
      </c>
      <c r="CY39" s="97">
        <f t="shared" si="338"/>
        <v>0.45515567757184694</v>
      </c>
      <c r="CZ39" s="263">
        <f>(BA39-BM39-EN39*CF39)/'Amortization metrics'!$D$4/G39</f>
        <v>0.87529937994585949</v>
      </c>
      <c r="DA39" s="527">
        <f t="shared" si="339"/>
        <v>55.662917643615863</v>
      </c>
      <c r="DB39" s="528">
        <f t="shared" si="340"/>
        <v>25.008553712738841</v>
      </c>
      <c r="DC39" s="97">
        <f t="shared" si="341"/>
        <v>0.45515567757184711</v>
      </c>
      <c r="DD39" s="263">
        <f>(BD39-BQ39-EQ39*CI39)/'Amortization metrics'!$D$4/I39</f>
        <v>0.87529937994585982</v>
      </c>
      <c r="DE39" s="527">
        <f t="shared" si="342"/>
        <v>55.662917643615884</v>
      </c>
      <c r="DF39" s="528">
        <f t="shared" si="343"/>
        <v>25.008553712738848</v>
      </c>
      <c r="DG39" s="97">
        <f t="shared" si="344"/>
        <v>0.23472269747893551</v>
      </c>
      <c r="DH39" s="263">
        <f>(BG39-BV39-EX39*CL39)/'Amortization metrics'!$D$4/K39</f>
        <v>0.45138980284410674</v>
      </c>
      <c r="DI39" s="527">
        <f t="shared" si="345"/>
        <v>28.705233885157817</v>
      </c>
      <c r="DJ39" s="528">
        <f t="shared" si="346"/>
        <v>12.89685150983162</v>
      </c>
      <c r="DK39" s="97">
        <f t="shared" si="347"/>
        <v>0.35082236112958287</v>
      </c>
      <c r="DL39" s="263">
        <f t="shared" si="348"/>
        <v>0.67465838678765933</v>
      </c>
      <c r="DM39" s="527">
        <f t="shared" si="349"/>
        <v>42.903554008754163</v>
      </c>
      <c r="DN39" s="528">
        <f t="shared" si="350"/>
        <v>19.275953908218835</v>
      </c>
      <c r="DO39" s="97">
        <f t="shared" si="351"/>
        <v>0.35082236112958287</v>
      </c>
      <c r="DP39" s="263">
        <f t="shared" si="287"/>
        <v>0.67465838678765933</v>
      </c>
      <c r="DQ39" s="527">
        <f t="shared" si="352"/>
        <v>42.903554008754163</v>
      </c>
      <c r="DR39" s="528">
        <f t="shared" si="353"/>
        <v>19.275953908218835</v>
      </c>
      <c r="DS39" s="97">
        <f t="shared" si="354"/>
        <v>0.34358144552319314</v>
      </c>
      <c r="DT39" s="263">
        <f t="shared" si="288"/>
        <v>0.6607335490830637</v>
      </c>
      <c r="DU39" s="527">
        <f t="shared" si="355"/>
        <v>42.018031738191645</v>
      </c>
      <c r="DV39" s="528">
        <f t="shared" si="356"/>
        <v>18.878101402373247</v>
      </c>
      <c r="DW39" s="97">
        <f t="shared" si="357"/>
        <v>0.69863013698630139</v>
      </c>
      <c r="DX39" s="263">
        <f t="shared" si="289"/>
        <v>1.3435194942044257</v>
      </c>
      <c r="DY39" s="68">
        <f t="shared" si="358"/>
        <v>85.438441602825151</v>
      </c>
      <c r="DZ39" s="97">
        <f t="shared" si="359"/>
        <v>0.69863013698630139</v>
      </c>
      <c r="EA39" s="263">
        <f t="shared" si="290"/>
        <v>1.3435194942044257</v>
      </c>
      <c r="EB39" s="68">
        <f t="shared" si="360"/>
        <v>85.438441602825151</v>
      </c>
      <c r="EC39" s="97">
        <f t="shared" si="361"/>
        <v>0.68421052631578938</v>
      </c>
      <c r="ED39" s="263">
        <f t="shared" si="291"/>
        <v>1.3157894736842104</v>
      </c>
      <c r="EE39" s="68">
        <f t="shared" si="362"/>
        <v>83.675006275625449</v>
      </c>
      <c r="EF39" s="60"/>
      <c r="EG39" s="60"/>
      <c r="EH39" s="60"/>
      <c r="EI39" s="554">
        <f t="shared" si="363"/>
        <v>96.152673887999995</v>
      </c>
      <c r="EJ39" s="596">
        <f t="shared" si="364"/>
        <v>0.53543086027397258</v>
      </c>
      <c r="EK39" s="432">
        <f t="shared" si="365"/>
        <v>1.029674731296101</v>
      </c>
      <c r="EL39" s="68">
        <f t="shared" si="366"/>
        <v>65.480110098321205</v>
      </c>
      <c r="EM39" s="97">
        <f t="shared" si="367"/>
        <v>29.419278037031454</v>
      </c>
      <c r="EN39" s="429">
        <f t="shared" si="368"/>
        <v>0.13739999999999999</v>
      </c>
      <c r="EO39" s="262">
        <f t="shared" si="369"/>
        <v>0.53543086027397258</v>
      </c>
      <c r="EP39" s="436">
        <f t="shared" si="370"/>
        <v>1.029674731296101</v>
      </c>
      <c r="EQ39" s="101">
        <v>0.13739999999999999</v>
      </c>
      <c r="ER39" s="433">
        <v>1</v>
      </c>
      <c r="ES39" s="433">
        <v>0</v>
      </c>
      <c r="ET39" s="434">
        <f>1-ER39-ES39</f>
        <v>0</v>
      </c>
      <c r="EU39" s="430">
        <f>ER39*$FC39+ES39*$FD39+ET39*$FE39+'Amortization metrics'!$B$6*(ER39*$FF39+ES39*$FG39+ET39*$FH39)/10^3+'Amortization metrics'!$B$5*(ER39*$FI39+ES39*$FJ39+ET39*$FK39)/10^3</f>
        <v>56.894399999999997</v>
      </c>
      <c r="EV39" s="262">
        <f t="shared" si="371"/>
        <v>0</v>
      </c>
      <c r="EW39" s="436">
        <f t="shared" si="372"/>
        <v>0</v>
      </c>
      <c r="EX39" s="101">
        <v>0</v>
      </c>
      <c r="EY39" s="433">
        <v>1</v>
      </c>
      <c r="EZ39" s="433">
        <v>0</v>
      </c>
      <c r="FA39" s="434">
        <f>1-EY39-EZ39</f>
        <v>0</v>
      </c>
      <c r="FB39" s="430">
        <f>EY39*$FC39+EZ39*$FD39+FA39*$FE39+'Amortization metrics'!$B$6*(EY39*$FF39+EZ39*$FG39+FA39*$FH39)/10^3+'Amortization metrics'!$B$5*(EY39*$FI39+EZ39*$FJ39+FA39*$FK39)/10^3</f>
        <v>56.894399999999997</v>
      </c>
      <c r="FC39" s="431">
        <v>55</v>
      </c>
      <c r="FD39" s="430">
        <f>FC39</f>
        <v>55</v>
      </c>
      <c r="FE39" s="430">
        <f>FC39</f>
        <v>55</v>
      </c>
      <c r="FF39" s="99">
        <v>1.2</v>
      </c>
      <c r="FG39" s="430">
        <f>FF39</f>
        <v>1.2</v>
      </c>
      <c r="FH39" s="430">
        <f>FF39</f>
        <v>1.2</v>
      </c>
      <c r="FI39" s="431">
        <v>45.2</v>
      </c>
      <c r="FJ39" s="430">
        <f>FI39</f>
        <v>45.2</v>
      </c>
      <c r="FK39" s="430">
        <f>FI39</f>
        <v>45.2</v>
      </c>
      <c r="FL39" s="554">
        <f t="shared" si="374"/>
        <v>15.065587467785159</v>
      </c>
      <c r="FM39" s="554">
        <f t="shared" si="375"/>
        <v>5.8468889073039598</v>
      </c>
      <c r="FN39" s="554">
        <f t="shared" si="376"/>
        <v>1.3731463663079999</v>
      </c>
      <c r="FO39" s="554">
        <f t="shared" si="377"/>
        <v>2.20402412928</v>
      </c>
      <c r="FP39" s="554">
        <f t="shared" si="378"/>
        <v>5.6415280648932002</v>
      </c>
      <c r="FQ39" s="554"/>
      <c r="FR39" s="167">
        <f t="shared" si="379"/>
        <v>8.3893459560002007E-2</v>
      </c>
      <c r="FS39" s="166">
        <f t="shared" si="380"/>
        <v>0.16133357607692694</v>
      </c>
      <c r="FT39" s="68">
        <f t="shared" si="381"/>
        <v>10.259686872936529</v>
      </c>
      <c r="FU39" s="97">
        <f t="shared" si="382"/>
        <v>4.6095307450550553</v>
      </c>
      <c r="FV39" s="473">
        <f t="shared" si="383"/>
        <v>4.0205119020002004E-2</v>
      </c>
      <c r="FW39" s="269">
        <f t="shared" si="384"/>
        <v>7.7317536576926929E-2</v>
      </c>
      <c r="FX39" s="473">
        <f t="shared" si="385"/>
        <v>4.3688340540000002E-2</v>
      </c>
      <c r="FY39" s="269">
        <f t="shared" si="386"/>
        <v>8.40160395E-2</v>
      </c>
      <c r="FZ39" s="123"/>
      <c r="GA39" s="49"/>
      <c r="GB39" s="435">
        <v>3.2558686420002002E-2</v>
      </c>
      <c r="GC39" s="522">
        <f t="shared" si="387"/>
        <v>6.2612858500003851E-2</v>
      </c>
      <c r="GD39" s="435">
        <v>7.6464326000000001E-3</v>
      </c>
      <c r="GE39" s="522">
        <f t="shared" si="388"/>
        <v>1.4704678076923076E-2</v>
      </c>
      <c r="GF39" s="435">
        <v>1.2273216E-2</v>
      </c>
      <c r="GG39" s="522">
        <f t="shared" si="389"/>
        <v>2.3602338461538461E-2</v>
      </c>
      <c r="GH39" s="435">
        <v>3.1415124539999999E-2</v>
      </c>
      <c r="GI39" s="522">
        <f t="shared" si="390"/>
        <v>6.0413701038461533E-2</v>
      </c>
      <c r="GJ39" s="599">
        <f t="shared" si="391"/>
        <v>4.4004393671745126</v>
      </c>
      <c r="GK39" s="527">
        <f t="shared" si="392"/>
        <v>279.83716166451592</v>
      </c>
      <c r="GL39" s="528">
        <f t="shared" si="393"/>
        <v>125.72683906212892</v>
      </c>
      <c r="GM39" s="599">
        <f t="shared" si="394"/>
        <v>4.4004393671745134</v>
      </c>
      <c r="GN39" s="527">
        <f t="shared" si="395"/>
        <v>279.83716166451597</v>
      </c>
      <c r="GO39" s="528">
        <f t="shared" si="396"/>
        <v>125.72683906212895</v>
      </c>
      <c r="GP39" s="599">
        <f t="shared" si="397"/>
        <v>1.8164295198386515</v>
      </c>
      <c r="GQ39" s="527">
        <f t="shared" si="398"/>
        <v>115.51221111851518</v>
      </c>
      <c r="GR39" s="528">
        <f t="shared" si="399"/>
        <v>51.897986281104323</v>
      </c>
      <c r="GS39" s="599">
        <f t="shared" si="400"/>
        <v>3.6647557255944454</v>
      </c>
      <c r="GT39" s="527">
        <f t="shared" si="401"/>
        <v>233.05282833668966</v>
      </c>
      <c r="GU39" s="528">
        <f t="shared" si="402"/>
        <v>104.70730644555557</v>
      </c>
      <c r="GV39" s="599">
        <f t="shared" si="403"/>
        <v>3.6647557255944454</v>
      </c>
      <c r="GW39" s="527">
        <f t="shared" si="404"/>
        <v>233.05282833668966</v>
      </c>
      <c r="GX39" s="528">
        <f t="shared" si="405"/>
        <v>104.70730644555557</v>
      </c>
      <c r="GY39" s="599">
        <f t="shared" si="406"/>
        <v>2.5840232560481606</v>
      </c>
      <c r="GZ39" s="527">
        <f t="shared" si="407"/>
        <v>164.3258032463059</v>
      </c>
      <c r="HA39" s="528">
        <f t="shared" si="408"/>
        <v>73.829235887090292</v>
      </c>
      <c r="HB39" s="31">
        <v>0.52</v>
      </c>
      <c r="HC39" s="32">
        <f t="shared" si="409"/>
        <v>14.3</v>
      </c>
      <c r="HD39" s="27">
        <v>27.5</v>
      </c>
      <c r="HE39" s="32">
        <f t="shared" si="410"/>
        <v>8.1770000000000014</v>
      </c>
      <c r="HF39" s="41">
        <f>'Crops proc. &amp; prod. AMORTIZED'!OB83*'Crops proc. &amp; prod. AMORTIZED'!C83+'Crops proc. &amp; prod. AMORTIZED'!OB84*'Crops proc. &amp; prod. AMORTIZED'!C84</f>
        <v>15.725000000000001</v>
      </c>
      <c r="HG39" s="36">
        <f t="shared" si="411"/>
        <v>1.8200000000000001E-2</v>
      </c>
      <c r="HH39" s="35">
        <v>3.5000000000000003E-2</v>
      </c>
      <c r="HI39" s="34">
        <f t="shared" si="412"/>
        <v>0.26</v>
      </c>
      <c r="HJ39" s="31">
        <v>0.5</v>
      </c>
    </row>
    <row r="40" spans="1:218" s="4" customFormat="1" x14ac:dyDescent="0.25">
      <c r="A40" s="14" t="s">
        <v>80</v>
      </c>
      <c r="B40" s="67">
        <f t="shared" si="294"/>
        <v>27.299999999999997</v>
      </c>
      <c r="C40" s="33">
        <v>23.2</v>
      </c>
      <c r="D40" s="33">
        <v>4.0999999999999996</v>
      </c>
      <c r="E40" s="38">
        <f t="shared" si="295"/>
        <v>0.15018315018315018</v>
      </c>
      <c r="F40" s="108">
        <f t="shared" si="296"/>
        <v>1.785970695970696</v>
      </c>
      <c r="G40" s="32">
        <f t="shared" si="297"/>
        <v>1.6430930402930404</v>
      </c>
      <c r="H40" s="33">
        <v>1.81</v>
      </c>
      <c r="I40" s="32">
        <f t="shared" si="298"/>
        <v>1.6652</v>
      </c>
      <c r="J40" s="33">
        <v>1.65</v>
      </c>
      <c r="K40" s="32">
        <f t="shared" si="299"/>
        <v>1.518</v>
      </c>
      <c r="L40" s="32">
        <f t="shared" si="300"/>
        <v>6.0860826226958711</v>
      </c>
      <c r="M40" s="32">
        <f t="shared" si="301"/>
        <v>6.0052846504924329</v>
      </c>
      <c r="N40" s="32">
        <f t="shared" si="302"/>
        <v>6.587615283267457</v>
      </c>
      <c r="O40" s="107">
        <f t="shared" si="303"/>
        <v>48.756999999999998</v>
      </c>
      <c r="P40" s="68">
        <f t="shared" si="304"/>
        <v>44.856439999999999</v>
      </c>
      <c r="Q40" s="68"/>
      <c r="R40" s="67">
        <f t="shared" si="305"/>
        <v>41.991999999999997</v>
      </c>
      <c r="S40" s="67">
        <f t="shared" si="306"/>
        <v>38.632640000000002</v>
      </c>
      <c r="T40" s="67">
        <f t="shared" si="307"/>
        <v>6.7649999999999988</v>
      </c>
      <c r="U40" s="67">
        <f t="shared" si="308"/>
        <v>6.2237999999999998</v>
      </c>
      <c r="V40" s="38">
        <f t="shared" si="309"/>
        <v>0.13874930779170169</v>
      </c>
      <c r="W40" s="294">
        <f t="shared" si="310"/>
        <v>3.0213481180144844E-2</v>
      </c>
      <c r="X40" s="294">
        <f t="shared" si="311"/>
        <v>0.3718721842718114</v>
      </c>
      <c r="Y40" s="294">
        <f t="shared" si="312"/>
        <v>0.30682711564724402</v>
      </c>
      <c r="Z40" s="294">
        <f t="shared" si="313"/>
        <v>3.1219251441532321E-2</v>
      </c>
      <c r="AA40" s="294">
        <f t="shared" si="314"/>
        <v>7.2396987495394291E-2</v>
      </c>
      <c r="AB40" s="294">
        <f t="shared" si="315"/>
        <v>0.12839341050179129</v>
      </c>
      <c r="AC40" s="294">
        <f t="shared" si="316"/>
        <v>2.422833315112307E-2</v>
      </c>
      <c r="AD40" s="294">
        <f t="shared" si="317"/>
        <v>4.7498520611487073E-3</v>
      </c>
      <c r="AE40" s="294">
        <f t="shared" si="318"/>
        <v>2.7408236178408072E-2</v>
      </c>
      <c r="AF40" s="433">
        <v>3.014241001346428E-2</v>
      </c>
      <c r="AG40" s="433">
        <v>0.36897056699082137</v>
      </c>
      <c r="AH40" s="433">
        <v>0.35174541012947191</v>
      </c>
      <c r="AI40" s="433">
        <v>2.2854384075743583E-2</v>
      </c>
      <c r="AJ40" s="433">
        <v>7.2056388684200251E-2</v>
      </c>
      <c r="AK40" s="433">
        <v>0.10581214217909246</v>
      </c>
      <c r="AL40" s="433">
        <v>1.3073277653664717E-2</v>
      </c>
      <c r="AM40" s="433">
        <v>1.78742989817966E-4</v>
      </c>
      <c r="AN40" s="433">
        <v>3.2188045720165127E-2</v>
      </c>
      <c r="AO40" s="433">
        <v>3.0615639976971445E-2</v>
      </c>
      <c r="AP40" s="433">
        <v>0.38829109181302318</v>
      </c>
      <c r="AQ40" s="433">
        <v>5.265530296732001E-2</v>
      </c>
      <c r="AR40" s="433">
        <v>7.8552159462580776E-2</v>
      </c>
      <c r="AS40" s="433">
        <v>7.4324278329467905E-2</v>
      </c>
      <c r="AT40" s="433">
        <v>0.25617034344974565</v>
      </c>
      <c r="AU40" s="433">
        <v>8.7349622795277651E-2</v>
      </c>
      <c r="AV40" s="433">
        <v>3.0615639976971445E-2</v>
      </c>
      <c r="AW40" s="433">
        <v>3.6150901529497268E-4</v>
      </c>
      <c r="AX40" s="554">
        <f t="shared" si="319"/>
        <v>4.4738175591761662</v>
      </c>
      <c r="AY40" s="554">
        <f t="shared" si="320"/>
        <v>1.6918523371758014</v>
      </c>
      <c r="AZ40" s="554">
        <f t="shared" si="321"/>
        <v>2.7819652220003648</v>
      </c>
      <c r="BA40" s="67">
        <f t="shared" si="322"/>
        <v>163.87610106872407</v>
      </c>
      <c r="BB40" s="67">
        <f t="shared" si="323"/>
        <v>61.972613083362695</v>
      </c>
      <c r="BC40" s="67">
        <f t="shared" si="323"/>
        <v>101.90348798536137</v>
      </c>
      <c r="BD40" s="67">
        <f t="shared" si="324"/>
        <v>173.34608013391897</v>
      </c>
      <c r="BE40" s="105">
        <v>64.424052538885491</v>
      </c>
      <c r="BF40" s="105">
        <v>108.9220275950335</v>
      </c>
      <c r="BG40" s="68">
        <f t="shared" si="325"/>
        <v>110.28987806566968</v>
      </c>
      <c r="BH40" s="106">
        <v>48.101053237477579</v>
      </c>
      <c r="BI40" s="106">
        <v>62.188824828192104</v>
      </c>
      <c r="BJ40" s="554">
        <f t="shared" si="326"/>
        <v>2.1004915540002731</v>
      </c>
      <c r="BK40" s="554">
        <f t="shared" si="327"/>
        <v>1.4017637500000003E-2</v>
      </c>
      <c r="BL40" s="554">
        <f t="shared" si="328"/>
        <v>2.0864739165002733</v>
      </c>
      <c r="BM40" s="32">
        <f t="shared" si="329"/>
        <v>76.941082564112577</v>
      </c>
      <c r="BN40" s="32">
        <f t="shared" si="330"/>
        <v>0.51346657509157523</v>
      </c>
      <c r="BO40" s="67">
        <f t="shared" si="330"/>
        <v>76.427615989021007</v>
      </c>
      <c r="BP40" s="270"/>
      <c r="BQ40" s="67">
        <f t="shared" si="331"/>
        <v>82.211895696275121</v>
      </c>
      <c r="BR40" s="32">
        <f>I40*0.5*2.5*0.25</f>
        <v>0.52037500000000003</v>
      </c>
      <c r="BS40" s="67">
        <f t="shared" si="332"/>
        <v>81.69152069627512</v>
      </c>
      <c r="BT40" s="67"/>
      <c r="BU40" s="34">
        <f t="shared" si="333"/>
        <v>0.25</v>
      </c>
      <c r="BV40" s="68">
        <f t="shared" si="334"/>
        <v>47.115993621144078</v>
      </c>
      <c r="BW40" s="32">
        <f>K40*0.5*2.5*0.25</f>
        <v>0.47437499999999999</v>
      </c>
      <c r="BX40" s="67">
        <f t="shared" si="335"/>
        <v>46.641618621144076</v>
      </c>
      <c r="BY40" s="67"/>
      <c r="BZ40" s="34">
        <f t="shared" si="336"/>
        <v>0.25</v>
      </c>
      <c r="CA40" s="294"/>
      <c r="CB40" s="294"/>
      <c r="CC40" s="294"/>
      <c r="CD40" s="67">
        <f t="shared" si="283"/>
        <v>86.935018504611492</v>
      </c>
      <c r="CE40" s="67">
        <f t="shared" si="283"/>
        <v>61.459146508271118</v>
      </c>
      <c r="CF40" s="67">
        <f t="shared" si="283"/>
        <v>25.475871996340359</v>
      </c>
      <c r="CG40" s="67">
        <f t="shared" si="284"/>
        <v>91.134184437643853</v>
      </c>
      <c r="CH40" s="67">
        <f t="shared" si="284"/>
        <v>63.903677538885489</v>
      </c>
      <c r="CI40" s="67">
        <f t="shared" si="284"/>
        <v>27.230506898758378</v>
      </c>
      <c r="CJ40" s="67">
        <f t="shared" si="285"/>
        <v>63.173884444525605</v>
      </c>
      <c r="CK40" s="67">
        <f t="shared" si="285"/>
        <v>47.626678237477577</v>
      </c>
      <c r="CL40" s="67">
        <f t="shared" si="285"/>
        <v>15.547206207048028</v>
      </c>
      <c r="CM40" s="68"/>
      <c r="CN40" s="293"/>
      <c r="CO40" s="293"/>
      <c r="CS40" s="32">
        <f t="shared" si="337"/>
        <v>4.8847252747252758</v>
      </c>
      <c r="CT40" s="33">
        <v>5.1100000000000003</v>
      </c>
      <c r="CU40" s="99">
        <v>3.61</v>
      </c>
      <c r="CY40" s="97">
        <f t="shared" si="338"/>
        <v>1.6080784970652389</v>
      </c>
      <c r="CZ40" s="263">
        <f>(BA40-BM40-EN40*CF40)/'Amortization metrics'!$D$4/G40</f>
        <v>1.7479114098535204</v>
      </c>
      <c r="DA40" s="527">
        <f t="shared" si="339"/>
        <v>87.395570492676015</v>
      </c>
      <c r="DB40" s="528">
        <f t="shared" si="340"/>
        <v>7.5996148254500886</v>
      </c>
      <c r="DC40" s="97">
        <f t="shared" si="341"/>
        <v>1.6605934529176394</v>
      </c>
      <c r="DD40" s="263">
        <f>(BD40-BQ40-EQ40*CI40)/'Amortization metrics'!$D$4/I40</f>
        <v>1.8049928836061297</v>
      </c>
      <c r="DE40" s="527">
        <f t="shared" si="342"/>
        <v>90.24964418030649</v>
      </c>
      <c r="DF40" s="528">
        <f t="shared" si="343"/>
        <v>7.8477951461136071</v>
      </c>
      <c r="DG40" s="97">
        <f t="shared" si="344"/>
        <v>1.2754862858510847</v>
      </c>
      <c r="DH40" s="263">
        <f>(BG40-BV40-EX40*CL40)/'Amortization metrics'!$D$4/K40</f>
        <v>1.3863981367946572</v>
      </c>
      <c r="DI40" s="527">
        <f t="shared" si="345"/>
        <v>69.319906839732852</v>
      </c>
      <c r="DJ40" s="528">
        <f t="shared" si="346"/>
        <v>6.0278179860637264</v>
      </c>
      <c r="DK40" s="97">
        <f t="shared" si="347"/>
        <v>1.3734275845081545</v>
      </c>
      <c r="DL40" s="263">
        <f t="shared" si="348"/>
        <v>1.4928560701175593</v>
      </c>
      <c r="DM40" s="527">
        <f t="shared" si="349"/>
        <v>74.642803505877964</v>
      </c>
      <c r="DN40" s="528">
        <f t="shared" si="350"/>
        <v>6.4906785657285182</v>
      </c>
      <c r="DO40" s="97">
        <f t="shared" si="351"/>
        <v>1.4176932658668433</v>
      </c>
      <c r="DP40" s="263">
        <f t="shared" si="287"/>
        <v>1.5409709411596122</v>
      </c>
      <c r="DQ40" s="527">
        <f t="shared" si="352"/>
        <v>77.048547057980613</v>
      </c>
      <c r="DR40" s="528">
        <f t="shared" si="353"/>
        <v>6.6998736572157052</v>
      </c>
      <c r="DS40" s="97">
        <f t="shared" si="354"/>
        <v>1.0986597365238142</v>
      </c>
      <c r="DT40" s="263">
        <f t="shared" si="288"/>
        <v>1.1941953657867546</v>
      </c>
      <c r="DU40" s="527">
        <f t="shared" si="355"/>
        <v>59.709768289337731</v>
      </c>
      <c r="DV40" s="528">
        <f t="shared" si="356"/>
        <v>5.1921537642902367</v>
      </c>
      <c r="DW40" s="97">
        <f t="shared" si="357"/>
        <v>2.7350534282256911</v>
      </c>
      <c r="DX40" s="263">
        <f t="shared" si="289"/>
        <v>2.9728841611148815</v>
      </c>
      <c r="DY40" s="68">
        <f t="shared" si="358"/>
        <v>148.64420805574406</v>
      </c>
      <c r="DZ40" s="97">
        <f t="shared" si="359"/>
        <v>2.8232044198895032</v>
      </c>
      <c r="EA40" s="263">
        <f t="shared" si="290"/>
        <v>3.0687004564016336</v>
      </c>
      <c r="EB40" s="68">
        <f t="shared" si="360"/>
        <v>153.43502282008168</v>
      </c>
      <c r="EC40" s="97">
        <f t="shared" si="361"/>
        <v>2.1878787878787875</v>
      </c>
      <c r="ED40" s="263">
        <f t="shared" si="291"/>
        <v>2.3781291172595518</v>
      </c>
      <c r="EE40" s="68">
        <f t="shared" si="362"/>
        <v>118.90645586297759</v>
      </c>
      <c r="EF40" s="60"/>
      <c r="EG40" s="60"/>
      <c r="EH40" s="60"/>
      <c r="EI40" s="554">
        <f t="shared" si="363"/>
        <v>29.762236345248006</v>
      </c>
      <c r="EJ40" s="262">
        <f t="shared" si="364"/>
        <v>0.61041976219308014</v>
      </c>
      <c r="EK40" s="166">
        <f t="shared" si="365"/>
        <v>0.66349974151421753</v>
      </c>
      <c r="EL40" s="68">
        <f t="shared" si="366"/>
        <v>33.174987075710881</v>
      </c>
      <c r="EM40" s="97">
        <f t="shared" si="367"/>
        <v>2.884781484844424</v>
      </c>
      <c r="EN40" s="429">
        <f t="shared" si="368"/>
        <v>3.0443956043956045E-2</v>
      </c>
      <c r="EO40" s="262">
        <f t="shared" si="369"/>
        <v>0.69597508156906085</v>
      </c>
      <c r="EP40" s="436">
        <f t="shared" si="370"/>
        <v>0.75649465387941395</v>
      </c>
      <c r="EQ40" s="101">
        <v>3.5400000000000001E-2</v>
      </c>
      <c r="ER40" s="101">
        <v>3.6999999999999998E-2</v>
      </c>
      <c r="ES40" s="101">
        <v>0.65900000000000003</v>
      </c>
      <c r="ET40" s="429">
        <f t="shared" ref="ET40:ET41" si="413">1-ER40-ES40</f>
        <v>0.30399999999999994</v>
      </c>
      <c r="EU40" s="430">
        <f>ER40*$FC40+ES40*$FD40+ET40*$FE40+'Amortization metrics'!$B$6*(ER40*$FF40+ES40*$FG40+ET40*$FH40)/10^3+'Amortization metrics'!$B$5*(ER40*$FI40+ES40*$FJ40+ET40*$FK40)/10^3</f>
        <v>35.585166600000001</v>
      </c>
      <c r="EV40" s="262">
        <f t="shared" si="371"/>
        <v>7.9357090909090891E-2</v>
      </c>
      <c r="EW40" s="436">
        <f t="shared" si="372"/>
        <v>8.6257707509881404E-2</v>
      </c>
      <c r="EX40" s="101">
        <v>2.3999999999999998E-3</v>
      </c>
      <c r="EY40" s="433">
        <v>1</v>
      </c>
      <c r="EZ40" s="433">
        <v>0</v>
      </c>
      <c r="FA40" s="434">
        <f t="shared" ref="FA40" si="414">1-EY40-EZ40</f>
        <v>0</v>
      </c>
      <c r="FB40" s="430">
        <f>EY40*$FC40+EZ40*$FD40+FA40*$FE40+'Amortization metrics'!$B$6*(EY40*$FF40+EZ40*$FG40+FA40*$FH40)/10^3+'Amortization metrics'!$B$5*(EY40*$FI40+EZ40*$FJ40+FA40*$FK40)/10^3</f>
        <v>54.558</v>
      </c>
      <c r="FC40" s="431">
        <v>51.3</v>
      </c>
      <c r="FD40" s="431">
        <v>29</v>
      </c>
      <c r="FE40" s="431">
        <v>29</v>
      </c>
      <c r="FF40" s="99">
        <v>5</v>
      </c>
      <c r="FG40" s="431">
        <v>13</v>
      </c>
      <c r="FH40" s="431">
        <v>13</v>
      </c>
      <c r="FI40" s="431">
        <v>52</v>
      </c>
      <c r="FJ40" s="431">
        <v>58.3</v>
      </c>
      <c r="FK40" s="431">
        <v>58.3</v>
      </c>
      <c r="FL40" s="554">
        <f t="shared" si="374"/>
        <v>48.971910929074795</v>
      </c>
      <c r="FM40" s="554">
        <f t="shared" si="375"/>
        <v>16.437038992113798</v>
      </c>
      <c r="FN40" s="554">
        <f t="shared" si="376"/>
        <v>3.4075109418763998</v>
      </c>
      <c r="FO40" s="554">
        <f t="shared" si="377"/>
        <v>13.7112259765146</v>
      </c>
      <c r="FP40" s="554">
        <f t="shared" si="378"/>
        <v>15.416135018569996</v>
      </c>
      <c r="FQ40" s="554"/>
      <c r="FR40" s="167">
        <f t="shared" si="379"/>
        <v>1.0044077964</v>
      </c>
      <c r="FS40" s="166">
        <f t="shared" si="380"/>
        <v>1.0917476047826087</v>
      </c>
      <c r="FT40" s="68">
        <f t="shared" si="381"/>
        <v>54.587380239130439</v>
      </c>
      <c r="FU40" s="97">
        <f t="shared" si="382"/>
        <v>4.7467287164461247</v>
      </c>
      <c r="FV40" s="473">
        <f t="shared" si="383"/>
        <v>0.40700924860000004</v>
      </c>
      <c r="FW40" s="269">
        <f t="shared" si="384"/>
        <v>0.44240135717391305</v>
      </c>
      <c r="FX40" s="473">
        <f t="shared" si="385"/>
        <v>0.5973985477999999</v>
      </c>
      <c r="FY40" s="269">
        <f t="shared" si="386"/>
        <v>0.64934624760869553</v>
      </c>
      <c r="FZ40" s="123"/>
      <c r="GA40" s="49"/>
      <c r="GB40" s="435">
        <v>0.33712162340000001</v>
      </c>
      <c r="GC40" s="522">
        <f t="shared" si="387"/>
        <v>0.36643654717391305</v>
      </c>
      <c r="GD40" s="435">
        <v>6.9887625199999998E-2</v>
      </c>
      <c r="GE40" s="522">
        <f t="shared" si="388"/>
        <v>7.5964809999999994E-2</v>
      </c>
      <c r="GF40" s="435">
        <v>0.28121553780000003</v>
      </c>
      <c r="GG40" s="522">
        <f t="shared" si="389"/>
        <v>0.30566906282608697</v>
      </c>
      <c r="GH40" s="435">
        <v>0.31618300999999993</v>
      </c>
      <c r="GI40" s="522">
        <f t="shared" si="390"/>
        <v>0.34367718478260861</v>
      </c>
      <c r="GJ40" s="599">
        <f t="shared" si="391"/>
        <v>8.1642558490930668</v>
      </c>
      <c r="GK40" s="527">
        <f t="shared" si="392"/>
        <v>408.21279245465337</v>
      </c>
      <c r="GL40" s="528">
        <f t="shared" si="393"/>
        <v>35.496764561274205</v>
      </c>
      <c r="GM40" s="599">
        <f t="shared" si="394"/>
        <v>8.4665494985511653</v>
      </c>
      <c r="GN40" s="527">
        <f t="shared" si="395"/>
        <v>423.32747492755823</v>
      </c>
      <c r="GO40" s="528">
        <f t="shared" si="396"/>
        <v>36.811084776309414</v>
      </c>
      <c r="GP40" s="599">
        <f t="shared" si="397"/>
        <v>6.2614651472062333</v>
      </c>
      <c r="GQ40" s="527">
        <f t="shared" si="398"/>
        <v>313.07325736031169</v>
      </c>
      <c r="GR40" s="528">
        <f t="shared" si="399"/>
        <v>27.223761509592318</v>
      </c>
      <c r="GS40" s="599">
        <f t="shared" si="400"/>
        <v>7.2290529367278769</v>
      </c>
      <c r="GT40" s="527">
        <f t="shared" si="401"/>
        <v>361.45264683639385</v>
      </c>
      <c r="GU40" s="528">
        <f t="shared" si="402"/>
        <v>31.430664942295117</v>
      </c>
      <c r="GV40" s="599">
        <f t="shared" si="403"/>
        <v>7.4984690429139338</v>
      </c>
      <c r="GW40" s="527">
        <f t="shared" si="404"/>
        <v>374.92345214569667</v>
      </c>
      <c r="GX40" s="528">
        <f t="shared" si="405"/>
        <v>32.602039317017102</v>
      </c>
      <c r="GY40" s="599">
        <f t="shared" si="406"/>
        <v>5.5567216535105901</v>
      </c>
      <c r="GZ40" s="527">
        <f t="shared" si="407"/>
        <v>277.8360826755295</v>
      </c>
      <c r="HA40" s="528">
        <f t="shared" si="408"/>
        <v>24.159659363089521</v>
      </c>
      <c r="HB40" s="31">
        <v>0.92</v>
      </c>
      <c r="HC40" s="32">
        <f t="shared" si="409"/>
        <v>25.576000000000001</v>
      </c>
      <c r="HD40" s="27">
        <v>27.8</v>
      </c>
      <c r="HE40" s="32">
        <f t="shared" si="410"/>
        <v>18.400000000000002</v>
      </c>
      <c r="HF40" s="33">
        <v>20</v>
      </c>
      <c r="HG40" s="34">
        <f t="shared" si="411"/>
        <v>0.21160000000000001</v>
      </c>
      <c r="HH40" s="35">
        <v>0.23</v>
      </c>
      <c r="HI40" s="34">
        <f t="shared" si="412"/>
        <v>0.41400000000000003</v>
      </c>
      <c r="HJ40" s="31">
        <v>0.45</v>
      </c>
    </row>
    <row r="41" spans="1:218" s="4" customFormat="1" x14ac:dyDescent="0.25">
      <c r="A41" s="14" t="s">
        <v>136</v>
      </c>
      <c r="B41" s="67">
        <f t="shared" si="294"/>
        <v>22.7</v>
      </c>
      <c r="C41" s="33">
        <v>21.7</v>
      </c>
      <c r="D41" s="33">
        <v>1</v>
      </c>
      <c r="E41" s="38">
        <f t="shared" si="295"/>
        <v>4.405286343612335E-2</v>
      </c>
      <c r="F41" s="108">
        <f t="shared" si="296"/>
        <v>1.2961674008810573</v>
      </c>
      <c r="G41" s="32">
        <f t="shared" si="297"/>
        <v>1.1924740088105727</v>
      </c>
      <c r="H41" s="33">
        <v>1.29</v>
      </c>
      <c r="I41" s="32">
        <f t="shared" si="298"/>
        <v>1.1868000000000001</v>
      </c>
      <c r="J41" s="33">
        <v>1.43</v>
      </c>
      <c r="K41" s="32">
        <f t="shared" si="299"/>
        <v>1.3156000000000001</v>
      </c>
      <c r="L41" s="32">
        <f t="shared" si="300"/>
        <v>8.3859270106645347</v>
      </c>
      <c r="M41" s="32">
        <f t="shared" si="301"/>
        <v>8.4260195483653515</v>
      </c>
      <c r="N41" s="32">
        <f t="shared" si="302"/>
        <v>7.601094557616296</v>
      </c>
      <c r="O41" s="107">
        <f t="shared" si="303"/>
        <v>29.422999999999998</v>
      </c>
      <c r="P41" s="68">
        <f t="shared" si="304"/>
        <v>27.06916</v>
      </c>
      <c r="Q41" s="68"/>
      <c r="R41" s="67">
        <f t="shared" si="305"/>
        <v>27.992999999999999</v>
      </c>
      <c r="S41" s="67">
        <f t="shared" si="306"/>
        <v>25.75356</v>
      </c>
      <c r="T41" s="67">
        <f t="shared" si="307"/>
        <v>1.43</v>
      </c>
      <c r="U41" s="67">
        <f t="shared" si="308"/>
        <v>1.3156000000000001</v>
      </c>
      <c r="V41" s="38">
        <f t="shared" si="309"/>
        <v>4.8601434252115695E-2</v>
      </c>
      <c r="W41" s="294">
        <f t="shared" si="310"/>
        <v>3.5095252611521334E-2</v>
      </c>
      <c r="X41" s="294">
        <f t="shared" si="311"/>
        <v>0.19341322097159289</v>
      </c>
      <c r="Y41" s="294">
        <f t="shared" si="312"/>
        <v>0.3077057357853934</v>
      </c>
      <c r="Z41" s="294">
        <f t="shared" si="313"/>
        <v>7.1274513401301628E-2</v>
      </c>
      <c r="AA41" s="294">
        <f t="shared" si="314"/>
        <v>0.24252445442942588</v>
      </c>
      <c r="AB41" s="294">
        <f t="shared" si="315"/>
        <v>0.13759359743283178</v>
      </c>
      <c r="AC41" s="294">
        <f t="shared" si="316"/>
        <v>8.0692283298111379E-3</v>
      </c>
      <c r="AD41" s="294">
        <f t="shared" si="317"/>
        <v>8.3940974525351705E-4</v>
      </c>
      <c r="AE41" s="294">
        <f t="shared" si="318"/>
        <v>3.2814001740874232E-3</v>
      </c>
      <c r="AF41" s="433">
        <v>3.6598988437829105E-2</v>
      </c>
      <c r="AG41" s="433">
        <v>0.19876625906764123</v>
      </c>
      <c r="AH41" s="433">
        <v>0.31668633473532787</v>
      </c>
      <c r="AI41" s="433">
        <v>7.0694000455159695E-2</v>
      </c>
      <c r="AJ41" s="433">
        <v>0.24393267713964092</v>
      </c>
      <c r="AK41" s="433">
        <v>0.12807754888650788</v>
      </c>
      <c r="AL41" s="433">
        <v>8.8557422141936448E-4</v>
      </c>
      <c r="AM41" s="433">
        <v>7.6453530122636449E-4</v>
      </c>
      <c r="AN41" s="433">
        <v>3.4119914057904989E-3</v>
      </c>
      <c r="AO41" s="433">
        <v>2.4641851806427263E-3</v>
      </c>
      <c r="AP41" s="433">
        <v>7.7252294287344495E-2</v>
      </c>
      <c r="AQ41" s="433">
        <v>0.11282673857181538</v>
      </c>
      <c r="AR41" s="433">
        <v>8.3871644332581458E-2</v>
      </c>
      <c r="AS41" s="433">
        <v>0.21196602161775918</v>
      </c>
      <c r="AT41" s="433">
        <v>0.3440918508880606</v>
      </c>
      <c r="AU41" s="433">
        <v>0.16395452248191261</v>
      </c>
      <c r="AV41" s="433">
        <v>2.4641851806427263E-3</v>
      </c>
      <c r="AW41" s="433">
        <v>4.4757044613068415E-4</v>
      </c>
      <c r="AX41" s="554">
        <f t="shared" si="319"/>
        <v>2.7390080573354241</v>
      </c>
      <c r="AY41" s="554">
        <f t="shared" si="320"/>
        <v>0.75648808598005912</v>
      </c>
      <c r="AZ41" s="554">
        <f t="shared" si="321"/>
        <v>1.9825199713553647</v>
      </c>
      <c r="BA41" s="67">
        <f t="shared" si="322"/>
        <v>120.66114790023894</v>
      </c>
      <c r="BB41" s="67">
        <f t="shared" si="323"/>
        <v>33.325466342733883</v>
      </c>
      <c r="BC41" s="67">
        <f t="shared" si="323"/>
        <v>87.335681557505055</v>
      </c>
      <c r="BD41" s="67">
        <f t="shared" si="324"/>
        <v>123.18979866485807</v>
      </c>
      <c r="BE41" s="105">
        <v>34.328036468256784</v>
      </c>
      <c r="BF41" s="105">
        <v>88.86176219660129</v>
      </c>
      <c r="BG41" s="68">
        <f t="shared" si="325"/>
        <v>65.789426308003755</v>
      </c>
      <c r="BH41" s="106">
        <v>11.569694618886915</v>
      </c>
      <c r="BI41" s="106">
        <v>54.219731689116834</v>
      </c>
      <c r="BJ41" s="554">
        <f t="shared" si="326"/>
        <v>1.4953490910165237</v>
      </c>
      <c r="BK41" s="554">
        <f t="shared" si="327"/>
        <v>8.4591124999999993E-3</v>
      </c>
      <c r="BL41" s="554">
        <f t="shared" si="328"/>
        <v>1.4868899785165235</v>
      </c>
      <c r="BM41" s="32">
        <f t="shared" si="329"/>
        <v>65.874409295882103</v>
      </c>
      <c r="BN41" s="32">
        <f t="shared" si="330"/>
        <v>0.37264812775330397</v>
      </c>
      <c r="BO41" s="67">
        <f t="shared" si="330"/>
        <v>65.501761168128795</v>
      </c>
      <c r="BP41" s="270"/>
      <c r="BQ41" s="67">
        <f t="shared" si="331"/>
        <v>67.017196647450973</v>
      </c>
      <c r="BR41" s="32">
        <f>I41*0.5*2.5*0.25</f>
        <v>0.37087500000000001</v>
      </c>
      <c r="BS41" s="67">
        <f t="shared" si="332"/>
        <v>66.646321647450975</v>
      </c>
      <c r="BT41" s="67"/>
      <c r="BU41" s="34">
        <f t="shared" si="333"/>
        <v>0.25</v>
      </c>
      <c r="BV41" s="68">
        <f t="shared" si="334"/>
        <v>41.075923766837626</v>
      </c>
      <c r="BW41" s="32">
        <f>K41*0.5*2.5*0.25</f>
        <v>0.41112500000000002</v>
      </c>
      <c r="BX41" s="67">
        <f t="shared" si="335"/>
        <v>40.664798766837627</v>
      </c>
      <c r="BY41" s="67"/>
      <c r="BZ41" s="34">
        <f t="shared" si="336"/>
        <v>0.25</v>
      </c>
      <c r="CA41" s="294"/>
      <c r="CB41" s="294"/>
      <c r="CC41" s="294"/>
      <c r="CD41" s="67">
        <f t="shared" si="283"/>
        <v>54.786738604356842</v>
      </c>
      <c r="CE41" s="67">
        <f t="shared" si="283"/>
        <v>32.952818214980582</v>
      </c>
      <c r="CF41" s="67">
        <f t="shared" si="283"/>
        <v>21.83392038937626</v>
      </c>
      <c r="CG41" s="67">
        <f t="shared" si="284"/>
        <v>56.172602017407101</v>
      </c>
      <c r="CH41" s="67">
        <f t="shared" si="284"/>
        <v>33.957161468256785</v>
      </c>
      <c r="CI41" s="67">
        <f t="shared" si="284"/>
        <v>22.215440549150316</v>
      </c>
      <c r="CJ41" s="67">
        <f t="shared" si="285"/>
        <v>24.713502541166129</v>
      </c>
      <c r="CK41" s="67">
        <f t="shared" si="285"/>
        <v>11.158569618886915</v>
      </c>
      <c r="CL41" s="67">
        <f t="shared" si="285"/>
        <v>13.554932922279207</v>
      </c>
      <c r="CM41" s="68"/>
      <c r="CN41" s="293"/>
      <c r="CO41" s="293"/>
      <c r="CS41" s="32">
        <f t="shared" si="337"/>
        <v>5.0696916299559467</v>
      </c>
      <c r="CT41" s="33">
        <v>5.16</v>
      </c>
      <c r="CU41" s="99">
        <v>3.11</v>
      </c>
      <c r="CY41" s="97">
        <f t="shared" si="338"/>
        <v>1.406204450429265</v>
      </c>
      <c r="CZ41" s="263">
        <f>(BA41-BM41-EN41*CF41)/'Amortization metrics'!$D$4/G41</f>
        <v>1.5284830982926794</v>
      </c>
      <c r="DA41" s="527">
        <f t="shared" si="339"/>
        <v>59.243530941576722</v>
      </c>
      <c r="DB41" s="528">
        <f t="shared" si="340"/>
        <v>6.9476504467849063</v>
      </c>
      <c r="DC41" s="97">
        <f t="shared" si="341"/>
        <v>1.448560808026006</v>
      </c>
      <c r="DD41" s="263">
        <f>(BD41-BQ41-EQ41*CI41)/'Amortization metrics'!$D$4/I41</f>
        <v>1.5745226174195717</v>
      </c>
      <c r="DE41" s="527">
        <f t="shared" si="342"/>
        <v>61.028008427115175</v>
      </c>
      <c r="DF41" s="528">
        <f t="shared" si="343"/>
        <v>7.1569209882707803</v>
      </c>
      <c r="DG41" s="97">
        <f t="shared" si="344"/>
        <v>0.57607232030690281</v>
      </c>
      <c r="DH41" s="263">
        <f>(BG41-BV41-EX41*CL41)/'Amortization metrics'!$D$4/K41</f>
        <v>0.62616556555098124</v>
      </c>
      <c r="DI41" s="527">
        <f t="shared" si="345"/>
        <v>24.269983160890746</v>
      </c>
      <c r="DJ41" s="528">
        <f t="shared" si="346"/>
        <v>2.8462071161408238</v>
      </c>
      <c r="DK41" s="97">
        <f t="shared" si="347"/>
        <v>1.9640855488780415</v>
      </c>
      <c r="DL41" s="263">
        <f t="shared" si="348"/>
        <v>2.1348755966065669</v>
      </c>
      <c r="DM41" s="527">
        <f t="shared" si="349"/>
        <v>82.747116147541348</v>
      </c>
      <c r="DN41" s="528">
        <f t="shared" si="350"/>
        <v>9.7039799845753034</v>
      </c>
      <c r="DO41" s="97">
        <f t="shared" si="351"/>
        <v>2.0086299892125137</v>
      </c>
      <c r="DP41" s="263">
        <f t="shared" si="287"/>
        <v>2.183293466535341</v>
      </c>
      <c r="DQ41" s="527">
        <f t="shared" si="352"/>
        <v>84.623777772687632</v>
      </c>
      <c r="DR41" s="528">
        <f t="shared" si="353"/>
        <v>9.9240612115242772</v>
      </c>
      <c r="DS41" s="97">
        <f t="shared" si="354"/>
        <v>1.0921047668620485</v>
      </c>
      <c r="DT41" s="263">
        <f t="shared" si="288"/>
        <v>1.1870703987630962</v>
      </c>
      <c r="DU41" s="527">
        <f t="shared" si="355"/>
        <v>46.010480572213027</v>
      </c>
      <c r="DV41" s="528">
        <f t="shared" si="356"/>
        <v>5.3957745398322556</v>
      </c>
      <c r="DW41" s="97">
        <f t="shared" si="357"/>
        <v>3.9112938857356481</v>
      </c>
      <c r="DX41" s="263">
        <f t="shared" si="289"/>
        <v>4.2514063975387479</v>
      </c>
      <c r="DY41" s="68">
        <f t="shared" si="358"/>
        <v>164.78319370305223</v>
      </c>
      <c r="DZ41" s="97">
        <f t="shared" si="359"/>
        <v>4</v>
      </c>
      <c r="EA41" s="263">
        <f t="shared" si="290"/>
        <v>4.3478260869565215</v>
      </c>
      <c r="EB41" s="68">
        <f t="shared" si="360"/>
        <v>168.52039096730701</v>
      </c>
      <c r="EC41" s="97">
        <f t="shared" si="361"/>
        <v>2.1748251748251746</v>
      </c>
      <c r="ED41" s="263">
        <f t="shared" si="291"/>
        <v>2.3639404074186681</v>
      </c>
      <c r="EE41" s="68">
        <f t="shared" si="362"/>
        <v>91.625597186770079</v>
      </c>
      <c r="EF41" s="60"/>
      <c r="EG41" s="60"/>
      <c r="EH41" s="60"/>
      <c r="EI41" s="554">
        <f t="shared" si="363"/>
        <v>4.4527843642380001</v>
      </c>
      <c r="EJ41" s="262">
        <f t="shared" si="364"/>
        <v>0.15133685770444891</v>
      </c>
      <c r="EK41" s="166">
        <f t="shared" si="365"/>
        <v>0.16449658446135751</v>
      </c>
      <c r="EL41" s="68">
        <f t="shared" si="366"/>
        <v>6.3758366070293606</v>
      </c>
      <c r="EM41" s="97">
        <f t="shared" si="367"/>
        <v>0.74771174755162506</v>
      </c>
      <c r="EN41" s="429">
        <f t="shared" si="368"/>
        <v>4.8753303964757713E-3</v>
      </c>
      <c r="EO41" s="262">
        <f t="shared" si="369"/>
        <v>0.15906777995348836</v>
      </c>
      <c r="EP41" s="436">
        <f t="shared" si="370"/>
        <v>0.1728997608190091</v>
      </c>
      <c r="EQ41" s="101">
        <v>5.1000000000000004E-3</v>
      </c>
      <c r="ER41" s="101">
        <v>0.27300000000000002</v>
      </c>
      <c r="ES41" s="101">
        <v>0.72699999999999998</v>
      </c>
      <c r="ET41" s="429">
        <f t="shared" si="413"/>
        <v>0</v>
      </c>
      <c r="EU41" s="430">
        <f>ER41*$FC41+ES41*$FD41+ET41*$FE41+'Amortization metrics'!$B$6*(ER41*$FF41+ES41*$FG41+ET41*$FH41)/10^3+'Amortization metrics'!$B$5*(ER41*$FI41+ES41*$FJ41+ET41*$FK41)/10^3</f>
        <v>40.234791399999999</v>
      </c>
      <c r="EV41" s="262">
        <f t="shared" si="371"/>
        <v>0</v>
      </c>
      <c r="EW41" s="436">
        <f t="shared" si="372"/>
        <v>0</v>
      </c>
      <c r="EX41" s="101">
        <v>0</v>
      </c>
      <c r="EY41" s="433">
        <v>1</v>
      </c>
      <c r="EZ41" s="433">
        <v>0</v>
      </c>
      <c r="FA41" s="434">
        <f t="shared" ref="FA41" si="415">1-EY41-EZ41</f>
        <v>0</v>
      </c>
      <c r="FB41" s="430">
        <f>EY41*$FC41+EZ41*$FD41+FA41*$FE41+'Amortization metrics'!$B$6*(EY41*$FF41+EZ41*$FG41+FA41*$FH41)/10^3+'Amortization metrics'!$B$5*(EY41*$FI41+EZ41*$FJ41+FA41*$FK41)/10^3</f>
        <v>54.558</v>
      </c>
      <c r="FC41" s="431">
        <v>51.3</v>
      </c>
      <c r="FD41" s="431">
        <v>29</v>
      </c>
      <c r="FE41" s="431">
        <v>29</v>
      </c>
      <c r="FF41" s="99">
        <v>5</v>
      </c>
      <c r="FG41" s="431">
        <v>13</v>
      </c>
      <c r="FH41" s="431">
        <v>13</v>
      </c>
      <c r="FI41" s="431">
        <v>52</v>
      </c>
      <c r="FJ41" s="431">
        <v>58.3</v>
      </c>
      <c r="FK41" s="431">
        <v>58.3</v>
      </c>
      <c r="FL41" s="554">
        <f t="shared" si="374"/>
        <v>22.171252802134997</v>
      </c>
      <c r="FM41" s="554">
        <f t="shared" si="375"/>
        <v>5.7837380454459195</v>
      </c>
      <c r="FN41" s="554">
        <f t="shared" si="376"/>
        <v>1.3877187061216001</v>
      </c>
      <c r="FO41" s="554">
        <f t="shared" si="377"/>
        <v>9.3148489429669983</v>
      </c>
      <c r="FP41" s="554">
        <f t="shared" si="378"/>
        <v>5.6849471076004789</v>
      </c>
      <c r="FQ41" s="554"/>
      <c r="FR41" s="167">
        <f t="shared" si="379"/>
        <v>0.75353474499999984</v>
      </c>
      <c r="FS41" s="166">
        <f t="shared" si="380"/>
        <v>0.81905950543478245</v>
      </c>
      <c r="FT41" s="68">
        <f t="shared" si="381"/>
        <v>31.746492458712495</v>
      </c>
      <c r="FU41" s="97">
        <f t="shared" si="382"/>
        <v>3.7229977519762838</v>
      </c>
      <c r="FV41" s="473">
        <f t="shared" si="383"/>
        <v>0.24373642224</v>
      </c>
      <c r="FW41" s="269">
        <f t="shared" si="384"/>
        <v>0.26493089373913042</v>
      </c>
      <c r="FX41" s="473">
        <f t="shared" si="385"/>
        <v>0.50979832275999992</v>
      </c>
      <c r="FY41" s="269">
        <f t="shared" si="386"/>
        <v>0.55412861169565208</v>
      </c>
      <c r="FZ41" s="123"/>
      <c r="GA41" s="49"/>
      <c r="GB41" s="435">
        <v>0.19657200304</v>
      </c>
      <c r="GC41" s="522">
        <f t="shared" si="387"/>
        <v>0.21366522069565216</v>
      </c>
      <c r="GD41" s="435">
        <v>4.7164419200000002E-2</v>
      </c>
      <c r="GE41" s="522">
        <f t="shared" si="388"/>
        <v>5.126567304347826E-2</v>
      </c>
      <c r="GF41" s="435">
        <v>0.31658392899999999</v>
      </c>
      <c r="GG41" s="522">
        <f t="shared" si="389"/>
        <v>0.34411296630434779</v>
      </c>
      <c r="GH41" s="435">
        <v>0.19321439375999999</v>
      </c>
      <c r="GI41" s="522">
        <f t="shared" si="390"/>
        <v>0.21001564539130432</v>
      </c>
      <c r="GJ41" s="599">
        <f t="shared" si="391"/>
        <v>6.5879941169692966</v>
      </c>
      <c r="GK41" s="527">
        <f t="shared" si="392"/>
        <v>255.34860918485646</v>
      </c>
      <c r="GL41" s="528">
        <f t="shared" si="393"/>
        <v>29.945427804405895</v>
      </c>
      <c r="GM41" s="599">
        <f t="shared" si="394"/>
        <v>6.7652088634588869</v>
      </c>
      <c r="GN41" s="527">
        <f t="shared" si="395"/>
        <v>262.21739780848401</v>
      </c>
      <c r="GO41" s="528">
        <f t="shared" si="396"/>
        <v>30.750949379358577</v>
      </c>
      <c r="GP41" s="599">
        <f t="shared" si="397"/>
        <v>3.1149999124550467</v>
      </c>
      <c r="GQ41" s="527">
        <f t="shared" si="398"/>
        <v>120.73643071531188</v>
      </c>
      <c r="GR41" s="528">
        <f t="shared" si="399"/>
        <v>14.159090511159302</v>
      </c>
      <c r="GS41" s="599">
        <f t="shared" si="400"/>
        <v>8.8114332774535509</v>
      </c>
      <c r="GT41" s="527">
        <f t="shared" si="401"/>
        <v>341.52842160672674</v>
      </c>
      <c r="GU41" s="528">
        <f t="shared" si="402"/>
        <v>40.051969442970687</v>
      </c>
      <c r="GV41" s="599">
        <f t="shared" si="403"/>
        <v>8.9973686435500415</v>
      </c>
      <c r="GW41" s="527">
        <f t="shared" si="404"/>
        <v>348.73521874224969</v>
      </c>
      <c r="GX41" s="528">
        <f t="shared" si="405"/>
        <v>40.897130197954731</v>
      </c>
      <c r="GY41" s="599">
        <f t="shared" si="406"/>
        <v>5.1716509675661344</v>
      </c>
      <c r="GZ41" s="527">
        <f t="shared" si="407"/>
        <v>200.45158789016025</v>
      </c>
      <c r="HA41" s="528">
        <f t="shared" si="408"/>
        <v>23.507504398027883</v>
      </c>
      <c r="HB41" s="31">
        <v>0.92</v>
      </c>
      <c r="HC41" s="32">
        <f t="shared" si="409"/>
        <v>26.404</v>
      </c>
      <c r="HD41" s="27">
        <v>28.7</v>
      </c>
      <c r="HE41" s="32">
        <f t="shared" si="410"/>
        <v>23.736000000000001</v>
      </c>
      <c r="HF41" s="33">
        <v>25.8</v>
      </c>
      <c r="HG41" s="34">
        <f t="shared" si="411"/>
        <v>0.2024</v>
      </c>
      <c r="HH41" s="35">
        <v>0.22</v>
      </c>
      <c r="HI41" s="34">
        <f t="shared" si="412"/>
        <v>0.41400000000000003</v>
      </c>
      <c r="HJ41" s="31">
        <v>0.45</v>
      </c>
    </row>
    <row r="42" spans="1:218" s="4" customFormat="1" x14ac:dyDescent="0.25">
      <c r="A42" s="14" t="s">
        <v>135</v>
      </c>
      <c r="B42" s="67">
        <f t="shared" si="294"/>
        <v>22.6</v>
      </c>
      <c r="C42" s="33">
        <v>19.3</v>
      </c>
      <c r="D42" s="33">
        <v>3.3</v>
      </c>
      <c r="E42" s="38">
        <f t="shared" si="295"/>
        <v>0.14601769911504422</v>
      </c>
      <c r="F42" s="108">
        <f t="shared" si="296"/>
        <v>1.5931858407079644</v>
      </c>
      <c r="G42" s="32">
        <f t="shared" si="297"/>
        <v>1.4657309734513275</v>
      </c>
      <c r="H42" s="33">
        <v>1.38</v>
      </c>
      <c r="I42" s="32">
        <f t="shared" si="298"/>
        <v>1.2696000000000001</v>
      </c>
      <c r="J42" s="33">
        <v>2.84</v>
      </c>
      <c r="K42" s="32">
        <f t="shared" si="299"/>
        <v>2.6128</v>
      </c>
      <c r="L42" s="32">
        <f t="shared" si="300"/>
        <v>6.8225344085164545</v>
      </c>
      <c r="M42" s="32">
        <f t="shared" si="301"/>
        <v>7.8764965343415243</v>
      </c>
      <c r="N42" s="32">
        <f t="shared" si="302"/>
        <v>3.8273116962645437</v>
      </c>
      <c r="O42" s="107">
        <f t="shared" si="303"/>
        <v>36.006</v>
      </c>
      <c r="P42" s="68">
        <f t="shared" si="304"/>
        <v>33.125520000000002</v>
      </c>
      <c r="Q42" s="68"/>
      <c r="R42" s="67">
        <f t="shared" si="305"/>
        <v>26.634</v>
      </c>
      <c r="S42" s="67">
        <f t="shared" si="306"/>
        <v>24.503280000000004</v>
      </c>
      <c r="T42" s="67">
        <f t="shared" si="307"/>
        <v>9.3719999999999999</v>
      </c>
      <c r="U42" s="67">
        <f t="shared" si="308"/>
        <v>8.6222399999999997</v>
      </c>
      <c r="V42" s="109">
        <f t="shared" si="309"/>
        <v>0.26028995167472085</v>
      </c>
      <c r="W42" s="294">
        <f t="shared" si="310"/>
        <v>0.28194299741002488</v>
      </c>
      <c r="X42" s="294">
        <f t="shared" si="311"/>
        <v>0.28691687096252905</v>
      </c>
      <c r="Y42" s="294">
        <f t="shared" si="312"/>
        <v>1.0807567253932992E-3</v>
      </c>
      <c r="Z42" s="294">
        <f t="shared" si="313"/>
        <v>0.32989149587864125</v>
      </c>
      <c r="AA42" s="294">
        <f t="shared" si="314"/>
        <v>4.6792613126243561E-2</v>
      </c>
      <c r="AB42" s="294">
        <f t="shared" si="315"/>
        <v>2.8901321735684677E-2</v>
      </c>
      <c r="AC42" s="294">
        <f t="shared" si="316"/>
        <v>1.1370244553988117E-2</v>
      </c>
      <c r="AD42" s="294">
        <f t="shared" si="317"/>
        <v>1.3094405691300475E-2</v>
      </c>
      <c r="AE42" s="294">
        <f t="shared" si="318"/>
        <v>9.2939161945626867E-6</v>
      </c>
      <c r="AF42" s="433">
        <v>0.32210354495512616</v>
      </c>
      <c r="AG42" s="433">
        <v>0.25069627956543844</v>
      </c>
      <c r="AH42" s="433">
        <v>9.3850656345858478E-4</v>
      </c>
      <c r="AI42" s="433">
        <v>0.34864187001545366</v>
      </c>
      <c r="AJ42" s="433">
        <v>3.9001307410765573E-2</v>
      </c>
      <c r="AK42" s="433">
        <v>2.4188282052287891E-2</v>
      </c>
      <c r="AL42" s="433">
        <v>7.1355642694964656E-3</v>
      </c>
      <c r="AM42" s="433">
        <v>7.2860230461535098E-3</v>
      </c>
      <c r="AN42" s="433">
        <v>8.6221218196091298E-6</v>
      </c>
      <c r="AO42" s="433">
        <v>4.7064643585644855E-2</v>
      </c>
      <c r="AP42" s="433">
        <v>0.49875245095157417</v>
      </c>
      <c r="AQ42" s="433">
        <v>1.912704642162993E-3</v>
      </c>
      <c r="AR42" s="433">
        <v>0.22023021683607175</v>
      </c>
      <c r="AS42" s="433">
        <v>9.2359946553129971E-2</v>
      </c>
      <c r="AT42" s="433">
        <v>5.6465462914338606E-2</v>
      </c>
      <c r="AU42" s="433">
        <v>3.6136708036015062E-2</v>
      </c>
      <c r="AV42" s="433">
        <v>4.7064643585644855E-2</v>
      </c>
      <c r="AW42" s="433">
        <v>1.3222895417775916E-5</v>
      </c>
      <c r="AX42" s="554">
        <f t="shared" si="319"/>
        <v>3.2590359991644791</v>
      </c>
      <c r="AY42" s="554">
        <f t="shared" si="320"/>
        <v>1.2130209505146823</v>
      </c>
      <c r="AZ42" s="554">
        <f t="shared" si="321"/>
        <v>2.0460150486497968</v>
      </c>
      <c r="BA42" s="67">
        <f t="shared" si="322"/>
        <v>144.20513270639287</v>
      </c>
      <c r="BB42" s="67">
        <f t="shared" si="323"/>
        <v>53.673493385605404</v>
      </c>
      <c r="BC42" s="67">
        <f t="shared" si="323"/>
        <v>90.531639320787463</v>
      </c>
      <c r="BD42" s="67">
        <f t="shared" si="324"/>
        <v>146.17485820929053</v>
      </c>
      <c r="BE42" s="105">
        <v>54.175983307378331</v>
      </c>
      <c r="BF42" s="105">
        <v>91.998874901912203</v>
      </c>
      <c r="BG42" s="68">
        <f t="shared" si="325"/>
        <v>132.68522294702174</v>
      </c>
      <c r="BH42" s="106">
        <v>50.73468869160012</v>
      </c>
      <c r="BI42" s="106">
        <v>81.95053425542163</v>
      </c>
      <c r="BJ42" s="554">
        <f t="shared" si="326"/>
        <v>1.5448630114873478</v>
      </c>
      <c r="BK42" s="554">
        <f t="shared" si="327"/>
        <v>1.0351725000000003E-2</v>
      </c>
      <c r="BL42" s="554">
        <f t="shared" si="328"/>
        <v>1.5345112864873478</v>
      </c>
      <c r="BM42" s="32">
        <f t="shared" si="329"/>
        <v>68.356770419794145</v>
      </c>
      <c r="BN42" s="32">
        <f t="shared" si="330"/>
        <v>0.45804092920353989</v>
      </c>
      <c r="BO42" s="67">
        <f t="shared" si="330"/>
        <v>67.898729490590611</v>
      </c>
      <c r="BP42" s="270"/>
      <c r="BQ42" s="67">
        <f t="shared" si="331"/>
        <v>69.395906176434153</v>
      </c>
      <c r="BR42" s="32">
        <f>I42*0.5*2.5*0.25</f>
        <v>0.39675000000000005</v>
      </c>
      <c r="BS42" s="67">
        <f t="shared" si="332"/>
        <v>68.999156176434155</v>
      </c>
      <c r="BT42" s="67"/>
      <c r="BU42" s="34">
        <f t="shared" si="333"/>
        <v>0.25</v>
      </c>
      <c r="BV42" s="68">
        <f t="shared" si="334"/>
        <v>62.279400691566217</v>
      </c>
      <c r="BW42" s="32">
        <f>K42*0.5*2.5*0.25</f>
        <v>0.8165</v>
      </c>
      <c r="BX42" s="67">
        <f t="shared" si="335"/>
        <v>61.462900691566219</v>
      </c>
      <c r="BY42" s="67"/>
      <c r="BZ42" s="34">
        <f t="shared" si="336"/>
        <v>0.25</v>
      </c>
      <c r="CA42" s="294"/>
      <c r="CB42" s="294"/>
      <c r="CC42" s="294"/>
      <c r="CD42" s="67">
        <f t="shared" si="283"/>
        <v>75.848362286598729</v>
      </c>
      <c r="CE42" s="67">
        <f t="shared" si="283"/>
        <v>53.215452456401863</v>
      </c>
      <c r="CF42" s="67">
        <f t="shared" si="283"/>
        <v>22.632909830196851</v>
      </c>
      <c r="CG42" s="67">
        <f t="shared" si="284"/>
        <v>76.778952032856381</v>
      </c>
      <c r="CH42" s="67">
        <f t="shared" si="284"/>
        <v>53.779233307378334</v>
      </c>
      <c r="CI42" s="67">
        <f t="shared" si="284"/>
        <v>22.999718725478047</v>
      </c>
      <c r="CJ42" s="67">
        <f t="shared" si="285"/>
        <v>70.405822255455519</v>
      </c>
      <c r="CK42" s="67">
        <f t="shared" si="285"/>
        <v>49.918188691600122</v>
      </c>
      <c r="CL42" s="67">
        <f t="shared" si="285"/>
        <v>20.487633563855411</v>
      </c>
      <c r="CM42" s="68"/>
      <c r="CN42" s="293"/>
      <c r="CO42" s="293"/>
      <c r="CS42" s="32">
        <f t="shared" si="337"/>
        <v>5.9315044247787601</v>
      </c>
      <c r="CT42" s="33">
        <v>6.06</v>
      </c>
      <c r="CU42" s="99">
        <v>5.18</v>
      </c>
      <c r="CY42" s="97">
        <f t="shared" si="338"/>
        <v>1.5816882096934151</v>
      </c>
      <c r="CZ42" s="263">
        <f>(BA42-BM42-EN42*CF42)/'Amortization metrics'!$D$4/G42</f>
        <v>1.7192263148841467</v>
      </c>
      <c r="DA42" s="527">
        <f t="shared" si="339"/>
        <v>101.13095969906745</v>
      </c>
      <c r="DB42" s="528">
        <f t="shared" si="340"/>
        <v>9.0485595520218247</v>
      </c>
      <c r="DC42" s="97">
        <f t="shared" si="341"/>
        <v>1.8485085772644607</v>
      </c>
      <c r="DD42" s="263">
        <f>(BD42-BQ42-EQ42*CI42)/'Amortization metrics'!$D$4/I42</f>
        <v>2.0092484535483268</v>
      </c>
      <c r="DE42" s="527">
        <f t="shared" si="342"/>
        <v>118.19108550284275</v>
      </c>
      <c r="DF42" s="528">
        <f t="shared" si="343"/>
        <v>10.574991860780667</v>
      </c>
      <c r="DG42" s="97">
        <f t="shared" si="344"/>
        <v>0.8234497874334844</v>
      </c>
      <c r="DH42" s="263">
        <f>(BG42-BV42-EX42*CL42)/'Amortization metrics'!$D$4/K42</f>
        <v>0.89505411677552649</v>
      </c>
      <c r="DI42" s="527">
        <f t="shared" si="345"/>
        <v>52.650242163266263</v>
      </c>
      <c r="DJ42" s="528">
        <f t="shared" si="346"/>
        <v>4.7108111409238234</v>
      </c>
      <c r="DK42" s="97">
        <f t="shared" si="347"/>
        <v>1.8695555415341596</v>
      </c>
      <c r="DL42" s="263">
        <f t="shared" si="348"/>
        <v>2.0321255886240865</v>
      </c>
      <c r="DM42" s="527">
        <f t="shared" si="349"/>
        <v>119.53679933082861</v>
      </c>
      <c r="DN42" s="528">
        <f t="shared" si="350"/>
        <v>10.695397834863613</v>
      </c>
      <c r="DO42" s="97">
        <f t="shared" si="351"/>
        <v>2.2051264012006939</v>
      </c>
      <c r="DP42" s="263">
        <f t="shared" si="287"/>
        <v>2.3968765230442326</v>
      </c>
      <c r="DQ42" s="527">
        <f t="shared" si="352"/>
        <v>140.99273664966074</v>
      </c>
      <c r="DR42" s="528">
        <f t="shared" si="353"/>
        <v>12.615139594969644</v>
      </c>
      <c r="DS42" s="97">
        <f t="shared" si="354"/>
        <v>0.91590698451767782</v>
      </c>
      <c r="DT42" s="263">
        <f t="shared" si="288"/>
        <v>0.99555107012791066</v>
      </c>
      <c r="DU42" s="527">
        <f t="shared" si="355"/>
        <v>58.561827654582977</v>
      </c>
      <c r="DV42" s="528">
        <f t="shared" si="356"/>
        <v>5.2397424743574241</v>
      </c>
      <c r="DW42" s="97">
        <f t="shared" si="357"/>
        <v>3.7230461589735038</v>
      </c>
      <c r="DX42" s="263">
        <f t="shared" si="289"/>
        <v>4.0467893032320692</v>
      </c>
      <c r="DY42" s="68">
        <f t="shared" si="358"/>
        <v>238.04642960188644</v>
      </c>
      <c r="DZ42" s="97">
        <f t="shared" si="359"/>
        <v>4.3913043478260869</v>
      </c>
      <c r="EA42" s="263">
        <f t="shared" si="290"/>
        <v>4.7731568998109637</v>
      </c>
      <c r="EB42" s="68">
        <f t="shared" si="360"/>
        <v>280.77393528299785</v>
      </c>
      <c r="EC42" s="97">
        <f t="shared" si="361"/>
        <v>1.823943661971831</v>
      </c>
      <c r="ED42" s="263">
        <f t="shared" si="291"/>
        <v>1.9825474586650336</v>
      </c>
      <c r="EE42" s="68">
        <f t="shared" si="362"/>
        <v>116.62043874500198</v>
      </c>
      <c r="EF42" s="60"/>
      <c r="EG42" s="60"/>
      <c r="EH42" s="60"/>
      <c r="EI42" s="554">
        <f t="shared" si="363"/>
        <v>13.655867400000002</v>
      </c>
      <c r="EJ42" s="262">
        <f t="shared" si="364"/>
        <v>0.37926643892684558</v>
      </c>
      <c r="EK42" s="166">
        <f t="shared" si="365"/>
        <v>0.41224612926831039</v>
      </c>
      <c r="EL42" s="68">
        <f t="shared" si="366"/>
        <v>24.24977230990061</v>
      </c>
      <c r="EM42" s="97">
        <f t="shared" si="367"/>
        <v>2.1697164698332125</v>
      </c>
      <c r="EN42" s="429">
        <f t="shared" si="368"/>
        <v>1.1075221238938051E-2</v>
      </c>
      <c r="EO42" s="262">
        <f t="shared" si="369"/>
        <v>0.43092913043478265</v>
      </c>
      <c r="EP42" s="436">
        <f t="shared" si="370"/>
        <v>0.46840122873345935</v>
      </c>
      <c r="EQ42" s="101">
        <v>1.09E-2</v>
      </c>
      <c r="ER42" s="433">
        <v>1</v>
      </c>
      <c r="ES42" s="433">
        <v>0</v>
      </c>
      <c r="ET42" s="434">
        <f>1-ER42-ES42</f>
        <v>0</v>
      </c>
      <c r="EU42" s="430">
        <f>ER42*$FC42+ES42*$FD42+ET42*$FE42+'Amortization metrics'!$B$6*(ER42*$FF42+ES42*$FG42+ET42*$FH42)/10^3+'Amortization metrics'!$B$5*(ER42*$FI42+ES42*$FJ42+ET42*$FK42)/10^3</f>
        <v>54.558</v>
      </c>
      <c r="EV42" s="262">
        <f t="shared" si="371"/>
        <v>0.23244781690140845</v>
      </c>
      <c r="EW42" s="436">
        <f t="shared" si="372"/>
        <v>0.25266067054500918</v>
      </c>
      <c r="EX42" s="101">
        <v>1.21E-2</v>
      </c>
      <c r="EY42" s="433">
        <v>1</v>
      </c>
      <c r="EZ42" s="433">
        <v>0</v>
      </c>
      <c r="FA42" s="434">
        <f t="shared" ref="FA42:FA43" si="416">1-EY42-EZ42</f>
        <v>0</v>
      </c>
      <c r="FB42" s="430">
        <f>EY42*$FC42+EZ42*$FD42+FA42*$FE42+'Amortization metrics'!$B$6*(EY42*$FF42+EZ42*$FG42+FA42*$FH42)/10^3+'Amortization metrics'!$B$5*(EY42*$FI42+EZ42*$FJ42+FA42*$FK42)/10^3</f>
        <v>54.558</v>
      </c>
      <c r="FC42" s="431">
        <v>51.3</v>
      </c>
      <c r="FD42" s="431">
        <v>29</v>
      </c>
      <c r="FE42" s="431">
        <v>29</v>
      </c>
      <c r="FF42" s="99">
        <v>5</v>
      </c>
      <c r="FG42" s="431">
        <v>13</v>
      </c>
      <c r="FH42" s="431">
        <v>13</v>
      </c>
      <c r="FI42" s="431">
        <v>52</v>
      </c>
      <c r="FJ42" s="431">
        <v>58.3</v>
      </c>
      <c r="FK42" s="431">
        <v>58.3</v>
      </c>
      <c r="FL42" s="554">
        <f t="shared" si="374"/>
        <v>11.366247215739481</v>
      </c>
      <c r="FM42" s="554">
        <f t="shared" si="375"/>
        <v>-1.3741395262902001</v>
      </c>
      <c r="FN42" s="554">
        <f t="shared" si="376"/>
        <v>2.6016046797251997</v>
      </c>
      <c r="FO42" s="554">
        <f t="shared" si="377"/>
        <v>7.7451243509520005</v>
      </c>
      <c r="FP42" s="554">
        <f t="shared" si="378"/>
        <v>2.3936577113524802</v>
      </c>
      <c r="FQ42" s="554"/>
      <c r="FR42" s="167">
        <f t="shared" si="379"/>
        <v>0.31567647658000003</v>
      </c>
      <c r="FS42" s="166">
        <f t="shared" si="380"/>
        <v>0.34312660497826086</v>
      </c>
      <c r="FT42" s="68">
        <f t="shared" si="381"/>
        <v>20.183917939897697</v>
      </c>
      <c r="FU42" s="97">
        <f t="shared" si="382"/>
        <v>1.8059294998855835</v>
      </c>
      <c r="FV42" s="473">
        <f t="shared" si="383"/>
        <v>3.4090572499999992E-2</v>
      </c>
      <c r="FW42" s="269">
        <f t="shared" si="384"/>
        <v>3.7054970108695642E-2</v>
      </c>
      <c r="FX42" s="473">
        <f t="shared" si="385"/>
        <v>0.28158590408</v>
      </c>
      <c r="FY42" s="269">
        <f t="shared" si="386"/>
        <v>0.30607163486956523</v>
      </c>
      <c r="FZ42" s="123"/>
      <c r="GA42" s="49"/>
      <c r="GB42" s="435">
        <v>-3.8164181700000001E-2</v>
      </c>
      <c r="GC42" s="522">
        <f t="shared" si="387"/>
        <v>-4.1482806195652172E-2</v>
      </c>
      <c r="GD42" s="435">
        <v>7.2254754199999993E-2</v>
      </c>
      <c r="GE42" s="522">
        <f t="shared" si="388"/>
        <v>7.8537776304347814E-2</v>
      </c>
      <c r="GF42" s="435">
        <v>0.21510649200000001</v>
      </c>
      <c r="GG42" s="522">
        <f t="shared" si="389"/>
        <v>0.2338114043478261</v>
      </c>
      <c r="GH42" s="435">
        <v>6.6479412080000008E-2</v>
      </c>
      <c r="GI42" s="522">
        <f t="shared" si="390"/>
        <v>7.2260230521739133E-2</v>
      </c>
      <c r="GJ42" s="599">
        <f t="shared" si="391"/>
        <v>7.0592025554884428</v>
      </c>
      <c r="GK42" s="527">
        <f t="shared" si="392"/>
        <v>415.24720914637902</v>
      </c>
      <c r="GL42" s="528">
        <f t="shared" si="393"/>
        <v>37.15369766046549</v>
      </c>
      <c r="GM42" s="599">
        <f t="shared" si="394"/>
        <v>8.1787721633889188</v>
      </c>
      <c r="GN42" s="527">
        <f t="shared" si="395"/>
        <v>481.10424490523053</v>
      </c>
      <c r="GO42" s="528">
        <f t="shared" si="396"/>
        <v>43.046169280994306</v>
      </c>
      <c r="GP42" s="599">
        <f t="shared" si="397"/>
        <v>3.8776523703668673</v>
      </c>
      <c r="GQ42" s="527">
        <f t="shared" si="398"/>
        <v>228.09719825687455</v>
      </c>
      <c r="GR42" s="528">
        <f t="shared" si="399"/>
        <v>20.408696686141408</v>
      </c>
      <c r="GS42" s="599">
        <f t="shared" si="400"/>
        <v>8.2064998925348895</v>
      </c>
      <c r="GT42" s="527">
        <f t="shared" si="401"/>
        <v>482.73528779616998</v>
      </c>
      <c r="GU42" s="528">
        <f t="shared" si="402"/>
        <v>43.192104697552047</v>
      </c>
      <c r="GV42" s="599">
        <f t="shared" si="403"/>
        <v>9.6000750848739056</v>
      </c>
      <c r="GW42" s="527">
        <f t="shared" si="404"/>
        <v>564.71029911022981</v>
      </c>
      <c r="GX42" s="528">
        <f t="shared" si="405"/>
        <v>50.526710973020556</v>
      </c>
      <c r="GY42" s="599">
        <f t="shared" si="406"/>
        <v>4.2461411993256091</v>
      </c>
      <c r="GZ42" s="527">
        <f t="shared" si="407"/>
        <v>249.77301172503581</v>
      </c>
      <c r="HA42" s="528">
        <f t="shared" si="408"/>
        <v>22.348111575397944</v>
      </c>
      <c r="HB42" s="31">
        <v>0.92</v>
      </c>
      <c r="HC42" s="32">
        <f t="shared" si="409"/>
        <v>23.92</v>
      </c>
      <c r="HD42" s="33">
        <v>26</v>
      </c>
      <c r="HE42" s="32">
        <f t="shared" si="410"/>
        <v>15.64</v>
      </c>
      <c r="HF42" s="33">
        <v>17</v>
      </c>
      <c r="HG42" s="34">
        <f t="shared" si="411"/>
        <v>0.17480000000000001</v>
      </c>
      <c r="HH42" s="35">
        <v>0.19</v>
      </c>
      <c r="HI42" s="34">
        <f t="shared" si="412"/>
        <v>0.32200000000000001</v>
      </c>
      <c r="HJ42" s="31">
        <v>0.35</v>
      </c>
    </row>
    <row r="43" spans="1:218" s="4" customFormat="1" x14ac:dyDescent="0.25">
      <c r="A43" s="14" t="s">
        <v>310</v>
      </c>
      <c r="B43" s="67">
        <f t="shared" si="294"/>
        <v>11</v>
      </c>
      <c r="C43" s="33">
        <v>11</v>
      </c>
      <c r="D43" s="33">
        <v>0</v>
      </c>
      <c r="E43" s="38">
        <f t="shared" si="295"/>
        <v>0</v>
      </c>
      <c r="F43" s="108">
        <f t="shared" si="296"/>
        <v>5.0999999999999996</v>
      </c>
      <c r="G43" s="32">
        <f t="shared" si="297"/>
        <v>2.3460000000000001</v>
      </c>
      <c r="H43" s="33">
        <v>5.0999999999999996</v>
      </c>
      <c r="I43" s="32">
        <f t="shared" si="298"/>
        <v>2.3460000000000001</v>
      </c>
      <c r="J43" s="33">
        <v>8.2899999999999991</v>
      </c>
      <c r="K43" s="32">
        <f t="shared" si="299"/>
        <v>3.8133999999999997</v>
      </c>
      <c r="L43" s="32">
        <f t="shared" si="300"/>
        <v>4.2625745950554137</v>
      </c>
      <c r="M43" s="32">
        <f t="shared" si="301"/>
        <v>4.2625745950554137</v>
      </c>
      <c r="N43" s="32">
        <f t="shared" si="302"/>
        <v>2.6223317774164792</v>
      </c>
      <c r="O43" s="107">
        <f t="shared" ref="O43" si="417">R43+T43</f>
        <v>56.099999999999994</v>
      </c>
      <c r="P43" s="68">
        <f t="shared" ref="P43" si="418">S43+U43</f>
        <v>25.806000000000001</v>
      </c>
      <c r="Q43" s="68"/>
      <c r="R43" s="67">
        <f t="shared" ref="R43" si="419">C43*H43</f>
        <v>56.099999999999994</v>
      </c>
      <c r="S43" s="67">
        <f t="shared" ref="S43" si="420">C43*I43</f>
        <v>25.806000000000001</v>
      </c>
      <c r="T43" s="67">
        <f t="shared" ref="T43" si="421">D43*J43</f>
        <v>0</v>
      </c>
      <c r="U43" s="67">
        <f t="shared" ref="U43" si="422">D43*K43</f>
        <v>0</v>
      </c>
      <c r="V43" s="38">
        <f t="shared" si="309"/>
        <v>0</v>
      </c>
      <c r="W43" s="294">
        <f t="shared" si="310"/>
        <v>0.76703608058131867</v>
      </c>
      <c r="X43" s="294">
        <f t="shared" si="311"/>
        <v>8.5983720307792331E-4</v>
      </c>
      <c r="Y43" s="294">
        <f t="shared" si="312"/>
        <v>9.7604197151517259E-7</v>
      </c>
      <c r="Z43" s="294">
        <f t="shared" si="313"/>
        <v>0.1871736167935216</v>
      </c>
      <c r="AA43" s="294">
        <f t="shared" si="314"/>
        <v>7.297075691803908E-6</v>
      </c>
      <c r="AB43" s="294">
        <f t="shared" si="315"/>
        <v>3.7796063392197065E-5</v>
      </c>
      <c r="AC43" s="294">
        <f t="shared" si="316"/>
        <v>6.4725526168191863E-5</v>
      </c>
      <c r="AD43" s="294">
        <f t="shared" si="317"/>
        <v>4.4819661419220246E-2</v>
      </c>
      <c r="AE43" s="294">
        <f t="shared" si="318"/>
        <v>0</v>
      </c>
      <c r="AF43" s="433">
        <v>0.76703608058131878</v>
      </c>
      <c r="AG43" s="433">
        <v>8.5983720307792331E-4</v>
      </c>
      <c r="AH43" s="433">
        <v>9.7604197151517259E-7</v>
      </c>
      <c r="AI43" s="433">
        <v>0.1871736167935216</v>
      </c>
      <c r="AJ43" s="433">
        <v>7.2970756918039088E-6</v>
      </c>
      <c r="AK43" s="433">
        <v>3.7796063392197065E-5</v>
      </c>
      <c r="AL43" s="433">
        <v>6.4725526168191863E-5</v>
      </c>
      <c r="AM43" s="433">
        <v>4.4819661419220246E-2</v>
      </c>
      <c r="AN43" s="433">
        <v>0</v>
      </c>
      <c r="AO43" s="433">
        <v>0.4934883837641551</v>
      </c>
      <c r="AP43" s="433">
        <v>3.0469990643920523E-4</v>
      </c>
      <c r="AQ43" s="433">
        <v>0</v>
      </c>
      <c r="AR43" s="433">
        <v>9.5353147191563035E-3</v>
      </c>
      <c r="AS43" s="433">
        <v>0</v>
      </c>
      <c r="AT43" s="433">
        <v>0</v>
      </c>
      <c r="AU43" s="433">
        <v>3.1832178460942848E-3</v>
      </c>
      <c r="AV43" s="433">
        <v>0.4934883837641551</v>
      </c>
      <c r="AW43" s="433">
        <v>0</v>
      </c>
      <c r="AX43" s="554">
        <f t="shared" si="319"/>
        <v>3.1931489076522634</v>
      </c>
      <c r="AY43" s="554">
        <f t="shared" si="320"/>
        <v>1.5608591774418947</v>
      </c>
      <c r="AZ43" s="554">
        <f t="shared" si="321"/>
        <v>1.6322897302103687</v>
      </c>
      <c r="BA43" s="67">
        <f t="shared" si="322"/>
        <v>290.28626433202396</v>
      </c>
      <c r="BB43" s="67">
        <f t="shared" si="323"/>
        <v>141.89628885835407</v>
      </c>
      <c r="BC43" s="67">
        <f t="shared" si="323"/>
        <v>148.38997547366989</v>
      </c>
      <c r="BD43" s="67">
        <f t="shared" si="324"/>
        <v>290.28626433202396</v>
      </c>
      <c r="BE43" s="105">
        <v>141.89628885835407</v>
      </c>
      <c r="BF43" s="105">
        <v>148.38997547366989</v>
      </c>
      <c r="BG43" s="68">
        <f t="shared" si="325"/>
        <v>240.81897859485247</v>
      </c>
      <c r="BH43" s="106">
        <v>125.01061888645643</v>
      </c>
      <c r="BI43" s="106">
        <v>115.80835970839604</v>
      </c>
      <c r="BJ43" s="554">
        <f t="shared" si="326"/>
        <v>1.9502172976577767</v>
      </c>
      <c r="BK43" s="554">
        <f t="shared" si="327"/>
        <v>0.72599999999999998</v>
      </c>
      <c r="BL43" s="554">
        <f t="shared" si="328"/>
        <v>1.2242172976577768</v>
      </c>
      <c r="BM43" s="32">
        <f t="shared" si="329"/>
        <v>177.29248160525242</v>
      </c>
      <c r="BN43" s="32">
        <f t="shared" si="330"/>
        <v>66</v>
      </c>
      <c r="BO43" s="67">
        <f t="shared" si="330"/>
        <v>111.29248160525243</v>
      </c>
      <c r="BP43" s="270"/>
      <c r="BQ43" s="67">
        <f t="shared" si="331"/>
        <v>177.29248160525242</v>
      </c>
      <c r="BR43" s="105">
        <v>66</v>
      </c>
      <c r="BS43" s="67">
        <f t="shared" si="332"/>
        <v>111.29248160525242</v>
      </c>
      <c r="BT43" s="67"/>
      <c r="BU43" s="34">
        <f t="shared" si="333"/>
        <v>0.25</v>
      </c>
      <c r="BV43" s="68">
        <f t="shared" si="334"/>
        <v>152.85626978129704</v>
      </c>
      <c r="BW43" s="105">
        <v>66</v>
      </c>
      <c r="BX43" s="67">
        <f t="shared" si="335"/>
        <v>86.85626978129703</v>
      </c>
      <c r="BY43" s="67"/>
      <c r="BZ43" s="34">
        <f t="shared" si="336"/>
        <v>0.25</v>
      </c>
      <c r="CA43" s="294"/>
      <c r="CB43" s="294"/>
      <c r="CC43" s="294"/>
      <c r="CD43" s="67">
        <f t="shared" si="283"/>
        <v>112.99378272677154</v>
      </c>
      <c r="CE43" s="67">
        <f t="shared" si="283"/>
        <v>75.896288858354069</v>
      </c>
      <c r="CF43" s="67">
        <f t="shared" si="283"/>
        <v>37.097493868417459</v>
      </c>
      <c r="CG43" s="67">
        <f t="shared" si="284"/>
        <v>112.99378272677154</v>
      </c>
      <c r="CH43" s="67">
        <f t="shared" si="284"/>
        <v>75.896288858354069</v>
      </c>
      <c r="CI43" s="67">
        <f t="shared" si="284"/>
        <v>37.097493868417473</v>
      </c>
      <c r="CJ43" s="67">
        <f t="shared" si="285"/>
        <v>87.962708813555423</v>
      </c>
      <c r="CK43" s="67">
        <f t="shared" si="285"/>
        <v>59.010618886456427</v>
      </c>
      <c r="CL43" s="67">
        <f t="shared" si="285"/>
        <v>28.95208992709901</v>
      </c>
      <c r="CM43" s="68"/>
      <c r="CN43" s="293"/>
      <c r="CO43" s="293"/>
      <c r="CS43" s="32">
        <f t="shared" si="337"/>
        <v>9.84</v>
      </c>
      <c r="CT43" s="33">
        <v>9.84</v>
      </c>
      <c r="CU43" s="99">
        <v>8.44</v>
      </c>
      <c r="CY43" s="97">
        <f t="shared" si="338"/>
        <v>0.72770741503424918</v>
      </c>
      <c r="CZ43" s="263">
        <f>(BA43-BM43-EN43*CF43)/'Amortization metrics'!$D$4/G43</f>
        <v>1.5819726413788024</v>
      </c>
      <c r="DA43" s="527">
        <f t="shared" si="339"/>
        <v>121.69020318298479</v>
      </c>
      <c r="DB43" s="528">
        <f t="shared" si="340"/>
        <v>52.73242137929342</v>
      </c>
      <c r="DC43" s="97">
        <f t="shared" si="341"/>
        <v>0.72770741503424918</v>
      </c>
      <c r="DD43" s="263">
        <f>(BD43-BQ43-EQ43*CI43)/'Amortization metrics'!$D$4/I43</f>
        <v>1.5819726413788024</v>
      </c>
      <c r="DE43" s="527">
        <f t="shared" si="342"/>
        <v>121.69020318298479</v>
      </c>
      <c r="DF43" s="528">
        <f t="shared" si="343"/>
        <v>52.73242137929342</v>
      </c>
      <c r="DG43" s="97">
        <f t="shared" si="344"/>
        <v>0.35369002337577576</v>
      </c>
      <c r="DH43" s="263">
        <f>(BG43-BV43-EX43*CL43)/'Amortization metrics'!$D$4/K43</f>
        <v>0.76889135516472984</v>
      </c>
      <c r="DI43" s="527">
        <f t="shared" si="345"/>
        <v>59.145488858825374</v>
      </c>
      <c r="DJ43" s="528">
        <f t="shared" si="346"/>
        <v>25.629711838824328</v>
      </c>
      <c r="DK43" s="97">
        <f t="shared" si="347"/>
        <v>0.96886858303191825</v>
      </c>
      <c r="DL43" s="263">
        <f t="shared" si="348"/>
        <v>2.1062360500693873</v>
      </c>
      <c r="DM43" s="527">
        <f t="shared" si="349"/>
        <v>162.01815769764517</v>
      </c>
      <c r="DN43" s="528">
        <f t="shared" si="350"/>
        <v>70.207868335646239</v>
      </c>
      <c r="DO43" s="97">
        <f t="shared" si="351"/>
        <v>0.96886858303191825</v>
      </c>
      <c r="DP43" s="263">
        <f t="shared" si="287"/>
        <v>2.1062360500693873</v>
      </c>
      <c r="DQ43" s="527">
        <f t="shared" si="352"/>
        <v>162.01815769764517</v>
      </c>
      <c r="DR43" s="528">
        <f t="shared" si="353"/>
        <v>70.207868335646239</v>
      </c>
      <c r="DS43" s="97">
        <f t="shared" si="354"/>
        <v>0.51124357988400526</v>
      </c>
      <c r="DT43" s="263">
        <f t="shared" si="288"/>
        <v>1.1113990867043593</v>
      </c>
      <c r="DU43" s="527">
        <f t="shared" si="355"/>
        <v>85.492237438796863</v>
      </c>
      <c r="DV43" s="528">
        <f t="shared" si="356"/>
        <v>37.046636223478643</v>
      </c>
      <c r="DW43" s="97">
        <f t="shared" si="357"/>
        <v>1.9294117647058822</v>
      </c>
      <c r="DX43" s="263">
        <f t="shared" si="289"/>
        <v>4.1943734015345262</v>
      </c>
      <c r="DY43" s="68">
        <f t="shared" si="358"/>
        <v>322.64410781034815</v>
      </c>
      <c r="DZ43" s="97">
        <f t="shared" si="359"/>
        <v>1.9294117647058822</v>
      </c>
      <c r="EA43" s="263">
        <f t="shared" si="290"/>
        <v>4.1943734015345262</v>
      </c>
      <c r="EB43" s="68">
        <f t="shared" si="360"/>
        <v>322.64410781034815</v>
      </c>
      <c r="EC43" s="97">
        <f t="shared" si="361"/>
        <v>1.0180940892641737</v>
      </c>
      <c r="ED43" s="263">
        <f t="shared" si="291"/>
        <v>2.2132480201395079</v>
      </c>
      <c r="EE43" s="68">
        <f t="shared" si="362"/>
        <v>170.24984770303905</v>
      </c>
      <c r="EF43" s="60"/>
      <c r="EG43" s="60"/>
      <c r="EH43" s="60"/>
      <c r="EI43" s="554">
        <f t="shared" si="363"/>
        <v>26.766154799999995</v>
      </c>
      <c r="EJ43" s="262">
        <f t="shared" si="364"/>
        <v>0.47711505882352934</v>
      </c>
      <c r="EK43" s="166">
        <f t="shared" si="365"/>
        <v>1.0372066496163681</v>
      </c>
      <c r="EL43" s="68">
        <f t="shared" si="366"/>
        <v>79.785126893566783</v>
      </c>
      <c r="EM43" s="97">
        <f t="shared" si="367"/>
        <v>34.573554987212269</v>
      </c>
      <c r="EN43" s="429">
        <f t="shared" si="368"/>
        <v>4.4600000000000001E-2</v>
      </c>
      <c r="EO43" s="262">
        <f t="shared" si="369"/>
        <v>0.47711505882352934</v>
      </c>
      <c r="EP43" s="436">
        <f t="shared" si="370"/>
        <v>1.0372066496163681</v>
      </c>
      <c r="EQ43" s="101">
        <v>4.4600000000000001E-2</v>
      </c>
      <c r="ER43" s="433">
        <v>1</v>
      </c>
      <c r="ES43" s="433">
        <v>0</v>
      </c>
      <c r="ET43" s="434">
        <f>1-ER43-ES43</f>
        <v>0</v>
      </c>
      <c r="EU43" s="430">
        <f>ER43*$FC43+ES43*$FD43+ET43*$FE43+'Amortization metrics'!$B$6*(ER43*$FF43+ES43*$FG43+ET43*$FH43)/10^3+'Amortization metrics'!$B$5*(ER43*$FI43+ES43*$FJ43+ET43*$FK43)/10^3</f>
        <v>54.558</v>
      </c>
      <c r="EV43" s="262">
        <f t="shared" si="371"/>
        <v>0</v>
      </c>
      <c r="EW43" s="436">
        <f t="shared" si="372"/>
        <v>0</v>
      </c>
      <c r="EX43" s="101">
        <v>0</v>
      </c>
      <c r="EY43" s="433">
        <v>1</v>
      </c>
      <c r="EZ43" s="433">
        <v>0</v>
      </c>
      <c r="FA43" s="434">
        <f t="shared" si="416"/>
        <v>0</v>
      </c>
      <c r="FB43" s="430">
        <f>EY43*$FC43+EZ43*$FD43+FA43*$FE43+'Amortization metrics'!$B$6*(EY43*$FF43+EZ43*$FG43+FA43*$FH43)/10^3+'Amortization metrics'!$B$5*(EY43*$FI43+EZ43*$FJ43+FA43*$FK43)/10^3</f>
        <v>54.558</v>
      </c>
      <c r="FC43" s="431">
        <v>51.3</v>
      </c>
      <c r="FD43" s="431">
        <v>29</v>
      </c>
      <c r="FE43" s="431">
        <v>29</v>
      </c>
      <c r="FF43" s="99">
        <v>5</v>
      </c>
      <c r="FG43" s="431">
        <v>13</v>
      </c>
      <c r="FH43" s="431">
        <v>13</v>
      </c>
      <c r="FI43" s="431">
        <v>52</v>
      </c>
      <c r="FJ43" s="431">
        <v>58.3</v>
      </c>
      <c r="FK43" s="431">
        <v>58.3</v>
      </c>
      <c r="FL43" s="554">
        <f t="shared" si="374"/>
        <v>6.2614985699639991</v>
      </c>
      <c r="FM43" s="554">
        <f t="shared" si="375"/>
        <v>1.1330534918340001</v>
      </c>
      <c r="FN43" s="554">
        <f t="shared" si="376"/>
        <v>0.40010813964000003</v>
      </c>
      <c r="FO43" s="554">
        <f t="shared" si="377"/>
        <v>3.4086175543199997</v>
      </c>
      <c r="FP43" s="554">
        <f t="shared" si="378"/>
        <v>1.3197193841699999</v>
      </c>
      <c r="FQ43" s="554"/>
      <c r="FR43" s="167">
        <f t="shared" si="379"/>
        <v>0.11161316524000001</v>
      </c>
      <c r="FS43" s="166">
        <f t="shared" si="380"/>
        <v>0.24263731573913044</v>
      </c>
      <c r="FT43" s="68">
        <f t="shared" si="381"/>
        <v>18.664408903010035</v>
      </c>
      <c r="FU43" s="97">
        <f t="shared" si="382"/>
        <v>8.0879105246376817</v>
      </c>
      <c r="FV43" s="473">
        <f t="shared" si="383"/>
        <v>2.732908434E-2</v>
      </c>
      <c r="FW43" s="269">
        <f t="shared" si="384"/>
        <v>5.941105291304348E-2</v>
      </c>
      <c r="FX43" s="473">
        <f t="shared" si="385"/>
        <v>8.4284080900000002E-2</v>
      </c>
      <c r="FY43" s="269">
        <f t="shared" si="386"/>
        <v>0.18322626282608695</v>
      </c>
      <c r="FZ43" s="123"/>
      <c r="GA43" s="49"/>
      <c r="GB43" s="435">
        <v>2.0197031940000002E-2</v>
      </c>
      <c r="GC43" s="522">
        <f t="shared" si="387"/>
        <v>4.3906591173913045E-2</v>
      </c>
      <c r="GD43" s="435">
        <v>7.1320524E-3</v>
      </c>
      <c r="GE43" s="522">
        <f t="shared" si="388"/>
        <v>1.5504461739130435E-2</v>
      </c>
      <c r="GF43" s="435">
        <v>6.0759671199999997E-2</v>
      </c>
      <c r="GG43" s="522">
        <f t="shared" si="389"/>
        <v>0.13208624173913042</v>
      </c>
      <c r="GH43" s="435">
        <v>2.3524409699999999E-2</v>
      </c>
      <c r="GI43" s="522">
        <f t="shared" si="390"/>
        <v>5.1140021086956519E-2</v>
      </c>
      <c r="GJ43" s="599">
        <f t="shared" si="391"/>
        <v>7.0804103170777735</v>
      </c>
      <c r="GK43" s="527">
        <f t="shared" si="392"/>
        <v>544.64694746752104</v>
      </c>
      <c r="GL43" s="528">
        <f t="shared" si="393"/>
        <v>236.0136772359258</v>
      </c>
      <c r="GM43" s="599">
        <f t="shared" si="394"/>
        <v>7.0804103170777735</v>
      </c>
      <c r="GN43" s="527">
        <f t="shared" si="395"/>
        <v>544.64694746752104</v>
      </c>
      <c r="GO43" s="528">
        <f t="shared" si="396"/>
        <v>236.0136772359258</v>
      </c>
      <c r="GP43" s="599">
        <f t="shared" si="397"/>
        <v>3.0619056180098068</v>
      </c>
      <c r="GQ43" s="527">
        <f t="shared" si="398"/>
        <v>235.53120138536977</v>
      </c>
      <c r="GR43" s="528">
        <f t="shared" si="399"/>
        <v>102.0635206003269</v>
      </c>
      <c r="GS43" s="599">
        <f t="shared" si="400"/>
        <v>9.0027094822765843</v>
      </c>
      <c r="GT43" s="527">
        <f t="shared" si="401"/>
        <v>692.51611402127571</v>
      </c>
      <c r="GU43" s="528">
        <f t="shared" si="402"/>
        <v>300.09031607588616</v>
      </c>
      <c r="GV43" s="599">
        <f t="shared" si="403"/>
        <v>9.0027094822765843</v>
      </c>
      <c r="GW43" s="527">
        <f t="shared" si="404"/>
        <v>692.51611402127571</v>
      </c>
      <c r="GX43" s="528">
        <f t="shared" si="405"/>
        <v>300.09031607588616</v>
      </c>
      <c r="GY43" s="599">
        <f t="shared" si="406"/>
        <v>4.3177673003217807</v>
      </c>
      <c r="GZ43" s="527">
        <f t="shared" si="407"/>
        <v>332.13594617859849</v>
      </c>
      <c r="HA43" s="528">
        <f t="shared" si="408"/>
        <v>143.92557667739268</v>
      </c>
      <c r="HB43" s="31">
        <v>0.46</v>
      </c>
      <c r="HC43" s="32">
        <f t="shared" si="409"/>
        <v>10.81</v>
      </c>
      <c r="HD43" s="33">
        <v>23.5</v>
      </c>
      <c r="HE43" s="32">
        <f t="shared" si="410"/>
        <v>5.98</v>
      </c>
      <c r="HF43" s="33">
        <v>13</v>
      </c>
      <c r="HG43" s="36">
        <f t="shared" si="411"/>
        <v>1.38E-2</v>
      </c>
      <c r="HH43" s="35">
        <v>0.03</v>
      </c>
      <c r="HI43" s="34">
        <f t="shared" si="412"/>
        <v>0.12420000000000002</v>
      </c>
      <c r="HJ43" s="31">
        <v>0.27</v>
      </c>
    </row>
    <row r="44" spans="1:218" s="60" customFormat="1" x14ac:dyDescent="0.25">
      <c r="A44" s="102"/>
      <c r="B44" s="68"/>
      <c r="C44" s="99"/>
      <c r="D44" s="99"/>
      <c r="E44" s="99"/>
      <c r="F44" s="97"/>
      <c r="G44" s="4"/>
      <c r="H44" s="99"/>
      <c r="J44" s="99"/>
      <c r="L44" s="97"/>
      <c r="M44" s="97"/>
      <c r="N44" s="97"/>
      <c r="O44" s="98"/>
      <c r="P44" s="68"/>
      <c r="Q44" s="68"/>
      <c r="AF44" s="602"/>
      <c r="AG44" s="602"/>
      <c r="AH44" s="602"/>
      <c r="AI44" s="602"/>
      <c r="AJ44" s="602"/>
      <c r="AK44" s="602"/>
      <c r="AL44" s="602"/>
      <c r="AM44" s="602"/>
      <c r="AN44" s="602"/>
      <c r="AO44" s="602"/>
      <c r="AP44" s="602"/>
      <c r="AQ44" s="602"/>
      <c r="AR44" s="602"/>
      <c r="AS44" s="602"/>
      <c r="AT44" s="602"/>
      <c r="AU44" s="602"/>
      <c r="AV44" s="602"/>
      <c r="AW44" s="602"/>
      <c r="BA44" s="4"/>
      <c r="BB44" s="4"/>
      <c r="BC44" s="4"/>
      <c r="BD44" s="68"/>
      <c r="BE44" s="106"/>
      <c r="BF44" s="106"/>
      <c r="BH44" s="106"/>
      <c r="BI44" s="106"/>
      <c r="BM44" s="32"/>
      <c r="BN44" s="32"/>
      <c r="BO44" s="67"/>
      <c r="BP44" s="270"/>
      <c r="CT44" s="99"/>
      <c r="CU44" s="99"/>
      <c r="CY44" s="97"/>
      <c r="CZ44" s="97"/>
      <c r="DB44" s="68"/>
      <c r="DC44" s="97"/>
      <c r="DD44" s="97"/>
      <c r="DF44" s="68"/>
      <c r="DG44" s="97"/>
      <c r="DH44" s="97"/>
      <c r="DJ44" s="68"/>
      <c r="DK44" s="97"/>
      <c r="DL44" s="97"/>
      <c r="DN44" s="68"/>
      <c r="DO44" s="97"/>
      <c r="DP44" s="97"/>
      <c r="DR44" s="68"/>
      <c r="DS44" s="97"/>
      <c r="DT44" s="97"/>
      <c r="DV44" s="68"/>
      <c r="DW44" s="97"/>
      <c r="DZ44" s="97"/>
      <c r="EC44" s="97"/>
      <c r="EI44" s="97"/>
      <c r="EJ44" s="123"/>
      <c r="EK44" s="68"/>
      <c r="EM44" s="97"/>
      <c r="EN44" s="601"/>
      <c r="EO44" s="123"/>
      <c r="EQ44" s="100"/>
      <c r="ER44" s="100"/>
      <c r="ES44" s="100"/>
      <c r="ET44" s="100"/>
      <c r="EU44" s="100"/>
      <c r="EV44" s="123"/>
      <c r="EX44" s="100"/>
      <c r="EY44" s="100"/>
      <c r="EZ44" s="100"/>
      <c r="FA44" s="100"/>
      <c r="FB44" s="100"/>
      <c r="FC44" s="97"/>
      <c r="FD44" s="97"/>
      <c r="FE44" s="97"/>
      <c r="FF44" s="97"/>
      <c r="FG44" s="97"/>
      <c r="FH44" s="97"/>
      <c r="FI44" s="97"/>
      <c r="FJ44" s="97"/>
      <c r="FK44" s="97"/>
      <c r="FL44" s="97"/>
      <c r="FM44" s="97"/>
      <c r="FN44" s="97"/>
      <c r="FO44" s="97"/>
      <c r="FP44" s="97"/>
      <c r="FQ44" s="97"/>
      <c r="FR44" s="606"/>
      <c r="FS44" s="68"/>
      <c r="FU44" s="97"/>
      <c r="FV44" s="144"/>
      <c r="FW44" s="144"/>
      <c r="FX44" s="144"/>
      <c r="FY44" s="144"/>
      <c r="FZ44" s="123"/>
      <c r="GA44" s="123"/>
      <c r="GB44" s="597">
        <v>0.26963008874</v>
      </c>
      <c r="GC44" s="123"/>
      <c r="GD44" s="597">
        <v>8.1308937400000003E-2</v>
      </c>
      <c r="GF44" s="607" t="s">
        <v>878</v>
      </c>
      <c r="GG44" s="68"/>
      <c r="GH44" s="597">
        <v>0.27238700692000001</v>
      </c>
      <c r="GI44" s="144"/>
      <c r="HB44" s="96"/>
      <c r="HC44" s="97"/>
      <c r="HD44" s="99"/>
      <c r="HE44" s="97"/>
      <c r="HF44" s="99"/>
      <c r="HG44" s="293"/>
      <c r="HH44" s="101"/>
      <c r="HI44" s="293"/>
      <c r="HJ44" s="96"/>
    </row>
    <row r="45" spans="1:218" s="4" customFormat="1" ht="13.8" x14ac:dyDescent="0.3">
      <c r="A45" s="15" t="s">
        <v>79</v>
      </c>
      <c r="B45" s="152">
        <f>B46+B47+B48+B49+B50</f>
        <v>52.940000000000005</v>
      </c>
      <c r="C45" s="152">
        <f t="shared" ref="C45:D45" si="423">C46+C47+C48+C49+C50</f>
        <v>48.500000000000007</v>
      </c>
      <c r="D45" s="152">
        <f t="shared" si="423"/>
        <v>4.4400000000000004</v>
      </c>
      <c r="E45" s="33"/>
      <c r="F45" s="153">
        <f>O45/B45</f>
        <v>0.74292028711749136</v>
      </c>
      <c r="G45" s="267">
        <f>P45/B45</f>
        <v>0.66780020778239513</v>
      </c>
      <c r="I45" s="153">
        <f>S45/C45</f>
        <v>0.62480144329896903</v>
      </c>
      <c r="K45" s="153">
        <f>U45/D45</f>
        <v>1.1374939189189188</v>
      </c>
      <c r="O45" s="152">
        <f t="shared" ref="O45:P45" si="424">O46+O47+O48+O49+O50</f>
        <v>39.330199999999998</v>
      </c>
      <c r="P45" s="153">
        <f t="shared" si="424"/>
        <v>35.353343000000002</v>
      </c>
      <c r="Q45" s="592">
        <f>P45/P$17</f>
        <v>9.3234479035536316E-3</v>
      </c>
      <c r="S45" s="152">
        <f t="shared" ref="S45" si="425">S46+S47+S48+S49+S50</f>
        <v>30.302870000000002</v>
      </c>
      <c r="U45" s="152">
        <f t="shared" ref="U45:AX45" si="426">U46+U47+U48+U49+U50</f>
        <v>5.0504730000000002</v>
      </c>
      <c r="V45" s="154"/>
      <c r="W45" s="265">
        <f t="shared" ref="W45:AE45" si="427">($B46*W46+$B47*W47+$B48*W48+$B49*W49+$B50*W50)/$B45</f>
        <v>0.24699301955742584</v>
      </c>
      <c r="X45" s="265">
        <f t="shared" si="427"/>
        <v>7.6388792402197633E-2</v>
      </c>
      <c r="Y45" s="265">
        <f t="shared" si="427"/>
        <v>3.708389856175226E-2</v>
      </c>
      <c r="Z45" s="265">
        <f t="shared" si="427"/>
        <v>0.39256190447069295</v>
      </c>
      <c r="AA45" s="265">
        <f t="shared" si="427"/>
        <v>5.7274654508142224E-2</v>
      </c>
      <c r="AB45" s="265">
        <f t="shared" si="427"/>
        <v>0.1285282041252003</v>
      </c>
      <c r="AC45" s="265">
        <f t="shared" si="427"/>
        <v>4.7971247783306782E-2</v>
      </c>
      <c r="AD45" s="265">
        <f t="shared" si="427"/>
        <v>1.0315310486581046E-2</v>
      </c>
      <c r="AE45" s="265">
        <f t="shared" si="427"/>
        <v>2.860723110377513E-3</v>
      </c>
      <c r="AF45" s="603"/>
      <c r="AG45" s="603"/>
      <c r="AH45" s="603"/>
      <c r="AI45" s="603"/>
      <c r="AJ45" s="603"/>
      <c r="AK45" s="603"/>
      <c r="AL45" s="603"/>
      <c r="AM45" s="603"/>
      <c r="AN45" s="603"/>
      <c r="AO45" s="603"/>
      <c r="AP45" s="603"/>
      <c r="AQ45" s="603"/>
      <c r="AR45" s="603"/>
      <c r="AS45" s="603"/>
      <c r="AT45" s="603"/>
      <c r="AU45" s="603"/>
      <c r="AV45" s="603"/>
      <c r="AW45" s="603"/>
      <c r="AX45" s="152">
        <f t="shared" si="426"/>
        <v>6.7445721777355665</v>
      </c>
      <c r="AY45" s="152">
        <f t="shared" ref="AY45:AZ45" si="428">AY46+AY47+AY48+AY49+AY50</f>
        <v>2.0878235582456517</v>
      </c>
      <c r="AZ45" s="152">
        <f t="shared" si="428"/>
        <v>4.6567486194899157</v>
      </c>
      <c r="BA45" s="152">
        <f>($B46*BA46+$B47*BA47+$B48*BA48+$B49*BA49+$B50*BA50)/$B45</f>
        <v>127.40030558624041</v>
      </c>
      <c r="BB45" s="152">
        <f>($B46*BB46+$B47*BB47+$B48*BB48+$B49*BB49+$B50*BB50)/$B45</f>
        <v>39.437543601164556</v>
      </c>
      <c r="BC45" s="152">
        <f>($B46*BC46+$B47*BC47+$B48*BC48+$B49*BC49+$B50*BC50)/$B45</f>
        <v>87.962761985075844</v>
      </c>
      <c r="BD45" s="152">
        <f>($C46*BD46+$C47*BD47+$C48*BD48+$C49*BD49+$C50*BD50)/$C45</f>
        <v>130.94513462013254</v>
      </c>
      <c r="BE45" s="152">
        <f t="shared" ref="BE45:BF45" si="429">($C46*BE46+$C47*BE47+$C48*BE48+$C49*BE49+$C50*BE50)/$C45</f>
        <v>41.224867605223139</v>
      </c>
      <c r="BF45" s="152">
        <f t="shared" si="429"/>
        <v>89.720267014909396</v>
      </c>
      <c r="BG45" s="152">
        <f>($D46*BG46+$D47*BG47+$D48*BG48+$D49*BG49+$D50*BG50)/$D45</f>
        <v>88.6786370853916</v>
      </c>
      <c r="BH45" s="152">
        <f>($D46*BH46+$D47*BH47+$D48*BH48+$D49*BH49+$D50*BH50)/$D45</f>
        <v>19.913846709984117</v>
      </c>
      <c r="BI45" s="152">
        <f>($D46*BI46+$D47*BI47+$D48*BI48+$D49*BI49+$D50*BI50)/$D45</f>
        <v>68.764790375407486</v>
      </c>
      <c r="BJ45" s="152">
        <f t="shared" ref="BJ45:BL45" si="430">BJ46+BJ47+BJ48+BJ49+BJ50</f>
        <v>3.5036093843049363</v>
      </c>
      <c r="BK45" s="152">
        <f t="shared" si="430"/>
        <v>1.1047919687500001E-2</v>
      </c>
      <c r="BL45" s="152">
        <f t="shared" si="430"/>
        <v>3.4925614646174359</v>
      </c>
      <c r="BM45" s="153">
        <f>($B46*BM46+$B47*BM47+$B48*BM48+$B49*BM49+$B50*BM50)/$B45</f>
        <v>66.180759053738868</v>
      </c>
      <c r="BN45" s="153">
        <f>($B46*BN46+$B47*BN47+$B48*BN48+$B49*BN49+$B50*BN50)/$B45</f>
        <v>0.20868756493199847</v>
      </c>
      <c r="BO45" s="152">
        <f>($B46*BO46+$B47*BO47+$B48*BO48+$B49*BO49+$B50*BO50)/$B45</f>
        <v>65.972071488806876</v>
      </c>
      <c r="BP45" s="270"/>
      <c r="BQ45" s="152">
        <f>($C46*BQ46+$C47*BQ47+$C48*BQ48+$C49*BQ49+$C50*BQ50)/$C45</f>
        <v>67.485450712212966</v>
      </c>
      <c r="BR45" s="153">
        <f t="shared" ref="BR45:BS45" si="431">($C46*BR46+$C47*BR47+$C48*BR48+$C49*BR49+$C50*BR50)/$C45</f>
        <v>0.19525045103092781</v>
      </c>
      <c r="BS45" s="152">
        <f t="shared" si="431"/>
        <v>67.290200261182036</v>
      </c>
      <c r="BT45" s="152"/>
      <c r="BV45" s="152">
        <f>($D46*BV46+$D47*BV47+$D48*BV48+$D49*BV49+$D50*BV50)/$D45</f>
        <v>51.929059631217768</v>
      </c>
      <c r="BW45" s="153">
        <f>($D46*BW46+$D47*BW47+$D48*BW48+$D49*BW49+$D50*BW50)/$D45</f>
        <v>0.35546684966216213</v>
      </c>
      <c r="BX45" s="152">
        <f>($D46*BX46+$D47*BX47+$D48*BX48+$D49*BX49+$D50*BX50)/$D45</f>
        <v>51.573592781555618</v>
      </c>
      <c r="BY45" s="152"/>
      <c r="CA45" s="154"/>
      <c r="CB45" s="154"/>
      <c r="CC45" s="154"/>
      <c r="CD45" s="152">
        <f t="shared" ref="CD45:CF50" si="432">BA45-BM45</f>
        <v>61.219546532501539</v>
      </c>
      <c r="CE45" s="152">
        <f t="shared" si="432"/>
        <v>39.228856036232557</v>
      </c>
      <c r="CF45" s="152">
        <f t="shared" si="432"/>
        <v>21.990690496268968</v>
      </c>
      <c r="CG45" s="152">
        <f t="shared" ref="CG45:CI50" si="433">BD45-BQ45</f>
        <v>63.459683907919569</v>
      </c>
      <c r="CH45" s="152">
        <f t="shared" si="433"/>
        <v>41.029617154192209</v>
      </c>
      <c r="CI45" s="152">
        <f t="shared" si="433"/>
        <v>22.43006675372736</v>
      </c>
      <c r="CJ45" s="152">
        <f t="shared" ref="CJ45:CL50" si="434">BG45-BV45</f>
        <v>36.749577454173831</v>
      </c>
      <c r="CK45" s="152">
        <f t="shared" si="434"/>
        <v>19.558379860321956</v>
      </c>
      <c r="CL45" s="152">
        <f t="shared" si="434"/>
        <v>17.191197593851868</v>
      </c>
      <c r="CM45" s="60"/>
      <c r="CN45" s="60"/>
      <c r="CO45" s="60"/>
      <c r="CS45" s="153">
        <f>($B46*CS46+$B47*CS47+$B48*CS48+$B49*CS49+$B50*CS50)/$B45</f>
        <v>5.552370608235738</v>
      </c>
      <c r="CT45" s="153">
        <f t="shared" ref="CT45" si="435">($C46*CT46+$C47*CT47+$C48*CT48+$C49*CT49+$C50*CT50)/$C45</f>
        <v>5.666082474226803</v>
      </c>
      <c r="CU45" s="153">
        <f>($D46*CU46+$D47*CU47+$D48*CU48+$D49*CU49+$D50*CU50)/$D45</f>
        <v>4.3102477477477468</v>
      </c>
      <c r="CY45" s="269">
        <f>(BA45-BM45)/'Amortization metrics'!$D$4/F45</f>
        <v>2.7467974511788498</v>
      </c>
      <c r="CZ45" s="525">
        <f>(BA45-BM45-EN45*CF45)/'Amortization metrics'!$D$4/G45</f>
        <v>3.0454005574709622</v>
      </c>
      <c r="DA45" s="144">
        <f>10^3*CZ45/(($P46*$HF46+$P47*$HF47+$P48*$HF48+$P49*$HF49+$P50*$HF50)/$P45)</f>
        <v>196.51184240331517</v>
      </c>
      <c r="DB45" s="529">
        <f>CZ45/(($P46*$HH46+$P47*$HH47+$P48*$HH48+$P49*$HH49+$P50*$HH50)/$P45)</f>
        <v>12.478110328921733</v>
      </c>
      <c r="DC45" s="97"/>
      <c r="DD45" s="525">
        <f>(BD45-BQ45-EQ45*CI45)/'Amortization metrics'!$D$4/I45</f>
        <v>3.3732389132476124</v>
      </c>
      <c r="DE45" s="144">
        <f>10^3*DD45/(($S46*$HF46+$S47*$HF47+$S48*$HF48+$S49*$HF49+$S50*$HF50)/$S45)</f>
        <v>217.6685488322947</v>
      </c>
      <c r="DF45" s="529">
        <f>DD45/(($S46*$HH46+$S47*$HH47+$S48*$HH48+$S49*$HH49+$S50*$HH50)/$S45)</f>
        <v>13.789770042756697</v>
      </c>
      <c r="DG45" s="97"/>
      <c r="DH45" s="525">
        <f>(BG45-BV45-EX45*CL45)/'Amortization metrics'!$D$4/K45</f>
        <v>1.0769164518289134</v>
      </c>
      <c r="DI45" s="144">
        <f>10^3*DH45/(($U46*$HF46+$U47*$HF47+$U48*$HF48+$U49*$HF49+$U50*$HF50)/$U45)</f>
        <v>69.48653609700942</v>
      </c>
      <c r="DJ45" s="529">
        <f>DH45/(($U46*$HH46+$U47*$HH47+$U48*$HH48+$U49*$HH49+$U50*$HH50)/$U45)</f>
        <v>4.4740576309814788</v>
      </c>
      <c r="DK45" s="269">
        <f>$EF$11*DW45</f>
        <v>3.7529793937235212</v>
      </c>
      <c r="DL45" s="525">
        <f>$EF$11*DX45</f>
        <v>4.1751477406542525</v>
      </c>
      <c r="DM45" s="144">
        <f>10^3*DL45/(($P46*$HF46+$P47*$HF47+$P48*$HF48+$P49*$HF49+$P50*$HF50)/$P45)</f>
        <v>269.41151396628027</v>
      </c>
      <c r="DN45" s="529">
        <f>DL45/(($P46*$HH46+$P47*$HH47+$P48*$HH48+$P49*$HH49+$P50*$HH50)/$P45)</f>
        <v>17.107094178342358</v>
      </c>
      <c r="DO45" s="97"/>
      <c r="DP45" s="525">
        <f t="shared" ref="DP45:DP50" si="436">$EF$11*EA45</f>
        <v>4.553871994513595</v>
      </c>
      <c r="DQ45" s="144">
        <f>10^3*DP45/(($S46*$HF46+$S47*$HF47+$S48*$HF48+$S49*$HF49+$S50*$HF50)/$S45)</f>
        <v>293.85250618358452</v>
      </c>
      <c r="DR45" s="529">
        <f>DP45/(($S46*$HH46+$S47*$HH47+$S48*$HH48+$S49*$HH49+$S50*$HH50)/$S45)</f>
        <v>18.616187356867083</v>
      </c>
      <c r="DS45" s="97"/>
      <c r="DT45" s="525">
        <f t="shared" ref="DT45:DT50" si="437">$EF$11*ED45</f>
        <v>1.9027998178860908</v>
      </c>
      <c r="DU45" s="144">
        <f>10^3*DT45/(($U46*$HF46+$U47*$HF47+$U48*$HF48+$U49*$HF49+$U50*$HF50)/$U45)</f>
        <v>122.77551151380317</v>
      </c>
      <c r="DV45" s="529">
        <f>DT45/(($U46*$HH46+$U47*$HH47+$U48*$HH48+$U49*$HH49+$U50*$HH50)/$U45)</f>
        <v>7.9051963882486076</v>
      </c>
      <c r="DW45" s="149">
        <f>CS45/F45</f>
        <v>7.4737097701003306</v>
      </c>
      <c r="DX45" s="525">
        <f t="shared" ref="DX45:DX50" si="438">CS45/G45</f>
        <v>8.3144188089935369</v>
      </c>
      <c r="DY45" s="123"/>
      <c r="DZ45" s="97"/>
      <c r="EA45" s="525">
        <f t="shared" ref="EA45:EA50" si="439">CT45/I45</f>
        <v>9.0686129729626259</v>
      </c>
      <c r="EB45" s="123"/>
      <c r="EC45" s="97"/>
      <c r="ED45" s="525">
        <f t="shared" ref="ED45:ED50" si="440">CU45/K45</f>
        <v>3.7892490465744491</v>
      </c>
      <c r="EE45" s="123"/>
      <c r="EF45" s="60"/>
      <c r="EG45" s="60"/>
      <c r="EH45" s="60"/>
      <c r="EI45" s="152">
        <f t="shared" ref="EI45" si="441">EI46+EI47+EI48+EI49+EI50</f>
        <v>24.567032184984004</v>
      </c>
      <c r="EJ45" s="269">
        <f>($O46*EJ46+$O47*EJ47+$O48*EJ48+$O49*EJ49+$O50*EJ50)/$O45</f>
        <v>0.62463532311007841</v>
      </c>
      <c r="EK45" s="473">
        <f>($P46*EK46+$P47*EK47+$P48*EK48+$P49*EK49+$P50*EK50)/$P45</f>
        <v>0.6948998340831305</v>
      </c>
      <c r="EL45" s="144"/>
      <c r="EM45" s="149"/>
      <c r="EN45" s="594">
        <f>($B46*EN46+$B47*EN47+$B48*EN48+$B49*EN49+$B50*EN50)/$B45</f>
        <v>9.4573101624480533E-3</v>
      </c>
      <c r="EO45" s="269"/>
      <c r="EP45" s="473">
        <f>($S46*EP46+$S47*EP47+$S48*EP48+$S49*EP49+$S50*EP50)/$S45</f>
        <v>0.81071635079396775</v>
      </c>
      <c r="EQ45" s="594">
        <f>($C46*EQ46+$C47*EQ47+$C48*EQ48+$C49*EQ49+$C50*EQ50)/$C45</f>
        <v>1.0323092783505152E-2</v>
      </c>
      <c r="ER45" s="594"/>
      <c r="ES45" s="594"/>
      <c r="ET45" s="594"/>
      <c r="EU45" s="594"/>
      <c r="EV45" s="269"/>
      <c r="EW45" s="473">
        <f>($U46*EW46+$U47*EW47+$U48*EW48+$U49*EW49+$U50*EW50)/$U45</f>
        <v>0</v>
      </c>
      <c r="EX45" s="594">
        <f>($D46*EX46+$D47*EX47+$D48*EX48+$D49*EX49+$D50*EX50)/$D45</f>
        <v>0</v>
      </c>
      <c r="EY45" s="594"/>
      <c r="EZ45" s="594"/>
      <c r="FA45" s="594"/>
      <c r="FB45" s="594"/>
      <c r="FC45" s="595"/>
      <c r="FD45" s="595"/>
      <c r="FE45" s="595"/>
      <c r="FF45" s="595"/>
      <c r="FG45" s="595"/>
      <c r="FH45" s="595"/>
      <c r="FI45" s="595"/>
      <c r="FJ45" s="595"/>
      <c r="FK45" s="595"/>
      <c r="FL45" s="152">
        <f>FL46+FL47+FL48+FL49+FL50</f>
        <v>21.556261089637534</v>
      </c>
      <c r="FM45" s="152">
        <f>FM46+FM47+FM48+FM49+FM50</f>
        <v>-1.0655328344751998</v>
      </c>
      <c r="FN45" s="152">
        <f>FN46+FN47+FN48+FN49+FN50</f>
        <v>3.4970283008424392</v>
      </c>
      <c r="FO45" s="152">
        <f t="shared" ref="FO45:FP45" si="442">FO46+FO47+FO48+FO49+FO50</f>
        <v>15.300756655635437</v>
      </c>
      <c r="FP45" s="152">
        <f t="shared" si="442"/>
        <v>3.8240089676348559</v>
      </c>
      <c r="FQ45" s="152"/>
      <c r="FR45" s="269">
        <f>($P46*FR46+$P47*FR47+$P48*FR48+$P49*FR49+$P50*FR50)/$P45</f>
        <v>0.54817233411007338</v>
      </c>
      <c r="FS45" s="473">
        <f>($P46*FS46+$P47*FS47+$P48*FS48+$P49*FS49+$P50*FS50)/$P45</f>
        <v>0.60973755974470456</v>
      </c>
      <c r="FT45" s="144">
        <f>10^3*FS45/(($P46*$HF46+$P47*$HF47+$P48*$HF48+$P49*$HF49+$P50*$HF50)/$P45)</f>
        <v>39.344791920389547</v>
      </c>
      <c r="FU45" s="149">
        <f>FS45/(($S46*$HH46+$S47*$HH47+$S48*$HH48+$S49*$HH49+$S50*$HH50)/$S45)</f>
        <v>2.4926016068088384</v>
      </c>
      <c r="FV45" s="123"/>
      <c r="FW45" s="269">
        <f>($P46*FW46+$P47*FW47+$P48*FW48+$P49*FW49+$P50*FW50)/$P45</f>
        <v>6.877696025428881E-2</v>
      </c>
      <c r="FX45" s="123"/>
      <c r="FY45" s="269">
        <f>($P46*FY46+$P47*FY47+$P48*FY48+$P49*FY49+$P50*FY50)/$P45</f>
        <v>0.54096059949041564</v>
      </c>
      <c r="FZ45" s="123"/>
      <c r="GA45" s="269">
        <f>($P46*GA46+$P47*GA47+$P48*GA48+$P49*GA49+$P50*GA50)/$P45</f>
        <v>0</v>
      </c>
      <c r="GB45" s="269">
        <f>($O46*GB46+$O47*GB47+$O48*GB48+$O49*GB49+$O50*GB50)/$O45</f>
        <v>-2.7091976E-2</v>
      </c>
      <c r="GC45" s="269">
        <f>($P46*GC46+$P47*GC47+$P48*GC48+$P49*GC49+$P50*GC50)/$P45</f>
        <v>-3.0139521302842552E-2</v>
      </c>
      <c r="GD45" s="269">
        <f>($O46*GD46+$O47*GD47+$O48*GD48+$O49*GD49+$O50*GD50)/$O45</f>
        <v>8.8914582200000009E-2</v>
      </c>
      <c r="GE45" s="269">
        <f>($P46*GE46+$P47*GE47+$P48*GE48+$P49*GE49+$P50*GE50)/$P45</f>
        <v>9.8916481557131355E-2</v>
      </c>
      <c r="GF45" s="269">
        <f>($O46*GF46+$O47*GF47+$O48*GF48+$O49*GF49+$O50*GF50)/$O45</f>
        <v>0.38903327864174198</v>
      </c>
      <c r="GG45" s="269">
        <f>($P46*GG46+$P47*GG47+$P48*GG48+$P49*GG49+$P50*GG50)/$P45</f>
        <v>0.43279518589332377</v>
      </c>
      <c r="GH45" s="269">
        <f>($O46*GH46+$O47*GH47+$O48*GH48+$O49*GH49+$O50*GH50)/$O45</f>
        <v>9.7228312280000007E-2</v>
      </c>
      <c r="GI45" s="269">
        <f>($P46*GI46+$P47*GI47+$P48*GI48+$P49*GI49+$P50*GI50)/$P45</f>
        <v>0.10816541359709195</v>
      </c>
      <c r="GJ45" s="149">
        <f>($P46*GJ46+$P47*GJ47+$P48*GJ48+$P49*GJ49+$P50*GJ50)/$P45</f>
        <v>12.470319797648898</v>
      </c>
      <c r="GL45" s="144">
        <f>($P46*GL46+$P47*GL47+$P48*GL48+$P49*GL49+$P50*GL50)/$P45</f>
        <v>51.01657121992487</v>
      </c>
      <c r="GM45" s="149">
        <f>($S46*GM46+$S47*GM47+$S48*GM48+$S49*GM49+$S50*GM50)/$S45</f>
        <v>13.788324077937514</v>
      </c>
      <c r="GO45" s="144">
        <f>($S46*GO46+$S47*GO47+$S48*GO48+$S49*GO49+$S50*GO50)/$S45</f>
        <v>56.357205166723467</v>
      </c>
      <c r="GP45" s="149">
        <f>($U46*GP46+$U47*GP47+$U48*GP48+$U49*GP49+$U50*GP50)/$U45</f>
        <v>4.5585515943782644</v>
      </c>
      <c r="GR45" s="144">
        <f>($U46*GR46+$U47*GR47+$U48*GR48+$U49*GR49+$U50*GR50)/$U45</f>
        <v>18.958024360191114</v>
      </c>
      <c r="GS45" s="149">
        <f>($P46*GS46+$P47*GS47+$P48*GS48+$P49*GS49+$P50*GS50)/$P45</f>
        <v>16.613512442893427</v>
      </c>
      <c r="GU45" s="144">
        <f>($P46*GU46+$P47*GU47+$P48*GU48+$P49*GU49+$P50*GU50)/$P45</f>
        <v>67.839868808416568</v>
      </c>
      <c r="GV45" s="149">
        <f>($S46*GV46+$S47*GV47+$S48*GV48+$S49*GV49+$S50*GV50)/$S45</f>
        <v>18.117964494121786</v>
      </c>
      <c r="GX45" s="144">
        <f>($S46*GX46+$S47*GX47+$S48*GX48+$S49*GX49+$S50*GX50)/$S45</f>
        <v>73.88731937898396</v>
      </c>
      <c r="GY45" s="149">
        <f>($U46*GY46+$U47*GY47+$U48*GY48+$U49*GY49+$U50*GY50)/$U45</f>
        <v>7.586790603254582</v>
      </c>
      <c r="HA45" s="144">
        <f>($U46*HA46+$U47*HA47+$U48*HA48+$U49*HA49+$U50*HA50)/$U45</f>
        <v>31.555127068122182</v>
      </c>
      <c r="HB45" s="16"/>
      <c r="HH45" s="267"/>
    </row>
    <row r="46" spans="1:218" s="4" customFormat="1" x14ac:dyDescent="0.25">
      <c r="A46" s="14" t="s">
        <v>82</v>
      </c>
      <c r="B46" s="67">
        <f t="shared" ref="B46:B50" si="443">C46+D46</f>
        <v>25.8</v>
      </c>
      <c r="C46" s="33">
        <v>23.8</v>
      </c>
      <c r="D46" s="33">
        <v>2</v>
      </c>
      <c r="E46" s="38">
        <f t="shared" ref="E46:E50" si="444">D46/B46</f>
        <v>7.7519379844961239E-2</v>
      </c>
      <c r="F46" s="436">
        <f t="shared" ref="F46:F50" si="445">O46/B46</f>
        <v>0.74581395348837209</v>
      </c>
      <c r="G46" s="32">
        <f t="shared" ref="G46:G50" si="446">P46/B46</f>
        <v>0.67123255813953475</v>
      </c>
      <c r="H46" s="33">
        <v>0.69</v>
      </c>
      <c r="I46" s="32">
        <f>$HB46*H46</f>
        <v>0.621</v>
      </c>
      <c r="J46" s="33">
        <v>1.41</v>
      </c>
      <c r="K46" s="32">
        <f>$HB46*J46</f>
        <v>1.2689999999999999</v>
      </c>
      <c r="L46" s="32">
        <f t="shared" ref="L46:L50" si="447">10/G46</f>
        <v>14.897966254374115</v>
      </c>
      <c r="M46" s="32">
        <f t="shared" ref="M46:M50" si="448">10/I46</f>
        <v>16.103059581320451</v>
      </c>
      <c r="N46" s="32">
        <f t="shared" ref="N46:N50" si="449">10/K46</f>
        <v>7.8802206461780937</v>
      </c>
      <c r="O46" s="107">
        <f t="shared" ref="O46:O50" si="450">R46+T46</f>
        <v>19.242000000000001</v>
      </c>
      <c r="P46" s="68">
        <f t="shared" ref="P46:P50" si="451">S46+U46</f>
        <v>17.317799999999998</v>
      </c>
      <c r="Q46" s="68"/>
      <c r="R46" s="67">
        <f t="shared" ref="R46:R50" si="452">C46*H46</f>
        <v>16.422000000000001</v>
      </c>
      <c r="S46" s="67">
        <f t="shared" ref="S46:S50" si="453">C46*I46</f>
        <v>14.7798</v>
      </c>
      <c r="T46" s="67">
        <f t="shared" ref="T46:T50" si="454">D46*J46</f>
        <v>2.82</v>
      </c>
      <c r="U46" s="67">
        <f t="shared" ref="U46:U50" si="455">D46*K46</f>
        <v>2.5379999999999998</v>
      </c>
      <c r="V46" s="38">
        <f t="shared" ref="V46:V50" si="456">U46/P46</f>
        <v>0.14655441222326163</v>
      </c>
      <c r="W46" s="294">
        <f t="shared" ref="W46:W50" si="457">($C46*AF46+$D46*AO46)/$B46</f>
        <v>0.32328055948843021</v>
      </c>
      <c r="X46" s="294">
        <f t="shared" ref="X46:X50" si="458">($C46*AG46+$D46*AP46)/$B46</f>
        <v>0.11682892361787203</v>
      </c>
      <c r="Y46" s="294">
        <f t="shared" ref="Y46:Y50" si="459">($C46*AH46+$D46*AQ46)/$B46</f>
        <v>5.1820761729689219E-2</v>
      </c>
      <c r="Z46" s="294">
        <f t="shared" ref="Z46:Z50" si="460">($C46*AI46+$D46*AR46)/$B46</f>
        <v>0.32518080461146337</v>
      </c>
      <c r="AA46" s="294">
        <f t="shared" ref="AA46:AA50" si="461">($C46*AJ46+$D46*AS46)/$B46</f>
        <v>3.4247690904317965E-2</v>
      </c>
      <c r="AB46" s="294">
        <f t="shared" ref="AB46:AB50" si="462">($C46*AK46+$D46*AT46)/$B46</f>
        <v>8.8199659582656076E-2</v>
      </c>
      <c r="AC46" s="294">
        <f t="shared" ref="AC46:AC50" si="463">($C46*AL46+$D46*AU46)/$B46</f>
        <v>4.1495310125964094E-2</v>
      </c>
      <c r="AD46" s="294">
        <f t="shared" ref="AD46:AD50" si="464">($C46*AM46+$D46*AV46)/$B46</f>
        <v>1.6530306328671272E-2</v>
      </c>
      <c r="AE46" s="294">
        <f t="shared" ref="AE46:AE50" si="465">($C46*AN46+$D46*AW46)/$B46</f>
        <v>2.3755078668070456E-3</v>
      </c>
      <c r="AF46" s="433">
        <v>0.33949707420626724</v>
      </c>
      <c r="AG46" s="433">
        <v>0.11762656727638218</v>
      </c>
      <c r="AH46" s="433">
        <v>4.9163541881819511E-2</v>
      </c>
      <c r="AI46" s="433">
        <v>0.33653756098404564</v>
      </c>
      <c r="AJ46" s="433">
        <v>2.7890498061373472E-2</v>
      </c>
      <c r="AK46" s="433">
        <v>7.8671624240310323E-2</v>
      </c>
      <c r="AL46" s="433">
        <v>4.1065865549545125E-2</v>
      </c>
      <c r="AM46" s="433">
        <v>6.9694888482091768E-3</v>
      </c>
      <c r="AN46" s="433">
        <v>2.5532096908876794E-3</v>
      </c>
      <c r="AO46" s="433">
        <v>0.13030403434617022</v>
      </c>
      <c r="AP46" s="433">
        <v>0.1073369640816014</v>
      </c>
      <c r="AQ46" s="433">
        <v>8.3441677919338819E-2</v>
      </c>
      <c r="AR46" s="433">
        <v>0.19003540377773398</v>
      </c>
      <c r="AS46" s="433">
        <v>0.10989828573535744</v>
      </c>
      <c r="AT46" s="433">
        <v>0.20158328015657043</v>
      </c>
      <c r="AU46" s="433">
        <v>4.660570058534988E-2</v>
      </c>
      <c r="AV46" s="433">
        <v>0.13030403434617022</v>
      </c>
      <c r="AW46" s="433">
        <v>2.6085616024750679E-4</v>
      </c>
      <c r="AX46" s="554">
        <f>BA46*$B46/10^3</f>
        <v>4.0975177499570217</v>
      </c>
      <c r="AY46" s="554">
        <f t="shared" ref="AY46:AZ50" si="466">BB46*$B46/10^3</f>
        <v>1.579945234943821</v>
      </c>
      <c r="AZ46" s="554">
        <f t="shared" si="466"/>
        <v>2.5175725150132009</v>
      </c>
      <c r="BA46" s="67">
        <f t="shared" ref="BA46:BA50" si="467">BB46+BC46</f>
        <v>158.81851744019463</v>
      </c>
      <c r="BB46" s="67">
        <f t="shared" ref="BB46:BC50" si="468">(BE46*$C46+BH46*$D46)/$B46</f>
        <v>61.238187400923294</v>
      </c>
      <c r="BC46" s="67">
        <f t="shared" si="468"/>
        <v>97.580330039271345</v>
      </c>
      <c r="BD46" s="67">
        <f t="shared" ref="BD46:BD50" si="469">BE46+BF46</f>
        <v>162.44168228336878</v>
      </c>
      <c r="BE46" s="105">
        <v>63.443393499729204</v>
      </c>
      <c r="BF46" s="105">
        <v>98.99828878363958</v>
      </c>
      <c r="BG46" s="68">
        <f t="shared" ref="BG46:BG50" si="470">BH46+BI46</f>
        <v>115.70285580642226</v>
      </c>
      <c r="BH46" s="106">
        <v>34.996234825132994</v>
      </c>
      <c r="BI46" s="106">
        <v>80.706620981289262</v>
      </c>
      <c r="BJ46" s="554">
        <f>BM46*$B46/10^3</f>
        <v>1.8935911987599003</v>
      </c>
      <c r="BK46" s="554">
        <f t="shared" ref="BK46:BK50" si="471">BN46*$B46/10^3</f>
        <v>5.4118125E-3</v>
      </c>
      <c r="BL46" s="554">
        <f t="shared" ref="BL46:BL50" si="472">BO46*$B46/10^3</f>
        <v>1.8881793862599003</v>
      </c>
      <c r="BM46" s="32">
        <f t="shared" ref="BM46:BM50" si="473">BN46+BO46</f>
        <v>73.39500770387211</v>
      </c>
      <c r="BN46" s="32">
        <f t="shared" ref="BN46:BO50" si="474">(BR46*$C46+BW46*$D46)/$B46</f>
        <v>0.20976017441860464</v>
      </c>
      <c r="BO46" s="67">
        <f t="shared" si="474"/>
        <v>73.185247529453505</v>
      </c>
      <c r="BP46" s="270"/>
      <c r="BQ46" s="67">
        <f t="shared" ref="BQ46:BQ50" si="475">BR46+BS46</f>
        <v>74.44277908772969</v>
      </c>
      <c r="BR46" s="32">
        <f>I46*0.5*2.5*0.25</f>
        <v>0.1940625</v>
      </c>
      <c r="BS46" s="67">
        <f>(1-BU46)*BF46</f>
        <v>74.248716587729689</v>
      </c>
      <c r="BT46" s="67"/>
      <c r="BU46" s="34">
        <f t="shared" ref="BU46:BU50" si="476">BU$17</f>
        <v>0.25</v>
      </c>
      <c r="BV46" s="68">
        <f t="shared" ref="BV46:BV50" si="477">BW46+BX46</f>
        <v>60.926528235966948</v>
      </c>
      <c r="BW46" s="32">
        <f>K46*0.5*2.5*0.25</f>
        <v>0.39656249999999998</v>
      </c>
      <c r="BX46" s="67">
        <f>(1-BZ46)*BI46</f>
        <v>60.529965735966947</v>
      </c>
      <c r="BY46" s="67"/>
      <c r="BZ46" s="34">
        <f t="shared" ref="BZ46:BZ50" si="478">BZ$17</f>
        <v>0.25</v>
      </c>
      <c r="CA46" s="294"/>
      <c r="CB46" s="294"/>
      <c r="CC46" s="294"/>
      <c r="CD46" s="67">
        <f t="shared" si="432"/>
        <v>85.423509736322515</v>
      </c>
      <c r="CE46" s="67">
        <f t="shared" si="432"/>
        <v>61.028427226504689</v>
      </c>
      <c r="CF46" s="67">
        <f t="shared" si="432"/>
        <v>24.39508250981784</v>
      </c>
      <c r="CG46" s="67">
        <f t="shared" si="433"/>
        <v>87.998903195639087</v>
      </c>
      <c r="CH46" s="67">
        <f t="shared" si="433"/>
        <v>63.249330999729203</v>
      </c>
      <c r="CI46" s="67">
        <f t="shared" si="433"/>
        <v>24.749572195909892</v>
      </c>
      <c r="CJ46" s="67">
        <f t="shared" si="434"/>
        <v>54.776327570455315</v>
      </c>
      <c r="CK46" s="67">
        <f t="shared" si="434"/>
        <v>34.599672325132993</v>
      </c>
      <c r="CL46" s="67">
        <f t="shared" si="434"/>
        <v>20.176655245322316</v>
      </c>
      <c r="CM46" s="68"/>
      <c r="CN46" s="293"/>
      <c r="CO46" s="293"/>
      <c r="CS46" s="32">
        <f t="shared" ref="CS46:CS50" si="479">(CT46*$C46+CU46*$D46)/$B46</f>
        <v>6.2230232558139535</v>
      </c>
      <c r="CT46" s="33">
        <v>6.33</v>
      </c>
      <c r="CU46" s="99">
        <v>4.95</v>
      </c>
      <c r="CY46" s="97">
        <f>CZ46*$HB46</f>
        <v>3.8085558390229677</v>
      </c>
      <c r="CZ46" s="263">
        <f>(BA46-BM46-EN46*CF46)/'Amortization metrics'!$D$4/G46</f>
        <v>4.2317287100255196</v>
      </c>
      <c r="DA46" s="527">
        <f>10^3*CZ46/$HF46</f>
        <v>273.01475548551741</v>
      </c>
      <c r="DB46" s="528">
        <f>CZ46/$HH46</f>
        <v>17.632202958439667</v>
      </c>
      <c r="DC46" s="97">
        <f>DD46*$HB46</f>
        <v>4.2400353707351268</v>
      </c>
      <c r="DD46" s="263">
        <f>(BD46-BQ46-EQ46*CI46)/'Amortization metrics'!$D$4/I46</f>
        <v>4.7111504119279184</v>
      </c>
      <c r="DE46" s="527">
        <f>10^3*DD46/$HF46</f>
        <v>303.94518786631727</v>
      </c>
      <c r="DF46" s="528">
        <f>DD46/$HH46</f>
        <v>19.629793383032993</v>
      </c>
      <c r="DG46" s="97">
        <f>DH46*$HB46</f>
        <v>1.2949486423275491</v>
      </c>
      <c r="DH46" s="263">
        <f>(BG46-BV46-EX46*CL46)/'Amortization metrics'!$D$4/K46</f>
        <v>1.4388318248083878</v>
      </c>
      <c r="DI46" s="527">
        <f>10^3*DH46/$HF46</f>
        <v>92.827859665057275</v>
      </c>
      <c r="DJ46" s="528">
        <f>DH46/$HH46</f>
        <v>5.9951326033682824</v>
      </c>
      <c r="DK46" s="97">
        <f>DL46*$HB46</f>
        <v>4.1899695885046508</v>
      </c>
      <c r="DL46" s="263">
        <f>$EF$11*DX46</f>
        <v>4.6555217650051679</v>
      </c>
      <c r="DM46" s="527">
        <f>10^3*DL46/$HF46</f>
        <v>300.35624290355923</v>
      </c>
      <c r="DN46" s="528">
        <f>DL46/$HH46</f>
        <v>19.398007354188199</v>
      </c>
      <c r="DO46" s="97">
        <f>DP46*$HB46</f>
        <v>4.6067492143895699</v>
      </c>
      <c r="DP46" s="263">
        <f t="shared" si="436"/>
        <v>5.1186102382106329</v>
      </c>
      <c r="DQ46" s="527">
        <f>10^3*DP46/$HF46</f>
        <v>330.23291859423438</v>
      </c>
      <c r="DR46" s="528">
        <f>DP46/$HH46</f>
        <v>21.32754265921097</v>
      </c>
      <c r="DS46" s="97">
        <f>DT46*$HB46</f>
        <v>1.7628933415960895</v>
      </c>
      <c r="DT46" s="263">
        <f t="shared" si="437"/>
        <v>1.9587703795512104</v>
      </c>
      <c r="DU46" s="527">
        <f>10^3*DT46/$HF46</f>
        <v>126.372282551691</v>
      </c>
      <c r="DV46" s="528">
        <f>DT46/$HH46</f>
        <v>8.1615432481300427</v>
      </c>
      <c r="DW46" s="97">
        <f>DX46*$HB46</f>
        <v>8.3439351418771448</v>
      </c>
      <c r="DX46" s="263">
        <f t="shared" si="438"/>
        <v>9.2710390465301611</v>
      </c>
      <c r="DY46" s="68">
        <f>10^3*DX46/$HF46</f>
        <v>598.13155138904267</v>
      </c>
      <c r="DZ46" s="97">
        <f>EA46*$HB46</f>
        <v>9.1739130434782616</v>
      </c>
      <c r="EA46" s="263">
        <f t="shared" si="439"/>
        <v>10.193236714975846</v>
      </c>
      <c r="EB46" s="68">
        <f>10^3*EA46/$HF46</f>
        <v>657.628175159732</v>
      </c>
      <c r="EC46" s="97">
        <f>ED46*$HB46</f>
        <v>3.5106382978723412</v>
      </c>
      <c r="ED46" s="263">
        <f t="shared" si="440"/>
        <v>3.9007092198581566</v>
      </c>
      <c r="EE46" s="68">
        <f>10^3*ED46/$HF46</f>
        <v>251.65865934568754</v>
      </c>
      <c r="EF46" s="60"/>
      <c r="EG46" s="60"/>
      <c r="EH46" s="60"/>
      <c r="EI46" s="554">
        <f>EK46*$P46</f>
        <v>10.689134460984</v>
      </c>
      <c r="EJ46" s="262">
        <f>EK46*$HB46</f>
        <v>0.55551057379607116</v>
      </c>
      <c r="EK46" s="166">
        <f>(EP46*S46+EW46*U46)/P46</f>
        <v>0.61723397088452348</v>
      </c>
      <c r="EL46" s="68">
        <f>10^3*EK46/$HF46</f>
        <v>39.821546508678935</v>
      </c>
      <c r="EM46" s="97">
        <f>EK46/$HH46</f>
        <v>2.5718082120188481</v>
      </c>
      <c r="EN46" s="429">
        <f>(EQ46*C46+EX46*D46)/B46</f>
        <v>8.57906976744186E-3</v>
      </c>
      <c r="EO46" s="262">
        <f>EP46*$HB46</f>
        <v>0.65090332852173916</v>
      </c>
      <c r="EP46" s="436">
        <f>EQ46*EU46/I46</f>
        <v>0.72322592057971014</v>
      </c>
      <c r="EQ46" s="101">
        <v>9.2999999999999992E-3</v>
      </c>
      <c r="ER46" s="101">
        <v>0.68200000000000005</v>
      </c>
      <c r="ES46" s="101">
        <v>0.27300000000000002</v>
      </c>
      <c r="ET46" s="429">
        <f t="shared" ref="ET46:ET50" si="480">1-ER46-ES46</f>
        <v>4.4999999999999929E-2</v>
      </c>
      <c r="EU46" s="430">
        <f>ER46*$FC46+ES46*$FD46+ET46*$FE46+'Amortization metrics'!$B$6*(ER46*$FF46+ES46*$FG46+ET46*$FH46)/10^3+'Amortization metrics'!$B$5*(ER46*$FI46+ES46*$FJ46+ET46*$FK46)/10^3</f>
        <v>48.292827600000003</v>
      </c>
      <c r="EV46" s="262">
        <f>EW46*$HB46</f>
        <v>0</v>
      </c>
      <c r="EW46" s="436">
        <f>EX46*FB46/K46</f>
        <v>0</v>
      </c>
      <c r="EX46" s="101">
        <v>0</v>
      </c>
      <c r="EY46" s="433">
        <v>1</v>
      </c>
      <c r="EZ46" s="433">
        <v>0</v>
      </c>
      <c r="FA46" s="434">
        <f t="shared" ref="FA46:FA50" si="481">1-EY46-EZ46</f>
        <v>0</v>
      </c>
      <c r="FB46" s="430">
        <f>EY46*$FC46+EZ46*$FD46+FA46*$FE46+'Amortization metrics'!$B$6*(EY46*$FF46+EZ46*$FG46+FA46*$FH46)/10^3+'Amortization metrics'!$B$5*(EY46*$FI46+EZ46*$FJ46+FA46*$FK46)/10^3</f>
        <v>54.558</v>
      </c>
      <c r="FC46" s="431">
        <v>51.3</v>
      </c>
      <c r="FD46" s="431">
        <v>29</v>
      </c>
      <c r="FE46" s="431">
        <v>29</v>
      </c>
      <c r="FF46" s="99">
        <v>5</v>
      </c>
      <c r="FG46" s="431">
        <v>13</v>
      </c>
      <c r="FH46" s="431">
        <v>13</v>
      </c>
      <c r="FI46" s="431">
        <v>52</v>
      </c>
      <c r="FJ46" s="431">
        <v>58.3</v>
      </c>
      <c r="FK46" s="431">
        <v>58.3</v>
      </c>
      <c r="FL46" s="554">
        <f>FO46+FP46+FM46+FN46+FQ46</f>
        <v>11.974106852328957</v>
      </c>
      <c r="FM46" s="554">
        <f>GC46*$P46</f>
        <v>-0.5213038021919999</v>
      </c>
      <c r="FN46" s="554">
        <f>GE46*$P46</f>
        <v>1.7108943906923997</v>
      </c>
      <c r="FO46" s="554">
        <f>GG46*$P46</f>
        <v>8.9136490789367979</v>
      </c>
      <c r="FP46" s="554">
        <f>GI46*$P46</f>
        <v>1.8708671848917597</v>
      </c>
      <c r="FQ46" s="554"/>
      <c r="FR46" s="167">
        <f>FS46*HB46</f>
        <v>0.62229013888000007</v>
      </c>
      <c r="FS46" s="166">
        <f>FY46+FW46+GA46</f>
        <v>0.69143348764444446</v>
      </c>
      <c r="FT46" s="68">
        <f>10^3*FS46/$HF46</f>
        <v>44.60861210609319</v>
      </c>
      <c r="FU46" s="97">
        <f>FS46/$HH46</f>
        <v>2.8809728651851851</v>
      </c>
      <c r="FV46" s="473">
        <f>FW46*HB46</f>
        <v>6.1822606199999991E-2</v>
      </c>
      <c r="FW46" s="269">
        <f>GC46+GE46</f>
        <v>6.8691784666666658E-2</v>
      </c>
      <c r="FX46" s="473">
        <f>FY46*HB46</f>
        <v>0.56046753268000005</v>
      </c>
      <c r="FY46" s="269">
        <f>GG46+GI46</f>
        <v>0.62274170297777776</v>
      </c>
      <c r="FZ46" s="123"/>
      <c r="GA46" s="49"/>
      <c r="GB46" s="435">
        <v>-2.7091976E-2</v>
      </c>
      <c r="GC46" s="522">
        <f>GB46/$HB46</f>
        <v>-3.0102195555555555E-2</v>
      </c>
      <c r="GD46" s="435">
        <v>8.8914582199999995E-2</v>
      </c>
      <c r="GE46" s="522">
        <f>GD46/$HB46</f>
        <v>9.8793980222222216E-2</v>
      </c>
      <c r="GF46" s="435">
        <v>0.46323922039999998</v>
      </c>
      <c r="GG46" s="522">
        <f>GF46/$HB46</f>
        <v>0.51471024488888883</v>
      </c>
      <c r="GH46" s="435">
        <v>9.7228312279999993E-2</v>
      </c>
      <c r="GI46" s="522">
        <f>GH46/$HB46</f>
        <v>0.10803145808888888</v>
      </c>
      <c r="GJ46" s="599">
        <f>44/12*CZ46+$FS46+$EK46</f>
        <v>16.825006061955872</v>
      </c>
      <c r="GK46" s="527">
        <f>10^3*GJ46/$HF46</f>
        <v>1085.4842620616691</v>
      </c>
      <c r="GL46" s="528">
        <f>GJ46/$HH46</f>
        <v>70.104191924816135</v>
      </c>
      <c r="GM46" s="599">
        <f>44/12*DD46+$FS46+$EP46</f>
        <v>18.688877585293191</v>
      </c>
      <c r="GN46" s="527">
        <f>10^3*GM46/$HF46</f>
        <v>1205.7340377608509</v>
      </c>
      <c r="GO46" s="528">
        <f>GM46/$HH46</f>
        <v>77.870323272054961</v>
      </c>
      <c r="GP46" s="599">
        <f>44/12*DH46+$FS46+$EW46</f>
        <v>5.9671501786085335</v>
      </c>
      <c r="GQ46" s="527">
        <f>10^3*GP46/$HF46</f>
        <v>384.97743087796994</v>
      </c>
      <c r="GR46" s="528">
        <f>GP46/$HH46</f>
        <v>24.863125744202225</v>
      </c>
      <c r="GS46" s="599">
        <f>44/12*DL46+$FS46+$EK46</f>
        <v>18.378913930214583</v>
      </c>
      <c r="GT46" s="527">
        <f>10^3*GS46/$HF46</f>
        <v>1185.7363825944894</v>
      </c>
      <c r="GU46" s="528">
        <f>GS46/$HH46</f>
        <v>76.578808042560766</v>
      </c>
      <c r="GV46" s="599">
        <f>44/12*DP46+$FS46+$EP46</f>
        <v>20.182896948329809</v>
      </c>
      <c r="GW46" s="527">
        <f>10^3*GV46/$HF46</f>
        <v>1302.1223837632135</v>
      </c>
      <c r="GX46" s="528">
        <f>GV46/$HH46</f>
        <v>84.095403951374209</v>
      </c>
      <c r="GY46" s="599">
        <f>44/12*DT46+$FS46+$EW46</f>
        <v>7.8735915459988828</v>
      </c>
      <c r="GZ46" s="527">
        <f>10^3*GY46/$HF46</f>
        <v>507.97364812896018</v>
      </c>
      <c r="HA46" s="528">
        <f>GY46/$HH46</f>
        <v>32.806631441662013</v>
      </c>
      <c r="HB46" s="31">
        <v>0.9</v>
      </c>
      <c r="HC46" s="32">
        <f t="shared" ref="HC46:HC48" si="482">$HB46*HD46</f>
        <v>17.100000000000001</v>
      </c>
      <c r="HD46" s="33">
        <v>19</v>
      </c>
      <c r="HE46" s="32">
        <f t="shared" ref="HE46:HE48" si="483">$HB46*HF46</f>
        <v>13.950000000000001</v>
      </c>
      <c r="HF46" s="33">
        <v>15.5</v>
      </c>
      <c r="HG46" s="34">
        <f t="shared" ref="HG46:HG48" si="484">$HB46*HH46</f>
        <v>0.216</v>
      </c>
      <c r="HH46" s="31">
        <v>0.24</v>
      </c>
      <c r="HI46" s="36">
        <f t="shared" ref="HI46:HI48" si="485">$HB46*HJ46</f>
        <v>1.35E-2</v>
      </c>
      <c r="HJ46" s="35">
        <v>1.4999999999999999E-2</v>
      </c>
    </row>
    <row r="47" spans="1:218" s="4" customFormat="1" x14ac:dyDescent="0.25">
      <c r="A47" s="14" t="s">
        <v>325</v>
      </c>
      <c r="B47" s="67">
        <f t="shared" si="443"/>
        <v>9.8000000000000007</v>
      </c>
      <c r="C47" s="33">
        <v>8.3000000000000007</v>
      </c>
      <c r="D47" s="33">
        <v>1.5</v>
      </c>
      <c r="E47" s="38">
        <f t="shared" si="444"/>
        <v>0.15306122448979589</v>
      </c>
      <c r="F47" s="436">
        <f t="shared" si="445"/>
        <v>0.8543877551020409</v>
      </c>
      <c r="G47" s="32">
        <f t="shared" si="446"/>
        <v>0.77749285714285721</v>
      </c>
      <c r="H47" s="33">
        <v>0.81</v>
      </c>
      <c r="I47" s="32">
        <f>$HB47*H47</f>
        <v>0.73710000000000009</v>
      </c>
      <c r="J47" s="33">
        <v>1.1000000000000001</v>
      </c>
      <c r="K47" s="32">
        <f>$HB47*J47</f>
        <v>1.0010000000000001</v>
      </c>
      <c r="L47" s="32">
        <f t="shared" si="447"/>
        <v>12.861854495677497</v>
      </c>
      <c r="M47" s="32">
        <f t="shared" si="448"/>
        <v>13.566680233346899</v>
      </c>
      <c r="N47" s="32">
        <f t="shared" si="449"/>
        <v>9.9900099900099892</v>
      </c>
      <c r="O47" s="108">
        <f t="shared" si="450"/>
        <v>8.3730000000000011</v>
      </c>
      <c r="P47" s="68">
        <f t="shared" si="451"/>
        <v>7.6194300000000013</v>
      </c>
      <c r="Q47" s="68"/>
      <c r="R47" s="67">
        <f t="shared" si="452"/>
        <v>6.7230000000000008</v>
      </c>
      <c r="S47" s="67">
        <f t="shared" si="453"/>
        <v>6.1179300000000012</v>
      </c>
      <c r="T47" s="67">
        <f t="shared" si="454"/>
        <v>1.6500000000000001</v>
      </c>
      <c r="U47" s="67">
        <f t="shared" si="455"/>
        <v>1.5015000000000001</v>
      </c>
      <c r="V47" s="38">
        <f t="shared" si="456"/>
        <v>0.19706198495163021</v>
      </c>
      <c r="W47" s="294">
        <f t="shared" si="457"/>
        <v>5.5787391780434868E-2</v>
      </c>
      <c r="X47" s="294">
        <f t="shared" si="458"/>
        <v>5.7246546673266473E-2</v>
      </c>
      <c r="Y47" s="294">
        <f t="shared" si="459"/>
        <v>1.3500787615426821E-2</v>
      </c>
      <c r="Z47" s="294">
        <f t="shared" si="460"/>
        <v>0.25874662600363268</v>
      </c>
      <c r="AA47" s="294">
        <f t="shared" si="461"/>
        <v>0.11356850769023419</v>
      </c>
      <c r="AB47" s="294">
        <f t="shared" si="462"/>
        <v>0.35123635032111306</v>
      </c>
      <c r="AC47" s="294">
        <f t="shared" si="463"/>
        <v>0.14658083069883585</v>
      </c>
      <c r="AD47" s="294">
        <f t="shared" si="464"/>
        <v>2.6096536412357906E-3</v>
      </c>
      <c r="AE47" s="294">
        <f t="shared" si="465"/>
        <v>7.2317168697961186E-4</v>
      </c>
      <c r="AF47" s="433">
        <v>6.2790215569277941E-2</v>
      </c>
      <c r="AG47" s="433">
        <v>6.2454983553682411E-2</v>
      </c>
      <c r="AH47" s="433">
        <v>1.4760818877468862E-2</v>
      </c>
      <c r="AI47" s="433">
        <v>0.28261080328007082</v>
      </c>
      <c r="AJ47" s="433">
        <v>0.11106287538893177</v>
      </c>
      <c r="AK47" s="433">
        <v>0.34196469266038454</v>
      </c>
      <c r="AL47" s="433">
        <v>0.12350137562484699</v>
      </c>
      <c r="AM47" s="433">
        <v>2.0428266091506753E-6</v>
      </c>
      <c r="AN47" s="433">
        <v>8.5208799288012389E-4</v>
      </c>
      <c r="AO47" s="433">
        <v>1.7038433482169865E-2</v>
      </c>
      <c r="AP47" s="433">
        <v>2.8426529268298254E-2</v>
      </c>
      <c r="AQ47" s="433">
        <v>6.5286146321275303E-3</v>
      </c>
      <c r="AR47" s="433">
        <v>0.12669817840734146</v>
      </c>
      <c r="AS47" s="433">
        <v>0.12743300642410751</v>
      </c>
      <c r="AT47" s="433">
        <v>0.40253952271047727</v>
      </c>
      <c r="AU47" s="433">
        <v>0.27428714877490745</v>
      </c>
      <c r="AV47" s="433">
        <v>1.7038433482169865E-2</v>
      </c>
      <c r="AW47" s="433">
        <v>9.8347943301119242E-6</v>
      </c>
      <c r="AX47" s="554">
        <f>BA47*$B47/10^3</f>
        <v>0.73504399387613695</v>
      </c>
      <c r="AY47" s="554">
        <f t="shared" si="466"/>
        <v>0.10542963805627314</v>
      </c>
      <c r="AZ47" s="554">
        <f t="shared" si="466"/>
        <v>0.6296143558198638</v>
      </c>
      <c r="BA47" s="67">
        <f t="shared" si="467"/>
        <v>75.004489171034379</v>
      </c>
      <c r="BB47" s="67">
        <f t="shared" si="468"/>
        <v>10.75812633227277</v>
      </c>
      <c r="BC47" s="67">
        <f t="shared" si="468"/>
        <v>64.246362838761613</v>
      </c>
      <c r="BD47" s="67">
        <f t="shared" si="469"/>
        <v>78.616614067480057</v>
      </c>
      <c r="BE47" s="105">
        <v>11.697118888854064</v>
      </c>
      <c r="BF47" s="105">
        <v>66.919495178625994</v>
      </c>
      <c r="BG47" s="68">
        <f t="shared" si="470"/>
        <v>55.017398077368256</v>
      </c>
      <c r="BH47" s="106">
        <v>5.5623675191896247</v>
      </c>
      <c r="BI47" s="106">
        <v>49.455030558178635</v>
      </c>
      <c r="BJ47" s="554">
        <f>BM47*$B47/10^3</f>
        <v>0.4745918387398978</v>
      </c>
      <c r="BK47" s="554">
        <f t="shared" si="471"/>
        <v>2.3810718750000002E-3</v>
      </c>
      <c r="BL47" s="554">
        <f t="shared" si="472"/>
        <v>0.47221076686489782</v>
      </c>
      <c r="BM47" s="32">
        <f t="shared" si="473"/>
        <v>48.427738646928347</v>
      </c>
      <c r="BN47" s="32">
        <f t="shared" si="474"/>
        <v>0.24296651785714288</v>
      </c>
      <c r="BO47" s="67">
        <f t="shared" si="474"/>
        <v>48.184772129071206</v>
      </c>
      <c r="BP47" s="270"/>
      <c r="BQ47" s="67">
        <f t="shared" si="475"/>
        <v>50.419965133969498</v>
      </c>
      <c r="BR47" s="32">
        <f>I47*0.5*2.5*0.25</f>
        <v>0.23034375000000001</v>
      </c>
      <c r="BS47" s="67">
        <f>(1-BU47)*BF47</f>
        <v>50.189621383969495</v>
      </c>
      <c r="BT47" s="67"/>
      <c r="BU47" s="34">
        <f t="shared" si="476"/>
        <v>0.25</v>
      </c>
      <c r="BV47" s="68">
        <f t="shared" si="477"/>
        <v>37.404085418633976</v>
      </c>
      <c r="BW47" s="32">
        <f>K47*0.5*2.5*0.25</f>
        <v>0.31281250000000005</v>
      </c>
      <c r="BX47" s="67">
        <f>(1-BZ47)*BI47</f>
        <v>37.091272918633976</v>
      </c>
      <c r="BY47" s="67"/>
      <c r="BZ47" s="34">
        <f t="shared" si="478"/>
        <v>0.25</v>
      </c>
      <c r="CA47" s="294"/>
      <c r="CB47" s="294"/>
      <c r="CC47" s="294"/>
      <c r="CD47" s="67">
        <f t="shared" si="432"/>
        <v>26.576750524106032</v>
      </c>
      <c r="CE47" s="67">
        <f t="shared" si="432"/>
        <v>10.515159814415627</v>
      </c>
      <c r="CF47" s="67">
        <f t="shared" si="432"/>
        <v>16.061590709690407</v>
      </c>
      <c r="CG47" s="67">
        <f t="shared" si="433"/>
        <v>28.196648933510559</v>
      </c>
      <c r="CH47" s="67">
        <f t="shared" si="433"/>
        <v>11.466775138854064</v>
      </c>
      <c r="CI47" s="67">
        <f t="shared" si="433"/>
        <v>16.729873794656498</v>
      </c>
      <c r="CJ47" s="67">
        <f t="shared" si="434"/>
        <v>17.61331265873428</v>
      </c>
      <c r="CK47" s="67">
        <f t="shared" si="434"/>
        <v>5.249555019189625</v>
      </c>
      <c r="CL47" s="67">
        <f t="shared" si="434"/>
        <v>12.363757639544659</v>
      </c>
      <c r="CM47" s="68"/>
      <c r="CN47" s="293"/>
      <c r="CO47" s="293"/>
      <c r="CS47" s="32">
        <f t="shared" si="479"/>
        <v>4.2385714285714284</v>
      </c>
      <c r="CT47" s="33">
        <v>4.41</v>
      </c>
      <c r="CU47" s="99">
        <v>3.29</v>
      </c>
      <c r="CY47" s="97">
        <f>CZ47*$HB47</f>
        <v>1.0368731045672164</v>
      </c>
      <c r="CZ47" s="263">
        <f>(BA47-BM47-EN47*CF47)/'Amortization metrics'!$D$4/G47</f>
        <v>1.139420994029908</v>
      </c>
      <c r="DA47" s="527">
        <f>10^3*CZ47/$HF47</f>
        <v>72.574585607000515</v>
      </c>
      <c r="DB47" s="528">
        <f>CZ47/$HH47</f>
        <v>4.9540043218691654</v>
      </c>
      <c r="DC47" s="97">
        <f>DD47*$HB47</f>
        <v>1.1603559231897347</v>
      </c>
      <c r="DD47" s="263">
        <f>(BD47-BQ47-EQ47*CI47)/'Amortization metrics'!$D$4/I47</f>
        <v>1.2751163991095986</v>
      </c>
      <c r="DE47" s="527">
        <f>10^3*DD47/$HF47</f>
        <v>81.217605038827941</v>
      </c>
      <c r="DF47" s="528">
        <f>DD47/$HH47</f>
        <v>5.5439843439547767</v>
      </c>
      <c r="DG47" s="97">
        <f>DH47*$HB47</f>
        <v>0.53373674723437214</v>
      </c>
      <c r="DH47" s="263">
        <f>(BG47-BV47-EX47*CL47)/'Amortization metrics'!$D$4/K47</f>
        <v>0.58652389805974958</v>
      </c>
      <c r="DI47" s="527">
        <f>10^3*DH47/$HF47</f>
        <v>37.358210067499975</v>
      </c>
      <c r="DJ47" s="528">
        <f>DH47/$HH47</f>
        <v>2.5501039046076066</v>
      </c>
      <c r="DK47" s="97">
        <f>DL47*$HB47</f>
        <v>2.4911761761587656</v>
      </c>
      <c r="DL47" s="263">
        <f>$EF$11*DX47</f>
        <v>2.7375562375371052</v>
      </c>
      <c r="DM47" s="527">
        <f>10^3*DL47/$HF47</f>
        <v>174.36663933357357</v>
      </c>
      <c r="DN47" s="528">
        <f>DL47/$HH47</f>
        <v>11.902418424074369</v>
      </c>
      <c r="DO47" s="97">
        <f>DP47*$HB47</f>
        <v>2.7339685964281433</v>
      </c>
      <c r="DP47" s="263">
        <f t="shared" si="436"/>
        <v>3.0043610949759816</v>
      </c>
      <c r="DQ47" s="527">
        <f>10^3*DP47/$HF47</f>
        <v>191.36057929783323</v>
      </c>
      <c r="DR47" s="528">
        <f>DP47/$HH47</f>
        <v>13.062439543373833</v>
      </c>
      <c r="DS47" s="97">
        <f>DT47*$HB47</f>
        <v>1.5019074237520837</v>
      </c>
      <c r="DT47" s="263">
        <f t="shared" si="437"/>
        <v>1.6504477184088833</v>
      </c>
      <c r="DU47" s="527">
        <f>10^3*DT47/$HF47</f>
        <v>105.1240584973811</v>
      </c>
      <c r="DV47" s="528">
        <f>DT47/$HH47</f>
        <v>7.1758596452560139</v>
      </c>
      <c r="DW47" s="97">
        <f>DX47*$HB47</f>
        <v>4.9609458975277674</v>
      </c>
      <c r="DX47" s="263">
        <f t="shared" si="438"/>
        <v>5.4515888983821617</v>
      </c>
      <c r="DY47" s="68">
        <f>10^3*DX47/$HF47</f>
        <v>347.23496168039247</v>
      </c>
      <c r="DZ47" s="97">
        <f>EA47*$HB47</f>
        <v>5.4444444444444438</v>
      </c>
      <c r="EA47" s="263">
        <f t="shared" si="439"/>
        <v>5.9829059829059821</v>
      </c>
      <c r="EB47" s="68">
        <f>10^3*EA47/$HF47</f>
        <v>381.0768141978333</v>
      </c>
      <c r="EC47" s="97">
        <f>ED47*$HB47</f>
        <v>2.9909090909090907</v>
      </c>
      <c r="ED47" s="263">
        <f t="shared" si="440"/>
        <v>3.2867132867132862</v>
      </c>
      <c r="EE47" s="68">
        <f>10^3*ED47/$HF47</f>
        <v>209.34479533205646</v>
      </c>
      <c r="EF47" s="60"/>
      <c r="EG47" s="60"/>
      <c r="EH47" s="60"/>
      <c r="EI47" s="554">
        <f>EK47*$P47</f>
        <v>0</v>
      </c>
      <c r="EJ47" s="262">
        <f>EK47*$HB47</f>
        <v>0</v>
      </c>
      <c r="EK47" s="166">
        <f>(EP47*S47+EW47*U47)/P47</f>
        <v>0</v>
      </c>
      <c r="EL47" s="68">
        <f>10^3*EK47/$HF47</f>
        <v>0</v>
      </c>
      <c r="EM47" s="97">
        <f>EK47/$HH47</f>
        <v>0</v>
      </c>
      <c r="EN47" s="429">
        <f>(EQ47*C47+EX47*D47)/B47</f>
        <v>0</v>
      </c>
      <c r="EO47" s="262">
        <f>EP47*$HB47</f>
        <v>0</v>
      </c>
      <c r="EP47" s="436">
        <f>EQ47*EU47/I47</f>
        <v>0</v>
      </c>
      <c r="EQ47" s="101">
        <v>0</v>
      </c>
      <c r="ER47" s="433">
        <v>1</v>
      </c>
      <c r="ES47" s="433">
        <v>0</v>
      </c>
      <c r="ET47" s="434">
        <f t="shared" si="480"/>
        <v>0</v>
      </c>
      <c r="EU47" s="430">
        <f>ER47*$FC47+ES47*$FD47+ET47*$FE47+'Amortization metrics'!$B$6*(ER47*$FF47+ES47*$FG47+ET47*$FH47)/10^3+'Amortization metrics'!$B$5*(ER47*$FI47+ES47*$FJ47+ET47*$FK47)/10^3</f>
        <v>54.558</v>
      </c>
      <c r="EV47" s="262">
        <f>EW47*$HB47</f>
        <v>0</v>
      </c>
      <c r="EW47" s="436">
        <f>EX47*FB47/K47</f>
        <v>0</v>
      </c>
      <c r="EX47" s="101">
        <v>0</v>
      </c>
      <c r="EY47" s="433">
        <v>1</v>
      </c>
      <c r="EZ47" s="433">
        <v>0</v>
      </c>
      <c r="FA47" s="434">
        <f t="shared" si="481"/>
        <v>0</v>
      </c>
      <c r="FB47" s="430">
        <f>EY47*$FC47+EZ47*$FD47+FA47*$FE47+'Amortization metrics'!$B$6*(EY47*$FF47+EZ47*$FG47+FA47*$FH47)/10^3+'Amortization metrics'!$B$5*(EY47*$FI47+EZ47*$FJ47+FA47*$FK47)/10^3</f>
        <v>54.558</v>
      </c>
      <c r="FC47" s="431">
        <v>51.3</v>
      </c>
      <c r="FD47" s="431">
        <v>29</v>
      </c>
      <c r="FE47" s="431">
        <v>29</v>
      </c>
      <c r="FF47" s="99">
        <v>5</v>
      </c>
      <c r="FG47" s="431">
        <v>13</v>
      </c>
      <c r="FH47" s="431">
        <v>13</v>
      </c>
      <c r="FI47" s="431">
        <v>52</v>
      </c>
      <c r="FJ47" s="431">
        <v>58.3</v>
      </c>
      <c r="FK47" s="431">
        <v>58.3</v>
      </c>
      <c r="FL47" s="554">
        <f>FO47+FP47+FM47+FN47+FQ47</f>
        <v>3.9939555275726404</v>
      </c>
      <c r="FM47" s="554">
        <f>GC47*$P47</f>
        <v>-0.22684111504800003</v>
      </c>
      <c r="FN47" s="554">
        <f>GE47*$P47</f>
        <v>0.7444817967606</v>
      </c>
      <c r="FO47" s="554">
        <f>GG47*$P47</f>
        <v>2.6622221871396001</v>
      </c>
      <c r="FP47" s="554">
        <f>GI47*$P47</f>
        <v>0.81409265872044001</v>
      </c>
      <c r="FQ47" s="554"/>
      <c r="FR47" s="167">
        <f>FS47*HB47</f>
        <v>0.47700412367999995</v>
      </c>
      <c r="FS47" s="166">
        <f>FY47+FW47+GA47</f>
        <v>0.52418035569230759</v>
      </c>
      <c r="FT47" s="68">
        <f>10^3*FS47/$HF47</f>
        <v>33.387283802057809</v>
      </c>
      <c r="FU47" s="97">
        <f>FS47/$HH47</f>
        <v>2.2790450247491632</v>
      </c>
      <c r="FV47" s="473">
        <f>FW47*HB47</f>
        <v>6.1822606199999998E-2</v>
      </c>
      <c r="FW47" s="269">
        <f>GC47+GE47</f>
        <v>6.7936929890109882E-2</v>
      </c>
      <c r="FX47" s="473">
        <f>FY47*HB47</f>
        <v>0.41518151747999993</v>
      </c>
      <c r="FY47" s="269">
        <f>GG47+GI47</f>
        <v>0.45624342580219773</v>
      </c>
      <c r="FZ47" s="123"/>
      <c r="GA47" s="49"/>
      <c r="GB47" s="435">
        <v>-2.7091976E-2</v>
      </c>
      <c r="GC47" s="522">
        <f>GB47/$HB47</f>
        <v>-2.9771402197802197E-2</v>
      </c>
      <c r="GD47" s="435">
        <v>8.8914582199999995E-2</v>
      </c>
      <c r="GE47" s="522">
        <f>GD47/$HB47</f>
        <v>9.7708332087912075E-2</v>
      </c>
      <c r="GF47" s="435">
        <v>0.31795320519999998</v>
      </c>
      <c r="GG47" s="522">
        <f>GF47/$HB47</f>
        <v>0.34939912659340655</v>
      </c>
      <c r="GH47" s="435">
        <v>9.7228312279999993E-2</v>
      </c>
      <c r="GI47" s="522">
        <f>GH47/$HB47</f>
        <v>0.1068442992087912</v>
      </c>
      <c r="GJ47" s="599">
        <f>44/12*CZ47+$FS47+$EK47</f>
        <v>4.7020573338019709</v>
      </c>
      <c r="GK47" s="527">
        <f>10^3*GJ47/$HF47</f>
        <v>299.49409769439308</v>
      </c>
      <c r="GL47" s="528">
        <f>GJ47/$HH47</f>
        <v>20.443727538269439</v>
      </c>
      <c r="GM47" s="599">
        <f>44/12*DD47+$FS47+$EP47</f>
        <v>5.1996071524275029</v>
      </c>
      <c r="GN47" s="527">
        <f>10^3*GM47/$HF47</f>
        <v>331.18516894442695</v>
      </c>
      <c r="GO47" s="528">
        <f>GM47/$HH47</f>
        <v>22.606987619250013</v>
      </c>
      <c r="GP47" s="599">
        <f>44/12*DH47+$FS47+$EW47</f>
        <v>2.6747679819113892</v>
      </c>
      <c r="GQ47" s="527">
        <f>10^3*GP47/$HF47</f>
        <v>170.36738738289102</v>
      </c>
      <c r="GR47" s="528">
        <f>GP47/$HH47</f>
        <v>11.629426008310388</v>
      </c>
      <c r="GS47" s="599">
        <f>44/12*DL47+$FS47+$EK47</f>
        <v>10.561886559995026</v>
      </c>
      <c r="GT47" s="527">
        <f>10^3*GS47/$HF47</f>
        <v>672.73162802516094</v>
      </c>
      <c r="GU47" s="528">
        <f>GS47/$HH47</f>
        <v>45.921245913021849</v>
      </c>
      <c r="GV47" s="599">
        <f>44/12*DP47+$FS47+$EP47</f>
        <v>11.540171037270905</v>
      </c>
      <c r="GW47" s="527">
        <f>10^3*GV47/$HF47</f>
        <v>735.0427412274463</v>
      </c>
      <c r="GX47" s="528">
        <f>GV47/$HH47</f>
        <v>50.174656683786544</v>
      </c>
      <c r="GY47" s="599">
        <f>44/12*DT47+$FS47+$EW47</f>
        <v>6.5758219898582126</v>
      </c>
      <c r="GZ47" s="527">
        <f>10^3*GY47/$HF47</f>
        <v>418.84216495912187</v>
      </c>
      <c r="HA47" s="528">
        <f>GY47/$HH47</f>
        <v>28.590530390687881</v>
      </c>
      <c r="HB47" s="31">
        <v>0.91</v>
      </c>
      <c r="HC47" s="32">
        <f t="shared" si="482"/>
        <v>17.29</v>
      </c>
      <c r="HD47" s="33">
        <v>19</v>
      </c>
      <c r="HE47" s="32">
        <f t="shared" si="483"/>
        <v>14.286999999999999</v>
      </c>
      <c r="HF47" s="33">
        <v>15.7</v>
      </c>
      <c r="HG47" s="34">
        <f t="shared" si="484"/>
        <v>0.20930000000000001</v>
      </c>
      <c r="HH47" s="31">
        <v>0.23</v>
      </c>
      <c r="HI47" s="36">
        <f t="shared" si="485"/>
        <v>5.0050000000000004E-2</v>
      </c>
      <c r="HJ47" s="35">
        <v>5.5E-2</v>
      </c>
    </row>
    <row r="48" spans="1:218" s="4" customFormat="1" x14ac:dyDescent="0.25">
      <c r="A48" s="14" t="s">
        <v>324</v>
      </c>
      <c r="B48" s="67">
        <f t="shared" si="443"/>
        <v>9.1</v>
      </c>
      <c r="C48" s="33">
        <v>9.1</v>
      </c>
      <c r="D48" s="33">
        <v>0</v>
      </c>
      <c r="E48" s="38">
        <f t="shared" si="444"/>
        <v>0</v>
      </c>
      <c r="F48" s="436">
        <f t="shared" si="445"/>
        <v>0.51</v>
      </c>
      <c r="G48" s="32">
        <f t="shared" si="446"/>
        <v>0.44880000000000003</v>
      </c>
      <c r="H48" s="33">
        <v>0.51</v>
      </c>
      <c r="I48" s="32">
        <f>$HB48*H48</f>
        <v>0.44880000000000003</v>
      </c>
      <c r="J48" s="33">
        <v>1.43</v>
      </c>
      <c r="K48" s="32">
        <f>$HB48*J48</f>
        <v>1.2584</v>
      </c>
      <c r="L48" s="32">
        <f t="shared" si="447"/>
        <v>22.281639928698752</v>
      </c>
      <c r="M48" s="32">
        <f t="shared" si="448"/>
        <v>22.281639928698752</v>
      </c>
      <c r="N48" s="32">
        <f t="shared" si="449"/>
        <v>7.9465988556897651</v>
      </c>
      <c r="O48" s="108">
        <f t="shared" si="450"/>
        <v>4.641</v>
      </c>
      <c r="P48" s="68">
        <f t="shared" si="451"/>
        <v>4.0840800000000002</v>
      </c>
      <c r="Q48" s="68"/>
      <c r="R48" s="67">
        <f t="shared" si="452"/>
        <v>4.641</v>
      </c>
      <c r="S48" s="67">
        <f t="shared" si="453"/>
        <v>4.0840800000000002</v>
      </c>
      <c r="T48" s="67">
        <f t="shared" si="454"/>
        <v>0</v>
      </c>
      <c r="U48" s="67">
        <f t="shared" si="455"/>
        <v>0</v>
      </c>
      <c r="V48" s="38">
        <f t="shared" si="456"/>
        <v>0</v>
      </c>
      <c r="W48" s="294">
        <f t="shared" si="457"/>
        <v>0.324987003386283</v>
      </c>
      <c r="X48" s="294">
        <f t="shared" si="458"/>
        <v>8.1770953906430688E-3</v>
      </c>
      <c r="Y48" s="294">
        <f t="shared" si="459"/>
        <v>5.3792319371208418E-4</v>
      </c>
      <c r="Z48" s="294">
        <f t="shared" si="460"/>
        <v>0.65637266487953927</v>
      </c>
      <c r="AA48" s="294">
        <f t="shared" si="461"/>
        <v>1.3034061918761829E-3</v>
      </c>
      <c r="AB48" s="294">
        <f t="shared" si="462"/>
        <v>1.3778589581722373E-3</v>
      </c>
      <c r="AC48" s="294">
        <f t="shared" si="463"/>
        <v>1.0670258353708678E-3</v>
      </c>
      <c r="AD48" s="294">
        <f t="shared" si="464"/>
        <v>6.1770221644032418E-3</v>
      </c>
      <c r="AE48" s="294">
        <f t="shared" si="465"/>
        <v>0</v>
      </c>
      <c r="AF48" s="433">
        <v>0.324987003386283</v>
      </c>
      <c r="AG48" s="433">
        <v>8.1770953906430688E-3</v>
      </c>
      <c r="AH48" s="433">
        <v>5.3792319371208418E-4</v>
      </c>
      <c r="AI48" s="433">
        <v>0.65637266487953927</v>
      </c>
      <c r="AJ48" s="433">
        <v>1.3034061918761829E-3</v>
      </c>
      <c r="AK48" s="433">
        <v>1.3778589581722373E-3</v>
      </c>
      <c r="AL48" s="433">
        <v>1.0670258353708678E-3</v>
      </c>
      <c r="AM48" s="433">
        <v>6.1770221644032418E-3</v>
      </c>
      <c r="AN48" s="433">
        <v>0</v>
      </c>
      <c r="AO48" s="433">
        <v>0.187205483683936</v>
      </c>
      <c r="AP48" s="433">
        <v>3.5517688328143497E-2</v>
      </c>
      <c r="AQ48" s="433">
        <v>9.4469081523235589E-4</v>
      </c>
      <c r="AR48" s="433">
        <v>0.18785020158627463</v>
      </c>
      <c r="AS48" s="433">
        <v>2.3722484760704442E-2</v>
      </c>
      <c r="AT48" s="433">
        <v>0.25275180375503403</v>
      </c>
      <c r="AU48" s="433">
        <v>0.12480216338673894</v>
      </c>
      <c r="AV48" s="433">
        <v>0.187205483683936</v>
      </c>
      <c r="AW48" s="433">
        <v>0</v>
      </c>
      <c r="AX48" s="554">
        <f>BA48*$B48/10^3</f>
        <v>0.95316409210849984</v>
      </c>
      <c r="AY48" s="554">
        <f t="shared" si="466"/>
        <v>0.21761754728973851</v>
      </c>
      <c r="AZ48" s="554">
        <f t="shared" si="466"/>
        <v>0.73554654481876136</v>
      </c>
      <c r="BA48" s="67">
        <f t="shared" si="467"/>
        <v>104.74330682510988</v>
      </c>
      <c r="BB48" s="67">
        <f t="shared" si="468"/>
        <v>23.914016185685551</v>
      </c>
      <c r="BC48" s="67">
        <f t="shared" si="468"/>
        <v>80.829290639424329</v>
      </c>
      <c r="BD48" s="67">
        <f t="shared" si="469"/>
        <v>104.74330682510988</v>
      </c>
      <c r="BE48" s="105">
        <v>23.914016185685551</v>
      </c>
      <c r="BF48" s="105">
        <v>80.829290639424329</v>
      </c>
      <c r="BG48" s="68">
        <f t="shared" si="470"/>
        <v>101.49298151753979</v>
      </c>
      <c r="BH48" s="106">
        <v>38.181408659905991</v>
      </c>
      <c r="BI48" s="106">
        <v>63.311572857633806</v>
      </c>
      <c r="BJ48" s="554">
        <f>BM48*$B48/10^3</f>
        <v>0.55293618361407104</v>
      </c>
      <c r="BK48" s="554">
        <f t="shared" si="471"/>
        <v>1.2762750000000001E-3</v>
      </c>
      <c r="BL48" s="554">
        <f t="shared" si="472"/>
        <v>0.55165990861407099</v>
      </c>
      <c r="BM48" s="32">
        <f t="shared" si="473"/>
        <v>60.762217979568248</v>
      </c>
      <c r="BN48" s="32">
        <f t="shared" si="474"/>
        <v>0.14025000000000001</v>
      </c>
      <c r="BO48" s="67">
        <f t="shared" si="474"/>
        <v>60.621967979568247</v>
      </c>
      <c r="BP48" s="270"/>
      <c r="BQ48" s="67">
        <f t="shared" si="475"/>
        <v>60.762217979568248</v>
      </c>
      <c r="BR48" s="32">
        <f>I48*0.5*2.5*0.25</f>
        <v>0.14025000000000001</v>
      </c>
      <c r="BS48" s="67">
        <f>(1-BU48)*BF48</f>
        <v>60.621967979568247</v>
      </c>
      <c r="BT48" s="67"/>
      <c r="BU48" s="34">
        <f t="shared" si="476"/>
        <v>0.25</v>
      </c>
      <c r="BV48" s="68">
        <f t="shared" si="477"/>
        <v>47.87692964322536</v>
      </c>
      <c r="BW48" s="32">
        <f>K48*0.5*2.5*0.25</f>
        <v>0.39324999999999999</v>
      </c>
      <c r="BX48" s="67">
        <f>(1-BZ48)*BI48</f>
        <v>47.483679643225358</v>
      </c>
      <c r="BY48" s="67"/>
      <c r="BZ48" s="34">
        <f t="shared" si="478"/>
        <v>0.25</v>
      </c>
      <c r="CA48" s="294"/>
      <c r="CB48" s="294"/>
      <c r="CC48" s="294"/>
      <c r="CD48" s="67">
        <f t="shared" si="432"/>
        <v>43.981088845541635</v>
      </c>
      <c r="CE48" s="67">
        <f t="shared" si="432"/>
        <v>23.773766185685549</v>
      </c>
      <c r="CF48" s="67">
        <f t="shared" si="432"/>
        <v>20.207322659856082</v>
      </c>
      <c r="CG48" s="67">
        <f t="shared" si="433"/>
        <v>43.981088845541635</v>
      </c>
      <c r="CH48" s="67">
        <f t="shared" si="433"/>
        <v>23.773766185685549</v>
      </c>
      <c r="CI48" s="67">
        <f t="shared" si="433"/>
        <v>20.207322659856082</v>
      </c>
      <c r="CJ48" s="67">
        <f t="shared" si="434"/>
        <v>53.616051874314429</v>
      </c>
      <c r="CK48" s="67">
        <f t="shared" si="434"/>
        <v>37.788158659905989</v>
      </c>
      <c r="CL48" s="67">
        <f t="shared" si="434"/>
        <v>15.827893214408448</v>
      </c>
      <c r="CM48" s="68"/>
      <c r="CN48" s="293"/>
      <c r="CO48" s="293"/>
      <c r="CS48" s="32">
        <f t="shared" si="479"/>
        <v>5.0999999999999996</v>
      </c>
      <c r="CT48" s="33">
        <v>5.0999999999999996</v>
      </c>
      <c r="CU48" s="99">
        <v>4.46</v>
      </c>
      <c r="CY48" s="97">
        <f>CZ48*$HB48</f>
        <v>2.8440718753005854</v>
      </c>
      <c r="CZ48" s="263">
        <f>(BA48-BM48-EN48*CF48)/'Amortization metrics'!$D$4/G48</f>
        <v>3.2318998582961198</v>
      </c>
      <c r="DA48" s="527">
        <f>10^3*CZ48/$HF48</f>
        <v>208.50966827716903</v>
      </c>
      <c r="DB48" s="528">
        <f>CZ48/$HH48</f>
        <v>11.969999475170813</v>
      </c>
      <c r="DC48" s="97">
        <f>DD48*$HB48</f>
        <v>2.8440718753005854</v>
      </c>
      <c r="DD48" s="263">
        <f>(BD48-BQ48-EQ48*CI48)/'Amortization metrics'!$D$4/I48</f>
        <v>3.2318998582961198</v>
      </c>
      <c r="DE48" s="527">
        <f>10^3*DD48/$HF48</f>
        <v>208.50966827716903</v>
      </c>
      <c r="DF48" s="528">
        <f>DD48/$HH48</f>
        <v>11.969999475170813</v>
      </c>
      <c r="DG48" s="97">
        <f>DH48*$HB48</f>
        <v>1.2497914189816883</v>
      </c>
      <c r="DH48" s="263">
        <f>(BG48-BV48-EX48*CL48)/'Amortization metrics'!$D$4/K48</f>
        <v>1.4202175215701003</v>
      </c>
      <c r="DI48" s="527">
        <f>10^3*DH48/$HF48</f>
        <v>91.62693687549033</v>
      </c>
      <c r="DJ48" s="528">
        <f>DH48/$HH48</f>
        <v>5.2600648947040751</v>
      </c>
      <c r="DK48" s="97">
        <f>DL48*$HB48</f>
        <v>5.0215749730312833</v>
      </c>
      <c r="DL48" s="263">
        <f>$EF$11*DX48</f>
        <v>5.7063351966264584</v>
      </c>
      <c r="DM48" s="527">
        <f>10^3*DL48/$HF48</f>
        <v>368.15065784686828</v>
      </c>
      <c r="DN48" s="528">
        <f>DL48/$HH48</f>
        <v>21.134574802320216</v>
      </c>
      <c r="DO48" s="97">
        <f>DP48*$HB48</f>
        <v>5.0215749730312833</v>
      </c>
      <c r="DP48" s="263">
        <f t="shared" si="436"/>
        <v>5.7063351966264584</v>
      </c>
      <c r="DQ48" s="527">
        <f>10^3*DP48/$HF48</f>
        <v>368.15065784686828</v>
      </c>
      <c r="DR48" s="528">
        <f>DP48/$HH48</f>
        <v>21.134574802320216</v>
      </c>
      <c r="DS48" s="97">
        <f>DT48*$HB48</f>
        <v>1.5661695370433235</v>
      </c>
      <c r="DT48" s="263">
        <f t="shared" si="437"/>
        <v>1.779738110276504</v>
      </c>
      <c r="DU48" s="527">
        <f>10^3*DT48/$HF48</f>
        <v>114.82181356622606</v>
      </c>
      <c r="DV48" s="528">
        <f>DT48/$HH48</f>
        <v>6.5916226306537178</v>
      </c>
      <c r="DW48" s="97">
        <f>DX48*$HB48</f>
        <v>9.9999999999999982</v>
      </c>
      <c r="DX48" s="263">
        <f t="shared" si="438"/>
        <v>11.363636363636362</v>
      </c>
      <c r="DY48" s="68">
        <f>10^3*DX48/$HF48</f>
        <v>733.13782991202334</v>
      </c>
      <c r="DZ48" s="97">
        <f>EA48*$HB48</f>
        <v>9.9999999999999982</v>
      </c>
      <c r="EA48" s="263">
        <f t="shared" si="439"/>
        <v>11.363636363636362</v>
      </c>
      <c r="EB48" s="68">
        <f>10^3*EA48/$HF48</f>
        <v>733.13782991202334</v>
      </c>
      <c r="EC48" s="97">
        <f>ED48*$HB48</f>
        <v>3.1188811188811187</v>
      </c>
      <c r="ED48" s="263">
        <f t="shared" si="440"/>
        <v>3.544183089637635</v>
      </c>
      <c r="EE48" s="68">
        <f>10^3*ED48/$HF48</f>
        <v>228.65697352500871</v>
      </c>
      <c r="EF48" s="60"/>
      <c r="EG48" s="60"/>
      <c r="EH48" s="60"/>
      <c r="EI48" s="554">
        <f>EK48*$P48</f>
        <v>11.46863718</v>
      </c>
      <c r="EJ48" s="262">
        <f>EK48*$HB48</f>
        <v>2.4711564705882352</v>
      </c>
      <c r="EK48" s="166">
        <f>(EP48*S48+EW48*U48)/P48</f>
        <v>2.8081323529411764</v>
      </c>
      <c r="EL48" s="68">
        <f>10^3*EK48/$HF48</f>
        <v>181.1698292220114</v>
      </c>
      <c r="EM48" s="97">
        <f>EK48/$HH48</f>
        <v>10.40049019607843</v>
      </c>
      <c r="EN48" s="429">
        <f>(EQ48*C48+EX48*D48)/B48</f>
        <v>2.3099999999999999E-2</v>
      </c>
      <c r="EO48" s="262">
        <f>EP48*$HB48</f>
        <v>2.4711564705882352</v>
      </c>
      <c r="EP48" s="436">
        <f>EQ48*EU48/I48</f>
        <v>2.8081323529411764</v>
      </c>
      <c r="EQ48" s="101">
        <v>2.3099999999999999E-2</v>
      </c>
      <c r="ER48" s="433">
        <v>1</v>
      </c>
      <c r="ES48" s="433">
        <v>0</v>
      </c>
      <c r="ET48" s="434">
        <f>1-ER48-ES48</f>
        <v>0</v>
      </c>
      <c r="EU48" s="430">
        <f>ER48*$FC48+ES48*$FD48+ET48*$FE48+'Amortization metrics'!$B$6*(ER48*$FF48+ES48*$FG48+ET48*$FH48)/10^3+'Amortization metrics'!$B$5*(ER48*$FI48+ES48*$FJ48+ET48*$FK48)/10^3</f>
        <v>54.558</v>
      </c>
      <c r="EV48" s="262">
        <f>EW48*$HB48</f>
        <v>0</v>
      </c>
      <c r="EW48" s="436">
        <f>EX48*FB48/K48</f>
        <v>0</v>
      </c>
      <c r="EX48" s="101">
        <v>0</v>
      </c>
      <c r="EY48" s="433">
        <v>1</v>
      </c>
      <c r="EZ48" s="433">
        <v>0</v>
      </c>
      <c r="FA48" s="434">
        <f t="shared" si="481"/>
        <v>0</v>
      </c>
      <c r="FB48" s="430">
        <f>EY48*$FC48+EZ48*$FD48+FA48*$FE48+'Amortization metrics'!$B$6*(EY48*$FF48+EZ48*$FG48+FA48*$FH48)/10^3+'Amortization metrics'!$B$5*(EY48*$FI48+EZ48*$FJ48+FA48*$FK48)/10^3</f>
        <v>54.558</v>
      </c>
      <c r="FC48" s="431">
        <v>51.3</v>
      </c>
      <c r="FD48" s="431">
        <v>29</v>
      </c>
      <c r="FE48" s="431">
        <v>29</v>
      </c>
      <c r="FF48" s="99">
        <v>5</v>
      </c>
      <c r="FG48" s="431">
        <v>13</v>
      </c>
      <c r="FH48" s="431">
        <v>13</v>
      </c>
      <c r="FI48" s="431">
        <v>52</v>
      </c>
      <c r="FJ48" s="431">
        <v>58.3</v>
      </c>
      <c r="FK48" s="431">
        <v>58.3</v>
      </c>
      <c r="FL48" s="554">
        <f>FO48+FP48+FM48+FN48+FQ48</f>
        <v>2.2137761379988801</v>
      </c>
      <c r="FM48" s="554">
        <f>GC48*$P48</f>
        <v>-0.125733860616</v>
      </c>
      <c r="FN48" s="554">
        <f>GE48*$P48</f>
        <v>0.41265257599019994</v>
      </c>
      <c r="FO48" s="554">
        <f>GG48*$P48</f>
        <v>1.4756208253331999</v>
      </c>
      <c r="FP48" s="554">
        <f>GI48*$P48</f>
        <v>0.45123659729148002</v>
      </c>
      <c r="FQ48" s="554"/>
      <c r="FR48" s="167">
        <f>FS48*HB48</f>
        <v>0.47700412368</v>
      </c>
      <c r="FS48" s="166">
        <f>FY48+FW48+GA48</f>
        <v>0.54205014054545453</v>
      </c>
      <c r="FT48" s="68">
        <f>10^3*FS48/$HF48</f>
        <v>34.970976809384162</v>
      </c>
      <c r="FU48" s="97">
        <f>FS48/$HH48</f>
        <v>2.0075931131313127</v>
      </c>
      <c r="FV48" s="473">
        <f>FW48*HB48</f>
        <v>6.1822606199999984E-2</v>
      </c>
      <c r="FW48" s="269">
        <f>GC48+GE48</f>
        <v>7.0252961590909074E-2</v>
      </c>
      <c r="FX48" s="473">
        <f>FY48*HB48</f>
        <v>0.41518151747999998</v>
      </c>
      <c r="FY48" s="269">
        <f>GG48+GI48</f>
        <v>0.47179717895454543</v>
      </c>
      <c r="FZ48" s="123"/>
      <c r="GA48" s="49"/>
      <c r="GB48" s="522">
        <f>GB$47</f>
        <v>-2.7091976E-2</v>
      </c>
      <c r="GC48" s="522">
        <f>GB48/$HB48</f>
        <v>-3.0786336363636365E-2</v>
      </c>
      <c r="GD48" s="522">
        <f>GD$47</f>
        <v>8.8914582199999995E-2</v>
      </c>
      <c r="GE48" s="522">
        <f>GD48/$HB48</f>
        <v>0.10103929795454544</v>
      </c>
      <c r="GF48" s="522">
        <f>GF$47</f>
        <v>0.31795320519999998</v>
      </c>
      <c r="GG48" s="522">
        <f>GF48/$HB48</f>
        <v>0.3613104604545454</v>
      </c>
      <c r="GH48" s="522">
        <f>GH$47</f>
        <v>9.7228312279999993E-2</v>
      </c>
      <c r="GI48" s="522">
        <f>GH48/$HB48</f>
        <v>0.1104867185</v>
      </c>
      <c r="GJ48" s="599">
        <f>44/12*CZ48+$FS48+$EK48</f>
        <v>15.200481973905735</v>
      </c>
      <c r="GK48" s="527">
        <f>10^3*GJ48/$HF48</f>
        <v>980.67625638101515</v>
      </c>
      <c r="GL48" s="528">
        <f>GJ48/$HH48</f>
        <v>56.298081384836053</v>
      </c>
      <c r="GM48" s="599">
        <f>44/12*DD48+$FS48+$EP48</f>
        <v>15.200481973905735</v>
      </c>
      <c r="GN48" s="527">
        <f>10^3*GM48/$HF48</f>
        <v>980.67625638101515</v>
      </c>
      <c r="GO48" s="528">
        <f>GM48/$HH48</f>
        <v>56.298081384836053</v>
      </c>
      <c r="GP48" s="599">
        <f>44/12*DH48+$FS48+$EW48</f>
        <v>5.7495143863024882</v>
      </c>
      <c r="GQ48" s="527">
        <f>10^3*GP48/$HF48</f>
        <v>370.93641201951539</v>
      </c>
      <c r="GR48" s="528">
        <f>GP48/$HH48</f>
        <v>21.294497727046252</v>
      </c>
      <c r="GS48" s="599">
        <f>44/12*DL48+$FS48+$EK48</f>
        <v>24.273411547783645</v>
      </c>
      <c r="GT48" s="527">
        <f>10^3*GS48/$HF48</f>
        <v>1566.0265514699126</v>
      </c>
      <c r="GU48" s="528">
        <f>GS48/$HH48</f>
        <v>89.901524251050532</v>
      </c>
      <c r="GV48" s="599">
        <f>44/12*DP48+$FS48+$EP48</f>
        <v>24.273411547783645</v>
      </c>
      <c r="GW48" s="527">
        <f>10^3*GV48/$HF48</f>
        <v>1566.0265514699126</v>
      </c>
      <c r="GX48" s="528">
        <f>GV48/$HH48</f>
        <v>89.901524251050532</v>
      </c>
      <c r="GY48" s="599">
        <f>44/12*DT48+$FS48+$EW48</f>
        <v>7.0677565448926352</v>
      </c>
      <c r="GZ48" s="527">
        <f>10^3*GY48/$HF48</f>
        <v>455.98429321887971</v>
      </c>
      <c r="HA48" s="528">
        <f>GY48/$HH48</f>
        <v>26.176876092194945</v>
      </c>
      <c r="HB48" s="31">
        <v>0.88</v>
      </c>
      <c r="HC48" s="32">
        <f t="shared" si="482"/>
        <v>16.72</v>
      </c>
      <c r="HD48" s="33">
        <v>19</v>
      </c>
      <c r="HE48" s="32">
        <f t="shared" si="483"/>
        <v>13.64</v>
      </c>
      <c r="HF48" s="33">
        <v>15.5</v>
      </c>
      <c r="HG48" s="34">
        <f t="shared" si="484"/>
        <v>0.23760000000000001</v>
      </c>
      <c r="HH48" s="31">
        <v>0.27</v>
      </c>
      <c r="HI48" s="36">
        <f t="shared" si="485"/>
        <v>1.32E-2</v>
      </c>
      <c r="HJ48" s="35">
        <v>1.4999999999999999E-2</v>
      </c>
    </row>
    <row r="49" spans="1:218" s="4" customFormat="1" x14ac:dyDescent="0.25">
      <c r="A49" s="14" t="s">
        <v>313</v>
      </c>
      <c r="B49" s="67">
        <f t="shared" si="443"/>
        <v>4.4899999999999993</v>
      </c>
      <c r="C49" s="33">
        <v>4.0999999999999996</v>
      </c>
      <c r="D49" s="33">
        <v>0.39</v>
      </c>
      <c r="E49" s="38">
        <f t="shared" si="444"/>
        <v>8.6859688195991103E-2</v>
      </c>
      <c r="F49" s="436">
        <f t="shared" si="445"/>
        <v>0.77387527839643666</v>
      </c>
      <c r="G49" s="32">
        <f t="shared" si="446"/>
        <v>0.6887489977728285</v>
      </c>
      <c r="H49" s="33">
        <v>0.74</v>
      </c>
      <c r="I49" s="32">
        <f>$HB49*H49</f>
        <v>0.65859999999999996</v>
      </c>
      <c r="J49" s="33">
        <v>1.1299999999999999</v>
      </c>
      <c r="K49" s="32">
        <f>$HB49*J49</f>
        <v>1.0056999999999998</v>
      </c>
      <c r="L49" s="32">
        <f t="shared" si="447"/>
        <v>14.519077388622669</v>
      </c>
      <c r="M49" s="32">
        <f t="shared" si="448"/>
        <v>15.183723048891588</v>
      </c>
      <c r="N49" s="32">
        <f t="shared" si="449"/>
        <v>9.9433230585661754</v>
      </c>
      <c r="O49" s="108">
        <f t="shared" si="450"/>
        <v>3.4746999999999999</v>
      </c>
      <c r="P49" s="68">
        <f t="shared" si="451"/>
        <v>3.0924829999999996</v>
      </c>
      <c r="Q49" s="68"/>
      <c r="R49" s="67">
        <f t="shared" si="452"/>
        <v>3.0339999999999998</v>
      </c>
      <c r="S49" s="67">
        <f t="shared" si="453"/>
        <v>2.7002599999999997</v>
      </c>
      <c r="T49" s="67">
        <f t="shared" si="454"/>
        <v>0.44069999999999998</v>
      </c>
      <c r="U49" s="67">
        <f t="shared" si="455"/>
        <v>0.39222299999999993</v>
      </c>
      <c r="V49" s="38">
        <f t="shared" si="456"/>
        <v>0.12683109333179843</v>
      </c>
      <c r="W49" s="294">
        <f t="shared" si="457"/>
        <v>0.22877634100873837</v>
      </c>
      <c r="X49" s="294">
        <f t="shared" si="458"/>
        <v>1.4017973619805439E-2</v>
      </c>
      <c r="Y49" s="294">
        <f t="shared" si="459"/>
        <v>5.5844056146786653E-6</v>
      </c>
      <c r="Z49" s="294">
        <f t="shared" si="460"/>
        <v>0.69087239972873116</v>
      </c>
      <c r="AA49" s="294">
        <f t="shared" si="461"/>
        <v>2.1365801352239807E-2</v>
      </c>
      <c r="AB49" s="294">
        <f t="shared" si="462"/>
        <v>3.6697303456347946E-2</v>
      </c>
      <c r="AC49" s="294">
        <f t="shared" si="463"/>
        <v>2.5012737682187318E-5</v>
      </c>
      <c r="AD49" s="294">
        <f t="shared" si="464"/>
        <v>8.2395836908405531E-3</v>
      </c>
      <c r="AE49" s="294">
        <f t="shared" si="465"/>
        <v>0</v>
      </c>
      <c r="AF49" s="433">
        <v>0.24268436310415253</v>
      </c>
      <c r="AG49" s="433">
        <v>1.4206444038109729E-2</v>
      </c>
      <c r="AH49" s="433">
        <v>4.1484198195446396E-6</v>
      </c>
      <c r="AI49" s="433">
        <v>0.69835842969503847</v>
      </c>
      <c r="AJ49" s="433">
        <v>1.4474558214707691E-2</v>
      </c>
      <c r="AK49" s="433">
        <v>2.909877518355743E-2</v>
      </c>
      <c r="AL49" s="433">
        <v>3.5622300624350712E-6</v>
      </c>
      <c r="AM49" s="433">
        <v>1.1697191145522553E-3</v>
      </c>
      <c r="AN49" s="433">
        <v>0</v>
      </c>
      <c r="AO49" s="433">
        <v>8.2563801031307255E-2</v>
      </c>
      <c r="AP49" s="433">
        <v>1.2036617940196214E-2</v>
      </c>
      <c r="AQ49" s="433">
        <v>2.068066653788252E-5</v>
      </c>
      <c r="AR49" s="433">
        <v>0.61217311033934629</v>
      </c>
      <c r="AS49" s="433">
        <v>9.3812203567320993E-2</v>
      </c>
      <c r="AT49" s="433">
        <v>0.11657926734978669</v>
      </c>
      <c r="AU49" s="433">
        <v>2.505180741975314E-4</v>
      </c>
      <c r="AV49" s="433">
        <v>8.2563801031307255E-2</v>
      </c>
      <c r="AW49" s="433">
        <v>0</v>
      </c>
      <c r="AX49" s="554">
        <f>BA49*$B49/10^3</f>
        <v>0.53518129512991774</v>
      </c>
      <c r="AY49" s="554">
        <f t="shared" si="466"/>
        <v>0.10624705060795483</v>
      </c>
      <c r="AZ49" s="554">
        <f t="shared" si="466"/>
        <v>0.42893424452196294</v>
      </c>
      <c r="BA49" s="67">
        <f t="shared" si="467"/>
        <v>119.19405236746499</v>
      </c>
      <c r="BB49" s="67">
        <f t="shared" si="468"/>
        <v>23.663040224488832</v>
      </c>
      <c r="BC49" s="67">
        <f t="shared" si="468"/>
        <v>95.531012142976167</v>
      </c>
      <c r="BD49" s="67">
        <f t="shared" si="469"/>
        <v>121.06868258335061</v>
      </c>
      <c r="BE49" s="105">
        <v>24.53657617339119</v>
      </c>
      <c r="BF49" s="105">
        <v>96.532106409959411</v>
      </c>
      <c r="BG49" s="68">
        <f t="shared" si="470"/>
        <v>99.486401379949612</v>
      </c>
      <c r="BH49" s="106">
        <v>14.479713582181983</v>
      </c>
      <c r="BI49" s="106">
        <v>85.006687797767626</v>
      </c>
      <c r="BJ49" s="554">
        <f>BM49*$B49/10^3</f>
        <v>0.32266708432897218</v>
      </c>
      <c r="BK49" s="554">
        <f t="shared" si="471"/>
        <v>9.6640093749999979E-4</v>
      </c>
      <c r="BL49" s="554">
        <f t="shared" si="472"/>
        <v>0.32170068339147218</v>
      </c>
      <c r="BM49" s="32">
        <f t="shared" si="473"/>
        <v>71.863493169036133</v>
      </c>
      <c r="BN49" s="32">
        <f t="shared" si="474"/>
        <v>0.21523406180400889</v>
      </c>
      <c r="BO49" s="67">
        <f t="shared" si="474"/>
        <v>71.648259107232121</v>
      </c>
      <c r="BP49" s="270"/>
      <c r="BQ49" s="67">
        <f t="shared" si="475"/>
        <v>72.604892307469555</v>
      </c>
      <c r="BR49" s="32">
        <f>I49*0.5*2.5*0.25</f>
        <v>0.20581249999999998</v>
      </c>
      <c r="BS49" s="67">
        <f>(1-BU49)*BF49</f>
        <v>72.399079807469562</v>
      </c>
      <c r="BT49" s="67"/>
      <c r="BU49" s="34">
        <f t="shared" si="476"/>
        <v>0.25</v>
      </c>
      <c r="BV49" s="68">
        <f t="shared" si="477"/>
        <v>64.06929709832572</v>
      </c>
      <c r="BW49" s="32">
        <f>K49*0.5*2.5*0.25</f>
        <v>0.31428124999999996</v>
      </c>
      <c r="BX49" s="67">
        <f>(1-BZ49)*BI49</f>
        <v>63.755015848325719</v>
      </c>
      <c r="BY49" s="67"/>
      <c r="BZ49" s="34">
        <f t="shared" si="478"/>
        <v>0.25</v>
      </c>
      <c r="CA49" s="294"/>
      <c r="CB49" s="294"/>
      <c r="CC49" s="294"/>
      <c r="CD49" s="67">
        <f t="shared" si="432"/>
        <v>47.330559198428858</v>
      </c>
      <c r="CE49" s="67">
        <f t="shared" si="432"/>
        <v>23.447806162684824</v>
      </c>
      <c r="CF49" s="67">
        <f t="shared" si="432"/>
        <v>23.882753035744045</v>
      </c>
      <c r="CG49" s="67">
        <f t="shared" si="433"/>
        <v>48.463790275881053</v>
      </c>
      <c r="CH49" s="67">
        <f t="shared" si="433"/>
        <v>24.330763673391189</v>
      </c>
      <c r="CI49" s="67">
        <f t="shared" si="433"/>
        <v>24.133026602489849</v>
      </c>
      <c r="CJ49" s="67">
        <f t="shared" si="434"/>
        <v>35.417104281623892</v>
      </c>
      <c r="CK49" s="67">
        <f t="shared" si="434"/>
        <v>14.165432332181982</v>
      </c>
      <c r="CL49" s="67">
        <f t="shared" si="434"/>
        <v>21.251671949441906</v>
      </c>
      <c r="CM49" s="68"/>
      <c r="CN49" s="293"/>
      <c r="CO49" s="293"/>
      <c r="CS49" s="32">
        <f t="shared" si="479"/>
        <v>6.026169265033408</v>
      </c>
      <c r="CT49" s="33">
        <v>6.1</v>
      </c>
      <c r="CU49" s="99">
        <v>5.25</v>
      </c>
      <c r="CY49" s="97">
        <f>CZ49*$HB49</f>
        <v>2.0386816204847</v>
      </c>
      <c r="CZ49" s="263">
        <f>(BA49-BM49-EN49*CF49)/'Amortization metrics'!$D$4/G49</f>
        <v>2.2906535061625841</v>
      </c>
      <c r="DA49" s="527">
        <f>10^3*CZ49/$HF49</f>
        <v>147.78409717177962</v>
      </c>
      <c r="DB49" s="528">
        <f>CZ49/$HH49</f>
        <v>9.5443896090107678</v>
      </c>
      <c r="DC49" s="97">
        <f>DD49*$HB49</f>
        <v>2.1830536160306782</v>
      </c>
      <c r="DD49" s="263">
        <f>(BD49-BQ49-EQ49*CI49)/'Amortization metrics'!$D$4/I49</f>
        <v>2.4528692314951441</v>
      </c>
      <c r="DE49" s="527">
        <f>10^3*DD49/$HF49</f>
        <v>158.24962783839638</v>
      </c>
      <c r="DF49" s="528">
        <f>DD49/$HH49</f>
        <v>10.220288464563101</v>
      </c>
      <c r="DG49" s="97">
        <f>DH49*$HB49</f>
        <v>1.0447523386909705</v>
      </c>
      <c r="DH49" s="263">
        <f>(BG49-BV49-EX49*CL49)/'Amortization metrics'!$D$4/K49</f>
        <v>1.1738790322370454</v>
      </c>
      <c r="DI49" s="527">
        <f>10^3*DH49/$HF49</f>
        <v>75.734131112067445</v>
      </c>
      <c r="DJ49" s="528">
        <f>DH49/$HH49</f>
        <v>4.8911626343210228</v>
      </c>
      <c r="DK49" s="97">
        <f>DL49*$HB49</f>
        <v>3.9103020356518257</v>
      </c>
      <c r="DL49" s="263">
        <f>$EF$11*DX49</f>
        <v>4.3935977928672196</v>
      </c>
      <c r="DM49" s="527">
        <f>10^3*DL49/$HF49</f>
        <v>283.45792212046581</v>
      </c>
      <c r="DN49" s="528">
        <f>DL49/$HH49</f>
        <v>18.306657470280083</v>
      </c>
      <c r="DO49" s="97">
        <f>DP49*$HB49</f>
        <v>4.1394063966879511</v>
      </c>
      <c r="DP49" s="263">
        <f t="shared" si="436"/>
        <v>4.6510184232448886</v>
      </c>
      <c r="DQ49" s="527">
        <f>10^3*DP49/$HF49</f>
        <v>300.06570472547668</v>
      </c>
      <c r="DR49" s="528">
        <f>DP49/$HH49</f>
        <v>19.379243430187035</v>
      </c>
      <c r="DS49" s="97">
        <f>DT49*$HB49</f>
        <v>2.33303262021365</v>
      </c>
      <c r="DT49" s="263">
        <f t="shared" si="437"/>
        <v>2.6213849665321911</v>
      </c>
      <c r="DU49" s="527">
        <f>10^3*DT49/$HF49</f>
        <v>169.12161074401232</v>
      </c>
      <c r="DV49" s="528">
        <f>DT49/$HH49</f>
        <v>10.922437360550797</v>
      </c>
      <c r="DW49" s="97">
        <f>DX49*$HB49</f>
        <v>7.7870031945203912</v>
      </c>
      <c r="DX49" s="263">
        <f t="shared" si="438"/>
        <v>8.7494417915959453</v>
      </c>
      <c r="DY49" s="68">
        <f>10^3*DX49/$HF49</f>
        <v>564.48011558683515</v>
      </c>
      <c r="DZ49" s="97">
        <f>EA49*$HB49</f>
        <v>8.2432432432432439</v>
      </c>
      <c r="EA49" s="263">
        <f t="shared" si="439"/>
        <v>9.2620710598238691</v>
      </c>
      <c r="EB49" s="68">
        <f>10^3*EA49/$HF49</f>
        <v>597.55297160153998</v>
      </c>
      <c r="EC49" s="97">
        <f>ED49*$HB49</f>
        <v>4.6460176991150455</v>
      </c>
      <c r="ED49" s="263">
        <f t="shared" si="440"/>
        <v>5.2202446057472418</v>
      </c>
      <c r="EE49" s="68">
        <f>10^3*ED49/$HF49</f>
        <v>336.78997456433819</v>
      </c>
      <c r="EF49" s="60"/>
      <c r="EG49" s="60"/>
      <c r="EH49" s="60"/>
      <c r="EI49" s="554">
        <f>EK49*$P49</f>
        <v>0</v>
      </c>
      <c r="EJ49" s="262">
        <f>EK49*$HB49</f>
        <v>0</v>
      </c>
      <c r="EK49" s="166">
        <f>(EP49*S49+EW49*U49)/P49</f>
        <v>0</v>
      </c>
      <c r="EL49" s="68">
        <f>10^3*EK49/$HF49</f>
        <v>0</v>
      </c>
      <c r="EM49" s="97">
        <f>EK49/$HH49</f>
        <v>0</v>
      </c>
      <c r="EN49" s="429">
        <f>(EQ49*C49+EX49*D49)/B49</f>
        <v>0</v>
      </c>
      <c r="EO49" s="262">
        <f>EP49*$HB49</f>
        <v>0</v>
      </c>
      <c r="EP49" s="436">
        <f>EQ49*EU49/I49</f>
        <v>0</v>
      </c>
      <c r="EQ49" s="101">
        <v>0</v>
      </c>
      <c r="ER49" s="433">
        <v>1</v>
      </c>
      <c r="ES49" s="433">
        <v>0</v>
      </c>
      <c r="ET49" s="434">
        <f t="shared" ref="ET49" si="486">1-ER49-ES49</f>
        <v>0</v>
      </c>
      <c r="EU49" s="430">
        <f>ER49*$FC49+ES49*$FD49+ET49*$FE49+'Amortization metrics'!$B$6*(ER49*$FF49+ES49*$FG49+ET49*$FH49)/10^3+'Amortization metrics'!$B$5*(ER49*$FI49+ES49*$FJ49+ET49*$FK49)/10^3</f>
        <v>54.558</v>
      </c>
      <c r="EV49" s="262">
        <f>EW49*$HB49</f>
        <v>0</v>
      </c>
      <c r="EW49" s="436">
        <f>EX49*FB49/K49</f>
        <v>0</v>
      </c>
      <c r="EX49" s="101">
        <v>0</v>
      </c>
      <c r="EY49" s="433">
        <v>1</v>
      </c>
      <c r="EZ49" s="433">
        <v>0</v>
      </c>
      <c r="FA49" s="434">
        <f t="shared" si="481"/>
        <v>0</v>
      </c>
      <c r="FB49" s="430">
        <f>EY49*$FC49+EZ49*$FD49+FA49*$FE49+'Amortization metrics'!$B$6*(EY49*$FF49+EZ49*$FG49+FA49*$FH49)/10^3+'Amortization metrics'!$B$5*(EY49*$FI49+EZ49*$FJ49+FA49*$FK49)/10^3</f>
        <v>54.558</v>
      </c>
      <c r="FC49" s="431">
        <v>51.3</v>
      </c>
      <c r="FD49" s="431">
        <v>29</v>
      </c>
      <c r="FE49" s="431">
        <v>29</v>
      </c>
      <c r="FF49" s="99">
        <v>5</v>
      </c>
      <c r="FG49" s="431">
        <v>13</v>
      </c>
      <c r="FH49" s="431">
        <v>13</v>
      </c>
      <c r="FI49" s="431">
        <v>52</v>
      </c>
      <c r="FJ49" s="431">
        <v>58.3</v>
      </c>
      <c r="FK49" s="431">
        <v>58.3</v>
      </c>
      <c r="FL49" s="554">
        <f>FO49+FP49+FM49+FN49+FQ49</f>
        <v>1.6574462285508957</v>
      </c>
      <c r="FM49" s="554">
        <f>GC49*$P49</f>
        <v>-9.4136489007199994E-2</v>
      </c>
      <c r="FN49" s="554">
        <f>GE49*$P49</f>
        <v>0.30895149877033989</v>
      </c>
      <c r="FO49" s="554">
        <f>GG49*$P49</f>
        <v>1.1047920021084399</v>
      </c>
      <c r="FP49" s="554">
        <f>GI49*$P49</f>
        <v>0.33783921667931593</v>
      </c>
      <c r="FQ49" s="554"/>
      <c r="FR49" s="167">
        <f>FS49*HB49</f>
        <v>0.47700412367999995</v>
      </c>
      <c r="FS49" s="166">
        <f>FY49+FW49+GA49</f>
        <v>0.53595968952808981</v>
      </c>
      <c r="FT49" s="68">
        <f>10^3*FS49/$HF49</f>
        <v>34.578044485683215</v>
      </c>
      <c r="FU49" s="97">
        <f>FS49/$HH49</f>
        <v>2.2331653730337075</v>
      </c>
      <c r="FV49" s="473">
        <f>FW49*HB49</f>
        <v>6.1822606199999984E-2</v>
      </c>
      <c r="FW49" s="269">
        <f>GC49+GE49</f>
        <v>6.9463602471910094E-2</v>
      </c>
      <c r="FX49" s="473">
        <f>FY49*HB49</f>
        <v>0.41518151747999998</v>
      </c>
      <c r="FY49" s="269">
        <f>GG49+GI49</f>
        <v>0.46649608705617973</v>
      </c>
      <c r="FZ49" s="123"/>
      <c r="GA49" s="49"/>
      <c r="GB49" s="522">
        <f>GB$47</f>
        <v>-2.7091976E-2</v>
      </c>
      <c r="GC49" s="522">
        <f>GB49/$HB49</f>
        <v>-3.0440422471910113E-2</v>
      </c>
      <c r="GD49" s="522">
        <f>GD$47</f>
        <v>8.8914582199999995E-2</v>
      </c>
      <c r="GE49" s="522">
        <f>GD49/$HB49</f>
        <v>9.990402494382021E-2</v>
      </c>
      <c r="GF49" s="522">
        <f>GF$47</f>
        <v>0.31795320519999998</v>
      </c>
      <c r="GG49" s="522">
        <f>GF49/$HB49</f>
        <v>0.35725079235955054</v>
      </c>
      <c r="GH49" s="522">
        <f>GH$47</f>
        <v>9.7228312279999993E-2</v>
      </c>
      <c r="GI49" s="522">
        <f>GH49/$HB49</f>
        <v>0.10924529469662921</v>
      </c>
      <c r="GJ49" s="599">
        <f>44/12*CZ49+$FS49+$EK49</f>
        <v>8.9350225454575654</v>
      </c>
      <c r="GK49" s="527">
        <f>10^3*GJ49/$HF49</f>
        <v>576.45306744887512</v>
      </c>
      <c r="GL49" s="528">
        <f>GJ49/$HH49</f>
        <v>37.22926060607319</v>
      </c>
      <c r="GM49" s="599">
        <f>44/12*DD49+$FS49+$EP49</f>
        <v>9.5298135383436176</v>
      </c>
      <c r="GN49" s="527">
        <f>10^3*GM49/$HF49</f>
        <v>614.82667989313666</v>
      </c>
      <c r="GO49" s="528">
        <f>GM49/$HH49</f>
        <v>39.707556409765076</v>
      </c>
      <c r="GP49" s="599">
        <f>44/12*DH49+$FS49+$EW49</f>
        <v>4.8401828077305895</v>
      </c>
      <c r="GQ49" s="527">
        <f>10^3*GP49/$HF49</f>
        <v>312.26985856326388</v>
      </c>
      <c r="GR49" s="528">
        <f>GP49/$HH49</f>
        <v>20.167428365544122</v>
      </c>
      <c r="GS49" s="599">
        <f>44/12*DL49+$FS49+$EK49</f>
        <v>16.645818263374558</v>
      </c>
      <c r="GT49" s="527">
        <f>10^3*GS49/$HF49</f>
        <v>1073.9237589273907</v>
      </c>
      <c r="GU49" s="528">
        <f>GS49/$HH49</f>
        <v>69.357576097393988</v>
      </c>
      <c r="GV49" s="599">
        <f>44/12*DP49+$FS49+$EP49</f>
        <v>17.589693908092677</v>
      </c>
      <c r="GW49" s="527">
        <f>10^3*GV49/$HF49</f>
        <v>1134.8189618124309</v>
      </c>
      <c r="GX49" s="528">
        <f>GV49/$HH49</f>
        <v>73.290391283719487</v>
      </c>
      <c r="GY49" s="599">
        <f>44/12*DT49+$FS49+$EW49</f>
        <v>10.14770456681279</v>
      </c>
      <c r="GZ49" s="527">
        <f>10^3*GY49/$HF49</f>
        <v>654.69061721372839</v>
      </c>
      <c r="HA49" s="528">
        <f>GY49/$HH49</f>
        <v>42.282102361719957</v>
      </c>
      <c r="HB49" s="31">
        <v>0.89</v>
      </c>
      <c r="HC49" s="32">
        <f>$HB49*HD49</f>
        <v>16.91</v>
      </c>
      <c r="HD49" s="33">
        <v>19</v>
      </c>
      <c r="HE49" s="32">
        <f>$HB49*HF49</f>
        <v>13.795</v>
      </c>
      <c r="HF49" s="33">
        <v>15.5</v>
      </c>
      <c r="HG49" s="34">
        <f>$HB49*HH49</f>
        <v>0.21359999999999998</v>
      </c>
      <c r="HH49" s="31">
        <v>0.24</v>
      </c>
      <c r="HI49" s="36">
        <f>$HB49*HJ49</f>
        <v>1.5130000000000001E-2</v>
      </c>
      <c r="HJ49" s="35">
        <v>1.7000000000000001E-2</v>
      </c>
    </row>
    <row r="50" spans="1:218" s="4" customFormat="1" x14ac:dyDescent="0.25">
      <c r="A50" s="14" t="s">
        <v>314</v>
      </c>
      <c r="B50" s="67">
        <f t="shared" si="443"/>
        <v>3.75</v>
      </c>
      <c r="C50" s="33">
        <v>3.2</v>
      </c>
      <c r="D50" s="33">
        <v>0.55000000000000004</v>
      </c>
      <c r="E50" s="38">
        <f t="shared" si="444"/>
        <v>0.14666666666666667</v>
      </c>
      <c r="F50" s="436">
        <f t="shared" si="445"/>
        <v>0.95986666666666676</v>
      </c>
      <c r="G50" s="32">
        <f t="shared" si="446"/>
        <v>0.86388000000000009</v>
      </c>
      <c r="H50" s="33">
        <v>0.91</v>
      </c>
      <c r="I50" s="32">
        <f>$HB50*H50</f>
        <v>0.81900000000000006</v>
      </c>
      <c r="J50" s="33">
        <v>1.25</v>
      </c>
      <c r="K50" s="32">
        <f>$HB50*J50</f>
        <v>1.125</v>
      </c>
      <c r="L50" s="32">
        <f t="shared" si="447"/>
        <v>11.575681807658469</v>
      </c>
      <c r="M50" s="32">
        <f t="shared" si="448"/>
        <v>12.210012210012209</v>
      </c>
      <c r="N50" s="32">
        <f t="shared" si="449"/>
        <v>8.8888888888888893</v>
      </c>
      <c r="O50" s="108">
        <f t="shared" si="450"/>
        <v>3.5995000000000004</v>
      </c>
      <c r="P50" s="68">
        <f t="shared" si="451"/>
        <v>3.2395500000000004</v>
      </c>
      <c r="Q50" s="68"/>
      <c r="R50" s="67">
        <f t="shared" si="452"/>
        <v>2.9120000000000004</v>
      </c>
      <c r="S50" s="67">
        <f t="shared" si="453"/>
        <v>2.6208000000000005</v>
      </c>
      <c r="T50" s="67">
        <f t="shared" si="454"/>
        <v>0.6875</v>
      </c>
      <c r="U50" s="67">
        <f t="shared" si="455"/>
        <v>0.61875000000000002</v>
      </c>
      <c r="V50" s="38">
        <f t="shared" si="456"/>
        <v>0.19099874982636475</v>
      </c>
      <c r="W50" s="294">
        <f t="shared" si="457"/>
        <v>5.4364821113586863E-2</v>
      </c>
      <c r="X50" s="294">
        <f t="shared" si="458"/>
        <v>8.8391470246787812E-2</v>
      </c>
      <c r="Y50" s="294">
        <f t="shared" si="459"/>
        <v>0.13040481161546932</v>
      </c>
      <c r="Z50" s="294">
        <f t="shared" si="460"/>
        <v>0.20848992098168587</v>
      </c>
      <c r="AA50" s="294">
        <f t="shared" si="461"/>
        <v>0.24740399054605891</v>
      </c>
      <c r="AB50" s="294">
        <f t="shared" si="462"/>
        <v>0.24248167119207986</v>
      </c>
      <c r="AC50" s="294">
        <f t="shared" si="463"/>
        <v>6.0545262015274182E-3</v>
      </c>
      <c r="AD50" s="294">
        <f t="shared" si="464"/>
        <v>2.2117219408728853E-4</v>
      </c>
      <c r="AE50" s="294">
        <f t="shared" si="465"/>
        <v>2.2152398924630286E-2</v>
      </c>
      <c r="AF50" s="433">
        <v>6.3520587195523018E-2</v>
      </c>
      <c r="AG50" s="433">
        <v>9.3699448463792953E-2</v>
      </c>
      <c r="AH50" s="433">
        <v>0.14562064093060639</v>
      </c>
      <c r="AI50" s="433">
        <v>0.21509879785958</v>
      </c>
      <c r="AJ50" s="433">
        <v>0.23254149723923359</v>
      </c>
      <c r="AK50" s="433">
        <v>0.22225520024516229</v>
      </c>
      <c r="AL50" s="433">
        <v>1.2099183383151952E-3</v>
      </c>
      <c r="AM50" s="433">
        <v>7.0998617984455791E-5</v>
      </c>
      <c r="AN50" s="433">
        <v>2.5954999576304354E-2</v>
      </c>
      <c r="AO50" s="433">
        <v>1.0949093641401334E-3</v>
      </c>
      <c r="AP50" s="433">
        <v>5.7508687893303274E-2</v>
      </c>
      <c r="AQ50" s="433">
        <v>4.1876350145580915E-2</v>
      </c>
      <c r="AR50" s="433">
        <v>0.17003827369211982</v>
      </c>
      <c r="AS50" s="433">
        <v>0.33387667887667888</v>
      </c>
      <c r="AT50" s="433">
        <v>0.36016295670141829</v>
      </c>
      <c r="AU50" s="433">
        <v>3.4241335587489437E-2</v>
      </c>
      <c r="AV50" s="433">
        <v>1.0949093641401334E-3</v>
      </c>
      <c r="AW50" s="433">
        <v>2.8176951253874332E-5</v>
      </c>
      <c r="AX50" s="554">
        <f>BA50*$B50/10^3</f>
        <v>0.42366504666399074</v>
      </c>
      <c r="AY50" s="554">
        <f t="shared" si="466"/>
        <v>7.858408734786429E-2</v>
      </c>
      <c r="AZ50" s="554">
        <f t="shared" si="466"/>
        <v>0.34508095931612642</v>
      </c>
      <c r="BA50" s="67">
        <f t="shared" si="467"/>
        <v>112.97734577706419</v>
      </c>
      <c r="BB50" s="67">
        <f t="shared" si="468"/>
        <v>20.955756626097141</v>
      </c>
      <c r="BC50" s="67">
        <f t="shared" si="468"/>
        <v>92.021589150967046</v>
      </c>
      <c r="BD50" s="67">
        <f t="shared" si="469"/>
        <v>119.58231352247788</v>
      </c>
      <c r="BE50" s="105">
        <v>23.171786619261308</v>
      </c>
      <c r="BF50" s="105">
        <v>96.410526903216564</v>
      </c>
      <c r="BG50" s="68">
        <f t="shared" si="470"/>
        <v>74.548442531020896</v>
      </c>
      <c r="BH50" s="106">
        <v>8.0624912113238025</v>
      </c>
      <c r="BI50" s="106">
        <v>66.485951319697094</v>
      </c>
      <c r="BJ50" s="554">
        <f>BM50*$B50/10^3</f>
        <v>0.25982307886209483</v>
      </c>
      <c r="BK50" s="554">
        <f t="shared" si="471"/>
        <v>1.0123593750000002E-3</v>
      </c>
      <c r="BL50" s="554">
        <f t="shared" si="472"/>
        <v>0.25881071948709478</v>
      </c>
      <c r="BM50" s="32">
        <f t="shared" si="473"/>
        <v>69.286154363225279</v>
      </c>
      <c r="BN50" s="32">
        <f t="shared" si="474"/>
        <v>0.26996250000000005</v>
      </c>
      <c r="BO50" s="67">
        <f t="shared" si="474"/>
        <v>69.016191863225274</v>
      </c>
      <c r="BP50" s="270"/>
      <c r="BQ50" s="67">
        <f t="shared" si="475"/>
        <v>72.563832677412421</v>
      </c>
      <c r="BR50" s="32">
        <f>I50*0.5*2.5*0.25</f>
        <v>0.25593750000000004</v>
      </c>
      <c r="BS50" s="67">
        <f>(1-BU50)*BF50</f>
        <v>72.307895177412419</v>
      </c>
      <c r="BT50" s="67"/>
      <c r="BU50" s="34">
        <f t="shared" si="476"/>
        <v>0.25</v>
      </c>
      <c r="BV50" s="68">
        <f t="shared" si="477"/>
        <v>50.216025989772817</v>
      </c>
      <c r="BW50" s="32">
        <f>K50*0.5*2.5*0.25</f>
        <v>0.3515625</v>
      </c>
      <c r="BX50" s="67">
        <f>(1-BZ50)*BI50</f>
        <v>49.864463489772817</v>
      </c>
      <c r="BY50" s="67"/>
      <c r="BZ50" s="34">
        <f t="shared" si="478"/>
        <v>0.25</v>
      </c>
      <c r="CA50" s="294"/>
      <c r="CB50" s="294"/>
      <c r="CC50" s="294"/>
      <c r="CD50" s="67">
        <f t="shared" si="432"/>
        <v>43.691191413838908</v>
      </c>
      <c r="CE50" s="67">
        <f t="shared" si="432"/>
        <v>20.685794126097143</v>
      </c>
      <c r="CF50" s="67">
        <f t="shared" si="432"/>
        <v>23.005397287741772</v>
      </c>
      <c r="CG50" s="67">
        <f t="shared" si="433"/>
        <v>47.018480845065454</v>
      </c>
      <c r="CH50" s="67">
        <f t="shared" si="433"/>
        <v>22.915849119261306</v>
      </c>
      <c r="CI50" s="67">
        <f t="shared" si="433"/>
        <v>24.102631725804144</v>
      </c>
      <c r="CJ50" s="67">
        <f t="shared" si="434"/>
        <v>24.33241654124808</v>
      </c>
      <c r="CK50" s="67">
        <f t="shared" si="434"/>
        <v>7.7109287113238025</v>
      </c>
      <c r="CL50" s="67">
        <f t="shared" si="434"/>
        <v>16.621487829924277</v>
      </c>
      <c r="CM50" s="68"/>
      <c r="CN50" s="293"/>
      <c r="CO50" s="293"/>
      <c r="CS50" s="32">
        <f t="shared" si="479"/>
        <v>4.9021333333333335</v>
      </c>
      <c r="CT50" s="33">
        <v>5.04</v>
      </c>
      <c r="CU50" s="99">
        <v>4.0999999999999996</v>
      </c>
      <c r="CY50" s="97">
        <f>CZ50*$HB50</f>
        <v>1.5025404893398822</v>
      </c>
      <c r="CZ50" s="263">
        <f>(BA50-BM50-EN50*CF50)/'Amortization metrics'!$D$4/G50</f>
        <v>1.669489432599869</v>
      </c>
      <c r="DA50" s="527">
        <f>10^3*CZ50/$HF50</f>
        <v>111.29929550665794</v>
      </c>
      <c r="DB50" s="528">
        <f>CZ50/$HH50</f>
        <v>6.1832941948143292</v>
      </c>
      <c r="DC50" s="97">
        <f>DD50*$HB50</f>
        <v>1.7032184615306991</v>
      </c>
      <c r="DD50" s="263">
        <f>(BD50-BQ50-EQ50*CI50)/'Amortization metrics'!$D$4/I50</f>
        <v>1.8924649572563323</v>
      </c>
      <c r="DE50" s="527">
        <f>10^3*DD50/$HF50</f>
        <v>126.16433048375549</v>
      </c>
      <c r="DF50" s="528">
        <f>DD50/$HH50</f>
        <v>7.0091294713197492</v>
      </c>
      <c r="DG50" s="97">
        <f>DH50*$HB50</f>
        <v>0.64886444109994879</v>
      </c>
      <c r="DH50" s="263">
        <f>(BG50-BV50-EX50*CL50)/'Amortization metrics'!$D$4/K50</f>
        <v>0.72096049011105423</v>
      </c>
      <c r="DI50" s="527">
        <f>10^3*DH50/$HF50</f>
        <v>48.064032674070283</v>
      </c>
      <c r="DJ50" s="528">
        <f>DH50/$HH50</f>
        <v>2.670224037448349</v>
      </c>
      <c r="DK50" s="97">
        <f>DL50*$HB50</f>
        <v>2.5645676546529819</v>
      </c>
      <c r="DL50" s="263">
        <f>$EF$11*DX50</f>
        <v>2.849519616281091</v>
      </c>
      <c r="DM50" s="527">
        <f>10^3*DL50/$HF50</f>
        <v>189.96797441873937</v>
      </c>
      <c r="DN50" s="528">
        <f>DL50/$HH50</f>
        <v>10.553776356596632</v>
      </c>
      <c r="DO50" s="97">
        <f>DP50*$HB50</f>
        <v>2.7811799850634804</v>
      </c>
      <c r="DP50" s="263">
        <f t="shared" si="436"/>
        <v>3.0901999834038669</v>
      </c>
      <c r="DQ50" s="527">
        <f>10^3*DP50/$HF50</f>
        <v>206.01333222692446</v>
      </c>
      <c r="DR50" s="528">
        <f>DP50/$HH50</f>
        <v>11.445185123718025</v>
      </c>
      <c r="DS50" s="97">
        <f>DT50*$HB50</f>
        <v>1.6470765911542609</v>
      </c>
      <c r="DT50" s="263">
        <f t="shared" si="437"/>
        <v>1.8300851012825121</v>
      </c>
      <c r="DU50" s="527">
        <f>10^3*DT50/$HF50</f>
        <v>122.00567341883415</v>
      </c>
      <c r="DV50" s="528">
        <f>DT50/$HH50</f>
        <v>6.7780929677130075</v>
      </c>
      <c r="DW50" s="97">
        <f>DX50*$HB50</f>
        <v>5.107098208084456</v>
      </c>
      <c r="DX50" s="263">
        <f t="shared" si="438"/>
        <v>5.6745535645382841</v>
      </c>
      <c r="DY50" s="68">
        <f>10^3*DX50/$HF50</f>
        <v>378.30357096921892</v>
      </c>
      <c r="DZ50" s="97">
        <f>EA50*$HB50</f>
        <v>5.5384615384615383</v>
      </c>
      <c r="EA50" s="263">
        <f t="shared" si="439"/>
        <v>6.1538461538461533</v>
      </c>
      <c r="EB50" s="68">
        <f>10^3*EA50/$HF50</f>
        <v>410.25641025641022</v>
      </c>
      <c r="EC50" s="97">
        <f>ED50*$HB50</f>
        <v>3.28</v>
      </c>
      <c r="ED50" s="263">
        <f t="shared" si="440"/>
        <v>3.6444444444444439</v>
      </c>
      <c r="EE50" s="68">
        <f>10^3*ED50/$HF50</f>
        <v>242.96296296296293</v>
      </c>
      <c r="EF50" s="60"/>
      <c r="EG50" s="60"/>
      <c r="EH50" s="60"/>
      <c r="EI50" s="554">
        <f>EK50*$P50</f>
        <v>2.4092605440000008</v>
      </c>
      <c r="EJ50" s="262">
        <f>EK50*$HB50</f>
        <v>0.66933200277816374</v>
      </c>
      <c r="EK50" s="166">
        <f>(EP50*S50+EW50*U50)/P50</f>
        <v>0.74370222530907082</v>
      </c>
      <c r="EL50" s="68">
        <f>10^3*EK50/$HF50</f>
        <v>49.580148353938057</v>
      </c>
      <c r="EM50" s="97">
        <f>EK50/$HH50</f>
        <v>2.7544526863298917</v>
      </c>
      <c r="EN50" s="429">
        <f>(EQ50*C50+EX50*D50)/B50</f>
        <v>1.8432E-2</v>
      </c>
      <c r="EO50" s="262">
        <f>EP50*$HB50</f>
        <v>0.82735595604395618</v>
      </c>
      <c r="EP50" s="436">
        <f>EQ50*EU50/I50</f>
        <v>0.91928439560439568</v>
      </c>
      <c r="EQ50" s="101">
        <v>2.1600000000000001E-2</v>
      </c>
      <c r="ER50" s="101">
        <v>0</v>
      </c>
      <c r="ES50" s="101">
        <v>0.28599999999999998</v>
      </c>
      <c r="ET50" s="429">
        <f t="shared" si="480"/>
        <v>0.71399999999999997</v>
      </c>
      <c r="EU50" s="430">
        <f>ER50*$FC50+ES50*$FD50+ET50*$FE50+'Amortization metrics'!$B$6*(ER50*$FF50+ES50*$FG50+ET50*$FH50)/10^3+'Amortization metrics'!$B$5*(ER50*$FI50+ES50*$FJ50+ET50*$FK50)/10^3</f>
        <v>34.856200000000001</v>
      </c>
      <c r="EV50" s="262">
        <f>EW50*$HB50</f>
        <v>0</v>
      </c>
      <c r="EW50" s="436">
        <f>EX50*FB50/K50</f>
        <v>0</v>
      </c>
      <c r="EX50" s="101">
        <v>0</v>
      </c>
      <c r="EY50" s="433">
        <v>1</v>
      </c>
      <c r="EZ50" s="433">
        <v>0</v>
      </c>
      <c r="FA50" s="434">
        <f t="shared" si="481"/>
        <v>0</v>
      </c>
      <c r="FB50" s="430">
        <f>EY50*$FC50+EZ50*$FD50+FA50*$FE50+'Amortization metrics'!$B$6*(EY50*$FF50+EZ50*$FG50+FA50*$FH50)/10^3+'Amortization metrics'!$B$5*(EY50*$FI50+EZ50*$FJ50+FA50*$FK50)/10^3</f>
        <v>54.558</v>
      </c>
      <c r="FC50" s="431">
        <v>51.3</v>
      </c>
      <c r="FD50" s="431">
        <v>29</v>
      </c>
      <c r="FE50" s="431">
        <v>29</v>
      </c>
      <c r="FF50" s="99">
        <v>5</v>
      </c>
      <c r="FG50" s="431">
        <v>13</v>
      </c>
      <c r="FH50" s="431">
        <v>13</v>
      </c>
      <c r="FI50" s="431">
        <v>52</v>
      </c>
      <c r="FJ50" s="431">
        <v>58.3</v>
      </c>
      <c r="FK50" s="431">
        <v>58.3</v>
      </c>
      <c r="FL50" s="554">
        <f>FO50+FP50+FM50+FN50+FQ50</f>
        <v>1.7169763431861602</v>
      </c>
      <c r="FM50" s="554">
        <f>GC50*$P50</f>
        <v>-9.7517567612000006E-2</v>
      </c>
      <c r="FN50" s="554">
        <f>GE50*$P50</f>
        <v>0.32004803862890002</v>
      </c>
      <c r="FO50" s="554">
        <f>GG50*$P50</f>
        <v>1.1444725621174001</v>
      </c>
      <c r="FP50" s="554">
        <f>GI50*$P50</f>
        <v>0.34997331005186</v>
      </c>
      <c r="FQ50" s="554"/>
      <c r="FR50" s="167">
        <f>FS50*HB50</f>
        <v>0.47700412368</v>
      </c>
      <c r="FS50" s="166">
        <f>FY50+FW50+GA50</f>
        <v>0.53000458186666666</v>
      </c>
      <c r="FT50" s="68">
        <f>10^3*FS50/$HF50</f>
        <v>35.333638791111106</v>
      </c>
      <c r="FU50" s="97">
        <f>FS50/$HH50</f>
        <v>1.9629799328395061</v>
      </c>
      <c r="FV50" s="473">
        <f>FW50*HB50</f>
        <v>6.1822606199999991E-2</v>
      </c>
      <c r="FW50" s="269">
        <f>GC50+GE50</f>
        <v>6.8691784666666658E-2</v>
      </c>
      <c r="FX50" s="473">
        <f>FY50*HB50</f>
        <v>0.41518151747999998</v>
      </c>
      <c r="FY50" s="269">
        <f>GG50+GI50</f>
        <v>0.46131279719999996</v>
      </c>
      <c r="FZ50" s="123"/>
      <c r="GA50" s="49"/>
      <c r="GB50" s="522">
        <f>GB$47</f>
        <v>-2.7091976E-2</v>
      </c>
      <c r="GC50" s="522">
        <f>GB50/$HB50</f>
        <v>-3.0102195555555555E-2</v>
      </c>
      <c r="GD50" s="522">
        <f>GD$47</f>
        <v>8.8914582199999995E-2</v>
      </c>
      <c r="GE50" s="522">
        <f>GD50/$HB50</f>
        <v>9.8793980222222216E-2</v>
      </c>
      <c r="GF50" s="522">
        <f>GF$47</f>
        <v>0.31795320519999998</v>
      </c>
      <c r="GG50" s="522">
        <f>GF50/$HB50</f>
        <v>0.35328133911111109</v>
      </c>
      <c r="GH50" s="522">
        <f>GH$47</f>
        <v>9.7228312279999993E-2</v>
      </c>
      <c r="GI50" s="522">
        <f>GH50/$HB50</f>
        <v>0.10803145808888888</v>
      </c>
      <c r="GJ50" s="599">
        <f>44/12*CZ50+$FS50+$EK50</f>
        <v>7.3951680600419234</v>
      </c>
      <c r="GK50" s="527">
        <f>10^3*GJ50/$HF50</f>
        <v>493.0112040027949</v>
      </c>
      <c r="GL50" s="528">
        <f>GJ50/$HH50</f>
        <v>27.389511333488603</v>
      </c>
      <c r="GM50" s="599">
        <f>44/12*DD50+$FS50+$EP50</f>
        <v>8.388327154077615</v>
      </c>
      <c r="GN50" s="527">
        <f>10^3*GM50/$HF50</f>
        <v>559.22181027184104</v>
      </c>
      <c r="GO50" s="528">
        <f>GM50/$HH50</f>
        <v>31.06787834843561</v>
      </c>
      <c r="GP50" s="599">
        <f>44/12*DH50+$FS50+$EW50</f>
        <v>3.1735263789405321</v>
      </c>
      <c r="GQ50" s="527">
        <f>10^3*GP50/$HF50</f>
        <v>211.56842526270214</v>
      </c>
      <c r="GR50" s="528">
        <f>GP50/$HH50</f>
        <v>11.753801403483452</v>
      </c>
      <c r="GS50" s="599">
        <f>44/12*DL50+$FS50+$EK50</f>
        <v>11.721945400206405</v>
      </c>
      <c r="GT50" s="527">
        <f>10^3*GS50/$HF50</f>
        <v>781.46302668042699</v>
      </c>
      <c r="GU50" s="528">
        <f>GS50/$HH50</f>
        <v>43.414612593357049</v>
      </c>
      <c r="GV50" s="599">
        <f>44/12*DP50+$FS50+$EP50</f>
        <v>12.780022249951909</v>
      </c>
      <c r="GW50" s="527">
        <f>10^3*GV50/$HF50</f>
        <v>852.00148333012726</v>
      </c>
      <c r="GX50" s="528">
        <f>GV50/$HH50</f>
        <v>47.333415740562621</v>
      </c>
      <c r="GY50" s="599">
        <f>44/12*DT50+$FS50+$EW50</f>
        <v>7.2403166199025444</v>
      </c>
      <c r="GZ50" s="527">
        <f>10^3*GY50/$HF50</f>
        <v>482.68777466016962</v>
      </c>
      <c r="HA50" s="528">
        <f>GY50/$HH50</f>
        <v>26.815987481120533</v>
      </c>
      <c r="HB50" s="31">
        <v>0.9</v>
      </c>
      <c r="HC50" s="32">
        <f>$HB50*HD50</f>
        <v>16.650000000000002</v>
      </c>
      <c r="HD50" s="27">
        <v>18.5</v>
      </c>
      <c r="HE50" s="32">
        <f>$HB50*HF50</f>
        <v>13.5</v>
      </c>
      <c r="HF50" s="33">
        <v>15</v>
      </c>
      <c r="HG50" s="34">
        <f>$HB50*HH50</f>
        <v>0.24300000000000002</v>
      </c>
      <c r="HH50" s="31">
        <v>0.27</v>
      </c>
      <c r="HI50" s="36">
        <f>$HB50*HJ50</f>
        <v>9.8999999999999991E-3</v>
      </c>
      <c r="HJ50" s="35">
        <v>1.0999999999999999E-2</v>
      </c>
    </row>
    <row r="51" spans="1:218" s="4" customFormat="1" x14ac:dyDescent="0.25">
      <c r="A51" s="14"/>
      <c r="C51" s="33"/>
      <c r="D51" s="33"/>
      <c r="E51" s="33"/>
      <c r="F51" s="267">
        <f>(O47+O48+O49)/(B47+B48+B49)</f>
        <v>0.70494655835827291</v>
      </c>
      <c r="H51" s="33"/>
      <c r="J51" s="33"/>
      <c r="O51" s="60"/>
      <c r="W51" s="60"/>
      <c r="X51" s="60"/>
      <c r="Y51" s="60"/>
      <c r="Z51" s="60"/>
      <c r="AA51" s="60"/>
      <c r="AB51" s="60"/>
      <c r="AC51" s="60"/>
      <c r="AD51" s="60"/>
      <c r="AE51" s="60"/>
      <c r="AF51" s="602"/>
      <c r="AG51" s="602"/>
      <c r="AH51" s="602"/>
      <c r="AI51" s="602"/>
      <c r="AJ51" s="602"/>
      <c r="AK51" s="602"/>
      <c r="AL51" s="602"/>
      <c r="AM51" s="602"/>
      <c r="AN51" s="602"/>
      <c r="AO51" s="602"/>
      <c r="AP51" s="602"/>
      <c r="AQ51" s="602"/>
      <c r="AR51" s="602"/>
      <c r="AS51" s="602"/>
      <c r="AT51" s="602"/>
      <c r="AU51" s="602"/>
      <c r="AV51" s="602"/>
      <c r="AW51" s="602"/>
      <c r="AX51" s="60"/>
      <c r="AY51" s="60"/>
      <c r="AZ51" s="60"/>
      <c r="BD51" s="67"/>
      <c r="BE51" s="105"/>
      <c r="BF51" s="105"/>
      <c r="BG51" s="60"/>
      <c r="BH51" s="106"/>
      <c r="BI51" s="106"/>
      <c r="BJ51" s="60"/>
      <c r="BK51" s="60"/>
      <c r="BL51" s="60"/>
      <c r="BM51" s="32"/>
      <c r="BN51" s="32"/>
      <c r="BO51" s="67"/>
      <c r="BP51" s="270"/>
      <c r="BV51" s="60"/>
      <c r="CA51" s="60"/>
      <c r="CB51" s="60"/>
      <c r="CC51" s="60"/>
      <c r="CM51" s="60"/>
      <c r="CN51" s="60"/>
      <c r="CO51" s="60"/>
      <c r="CT51" s="33"/>
      <c r="CU51" s="99"/>
      <c r="CY51" s="60"/>
      <c r="CZ51" s="32"/>
      <c r="DB51" s="67"/>
      <c r="DC51" s="60"/>
      <c r="DD51" s="32"/>
      <c r="DF51" s="67"/>
      <c r="DG51" s="60"/>
      <c r="DH51" s="32"/>
      <c r="DJ51" s="67"/>
      <c r="DK51" s="60"/>
      <c r="DL51" s="32"/>
      <c r="DN51" s="67"/>
      <c r="DO51" s="60"/>
      <c r="DP51" s="32"/>
      <c r="DR51" s="67"/>
      <c r="DS51" s="60"/>
      <c r="DT51" s="32"/>
      <c r="DV51" s="67"/>
      <c r="DW51" s="60"/>
      <c r="DY51" s="60"/>
      <c r="DZ51" s="60"/>
      <c r="EB51" s="60"/>
      <c r="EC51" s="60"/>
      <c r="EE51" s="60"/>
      <c r="EF51" s="60"/>
      <c r="EG51" s="60"/>
      <c r="EH51" s="60"/>
      <c r="EI51" s="97"/>
      <c r="EJ51" s="49"/>
      <c r="EK51" s="60"/>
      <c r="EL51" s="60"/>
      <c r="EM51" s="97"/>
      <c r="EN51" s="601"/>
      <c r="EO51" s="49"/>
      <c r="EP51" s="60"/>
      <c r="EQ51" s="100"/>
      <c r="ER51" s="100"/>
      <c r="ES51" s="100"/>
      <c r="ET51" s="100"/>
      <c r="EU51" s="100"/>
      <c r="EV51" s="49"/>
      <c r="EW51" s="60"/>
      <c r="EX51" s="100"/>
      <c r="EY51" s="100"/>
      <c r="EZ51" s="100"/>
      <c r="FA51" s="100"/>
      <c r="FB51" s="100"/>
      <c r="FC51" s="97"/>
      <c r="FD51" s="97"/>
      <c r="FE51" s="97"/>
      <c r="FF51" s="97"/>
      <c r="FG51" s="97"/>
      <c r="FH51" s="97"/>
      <c r="FI51" s="97"/>
      <c r="FJ51" s="97"/>
      <c r="FK51" s="97"/>
      <c r="FL51" s="97"/>
      <c r="FM51" s="97"/>
      <c r="FN51" s="97"/>
      <c r="FO51" s="97"/>
      <c r="FP51" s="97"/>
      <c r="FQ51" s="97"/>
      <c r="FR51" s="522"/>
      <c r="FS51" s="60"/>
      <c r="FT51" s="60"/>
      <c r="FU51" s="97"/>
      <c r="FV51" s="123"/>
      <c r="FW51" s="123"/>
      <c r="FX51" s="123"/>
      <c r="FY51" s="123"/>
      <c r="FZ51" s="123"/>
      <c r="GA51" s="49"/>
      <c r="GB51" s="60"/>
      <c r="GC51" s="60"/>
      <c r="GD51" s="60"/>
      <c r="GE51" s="60"/>
      <c r="GF51" s="60"/>
      <c r="GG51" s="60"/>
      <c r="GH51" s="60"/>
      <c r="GI51" s="60"/>
    </row>
    <row r="52" spans="1:218" s="4" customFormat="1" ht="13.8" x14ac:dyDescent="0.3">
      <c r="A52" s="15" t="s">
        <v>81</v>
      </c>
      <c r="B52" s="152">
        <f>B53+B55+B56+B54</f>
        <v>55.29</v>
      </c>
      <c r="C52" s="152">
        <f>C53+C55+C56+C54</f>
        <v>49.099999999999994</v>
      </c>
      <c r="D52" s="152">
        <f>D53+D55+D56+D54</f>
        <v>6.1899999999999995</v>
      </c>
      <c r="E52" s="33"/>
      <c r="F52" s="153">
        <f>O52/B52</f>
        <v>11.857750045216131</v>
      </c>
      <c r="G52" s="153">
        <f>P52/B52</f>
        <v>2.3391074335322846</v>
      </c>
      <c r="I52" s="153">
        <f>S52/C52</f>
        <v>2.1931071283095722</v>
      </c>
      <c r="K52" s="153">
        <f>U52/D52</f>
        <v>3.4972035541195479</v>
      </c>
      <c r="O52" s="152">
        <f>O53+O55+O56+O54</f>
        <v>655.6149999999999</v>
      </c>
      <c r="P52" s="152">
        <f>P53+P55+P56+P54</f>
        <v>129.32925</v>
      </c>
      <c r="Q52" s="592">
        <f>P52/P$17</f>
        <v>3.4106944986239729E-2</v>
      </c>
      <c r="S52" s="152">
        <f>S53+S55+S56+S54</f>
        <v>107.68155999999999</v>
      </c>
      <c r="U52" s="152">
        <f>U53+U55+U56+U54</f>
        <v>21.647690000000001</v>
      </c>
      <c r="V52" s="154">
        <f>U52/P52</f>
        <v>0.16738433107746314</v>
      </c>
      <c r="W52" s="265">
        <f t="shared" ref="W52:AE52" si="487">($B53*W53+$B55*W55+$B56*W56+$B54*W54)/$B52</f>
        <v>0.28779673284794782</v>
      </c>
      <c r="X52" s="265">
        <f t="shared" si="487"/>
        <v>0.29592509604834139</v>
      </c>
      <c r="Y52" s="265">
        <f t="shared" si="487"/>
        <v>8.807745603530838E-2</v>
      </c>
      <c r="Z52" s="265">
        <f t="shared" si="487"/>
        <v>7.7907455085983304E-2</v>
      </c>
      <c r="AA52" s="265">
        <f t="shared" si="487"/>
        <v>8.5306525894674315E-2</v>
      </c>
      <c r="AB52" s="265">
        <f t="shared" si="487"/>
        <v>0.11258278668225372</v>
      </c>
      <c r="AC52" s="265">
        <f t="shared" si="487"/>
        <v>2.8065695636467956E-2</v>
      </c>
      <c r="AD52" s="265">
        <f t="shared" si="487"/>
        <v>2.0494335191155101E-2</v>
      </c>
      <c r="AE52" s="265">
        <f t="shared" si="487"/>
        <v>1.3930233291799719E-3</v>
      </c>
      <c r="AF52" s="603"/>
      <c r="AG52" s="603"/>
      <c r="AH52" s="603"/>
      <c r="AI52" s="603"/>
      <c r="AJ52" s="603"/>
      <c r="AK52" s="603"/>
      <c r="AL52" s="603"/>
      <c r="AM52" s="603"/>
      <c r="AN52" s="603"/>
      <c r="AO52" s="603"/>
      <c r="AP52" s="603"/>
      <c r="AQ52" s="603"/>
      <c r="AR52" s="603"/>
      <c r="AS52" s="603"/>
      <c r="AT52" s="603"/>
      <c r="AU52" s="603"/>
      <c r="AV52" s="603"/>
      <c r="AW52" s="603"/>
      <c r="AX52" s="152">
        <f>AX53+AX55+AX56+AX54</f>
        <v>10.173284193548474</v>
      </c>
      <c r="AY52" s="152">
        <f t="shared" ref="AY52:AZ52" si="488">AY53+AY55+AY56+AY54</f>
        <v>4.6276353331045836</v>
      </c>
      <c r="AZ52" s="152">
        <f t="shared" si="488"/>
        <v>5.5456488604438894</v>
      </c>
      <c r="BA52" s="152">
        <f>($B53*BA53+$B55*BA55+$B56*BA56+$B54*BA54)/$B52</f>
        <v>183.9986289301587</v>
      </c>
      <c r="BB52" s="152">
        <f>($B53*BB53+$B55*BB55+$B56*BB56+$B54*BB54)/$B52</f>
        <v>83.697510094132454</v>
      </c>
      <c r="BC52" s="152">
        <f>($B53*BC53+$B55*BC55+$B56*BC56+$B54*BC54)/$B52</f>
        <v>100.30111883602623</v>
      </c>
      <c r="BD52" s="152">
        <f>($C53*BD53+$C55*BD55+$C56*BD56+$C54*BD54)/$C52</f>
        <v>194.83537354570572</v>
      </c>
      <c r="BE52" s="152">
        <f>($C53*BE53+$C55*BE55+$C56*BE56+$C54*BE54)/$C52</f>
        <v>89.492194024718543</v>
      </c>
      <c r="BF52" s="152">
        <f>($C53*BF53+$C55*BF55+$C56*BF56+$C54*BF54)/$C52</f>
        <v>105.34317952098715</v>
      </c>
      <c r="BG52" s="152">
        <f>($D53*BG53+$D55*BG55+$D56*BG56+$D54*BG54)/$D52</f>
        <v>98.039960008776191</v>
      </c>
      <c r="BH52" s="152">
        <f>($D53*BH53+$D55*BH55+$D56*BH56+$D54*BH54)/$D52</f>
        <v>37.733215911292973</v>
      </c>
      <c r="BI52" s="152">
        <f>($D53*BI53+$D55*BI55+$D56*BI56+$D54*BI54)/$D52</f>
        <v>60.306744097483197</v>
      </c>
      <c r="BJ52" s="152">
        <f>BJ53+BJ55+BJ56+BJ54</f>
        <v>4.2336606453329173</v>
      </c>
      <c r="BK52" s="152">
        <f t="shared" ref="BK52" si="489">BK53+BK55+BK56+BK54</f>
        <v>7.442399999999999E-2</v>
      </c>
      <c r="BL52" s="152">
        <f t="shared" ref="BL52" si="490">BL53+BL55+BL56+BL54</f>
        <v>4.1592366453329168</v>
      </c>
      <c r="BM52" s="153">
        <f>($B53*BM53+$B55*BM55+$B56*BM56+$B54*BM54)/$B52</f>
        <v>76.571905323438543</v>
      </c>
      <c r="BN52" s="153">
        <f>($B53*BN53+$B55*BN55+$B56*BN56+$B54*BN54)/$B52</f>
        <v>1.3460661964188825</v>
      </c>
      <c r="BO52" s="152">
        <f>($B53*BO53+$B55*BO55+$B56*BO56+$B54*BO54)/$B52</f>
        <v>75.225839127019654</v>
      </c>
      <c r="BP52" s="270"/>
      <c r="BQ52" s="152">
        <f>($C53*BQ53+$C55*BQ55+$C56*BQ56+$C54*BQ54)/$C52</f>
        <v>80.355929447257679</v>
      </c>
      <c r="BR52" s="153">
        <f>($C53*BR53+$C55*BR55+$C56*BR56+$C54*BR54)/$C52</f>
        <v>1.3485448065173118</v>
      </c>
      <c r="BS52" s="152">
        <f>($C53*BS53+$C55*BS55+$C56*BS56+$C54*BS54)/$C52</f>
        <v>79.007384640740369</v>
      </c>
      <c r="BT52" s="152"/>
      <c r="BV52" s="152">
        <f>($D53*BV53+$D55*BV55+$D56*BV56+$D54*BV54)/$D52</f>
        <v>46.556463565842613</v>
      </c>
      <c r="BW52" s="153">
        <f>($D53*BW53+$D55*BW55+$D56*BW56+$D54*BW54)/$D52</f>
        <v>1.32640549273021</v>
      </c>
      <c r="BX52" s="152">
        <f>($D53*BX53+$D55*BX55+$D56*BX56+$D54*BX54)/$D52</f>
        <v>45.230058073112396</v>
      </c>
      <c r="BY52" s="152"/>
      <c r="CA52" s="154"/>
      <c r="CB52" s="154"/>
      <c r="CC52" s="154"/>
      <c r="CD52" s="152">
        <f t="shared" ref="CD52:CF56" si="491">BA52-BM52</f>
        <v>107.42672360672016</v>
      </c>
      <c r="CE52" s="152">
        <f t="shared" si="491"/>
        <v>82.351443897713565</v>
      </c>
      <c r="CF52" s="152">
        <f t="shared" si="491"/>
        <v>25.07527970900658</v>
      </c>
      <c r="CG52" s="152">
        <f t="shared" ref="CG52:CI56" si="492">BD52-BQ52</f>
        <v>114.47944409844804</v>
      </c>
      <c r="CH52" s="152">
        <f t="shared" si="492"/>
        <v>88.143649218201233</v>
      </c>
      <c r="CI52" s="152">
        <f t="shared" si="492"/>
        <v>26.33579488024678</v>
      </c>
      <c r="CJ52" s="152">
        <f t="shared" ref="CJ52:CL56" si="493">BG52-BV52</f>
        <v>51.483496442933578</v>
      </c>
      <c r="CK52" s="152">
        <f t="shared" si="493"/>
        <v>36.406810418562763</v>
      </c>
      <c r="CL52" s="152">
        <f t="shared" si="493"/>
        <v>15.076686024370801</v>
      </c>
      <c r="CM52" s="60"/>
      <c r="CN52" s="60"/>
      <c r="CO52" s="60"/>
      <c r="CS52" s="153">
        <f>($B53*CS53+$B55*CS55+$B56*CS56+$B54*CS54)/$B52</f>
        <v>6.5217561946102371</v>
      </c>
      <c r="CT52" s="153">
        <f>($C53*CT53+$C55*CT55+$C56*CT56+$C54*CT54)/$C52</f>
        <v>6.7557026476578415</v>
      </c>
      <c r="CU52" s="153">
        <f>($D53*CU53+$D55*CU55+$D56*CU56+$D54*CU54)/$D52</f>
        <v>4.6660581583198706</v>
      </c>
      <c r="CY52" s="269">
        <f>(BA52-BM52)/'Amortization metrics'!$D$4/F52</f>
        <v>0.30198737308814666</v>
      </c>
      <c r="CZ52" s="525">
        <f>(BA52-BM52-EN52*CF52)/'Amortization metrics'!$D$4/G52</f>
        <v>1.5253114294586889</v>
      </c>
      <c r="DA52" s="144">
        <f>10^3*CZ52/(($P53*$HF53+$P54*$HF54+$P55*$HF55+$P56*$HF56)/$P52)</f>
        <v>152.53114294586891</v>
      </c>
      <c r="DB52" s="152"/>
      <c r="DC52" s="60"/>
      <c r="DD52" s="525">
        <f>(BD52-BQ52-EQ52*CI52)/'Amortization metrics'!$D$4/I52</f>
        <v>1.734194986862577</v>
      </c>
      <c r="DE52" s="144">
        <f>10^3*DD52/(($S53*$HF53+$S54*$HF54+$S55*$HF55+$S56*$HF56)/$S52)</f>
        <v>173.4194986862577</v>
      </c>
      <c r="DF52" s="152"/>
      <c r="DG52" s="60"/>
      <c r="DH52" s="525">
        <f>(BG52-BV52-EX52*CL52)/'Amortization metrics'!$D$4/K52</f>
        <v>0.48720980906651817</v>
      </c>
      <c r="DI52" s="144">
        <f>10^3*DH52/(($U53*$HF53+$U54*$HF54+$U55*$HF55+$U56*$HF56)/$U52)</f>
        <v>48.720980906651818</v>
      </c>
      <c r="DJ52" s="152"/>
      <c r="DK52" s="269">
        <f>$EF$11*DW52</f>
        <v>0.27618635543999265</v>
      </c>
      <c r="DL52" s="525">
        <f>$EF$11*DX52</f>
        <v>1.4000848023304142</v>
      </c>
      <c r="DM52" s="144">
        <f>10^3*DL52/(($P53*$HF53+$P54*$HF54+$P55*$HF55+$P56*$HF56)/$P52)</f>
        <v>140.00848023304144</v>
      </c>
      <c r="DN52" s="152"/>
      <c r="DO52" s="60"/>
      <c r="DP52" s="525">
        <f>$EF$11*EA52</f>
        <v>1.5468586510349054</v>
      </c>
      <c r="DQ52" s="144">
        <f>10^3*DP52/(($S53*$HF53+$S54*$HF54+$S55*$HF55+$S56*$HF56)/$S52)</f>
        <v>154.68586510349053</v>
      </c>
      <c r="DR52" s="152"/>
      <c r="DS52" s="60"/>
      <c r="DT52" s="525">
        <f>$EF$11*ED52</f>
        <v>0.669991337591056</v>
      </c>
      <c r="DU52" s="144">
        <f>10^3*DT52/(($U53*$HF53+$U54*$HF54+$U55*$HF55+$U56*$HF56)/$U52)</f>
        <v>66.999133759105604</v>
      </c>
      <c r="DV52" s="152"/>
      <c r="DW52" s="149">
        <f>CS52/F52</f>
        <v>0.54999946615010342</v>
      </c>
      <c r="DX52" s="525">
        <f>CS52/G52</f>
        <v>2.7881388007739933</v>
      </c>
      <c r="DY52" s="123"/>
      <c r="DZ52" s="60"/>
      <c r="EA52" s="525">
        <f>CT52/I52</f>
        <v>3.0804252835861594</v>
      </c>
      <c r="EB52" s="123"/>
      <c r="EC52" s="60"/>
      <c r="ED52" s="525">
        <f>CU52/K52</f>
        <v>1.3342254993488911</v>
      </c>
      <c r="EE52" s="123"/>
      <c r="EF52" s="60"/>
      <c r="EG52" s="60"/>
      <c r="EH52" s="60"/>
      <c r="EI52" s="152">
        <f t="shared" ref="EI52" si="494">EI53+EI55+EI56+EI54</f>
        <v>45.030783794999991</v>
      </c>
      <c r="EJ52" s="269">
        <f>($O53*EJ53+$O55*EJ55+$O56*EJ56+$O54*EJ54)/$O52</f>
        <v>6.8684797930187683E-2</v>
      </c>
      <c r="EK52" s="473">
        <f>($P53*EK53+$P55*EK55+$P56*EK56+$P54*EK54)/$P52</f>
        <v>0.34818715638573633</v>
      </c>
      <c r="EL52" s="144"/>
      <c r="EM52" s="149"/>
      <c r="EN52" s="594">
        <f>($B53*EN53+$B55*EN55+$B56*EN56+$B54*EN54)/$B52</f>
        <v>1.5581262434436608E-2</v>
      </c>
      <c r="EO52" s="269"/>
      <c r="EP52" s="473">
        <f>($S53*EP53+$S55*EP55+$S56*EP56+$S54*EP54)/$S52</f>
        <v>0.3436017444398094</v>
      </c>
      <c r="EQ52" s="594">
        <f>($C53*EQ53+$C55*EQ55+$C56*EQ56+$C54*EQ54)/$C52</f>
        <v>1.4473930753564157E-2</v>
      </c>
      <c r="ER52" s="594"/>
      <c r="ES52" s="594"/>
      <c r="ET52" s="594"/>
      <c r="EU52" s="594"/>
      <c r="EV52" s="269"/>
      <c r="EW52" s="473">
        <f>($U53*EW53+$U55*EW55+$U56*EW56+$U54*EW54)/$U52</f>
        <v>0.3709962557205872</v>
      </c>
      <c r="EX52" s="594">
        <f>($D53*EX53+$D55*EX55+$D56*EX56+$D54*EX54)/$D52</f>
        <v>2.4364781906300485E-2</v>
      </c>
      <c r="EY52" s="594"/>
      <c r="EZ52" s="594"/>
      <c r="FA52" s="594"/>
      <c r="FB52" s="594"/>
      <c r="FC52" s="595"/>
      <c r="FD52" s="595"/>
      <c r="FE52" s="595"/>
      <c r="FF52" s="595"/>
      <c r="FG52" s="595"/>
      <c r="FH52" s="595"/>
      <c r="FI52" s="595"/>
      <c r="FJ52" s="595"/>
      <c r="FK52" s="595"/>
      <c r="FL52" s="152">
        <f>FL53+FL55+FL56+FL54</f>
        <v>83.090779123442928</v>
      </c>
      <c r="FM52" s="152">
        <f>FM53+FM55+FM56+FM54</f>
        <v>34.064846975222196</v>
      </c>
      <c r="FN52" s="152">
        <f>FN53+FN55+FN56+FN54</f>
        <v>1.1155579608093014</v>
      </c>
      <c r="FO52" s="152">
        <f t="shared" ref="FO52:FP52" si="495">FO53+FO55+FO56+FO54</f>
        <v>17.673723273537998</v>
      </c>
      <c r="FP52" s="152">
        <f t="shared" si="495"/>
        <v>30.236650913873458</v>
      </c>
      <c r="FQ52" s="152"/>
      <c r="FR52" s="269">
        <f>($P53*FR53+$P55*FR55+$P56*FR56+$P54*FR54)/$P52</f>
        <v>0.1232951944650684</v>
      </c>
      <c r="FS52" s="473">
        <f>($P53*FS53+$P55*FS55+$P56*FS56+$P54*FS54)/$P52</f>
        <v>0.64247476207774312</v>
      </c>
      <c r="FT52" s="144">
        <f>10^3*FS52/(($P53*$HF53+$P54*$HF54+$P55*$HF55+$P56*$HF56)/$P52)</f>
        <v>64.247476207774312</v>
      </c>
      <c r="FU52" s="149"/>
      <c r="FV52" s="123"/>
      <c r="FW52" s="269">
        <f>($P53*FW53+$P55*FW55+$P56*FW56+$P54*FW54)/$P52</f>
        <v>0.27202202855140267</v>
      </c>
      <c r="FX52" s="123"/>
      <c r="FY52" s="269">
        <f>($P53*FY53+$P55*FY55+$P56*FY56+$P54*FY54)/$P52</f>
        <v>0.37045273352634039</v>
      </c>
      <c r="FZ52" s="123"/>
      <c r="GA52" s="269">
        <f>($P53*GA53+$P55*GA55+$P56*GA56+$P54*GA54)/$P52</f>
        <v>0</v>
      </c>
      <c r="GB52" s="269">
        <f>($O53*GB53+$O55*GB55+$O56*GB56+$O54*GB54)/$O52</f>
        <v>5.1958614392932131E-2</v>
      </c>
      <c r="GC52" s="269">
        <f>($P53*GC53+$P55*GC55+$P56*GC56+$P54*GC54)/$P52</f>
        <v>0.2633963080681454</v>
      </c>
      <c r="GD52" s="269">
        <f>($O53*GD53+$O55*GD55+$O56*GD56+$O54*GD54)/$O52</f>
        <v>1.7015442917097713E-3</v>
      </c>
      <c r="GE52" s="269">
        <f>($P53*GE53+$P55*GE55+$P56*GE56+$P54*GE54)/$P52</f>
        <v>8.6257204832572779E-3</v>
      </c>
      <c r="GF52" s="269">
        <f>($O53*GF53+$O55*GF55+$O56*GF56+$O54*GF54)/$O52</f>
        <v>2.6957472409170017E-2</v>
      </c>
      <c r="GG52" s="269">
        <f>($P53*GG53+$P55*GG55+$P56*GG56+$P54*GG54)/$P52</f>
        <v>0.13665681408914068</v>
      </c>
      <c r="GH52" s="269">
        <f>($O53*GH53+$O55*GH55+$O56*GH56+$O54*GH54)/$O52</f>
        <v>4.6119522759353375E-2</v>
      </c>
      <c r="GI52" s="269">
        <f>($P53*GI53+$P55*GI55+$P56*GI56+$P54*GI54)/$P52</f>
        <v>0.23379591943719968</v>
      </c>
      <c r="GJ52" s="149">
        <f>($P53*GJ53+$P55*GJ55+$P56*GJ56+$P54*GJ54)/$P52</f>
        <v>6.5817626367373006</v>
      </c>
      <c r="GM52" s="149">
        <f>($S53*GM53+$S55*GM55+$S56*GM56+$S54*GM54)/$S52</f>
        <v>7.3328091599897487</v>
      </c>
      <c r="GP52" s="149">
        <f>($U53*GP53+$U55*GP55+$U56*GP56+$U54*GP54)/$U52</f>
        <v>2.8498618496152806</v>
      </c>
      <c r="GS52" s="149">
        <f>($P53*GS53+$P55*GS55+$P56*GS56+$P54*GS54)/$P52</f>
        <v>6.1243061936749985</v>
      </c>
      <c r="GV52" s="149">
        <f>($S53*GV53+$S55*GV55+$S56*GV56+$S54*GV54)/$S52</f>
        <v>6.6475935144673173</v>
      </c>
      <c r="GY52" s="149">
        <f>($U53*GY53+$U55*GY55+$U56*GY56+$U54*GY54)/$U52</f>
        <v>3.5213312327836834</v>
      </c>
      <c r="HB52" s="16"/>
    </row>
    <row r="53" spans="1:218" s="4" customFormat="1" x14ac:dyDescent="0.25">
      <c r="A53" s="14" t="s">
        <v>71</v>
      </c>
      <c r="B53" s="67">
        <f t="shared" ref="B53:B56" si="496">C53+D53</f>
        <v>4.4400000000000004</v>
      </c>
      <c r="C53" s="33">
        <v>4</v>
      </c>
      <c r="D53" s="33">
        <v>0.44</v>
      </c>
      <c r="E53" s="38">
        <f t="shared" ref="E53:E56" si="497">D53/B53</f>
        <v>9.9099099099099086E-2</v>
      </c>
      <c r="F53" s="108">
        <f t="shared" ref="F53:F56" si="498">O53/B53</f>
        <v>18.1009009009009</v>
      </c>
      <c r="G53" s="32">
        <f t="shared" ref="G53:G56" si="499">P53/B53</f>
        <v>4.525225225225225</v>
      </c>
      <c r="H53" s="33">
        <v>17.100000000000001</v>
      </c>
      <c r="I53" s="32">
        <f>$HB53*H53</f>
        <v>4.2750000000000004</v>
      </c>
      <c r="J53" s="33">
        <v>27.2</v>
      </c>
      <c r="K53" s="32">
        <f>$HB53*J53</f>
        <v>6.8</v>
      </c>
      <c r="L53" s="32">
        <f t="shared" ref="L53:L56" si="500">10/G53</f>
        <v>2.209834760103524</v>
      </c>
      <c r="M53" s="32">
        <f t="shared" ref="M53:M56" si="501">10/I53</f>
        <v>2.3391812865497075</v>
      </c>
      <c r="N53" s="32">
        <f t="shared" ref="N53:N56" si="502">10/K53</f>
        <v>1.4705882352941178</v>
      </c>
      <c r="O53" s="107">
        <f t="shared" ref="O53:O56" si="503">R53+T53</f>
        <v>80.368000000000009</v>
      </c>
      <c r="P53" s="68">
        <f t="shared" ref="P53:P56" si="504">S53+U53</f>
        <v>20.092000000000002</v>
      </c>
      <c r="Q53" s="68"/>
      <c r="R53" s="67">
        <f t="shared" ref="R53:R56" si="505">C53*H53</f>
        <v>68.400000000000006</v>
      </c>
      <c r="S53" s="67">
        <f t="shared" ref="S53:S56" si="506">C53*I53</f>
        <v>17.100000000000001</v>
      </c>
      <c r="T53" s="67">
        <f t="shared" ref="T53:T56" si="507">D53*J53</f>
        <v>11.968</v>
      </c>
      <c r="U53" s="67">
        <f t="shared" ref="U53:U56" si="508">D53*K53</f>
        <v>2.992</v>
      </c>
      <c r="V53" s="38">
        <f t="shared" ref="V53:V56" si="509">U53/P53</f>
        <v>0.14891499104121042</v>
      </c>
      <c r="W53" s="294">
        <f t="shared" ref="W53:W56" si="510">($C53*AF53+$D53*AO53)/$B53</f>
        <v>0.66901372907090972</v>
      </c>
      <c r="X53" s="294">
        <f t="shared" ref="X53:X56" si="511">($C53*AG53+$D53*AP53)/$B53</f>
        <v>0.10244349177168331</v>
      </c>
      <c r="Y53" s="294">
        <f t="shared" ref="Y53:Y56" si="512">($C53*AH53+$D53*AQ53)/$B53</f>
        <v>1.41197296444625E-6</v>
      </c>
      <c r="Z53" s="294">
        <f t="shared" ref="Z53:Z56" si="513">($C53*AI53+$D53*AR53)/$B53</f>
        <v>0.14924302212157156</v>
      </c>
      <c r="AA53" s="294">
        <f t="shared" ref="AA53:AA56" si="514">($C53*AJ53+$D53*AS53)/$B53</f>
        <v>3.2553944203331437E-3</v>
      </c>
      <c r="AB53" s="294">
        <f t="shared" ref="AB53:AB56" si="515">($C53*AK53+$D53*AT53)/$B53</f>
        <v>6.6513724242253311E-3</v>
      </c>
      <c r="AC53" s="294">
        <f t="shared" ref="AC53:AC56" si="516">($C53*AL53+$D53*AU53)/$B53</f>
        <v>5.4189225311265399E-3</v>
      </c>
      <c r="AD53" s="294">
        <f t="shared" ref="AD53:AD56" si="517">($C53*AM53+$D53*AV53)/$B53</f>
        <v>6.3972405175853328E-2</v>
      </c>
      <c r="AE53" s="294">
        <f t="shared" ref="AE53:AE56" si="518">($C53*AN53+$D53*AW53)/$B53</f>
        <v>0</v>
      </c>
      <c r="AF53" s="433">
        <v>0.70012701874218441</v>
      </c>
      <c r="AG53" s="433">
        <v>0.11153485239629411</v>
      </c>
      <c r="AH53" s="433">
        <v>1.5672899905353377E-6</v>
      </c>
      <c r="AI53" s="433">
        <v>0.15098288420742736</v>
      </c>
      <c r="AJ53" s="433">
        <v>2.7339098786515609E-3</v>
      </c>
      <c r="AK53" s="433">
        <v>5.4607416734748972E-3</v>
      </c>
      <c r="AL53" s="433">
        <v>6.2759852572614235E-4</v>
      </c>
      <c r="AM53" s="433">
        <v>2.8531149218671809E-2</v>
      </c>
      <c r="AN53" s="433">
        <v>0</v>
      </c>
      <c r="AO53" s="433">
        <v>0.38616564115023083</v>
      </c>
      <c r="AP53" s="433">
        <v>1.9794758820676162E-2</v>
      </c>
      <c r="AQ53" s="433">
        <v>0</v>
      </c>
      <c r="AR53" s="433">
        <v>0.133426094068337</v>
      </c>
      <c r="AS53" s="433">
        <v>7.9961629810748093E-3</v>
      </c>
      <c r="AT53" s="433">
        <v>1.7475288340138367E-2</v>
      </c>
      <c r="AU53" s="433">
        <v>4.8976413489311976E-2</v>
      </c>
      <c r="AV53" s="433">
        <v>0.38616564115023083</v>
      </c>
      <c r="AW53" s="433">
        <v>0</v>
      </c>
      <c r="AX53" s="554">
        <f>BA53*$B53/10^3</f>
        <v>1.162513816517845</v>
      </c>
      <c r="AY53" s="554">
        <f t="shared" ref="AY53:AZ56" si="519">BB53*$B53/10^3</f>
        <v>0.57664892489249597</v>
      </c>
      <c r="AZ53" s="554">
        <f t="shared" si="519"/>
        <v>0.58586489162534894</v>
      </c>
      <c r="BA53" s="67">
        <f t="shared" ref="BA53:BA56" si="520">BB53+BC53</f>
        <v>261.82743615266776</v>
      </c>
      <c r="BB53" s="67">
        <f t="shared" ref="BB53:BC56" si="521">(BE53*$C53+BH53*$D53)/$B53</f>
        <v>129.87588398479639</v>
      </c>
      <c r="BC53" s="67">
        <f t="shared" si="521"/>
        <v>131.95155216787137</v>
      </c>
      <c r="BD53" s="67">
        <f t="shared" ref="BD53:BD56" si="522">BE53+BF53</f>
        <v>269.32584417818452</v>
      </c>
      <c r="BE53" s="105">
        <v>134.71069978098583</v>
      </c>
      <c r="BF53" s="105">
        <v>134.61514439719872</v>
      </c>
      <c r="BG53" s="68">
        <f t="shared" ref="BG53:BG56" si="523">BH53+BI53</f>
        <v>193.66009046615187</v>
      </c>
      <c r="BH53" s="106">
        <v>85.923013110347043</v>
      </c>
      <c r="BI53" s="106">
        <v>107.73707735580481</v>
      </c>
      <c r="BJ53" s="554">
        <f>BM53*$B53/10^3</f>
        <v>0.46159866871901178</v>
      </c>
      <c r="BK53" s="554">
        <f t="shared" ref="BK53:BK56" si="524">BN53*$B53/10^3</f>
        <v>2.2200000000000001E-2</v>
      </c>
      <c r="BL53" s="554">
        <f t="shared" ref="BL53:BL56" si="525">BO53*$B53/10^3</f>
        <v>0.43939866871901179</v>
      </c>
      <c r="BM53" s="32">
        <f t="shared" ref="BM53:BM56" si="526">BN53+BO53</f>
        <v>103.96366412590355</v>
      </c>
      <c r="BN53" s="32">
        <f t="shared" ref="BN53:BO56" si="527">(BR53*$C53+BW53*$D53)/$B53</f>
        <v>4.9999999999999991</v>
      </c>
      <c r="BO53" s="67">
        <f t="shared" si="527"/>
        <v>98.963664125903549</v>
      </c>
      <c r="BP53" s="270"/>
      <c r="BQ53" s="67">
        <f t="shared" ref="BQ53:BQ56" si="528">BR53+BS53</f>
        <v>105.96135829789904</v>
      </c>
      <c r="BR53" s="33">
        <v>5</v>
      </c>
      <c r="BS53" s="67">
        <f>(1-BU53)*BF53</f>
        <v>100.96135829789904</v>
      </c>
      <c r="BT53" s="67"/>
      <c r="BU53" s="34">
        <f t="shared" ref="BU53:BU56" si="529">BU$17</f>
        <v>0.25</v>
      </c>
      <c r="BV53" s="68">
        <f t="shared" ref="BV53:BV56" si="530">BW53+BX53</f>
        <v>85.802808016853618</v>
      </c>
      <c r="BW53" s="33">
        <v>5</v>
      </c>
      <c r="BX53" s="67">
        <f>(1-BZ53)*BI53</f>
        <v>80.802808016853618</v>
      </c>
      <c r="BY53" s="67"/>
      <c r="BZ53" s="34">
        <f t="shared" ref="BZ53:BZ56" si="531">BZ$17</f>
        <v>0.25</v>
      </c>
      <c r="CA53" s="294"/>
      <c r="CB53" s="294"/>
      <c r="CC53" s="294"/>
      <c r="CD53" s="67">
        <f t="shared" si="491"/>
        <v>157.8637720267642</v>
      </c>
      <c r="CE53" s="67">
        <f t="shared" si="491"/>
        <v>124.87588398479639</v>
      </c>
      <c r="CF53" s="67">
        <f t="shared" si="491"/>
        <v>32.987888041967821</v>
      </c>
      <c r="CG53" s="67">
        <f t="shared" si="492"/>
        <v>163.36448588028549</v>
      </c>
      <c r="CH53" s="67">
        <f t="shared" si="492"/>
        <v>129.71069978098583</v>
      </c>
      <c r="CI53" s="67">
        <f t="shared" si="492"/>
        <v>33.65378609929968</v>
      </c>
      <c r="CJ53" s="67">
        <f t="shared" si="493"/>
        <v>107.85728244929825</v>
      </c>
      <c r="CK53" s="67">
        <f t="shared" si="493"/>
        <v>80.923013110347043</v>
      </c>
      <c r="CL53" s="67">
        <f t="shared" si="493"/>
        <v>26.934269338951196</v>
      </c>
      <c r="CM53" s="68"/>
      <c r="CN53" s="293"/>
      <c r="CO53" s="293"/>
      <c r="CS53" s="32">
        <f t="shared" ref="CS53:CS56" si="532">(CT53*$C53+CU53*$D53)/$B53</f>
        <v>8.9527927927927919</v>
      </c>
      <c r="CT53" s="33">
        <v>9.15</v>
      </c>
      <c r="CU53" s="99">
        <v>7.16</v>
      </c>
      <c r="CY53" s="97">
        <f>CZ53*$HB53</f>
        <v>0.28866376992694037</v>
      </c>
      <c r="CZ53" s="263">
        <f>(BA53-BM53-EN53*CF53)/'Amortization metrics'!$D$4/G53</f>
        <v>1.1546550797077615</v>
      </c>
      <c r="DA53" s="527">
        <f>10^3*CZ53/$HF53</f>
        <v>115.46550797077614</v>
      </c>
      <c r="DB53" s="528">
        <f>CZ53/$HH53</f>
        <v>38.488502656925384</v>
      </c>
      <c r="DC53" s="97">
        <f>DD53*$HB53</f>
        <v>0.31648779274057781</v>
      </c>
      <c r="DD53" s="263">
        <f>(BD53-BQ53-EQ53*CI53)/'Amortization metrics'!$D$4/I53</f>
        <v>1.2659511709623112</v>
      </c>
      <c r="DE53" s="527">
        <f>10^3*DD53/$HF53</f>
        <v>126.59511709623112</v>
      </c>
      <c r="DF53" s="528">
        <f>DD53/$HH53</f>
        <v>42.198372365410378</v>
      </c>
      <c r="DG53" s="97">
        <f>DH53*$HB53</f>
        <v>0.129926918235762</v>
      </c>
      <c r="DH53" s="263">
        <f>(BG53-BV53-EX53*CL53)/'Amortization metrics'!$D$4/K53</f>
        <v>0.51970767294304798</v>
      </c>
      <c r="DI53" s="527">
        <f>10^3*DH53/$HF53</f>
        <v>51.9707672943048</v>
      </c>
      <c r="DJ53" s="528">
        <f>DH53/$HH53</f>
        <v>17.3235890981016</v>
      </c>
      <c r="DK53" s="97">
        <f>DL53*$HB53</f>
        <v>0.24836951747957239</v>
      </c>
      <c r="DL53" s="263">
        <f>$EF$11*DX53</f>
        <v>0.99347806991828957</v>
      </c>
      <c r="DM53" s="527">
        <f>10^3*DL53/$HF53</f>
        <v>99.347806991828946</v>
      </c>
      <c r="DN53" s="528">
        <f>DL53/$HH53</f>
        <v>33.115935663942984</v>
      </c>
      <c r="DO53" s="97">
        <f>DP53*$HB53</f>
        <v>0.26869830996044591</v>
      </c>
      <c r="DP53" s="263">
        <f>$EF$11*EA53</f>
        <v>1.0747932398417837</v>
      </c>
      <c r="DQ53" s="527">
        <f>10^3*DP53/$HF53</f>
        <v>107.47932398417836</v>
      </c>
      <c r="DR53" s="528">
        <f>DP53/$HH53</f>
        <v>35.82644132805946</v>
      </c>
      <c r="DS53" s="97">
        <f>DT53*$HB53</f>
        <v>0.13218557649597057</v>
      </c>
      <c r="DT53" s="263">
        <f>$EF$11*ED53</f>
        <v>0.52874230598388228</v>
      </c>
      <c r="DU53" s="527">
        <f>10^3*DT53/$HF53</f>
        <v>52.874230598388223</v>
      </c>
      <c r="DV53" s="528">
        <f>DT53/$HH53</f>
        <v>17.624743532796078</v>
      </c>
      <c r="DW53" s="97">
        <f>DX53*$HB53</f>
        <v>0.49460481783794541</v>
      </c>
      <c r="DX53" s="263">
        <f>CS53/G53</f>
        <v>1.9784192713517816</v>
      </c>
      <c r="DY53" s="68">
        <f>10^3*DX53/$HF53</f>
        <v>197.84192713517817</v>
      </c>
      <c r="DZ53" s="97">
        <f>EA53*$HB53</f>
        <v>0.53508771929824561</v>
      </c>
      <c r="EA53" s="263">
        <f>CT53/I53</f>
        <v>2.1403508771929824</v>
      </c>
      <c r="EB53" s="68">
        <f>10^3*EA53/$HF53</f>
        <v>214.03508771929825</v>
      </c>
      <c r="EC53" s="97">
        <f>ED53*$HB53</f>
        <v>0.26323529411764707</v>
      </c>
      <c r="ED53" s="263">
        <f>CU53/K53</f>
        <v>1.0529411764705883</v>
      </c>
      <c r="EE53" s="68">
        <f>10^3*ED53/$HF53</f>
        <v>105.29411764705883</v>
      </c>
      <c r="EF53" s="60"/>
      <c r="EG53" s="60"/>
      <c r="EH53" s="60"/>
      <c r="EI53" s="554">
        <f>EK53*$P53</f>
        <v>8.1623132639999998</v>
      </c>
      <c r="EJ53" s="262">
        <f>EK53*$HB53</f>
        <v>0.10156173183356558</v>
      </c>
      <c r="EK53" s="166">
        <f>(EP53*S53+EW53*U53)/P53</f>
        <v>0.40624692733426232</v>
      </c>
      <c r="EL53" s="68">
        <f>10^3*EK53/$HF53</f>
        <v>40.62469273342623</v>
      </c>
      <c r="EM53" s="97">
        <f>EK53/$HH53</f>
        <v>13.541564244475412</v>
      </c>
      <c r="EN53" s="429">
        <f>(EQ53*C53+EX53*D53)/B53</f>
        <v>3.3695495495495491E-2</v>
      </c>
      <c r="EO53" s="262">
        <f>EP53*$HB53</f>
        <v>9.5396736842105256E-2</v>
      </c>
      <c r="EP53" s="436">
        <f>EQ53*EU53/I53</f>
        <v>0.38158694736842103</v>
      </c>
      <c r="EQ53" s="101">
        <v>2.9899999999999999E-2</v>
      </c>
      <c r="ER53" s="433">
        <v>1</v>
      </c>
      <c r="ES53" s="433">
        <v>0</v>
      </c>
      <c r="ET53" s="434">
        <f>1-ER53-ES53</f>
        <v>0</v>
      </c>
      <c r="EU53" s="430">
        <f>ER53*$FC53+ES53*$FD53+ET53*$FE53+'Amortization metrics'!$B$6*(ER53*$FF53+ES53*$FG53+ET53*$FH53)/10^3+'Amortization metrics'!$B$5*(ER53*$FI53+ES53*$FJ53+ET53*$FK53)/10^3</f>
        <v>54.558</v>
      </c>
      <c r="EV53" s="262">
        <f>EW53*$HB53</f>
        <v>0.13679616176470588</v>
      </c>
      <c r="EW53" s="436">
        <f>EX53*FB53/K53</f>
        <v>0.54718464705882353</v>
      </c>
      <c r="EX53" s="101">
        <v>6.8199999999999997E-2</v>
      </c>
      <c r="EY53" s="433">
        <v>1</v>
      </c>
      <c r="EZ53" s="433">
        <v>0</v>
      </c>
      <c r="FA53" s="434">
        <f t="shared" ref="FA53:FA54" si="533">1-EY53-EZ53</f>
        <v>0</v>
      </c>
      <c r="FB53" s="430">
        <f>EY53*$FC53+EZ53*$FD53+FA53*$FE53+'Amortization metrics'!$B$6*(EY53*$FF53+EZ53*$FG53+FA53*$FH53)/10^3+'Amortization metrics'!$B$5*(EY53*$FI53+EZ53*$FJ53+FA53*$FK53)/10^3</f>
        <v>54.558</v>
      </c>
      <c r="FC53" s="431">
        <v>51.3</v>
      </c>
      <c r="FD53" s="431">
        <v>29</v>
      </c>
      <c r="FE53" s="431">
        <v>29</v>
      </c>
      <c r="FF53" s="99">
        <v>5</v>
      </c>
      <c r="FG53" s="431">
        <v>13</v>
      </c>
      <c r="FH53" s="431">
        <v>13</v>
      </c>
      <c r="FI53" s="431">
        <v>52</v>
      </c>
      <c r="FJ53" s="431">
        <v>58.3</v>
      </c>
      <c r="FK53" s="431">
        <v>58.3</v>
      </c>
      <c r="FL53" s="554">
        <f>FO53+FP53+FM53+FN53+FQ53</f>
        <v>6.3793893427993602</v>
      </c>
      <c r="FM53" s="554">
        <f>GC53*$P53</f>
        <v>2.4828557260774402</v>
      </c>
      <c r="FN53" s="554">
        <f>GE53*$P53</f>
        <v>0.22829356583040003</v>
      </c>
      <c r="FO53" s="554">
        <f>GG53*$P53</f>
        <v>1.4240942135296002</v>
      </c>
      <c r="FP53" s="554">
        <f>GI53*$P53</f>
        <v>2.2441458373619203</v>
      </c>
      <c r="FQ53" s="554"/>
      <c r="FR53" s="167">
        <f>FS53*HB53</f>
        <v>7.9377231520000008E-2</v>
      </c>
      <c r="FS53" s="166">
        <f>FY53+FW53+GA53</f>
        <v>0.31750892608000003</v>
      </c>
      <c r="FT53" s="68">
        <f>10^3*FS53/$HF53</f>
        <v>31.750892608000004</v>
      </c>
      <c r="FU53" s="97">
        <f>FS53/$HH53</f>
        <v>10.583630869333335</v>
      </c>
      <c r="FV53" s="473">
        <f>FW53*HB53</f>
        <v>3.3734188880000002E-2</v>
      </c>
      <c r="FW53" s="269">
        <f>GC53+GE53</f>
        <v>0.13493675552000001</v>
      </c>
      <c r="FX53" s="473">
        <f>FY53*HB53</f>
        <v>4.5643042639999999E-2</v>
      </c>
      <c r="FY53" s="269">
        <f>GG53+GI53</f>
        <v>0.18257217056</v>
      </c>
      <c r="FZ53" s="49"/>
      <c r="GA53" s="49"/>
      <c r="GB53" s="435">
        <v>3.089358608E-2</v>
      </c>
      <c r="GC53" s="522">
        <f>GB53/$HB53</f>
        <v>0.12357434432</v>
      </c>
      <c r="GD53" s="435">
        <v>2.8406028000000001E-3</v>
      </c>
      <c r="GE53" s="522">
        <f>GD53/$HB53</f>
        <v>1.13624112E-2</v>
      </c>
      <c r="GF53" s="435">
        <v>1.7719667200000001E-2</v>
      </c>
      <c r="GG53" s="522">
        <f>GF53/$HB53</f>
        <v>7.0878668800000003E-2</v>
      </c>
      <c r="GH53" s="435">
        <v>2.7923375439999999E-2</v>
      </c>
      <c r="GI53" s="522">
        <f>GH53/$HB53</f>
        <v>0.11169350175999999</v>
      </c>
      <c r="GJ53" s="599">
        <f>44/12*CZ53+$FS53+$EK53</f>
        <v>4.9574911456760544</v>
      </c>
      <c r="GK53" s="527">
        <f>10^3*GJ53/$HF53</f>
        <v>495.74911456760549</v>
      </c>
      <c r="GM53" s="599">
        <f>44/12*DD53+$FS53+$EP53</f>
        <v>5.3409168336435631</v>
      </c>
      <c r="GN53" s="527">
        <f>10^3*GM53/$HF53</f>
        <v>534.0916833643563</v>
      </c>
      <c r="GP53" s="599">
        <f>44/12*DH53+$FS53+$EW53</f>
        <v>2.7702883739299993</v>
      </c>
      <c r="GQ53" s="527">
        <f>10^3*GP53/$HF53</f>
        <v>277.02883739299989</v>
      </c>
      <c r="GS53" s="599">
        <f>44/12*DL53+$FS53+$EK53</f>
        <v>4.3665087764479908</v>
      </c>
      <c r="GT53" s="527">
        <f>10^3*GS53/$HF53</f>
        <v>436.65087764479915</v>
      </c>
      <c r="GV53" s="599">
        <f>44/12*DP53+$FS53+$EP53</f>
        <v>4.6400044195349608</v>
      </c>
      <c r="GW53" s="527">
        <f>10^3*GV53/$HF53</f>
        <v>464.00044195349608</v>
      </c>
      <c r="GY53" s="599">
        <f>44/12*DT53+$FS53+$EW53</f>
        <v>2.8034153617463917</v>
      </c>
      <c r="GZ53" s="527">
        <f>10^3*GY53/$HF53</f>
        <v>280.34153617463915</v>
      </c>
      <c r="HB53" s="31">
        <v>0.25</v>
      </c>
      <c r="HC53" s="32">
        <f t="shared" ref="HC53:HC55" si="534">$HB53*HD53</f>
        <v>4.5</v>
      </c>
      <c r="HD53" s="27">
        <v>18</v>
      </c>
      <c r="HE53" s="32">
        <f t="shared" ref="HE53:HE55" si="535">$HB53*HF53</f>
        <v>2.5</v>
      </c>
      <c r="HF53" s="33">
        <v>10</v>
      </c>
      <c r="HG53" s="36">
        <f t="shared" ref="HG53:HG56" si="536">$HB53*HH53</f>
        <v>7.4999999999999997E-3</v>
      </c>
      <c r="HH53" s="35">
        <v>0.03</v>
      </c>
      <c r="HI53" s="36"/>
      <c r="HJ53" s="35"/>
    </row>
    <row r="54" spans="1:218" s="4" customFormat="1" x14ac:dyDescent="0.25">
      <c r="A54" s="14" t="s">
        <v>312</v>
      </c>
      <c r="B54" s="67">
        <f>C54+D54</f>
        <v>4.3499999999999996</v>
      </c>
      <c r="C54" s="99">
        <v>4.3</v>
      </c>
      <c r="D54" s="99">
        <v>0.05</v>
      </c>
      <c r="E54" s="38">
        <f>D54/B54</f>
        <v>1.149425287356322E-2</v>
      </c>
      <c r="F54" s="108">
        <f>O54/B54</f>
        <v>7.6981609195402294</v>
      </c>
      <c r="G54" s="32">
        <f>P54/B54</f>
        <v>2.6943563218390807</v>
      </c>
      <c r="H54" s="99">
        <v>7.64</v>
      </c>
      <c r="I54" s="97">
        <f>$HB54*H54</f>
        <v>2.6739999999999999</v>
      </c>
      <c r="J54" s="99">
        <v>12.7</v>
      </c>
      <c r="K54" s="32">
        <f>$HB54*J54</f>
        <v>4.4449999999999994</v>
      </c>
      <c r="L54" s="32">
        <f>10/G54</f>
        <v>3.7114615906385842</v>
      </c>
      <c r="M54" s="32">
        <f>10/I54</f>
        <v>3.7397157816005984</v>
      </c>
      <c r="N54" s="32">
        <f>10/K54</f>
        <v>2.2497187851518565</v>
      </c>
      <c r="O54" s="107">
        <f>R54+T54</f>
        <v>33.486999999999995</v>
      </c>
      <c r="P54" s="68">
        <f>S54+U54</f>
        <v>11.72045</v>
      </c>
      <c r="Q54" s="68"/>
      <c r="R54" s="67">
        <f>C54*H54</f>
        <v>32.851999999999997</v>
      </c>
      <c r="S54" s="67">
        <f>C54*I54</f>
        <v>11.498199999999999</v>
      </c>
      <c r="T54" s="67">
        <f>D54*J54</f>
        <v>0.63500000000000001</v>
      </c>
      <c r="U54" s="67">
        <f>D54*K54</f>
        <v>0.22224999999999998</v>
      </c>
      <c r="V54" s="38">
        <f>U54/P54</f>
        <v>1.8962582494699433E-2</v>
      </c>
      <c r="W54" s="294">
        <f t="shared" si="510"/>
        <v>0.8553836281522148</v>
      </c>
      <c r="X54" s="294">
        <f t="shared" si="511"/>
        <v>3.8642556057023124E-2</v>
      </c>
      <c r="Y54" s="294">
        <f t="shared" si="512"/>
        <v>0</v>
      </c>
      <c r="Z54" s="294">
        <f t="shared" si="513"/>
        <v>7.0664504680170007E-2</v>
      </c>
      <c r="AA54" s="294">
        <f t="shared" si="514"/>
        <v>1.2802863903775918E-4</v>
      </c>
      <c r="AB54" s="294">
        <f t="shared" si="515"/>
        <v>2.1809425814784883E-4</v>
      </c>
      <c r="AC54" s="294">
        <f t="shared" si="516"/>
        <v>3.4737199934741285E-5</v>
      </c>
      <c r="AD54" s="294">
        <f t="shared" si="517"/>
        <v>3.4928451013471772E-2</v>
      </c>
      <c r="AE54" s="294">
        <f t="shared" si="518"/>
        <v>0</v>
      </c>
      <c r="AF54" s="433">
        <v>0.86039939773825302</v>
      </c>
      <c r="AG54" s="433">
        <v>3.9001986314667246E-2</v>
      </c>
      <c r="AH54" s="433">
        <v>0</v>
      </c>
      <c r="AI54" s="433">
        <v>6.9854549169292915E-2</v>
      </c>
      <c r="AJ54" s="433">
        <v>1.2951734414284939E-4</v>
      </c>
      <c r="AK54" s="433">
        <v>1.7536419162704389E-4</v>
      </c>
      <c r="AL54" s="433">
        <v>3.514112086421502E-5</v>
      </c>
      <c r="AM54" s="433">
        <v>3.0404044121152631E-2</v>
      </c>
      <c r="AN54" s="433">
        <v>0</v>
      </c>
      <c r="AO54" s="433">
        <v>0.42402744375291779</v>
      </c>
      <c r="AP54" s="433">
        <v>7.7315538996280807E-3</v>
      </c>
      <c r="AQ54" s="433">
        <v>0</v>
      </c>
      <c r="AR54" s="433">
        <v>0.14032067861559941</v>
      </c>
      <c r="AS54" s="433">
        <v>0</v>
      </c>
      <c r="AT54" s="433">
        <v>3.8928799789370748E-3</v>
      </c>
      <c r="AU54" s="433">
        <v>0</v>
      </c>
      <c r="AV54" s="433">
        <v>0.42402744375291779</v>
      </c>
      <c r="AW54" s="433">
        <v>0</v>
      </c>
      <c r="AX54" s="554">
        <f>BA54*$B54/10^3</f>
        <v>1.2793922525905368</v>
      </c>
      <c r="AY54" s="554">
        <f t="shared" si="519"/>
        <v>0.66554020711292694</v>
      </c>
      <c r="AZ54" s="554">
        <f t="shared" si="519"/>
        <v>0.61385204547760974</v>
      </c>
      <c r="BA54" s="67">
        <f t="shared" si="520"/>
        <v>294.11316151506594</v>
      </c>
      <c r="BB54" s="67">
        <f t="shared" si="521"/>
        <v>152.99774876159242</v>
      </c>
      <c r="BC54" s="67">
        <f t="shared" si="521"/>
        <v>141.11541275347352</v>
      </c>
      <c r="BD54" s="67">
        <f>BE54+BF54</f>
        <v>294.65217665916964</v>
      </c>
      <c r="BE54" s="105">
        <v>153.51656090262074</v>
      </c>
      <c r="BF54" s="105">
        <v>141.1356157565489</v>
      </c>
      <c r="BG54" s="68">
        <f t="shared" si="523"/>
        <v>247.75785912214548</v>
      </c>
      <c r="BH54" s="106">
        <v>108.37990463315656</v>
      </c>
      <c r="BI54" s="106">
        <v>139.37795448898891</v>
      </c>
      <c r="BJ54" s="554">
        <f>BM54*$B54/10^3</f>
        <v>0.4821390341082073</v>
      </c>
      <c r="BK54" s="554">
        <f t="shared" si="524"/>
        <v>2.1749999999999999E-2</v>
      </c>
      <c r="BL54" s="554">
        <f t="shared" si="525"/>
        <v>0.46038903410820731</v>
      </c>
      <c r="BM54" s="32">
        <f t="shared" si="526"/>
        <v>110.83655956510513</v>
      </c>
      <c r="BN54" s="32">
        <f t="shared" si="527"/>
        <v>5</v>
      </c>
      <c r="BO54" s="67">
        <f t="shared" si="527"/>
        <v>105.83655956510513</v>
      </c>
      <c r="BP54" s="270"/>
      <c r="BQ54" s="67">
        <f>BR54+BS54</f>
        <v>110.85171181741168</v>
      </c>
      <c r="BR54" s="33">
        <v>5</v>
      </c>
      <c r="BS54" s="67">
        <f>(1-BU54)*BF54</f>
        <v>105.85171181741168</v>
      </c>
      <c r="BT54" s="67"/>
      <c r="BU54" s="34">
        <f t="shared" si="529"/>
        <v>0.25</v>
      </c>
      <c r="BV54" s="68">
        <f t="shared" si="530"/>
        <v>109.53346586674168</v>
      </c>
      <c r="BW54" s="33">
        <v>5</v>
      </c>
      <c r="BX54" s="67">
        <f>(1-BZ54)*BI54</f>
        <v>104.53346586674168</v>
      </c>
      <c r="BY54" s="67"/>
      <c r="BZ54" s="34">
        <f t="shared" si="531"/>
        <v>0.25</v>
      </c>
      <c r="CA54" s="294"/>
      <c r="CB54" s="294"/>
      <c r="CC54" s="294"/>
      <c r="CD54" s="67">
        <f t="shared" si="491"/>
        <v>183.27660194996082</v>
      </c>
      <c r="CE54" s="67">
        <f t="shared" si="491"/>
        <v>147.99774876159242</v>
      </c>
      <c r="CF54" s="67">
        <f t="shared" si="491"/>
        <v>35.278853188368387</v>
      </c>
      <c r="CG54" s="67">
        <f t="shared" si="492"/>
        <v>183.80046484175796</v>
      </c>
      <c r="CH54" s="67">
        <f t="shared" si="492"/>
        <v>148.51656090262074</v>
      </c>
      <c r="CI54" s="67">
        <f t="shared" si="492"/>
        <v>35.283903939137218</v>
      </c>
      <c r="CJ54" s="67">
        <f t="shared" si="493"/>
        <v>138.22439325540381</v>
      </c>
      <c r="CK54" s="67">
        <f t="shared" si="493"/>
        <v>103.37990463315656</v>
      </c>
      <c r="CL54" s="67">
        <f t="shared" si="493"/>
        <v>34.844488622247226</v>
      </c>
      <c r="CM54" s="68"/>
      <c r="CN54" s="293"/>
      <c r="CO54" s="293"/>
      <c r="CS54" s="32">
        <f t="shared" si="532"/>
        <v>9.5500000000000025</v>
      </c>
      <c r="CT54" s="33">
        <v>9.5500000000000007</v>
      </c>
      <c r="CU54" s="99">
        <v>9.5500000000000007</v>
      </c>
      <c r="CY54" s="97">
        <f>CZ54*$HB54</f>
        <v>0.78898915687348814</v>
      </c>
      <c r="CZ54" s="263">
        <f>(BA54-BM54-EN54*CF54)/'Amortization metrics'!$D$4/G54</f>
        <v>2.254254733924252</v>
      </c>
      <c r="DA54" s="527">
        <f>10^3*CZ54/$HF54</f>
        <v>225.4254733924252</v>
      </c>
      <c r="DB54" s="528">
        <f>CZ54/$HH54</f>
        <v>112.7127366962126</v>
      </c>
      <c r="DC54" s="97">
        <f>DD54*$HB54</f>
        <v>0.797226464972139</v>
      </c>
      <c r="DD54" s="263">
        <f>(BD54-BQ54-EQ54*CI54)/'Amortization metrics'!$D$4/I54</f>
        <v>2.2777898999203972</v>
      </c>
      <c r="DE54" s="527">
        <f>10^3*DD54/$HF54</f>
        <v>227.77898999203973</v>
      </c>
      <c r="DF54" s="528">
        <f>DD54/$HH54</f>
        <v>113.88949499601985</v>
      </c>
      <c r="DG54" s="97">
        <f>DH54*$HB54</f>
        <v>0.36279368308504939</v>
      </c>
      <c r="DH54" s="263">
        <f>(BG54-BV54-EX54*CL54)/'Amortization metrics'!$D$4/K54</f>
        <v>1.0365533802429983</v>
      </c>
      <c r="DI54" s="527">
        <f>10^3*DH54/$HF54</f>
        <v>103.65533802429982</v>
      </c>
      <c r="DJ54" s="528">
        <f>DH54/$HH54</f>
        <v>51.827669012149912</v>
      </c>
      <c r="DK54" s="97">
        <f>DL54*$HB54</f>
        <v>0.62295451463897078</v>
      </c>
      <c r="DL54" s="263">
        <f>$EF$11*DX54</f>
        <v>1.7798700418256308</v>
      </c>
      <c r="DM54" s="527">
        <f>10^3*DL54/$HF54</f>
        <v>177.98700418256308</v>
      </c>
      <c r="DN54" s="528">
        <f>DL54/$HH54</f>
        <v>88.993502091281542</v>
      </c>
      <c r="DO54" s="97">
        <f>DP54*$HB54</f>
        <v>0.62769687162891052</v>
      </c>
      <c r="DP54" s="263">
        <f>$EF$11*EA54</f>
        <v>1.7934196332254588</v>
      </c>
      <c r="DQ54" s="527">
        <f>10^3*DP54/$HF54</f>
        <v>179.34196332254589</v>
      </c>
      <c r="DR54" s="528">
        <f>DP54/$HH54</f>
        <v>89.670981661272933</v>
      </c>
      <c r="DS54" s="97">
        <f>DT54*$HB54</f>
        <v>0.37760662198778561</v>
      </c>
      <c r="DT54" s="263">
        <f>$EF$11*ED54</f>
        <v>1.0788760628222447</v>
      </c>
      <c r="DU54" s="527">
        <f>10^3*DT54/$HF54</f>
        <v>107.88760628222447</v>
      </c>
      <c r="DV54" s="528">
        <f>DT54/$HH54</f>
        <v>53.943803141112234</v>
      </c>
      <c r="DW54" s="97">
        <f>DX54*$HB54</f>
        <v>1.2405560366709469</v>
      </c>
      <c r="DX54" s="263">
        <f>CS54/G54</f>
        <v>3.5444458190598489</v>
      </c>
      <c r="DY54" s="68">
        <f>10^3*DX54/$HF54</f>
        <v>354.44458190598488</v>
      </c>
      <c r="DZ54" s="97">
        <f>EA54*$HB54</f>
        <v>1.25</v>
      </c>
      <c r="EA54" s="263">
        <f>CT54/I54</f>
        <v>3.5714285714285716</v>
      </c>
      <c r="EB54" s="68">
        <f>10^3*EA54/$HF54</f>
        <v>357.14285714285717</v>
      </c>
      <c r="EC54" s="97">
        <f>ED54*$HB54</f>
        <v>0.75196850393700798</v>
      </c>
      <c r="ED54" s="263">
        <f>CU54/K54</f>
        <v>2.1484814398200229</v>
      </c>
      <c r="EE54" s="68">
        <f>10^3*ED54/$HF54</f>
        <v>214.84814398200228</v>
      </c>
      <c r="EF54" s="60"/>
      <c r="EG54" s="60"/>
      <c r="EH54" s="60"/>
      <c r="EI54" s="554">
        <f>EK54*$P54</f>
        <v>7.1552816999999989</v>
      </c>
      <c r="EJ54" s="262">
        <f>EK54*$HB54</f>
        <v>0.21367341654970581</v>
      </c>
      <c r="EK54" s="166">
        <f>(EP54*S54+EW54*U54)/P54</f>
        <v>0.61049547585630237</v>
      </c>
      <c r="EL54" s="68">
        <f>10^3*EK54/$HF54</f>
        <v>61.049547585630236</v>
      </c>
      <c r="EM54" s="97">
        <f>EK54/$HH54</f>
        <v>30.524773792815118</v>
      </c>
      <c r="EN54" s="429">
        <f>(EQ54*C54+EX54*D54)/B54</f>
        <v>3.0149425287356323E-2</v>
      </c>
      <c r="EO54" s="262">
        <f>EP54*$HB54</f>
        <v>0.21780353403141359</v>
      </c>
      <c r="EP54" s="436">
        <f>EQ54*EU54/I54</f>
        <v>0.62229581151832458</v>
      </c>
      <c r="EQ54" s="101">
        <v>3.0499999999999999E-2</v>
      </c>
      <c r="ER54" s="433">
        <v>1</v>
      </c>
      <c r="ES54" s="433">
        <v>0</v>
      </c>
      <c r="ET54" s="434">
        <f>1-ER54-ES54</f>
        <v>0</v>
      </c>
      <c r="EU54" s="430">
        <f>ER54*$FC54+ES54*$FD54+ET54*$FE54+'Amortization metrics'!$B$6*(ER54*$FF54+ES54*$FG54+ET54*$FH54)/10^3+'Amortization metrics'!$B$5*(ER54*$FI54+ES54*$FJ54+ET54*$FK54)/10^3</f>
        <v>54.558</v>
      </c>
      <c r="EV54" s="262">
        <f>EW54*$HB54</f>
        <v>0</v>
      </c>
      <c r="EW54" s="436">
        <f>EX54*FB54/K54</f>
        <v>0</v>
      </c>
      <c r="EX54" s="101">
        <v>0</v>
      </c>
      <c r="EY54" s="433">
        <v>1</v>
      </c>
      <c r="EZ54" s="433">
        <v>0</v>
      </c>
      <c r="FA54" s="434">
        <f t="shared" si="533"/>
        <v>0</v>
      </c>
      <c r="FB54" s="430">
        <f>EY54*$FC54+EZ54*$FD54+FA54*$FE54+'Amortization metrics'!$B$6*(EY54*$FF54+EZ54*$FG54+FA54*$FH54)/10^3+'Amortization metrics'!$B$5*(EY54*$FI54+EZ54*$FJ54+FA54*$FK54)/10^3</f>
        <v>54.558</v>
      </c>
      <c r="FC54" s="431">
        <v>51.3</v>
      </c>
      <c r="FD54" s="431">
        <v>29</v>
      </c>
      <c r="FE54" s="431">
        <v>29</v>
      </c>
      <c r="FF54" s="99">
        <v>5</v>
      </c>
      <c r="FG54" s="431">
        <v>13</v>
      </c>
      <c r="FH54" s="431">
        <v>13</v>
      </c>
      <c r="FI54" s="431">
        <v>52</v>
      </c>
      <c r="FJ54" s="431">
        <v>58.3</v>
      </c>
      <c r="FK54" s="431">
        <v>58.3</v>
      </c>
      <c r="FL54" s="554">
        <f>FO54+FP54+FM54+FN54+FQ54</f>
        <v>3.1928090150338799</v>
      </c>
      <c r="FM54" s="554">
        <f>GC54*$P54</f>
        <v>1.24589518106534</v>
      </c>
      <c r="FN54" s="554">
        <f>GE54*$P54</f>
        <v>0.1056083738362</v>
      </c>
      <c r="FO54" s="554">
        <f>GG54*$P54</f>
        <v>0.55358475486839998</v>
      </c>
      <c r="FP54" s="554">
        <f>GI54*$P54</f>
        <v>1.2877207052639401</v>
      </c>
      <c r="FQ54" s="554"/>
      <c r="FR54" s="167">
        <f>FS54*HB54</f>
        <v>9.5344731240000008E-2</v>
      </c>
      <c r="FS54" s="166">
        <f>FY54+FW54+GA54</f>
        <v>0.27241351782857148</v>
      </c>
      <c r="FT54" s="68">
        <f>10^3*FS54/$HF54</f>
        <v>27.241351782857144</v>
      </c>
      <c r="FU54" s="97">
        <f>FS54/$HH54</f>
        <v>13.620675891428574</v>
      </c>
      <c r="FV54" s="473">
        <f>FW54*HB54</f>
        <v>4.035905142E-2</v>
      </c>
      <c r="FW54" s="269">
        <f>GC54+GE54</f>
        <v>0.11531157548571429</v>
      </c>
      <c r="FX54" s="473">
        <f>FY54*HB54</f>
        <v>5.4985679820000008E-2</v>
      </c>
      <c r="FY54" s="269">
        <f>GG54+GI54</f>
        <v>0.15710194234285718</v>
      </c>
      <c r="FZ54" s="49"/>
      <c r="GA54" s="49"/>
      <c r="GB54" s="435">
        <v>3.7205338819999996E-2</v>
      </c>
      <c r="GC54" s="522">
        <f>GB54/$HB54</f>
        <v>0.10630096805714286</v>
      </c>
      <c r="GD54" s="435">
        <v>3.1537126000000001E-3</v>
      </c>
      <c r="GE54" s="522">
        <f>GD54/$HB54</f>
        <v>9.0106074285714287E-3</v>
      </c>
      <c r="GF54" s="435">
        <v>1.6531333200000001E-2</v>
      </c>
      <c r="GG54" s="522">
        <f>GF54/$HB54</f>
        <v>4.7232380571428575E-2</v>
      </c>
      <c r="GH54" s="435">
        <v>3.8454346620000003E-2</v>
      </c>
      <c r="GI54" s="522">
        <f>GH54/$HB54</f>
        <v>0.10986956177142859</v>
      </c>
      <c r="GJ54" s="599">
        <f>44/12*CZ54+$FS54+$EK54</f>
        <v>9.1485096847404641</v>
      </c>
      <c r="GK54" s="527">
        <f>10^3*GJ54/$HF54</f>
        <v>914.85096847404634</v>
      </c>
      <c r="GM54" s="599">
        <f>44/12*DD54+$FS54+$EP54</f>
        <v>9.2466056290550185</v>
      </c>
      <c r="GN54" s="527">
        <f>10^3*GM54/$HF54</f>
        <v>924.66056290550182</v>
      </c>
      <c r="GP54" s="599">
        <f>44/12*DH54+$FS54+$EW54</f>
        <v>4.0731092453862319</v>
      </c>
      <c r="GQ54" s="527">
        <f>10^3*GP54/$HF54</f>
        <v>407.31092453862323</v>
      </c>
      <c r="GS54" s="599">
        <f>44/12*DL54+$FS54+$EK54</f>
        <v>7.4090991470455192</v>
      </c>
      <c r="GT54" s="527">
        <f>10^3*GS54/$HF54</f>
        <v>740.90991470455197</v>
      </c>
      <c r="GV54" s="599">
        <f>44/12*DP54+$FS54+$EP54</f>
        <v>7.4705813178402449</v>
      </c>
      <c r="GW54" s="527">
        <f>10^3*GV54/$HF54</f>
        <v>747.05813178402445</v>
      </c>
      <c r="GY54" s="599">
        <f>44/12*DT54+$FS54+$EW54</f>
        <v>4.2282924148434686</v>
      </c>
      <c r="GZ54" s="527">
        <f>10^3*GY54/$HF54</f>
        <v>422.82924148434688</v>
      </c>
      <c r="HB54" s="31">
        <v>0.35</v>
      </c>
      <c r="HC54" s="32">
        <f>$HB54*HD54</f>
        <v>6.3</v>
      </c>
      <c r="HD54" s="27">
        <v>18</v>
      </c>
      <c r="HE54" s="32">
        <f>$HB54*HF54</f>
        <v>3.5</v>
      </c>
      <c r="HF54" s="33">
        <v>10</v>
      </c>
      <c r="HG54" s="36">
        <f>$HB54*HH54</f>
        <v>6.9999999999999993E-3</v>
      </c>
      <c r="HH54" s="35">
        <v>0.02</v>
      </c>
      <c r="HI54" s="36"/>
      <c r="HJ54" s="35"/>
    </row>
    <row r="55" spans="1:218" s="4" customFormat="1" x14ac:dyDescent="0.25">
      <c r="A55" s="102" t="s">
        <v>357</v>
      </c>
      <c r="B55" s="67">
        <f t="shared" si="496"/>
        <v>22.9</v>
      </c>
      <c r="C55" s="99">
        <v>20</v>
      </c>
      <c r="D55" s="99">
        <v>2.9</v>
      </c>
      <c r="E55" s="38">
        <f t="shared" si="497"/>
        <v>0.12663755458515286</v>
      </c>
      <c r="F55" s="108">
        <f t="shared" si="498"/>
        <v>9.4829694323144089</v>
      </c>
      <c r="G55" s="32">
        <f t="shared" si="499"/>
        <v>1.7069344978165937</v>
      </c>
      <c r="H55" s="99">
        <v>8.77</v>
      </c>
      <c r="I55" s="97">
        <f>$HB55*H55</f>
        <v>1.5785999999999998</v>
      </c>
      <c r="J55" s="98">
        <v>14.4</v>
      </c>
      <c r="K55" s="32">
        <f>$HB55*J55</f>
        <v>2.5920000000000001</v>
      </c>
      <c r="L55" s="32">
        <f t="shared" si="500"/>
        <v>5.8584556190008401</v>
      </c>
      <c r="M55" s="32">
        <f t="shared" si="501"/>
        <v>6.3347269732674532</v>
      </c>
      <c r="N55" s="32">
        <f t="shared" si="502"/>
        <v>3.8580246913580245</v>
      </c>
      <c r="O55" s="107">
        <f t="shared" si="503"/>
        <v>217.15999999999997</v>
      </c>
      <c r="P55" s="68">
        <f t="shared" si="504"/>
        <v>39.088799999999992</v>
      </c>
      <c r="Q55" s="68"/>
      <c r="R55" s="67">
        <f t="shared" si="505"/>
        <v>175.39999999999998</v>
      </c>
      <c r="S55" s="67">
        <f t="shared" si="506"/>
        <v>31.571999999999996</v>
      </c>
      <c r="T55" s="67">
        <f t="shared" si="507"/>
        <v>41.76</v>
      </c>
      <c r="U55" s="67">
        <f t="shared" si="508"/>
        <v>7.5167999999999999</v>
      </c>
      <c r="V55" s="38">
        <f t="shared" si="509"/>
        <v>0.19230060784674899</v>
      </c>
      <c r="W55" s="294">
        <f t="shared" si="510"/>
        <v>6.136555447849177E-2</v>
      </c>
      <c r="X55" s="294">
        <f t="shared" si="511"/>
        <v>0.36273939976225844</v>
      </c>
      <c r="Y55" s="294">
        <f t="shared" si="512"/>
        <v>0.1833546783989827</v>
      </c>
      <c r="Z55" s="294">
        <f t="shared" si="513"/>
        <v>3.8206058333665492E-2</v>
      </c>
      <c r="AA55" s="294">
        <f t="shared" si="514"/>
        <v>0.1527485101518937</v>
      </c>
      <c r="AB55" s="294">
        <f t="shared" si="515"/>
        <v>0.1705936530818814</v>
      </c>
      <c r="AC55" s="294">
        <f t="shared" si="516"/>
        <v>1.931361492809798E-2</v>
      </c>
      <c r="AD55" s="294">
        <f t="shared" si="517"/>
        <v>5.8998165583425176E-3</v>
      </c>
      <c r="AE55" s="294">
        <f t="shared" si="518"/>
        <v>3.3031963684729037E-3</v>
      </c>
      <c r="AF55" s="433">
        <v>6.6070872446596027E-2</v>
      </c>
      <c r="AG55" s="433">
        <v>0.37927872857867845</v>
      </c>
      <c r="AH55" s="433">
        <v>0.20402251235010418</v>
      </c>
      <c r="AI55" s="433">
        <v>4.2046317774808821E-2</v>
      </c>
      <c r="AJ55" s="433">
        <v>0.1471150993674126</v>
      </c>
      <c r="AK55" s="433">
        <v>0.14522247012307071</v>
      </c>
      <c r="AL55" s="433">
        <v>7.5664566856888573E-3</v>
      </c>
      <c r="AM55" s="433">
        <v>2.5626025280251446E-3</v>
      </c>
      <c r="AN55" s="433">
        <v>3.2831307197472271E-3</v>
      </c>
      <c r="AO55" s="433">
        <v>2.891508573294509E-2</v>
      </c>
      <c r="AP55" s="433">
        <v>0.24867506309729259</v>
      </c>
      <c r="AQ55" s="433">
        <v>4.0817892529179119E-2</v>
      </c>
      <c r="AR55" s="433">
        <v>1.1721510463711466E-2</v>
      </c>
      <c r="AS55" s="433">
        <v>0.19159961901038386</v>
      </c>
      <c r="AT55" s="433">
        <v>0.34556732865988632</v>
      </c>
      <c r="AU55" s="433">
        <v>0.10032849935850573</v>
      </c>
      <c r="AV55" s="433">
        <v>2.891508573294509E-2</v>
      </c>
      <c r="AW55" s="433">
        <v>3.441580152787913E-3</v>
      </c>
      <c r="AX55" s="554">
        <f>BA55*$B55/10^3</f>
        <v>3.3182948894394775</v>
      </c>
      <c r="AY55" s="554">
        <f t="shared" si="519"/>
        <v>1.289573195042383</v>
      </c>
      <c r="AZ55" s="554">
        <f t="shared" si="519"/>
        <v>2.028721694397094</v>
      </c>
      <c r="BA55" s="67">
        <f t="shared" si="520"/>
        <v>144.9037069624226</v>
      </c>
      <c r="BB55" s="67">
        <f t="shared" si="521"/>
        <v>56.31323995818267</v>
      </c>
      <c r="BC55" s="67">
        <f t="shared" si="521"/>
        <v>88.590467004239926</v>
      </c>
      <c r="BD55" s="67">
        <f t="shared" si="522"/>
        <v>153.24320905216996</v>
      </c>
      <c r="BE55" s="105">
        <v>59.915163437614353</v>
      </c>
      <c r="BF55" s="105">
        <v>93.328045614555592</v>
      </c>
      <c r="BG55" s="68">
        <f t="shared" si="523"/>
        <v>87.389899446923593</v>
      </c>
      <c r="BH55" s="106">
        <v>31.472388375895182</v>
      </c>
      <c r="BI55" s="106">
        <v>55.917511071028414</v>
      </c>
      <c r="BJ55" s="554">
        <f>BM55*$B55/10^3</f>
        <v>1.533756520797821</v>
      </c>
      <c r="BK55" s="554">
        <f t="shared" si="524"/>
        <v>1.221525E-2</v>
      </c>
      <c r="BL55" s="554">
        <f t="shared" si="525"/>
        <v>1.5215412707978209</v>
      </c>
      <c r="BM55" s="32">
        <f t="shared" si="526"/>
        <v>66.976267283747646</v>
      </c>
      <c r="BN55" s="32">
        <f t="shared" si="527"/>
        <v>0.53341703056768563</v>
      </c>
      <c r="BO55" s="67">
        <f t="shared" si="527"/>
        <v>66.442850253179955</v>
      </c>
      <c r="BP55" s="270"/>
      <c r="BQ55" s="67">
        <f t="shared" si="528"/>
        <v>70.489346710916692</v>
      </c>
      <c r="BR55" s="32">
        <f>I55*0.5*2.5*0.25</f>
        <v>0.49331249999999993</v>
      </c>
      <c r="BS55" s="67">
        <f>(1-BU55)*BF55</f>
        <v>69.99603421091669</v>
      </c>
      <c r="BT55" s="67"/>
      <c r="BU55" s="34">
        <f t="shared" si="529"/>
        <v>0.25</v>
      </c>
      <c r="BV55" s="68">
        <f t="shared" si="530"/>
        <v>42.748133303271317</v>
      </c>
      <c r="BW55" s="32">
        <f>K55*0.5*2.5*0.25</f>
        <v>0.81</v>
      </c>
      <c r="BX55" s="67">
        <f>(1-BZ55)*BI55</f>
        <v>41.938133303271314</v>
      </c>
      <c r="BY55" s="67"/>
      <c r="BZ55" s="34">
        <f t="shared" si="531"/>
        <v>0.25</v>
      </c>
      <c r="CA55" s="294"/>
      <c r="CB55" s="294"/>
      <c r="CC55" s="294"/>
      <c r="CD55" s="67">
        <f t="shared" si="491"/>
        <v>77.927439678674958</v>
      </c>
      <c r="CE55" s="67">
        <f t="shared" si="491"/>
        <v>55.779822927614987</v>
      </c>
      <c r="CF55" s="67">
        <f t="shared" si="491"/>
        <v>22.147616751059971</v>
      </c>
      <c r="CG55" s="67">
        <f t="shared" si="492"/>
        <v>82.753862341253267</v>
      </c>
      <c r="CH55" s="67">
        <f t="shared" si="492"/>
        <v>59.421850937614352</v>
      </c>
      <c r="CI55" s="67">
        <f t="shared" si="492"/>
        <v>23.332011403638901</v>
      </c>
      <c r="CJ55" s="67">
        <f t="shared" si="493"/>
        <v>44.641766143652276</v>
      </c>
      <c r="CK55" s="67">
        <f t="shared" si="493"/>
        <v>30.662388375895183</v>
      </c>
      <c r="CL55" s="67">
        <f t="shared" si="493"/>
        <v>13.9793777677571</v>
      </c>
      <c r="CM55" s="68"/>
      <c r="CN55" s="293"/>
      <c r="CO55" s="293"/>
      <c r="CS55" s="32">
        <f t="shared" si="532"/>
        <v>5.4831004366812222</v>
      </c>
      <c r="CT55" s="33">
        <v>5.63</v>
      </c>
      <c r="CU55" s="99">
        <v>4.47</v>
      </c>
      <c r="CY55" s="97">
        <f>CZ55*$HB55</f>
        <v>0.27334270465982213</v>
      </c>
      <c r="CZ55" s="263">
        <f>(BA55-BM55-EN55*CF55)/'Amortization metrics'!$D$4/G55</f>
        <v>1.5185705814434562</v>
      </c>
      <c r="DA55" s="527">
        <f>10^3*CZ55/$HF55</f>
        <v>151.85705814434561</v>
      </c>
      <c r="DB55" s="528">
        <f>CZ55/$HH55</f>
        <v>43.387730898384461</v>
      </c>
      <c r="DC55" s="97">
        <f>DD55*$HB55</f>
        <v>0.31386876570021277</v>
      </c>
      <c r="DD55" s="263">
        <f>(BD55-BQ55-EQ55*CI55)/'Amortization metrics'!$D$4/I55</f>
        <v>1.7437153650011821</v>
      </c>
      <c r="DE55" s="527">
        <f>10^3*DD55/$HF55</f>
        <v>174.37153650011822</v>
      </c>
      <c r="DF55" s="528">
        <f>DD55/$HH55</f>
        <v>49.820439000033765</v>
      </c>
      <c r="DG55" s="97">
        <f>DH55*$HB55</f>
        <v>0.10311413990058969</v>
      </c>
      <c r="DH55" s="263">
        <f>(BG55-BV55-EX55*CL55)/'Amortization metrics'!$D$4/K55</f>
        <v>0.57285633278105386</v>
      </c>
      <c r="DI55" s="527">
        <f>10^3*DH55/$HF55</f>
        <v>57.285633278105387</v>
      </c>
      <c r="DJ55" s="528">
        <f>DH55/$HH55</f>
        <v>16.367323793744394</v>
      </c>
      <c r="DK55" s="97">
        <f>DL55*$HB55</f>
        <v>0.29034998081540209</v>
      </c>
      <c r="DL55" s="263">
        <f>$EF$11*DX55</f>
        <v>1.613055448974456</v>
      </c>
      <c r="DM55" s="527">
        <f>10^3*DL55/$HF55</f>
        <v>161.3055448974456</v>
      </c>
      <c r="DN55" s="528">
        <f>DL55/$HH55</f>
        <v>46.087298542127307</v>
      </c>
      <c r="DO55" s="97">
        <f>DP55*$HB55</f>
        <v>0.32236564536107332</v>
      </c>
      <c r="DP55" s="263">
        <f>$EF$11*EA55</f>
        <v>1.7909202520059631</v>
      </c>
      <c r="DQ55" s="527">
        <f>10^3*DP55/$HF55</f>
        <v>179.09202520059631</v>
      </c>
      <c r="DR55" s="528">
        <f>DP55/$HH55</f>
        <v>51.169150057313225</v>
      </c>
      <c r="DS55" s="97">
        <f>DT55*$HB55</f>
        <v>0.15587805645451278</v>
      </c>
      <c r="DT55" s="263">
        <f>$EF$11*ED55</f>
        <v>0.86598920252507094</v>
      </c>
      <c r="DU55" s="527">
        <f>10^3*DT55/$HF55</f>
        <v>86.598920252507099</v>
      </c>
      <c r="DV55" s="528">
        <f>DT55/$HH55</f>
        <v>24.742548643573453</v>
      </c>
      <c r="DW55" s="97">
        <f>DX55*$HB55</f>
        <v>0.57820501013077918</v>
      </c>
      <c r="DX55" s="263">
        <f>CS55/G55</f>
        <v>3.2122500562821066</v>
      </c>
      <c r="DY55" s="68">
        <f>10^3*DX55/$HF55</f>
        <v>321.22500562821062</v>
      </c>
      <c r="DZ55" s="97">
        <f>EA55*$HB55</f>
        <v>0.64196123147092365</v>
      </c>
      <c r="EA55" s="263">
        <f>CT55/I55</f>
        <v>3.5664512859495758</v>
      </c>
      <c r="EB55" s="68">
        <f>10^3*EA55/$HF55</f>
        <v>356.64512859495755</v>
      </c>
      <c r="EC55" s="97">
        <f>ED55*$HB55</f>
        <v>0.31041666666666662</v>
      </c>
      <c r="ED55" s="263">
        <f>CU55/K55</f>
        <v>1.724537037037037</v>
      </c>
      <c r="EE55" s="68">
        <f>10^3*ED55/$HF55</f>
        <v>172.4537037037037</v>
      </c>
      <c r="EF55" s="60"/>
      <c r="EG55" s="60"/>
      <c r="EH55" s="60"/>
      <c r="EI55" s="554">
        <f>EK55*$P55</f>
        <v>7.3051270710000002</v>
      </c>
      <c r="EJ55" s="262">
        <f>EK55*$HB55</f>
        <v>3.3639376823540255E-2</v>
      </c>
      <c r="EK55" s="166">
        <f>(EP55*S55+EW55*U55)/P55</f>
        <v>0.18688542679744585</v>
      </c>
      <c r="EL55" s="68">
        <f>10^3*EK55/$HF55</f>
        <v>18.688542679744586</v>
      </c>
      <c r="EM55" s="97">
        <f>EK55/$HH55</f>
        <v>5.3395836227841666</v>
      </c>
      <c r="EN55" s="429">
        <f>(EQ55*C55+EX55*D55)/B55</f>
        <v>7.4240174672489086E-3</v>
      </c>
      <c r="EO55" s="262">
        <f>EP55*$HB55</f>
        <v>3.654810718358039E-2</v>
      </c>
      <c r="EP55" s="436">
        <f>EQ55*EU55/I55</f>
        <v>0.20304503990877995</v>
      </c>
      <c r="EQ55" s="101">
        <v>7.4999999999999997E-3</v>
      </c>
      <c r="ER55" s="101">
        <v>0.4</v>
      </c>
      <c r="ES55" s="101">
        <v>0.46700000000000003</v>
      </c>
      <c r="ET55" s="429">
        <f t="shared" ref="ET55" si="537">1-ER55-ES55</f>
        <v>0.13299999999999995</v>
      </c>
      <c r="EU55" s="430">
        <f>ER55*$FC55+ES55*$FD55+ET55*$FE55+'Amortization metrics'!$B$6*(ER55*$FF55+ES55*$FG55+ET55*$FH55)/10^3+'Amortization metrics'!$B$5*(ER55*$FI55+ES55*$FJ55+ET55*$FK55)/10^3</f>
        <v>42.736920000000005</v>
      </c>
      <c r="EV55" s="262">
        <f>EW55*$HB55</f>
        <v>2.1422152083333333E-2</v>
      </c>
      <c r="EW55" s="436">
        <f>EX55*FB55/K55</f>
        <v>0.11901195601851852</v>
      </c>
      <c r="EX55" s="101">
        <v>6.8999999999999999E-3</v>
      </c>
      <c r="EY55" s="101">
        <v>0.5</v>
      </c>
      <c r="EZ55" s="101">
        <v>0.5</v>
      </c>
      <c r="FA55" s="429">
        <f t="shared" ref="FA55:FA56" si="538">1-EY55-EZ55</f>
        <v>0</v>
      </c>
      <c r="FB55" s="430">
        <f>EY55*$FC55+EZ55*$FD55+FA55*$FE55+'Amortization metrics'!$B$6*(EY55*$FF55+EZ55*$FG55+FA55*$FH55)/10^3+'Amortization metrics'!$B$5*(EY55*$FI55+EZ55*$FJ55+FA55*$FK55)/10^3</f>
        <v>44.707100000000004</v>
      </c>
      <c r="FC55" s="431">
        <v>51.3</v>
      </c>
      <c r="FD55" s="431">
        <v>29</v>
      </c>
      <c r="FE55" s="431">
        <v>29</v>
      </c>
      <c r="FF55" s="99">
        <v>5</v>
      </c>
      <c r="FG55" s="431">
        <v>13</v>
      </c>
      <c r="FH55" s="431">
        <v>13</v>
      </c>
      <c r="FI55" s="431">
        <v>52</v>
      </c>
      <c r="FJ55" s="431">
        <v>58.3</v>
      </c>
      <c r="FK55" s="431">
        <v>58.3</v>
      </c>
      <c r="FL55" s="554">
        <f>FO55+FP55+FM55+FN55+FQ55</f>
        <v>49.496581201731004</v>
      </c>
      <c r="FM55" s="554">
        <f>GC55*$P55</f>
        <v>20.459817071835413</v>
      </c>
      <c r="FN55" s="554">
        <f>GE55*$P55</f>
        <v>0.5405308712639999</v>
      </c>
      <c r="FO55" s="554">
        <f>GG55*$P55</f>
        <v>10.669723474379998</v>
      </c>
      <c r="FP55" s="554">
        <f>GI55*$P55</f>
        <v>17.826509784251598</v>
      </c>
      <c r="FQ55" s="554"/>
      <c r="FR55" s="167">
        <f>FS55*HB55</f>
        <v>0.22792678763000104</v>
      </c>
      <c r="FS55" s="166">
        <f>FY55+FW55+GA55</f>
        <v>1.2662599312777836</v>
      </c>
      <c r="FT55" s="68">
        <f>10^3*FS55/$HF55</f>
        <v>126.62599312777836</v>
      </c>
      <c r="FU55" s="97">
        <f>FS55/$HH55</f>
        <v>36.178855179365243</v>
      </c>
      <c r="FV55" s="473">
        <f>FW55*HB55</f>
        <v>9.6704494120001011E-2</v>
      </c>
      <c r="FW55" s="269">
        <f>GC55+GE55</f>
        <v>0.53724718955556117</v>
      </c>
      <c r="FX55" s="473">
        <f>FY55*HB55</f>
        <v>0.13122229351</v>
      </c>
      <c r="FY55" s="269">
        <f>GG55+GI55</f>
        <v>0.7290127417222223</v>
      </c>
      <c r="FZ55" s="49"/>
      <c r="GA55" s="49"/>
      <c r="GB55" s="435">
        <v>9.4215403720001006E-2</v>
      </c>
      <c r="GC55" s="522">
        <f>GB55/$HB55</f>
        <v>0.52341890955556114</v>
      </c>
      <c r="GD55" s="435">
        <v>2.4890903999999999E-3</v>
      </c>
      <c r="GE55" s="522">
        <f>GD55/$HB55</f>
        <v>1.382828E-2</v>
      </c>
      <c r="GF55" s="435">
        <v>4.91330055E-2</v>
      </c>
      <c r="GG55" s="522">
        <f>GF55/$HB55</f>
        <v>0.27296114166666668</v>
      </c>
      <c r="GH55" s="435">
        <v>8.2089288010000011E-2</v>
      </c>
      <c r="GI55" s="522">
        <f>GH55/$HB55</f>
        <v>0.45605160005555562</v>
      </c>
      <c r="GJ55" s="599">
        <f>44/12*CZ55+$FS55+$EK55</f>
        <v>7.0212374900345687</v>
      </c>
      <c r="GK55" s="527">
        <f>10^3*GJ55/$HF55</f>
        <v>702.12374900345685</v>
      </c>
      <c r="GM55" s="599">
        <f>44/12*DD55+$FS55+$EP55</f>
        <v>7.862927976190897</v>
      </c>
      <c r="GN55" s="527">
        <f>10^3*GM55/$HF55</f>
        <v>786.2927976190897</v>
      </c>
      <c r="GP55" s="599">
        <f>44/12*DH55+$FS55+$EW55</f>
        <v>3.4857451074934995</v>
      </c>
      <c r="GQ55" s="527">
        <f>10^3*GP55/$HF55</f>
        <v>348.57451074935</v>
      </c>
      <c r="GS55" s="599">
        <f>44/12*DL55+$FS55+$EK55</f>
        <v>7.3676820043149007</v>
      </c>
      <c r="GT55" s="527">
        <f>10^3*GS55/$HF55</f>
        <v>736.76820043149007</v>
      </c>
      <c r="GV55" s="599">
        <f>44/12*DP55+$FS55+$EP55</f>
        <v>8.0360125618750953</v>
      </c>
      <c r="GW55" s="527">
        <f>10^3*GV55/$HF55</f>
        <v>803.60125618750953</v>
      </c>
      <c r="GY55" s="599">
        <f>44/12*DT55+$FS55+$EW55</f>
        <v>4.5605656298882282</v>
      </c>
      <c r="GZ55" s="527">
        <f>10^3*GY55/$HF55</f>
        <v>456.05656298882286</v>
      </c>
      <c r="HB55" s="31">
        <v>0.18</v>
      </c>
      <c r="HC55" s="32">
        <f t="shared" si="534"/>
        <v>3.2399999999999998</v>
      </c>
      <c r="HD55" s="27">
        <v>18</v>
      </c>
      <c r="HE55" s="32">
        <f t="shared" si="535"/>
        <v>1.7999999999999998</v>
      </c>
      <c r="HF55" s="33">
        <v>10</v>
      </c>
      <c r="HG55" s="36">
        <f t="shared" si="536"/>
        <v>6.3E-3</v>
      </c>
      <c r="HH55" s="35">
        <v>3.5000000000000003E-2</v>
      </c>
      <c r="HI55" s="36"/>
      <c r="HJ55" s="35"/>
    </row>
    <row r="56" spans="1:218" s="4" customFormat="1" x14ac:dyDescent="0.25">
      <c r="A56" s="102" t="s">
        <v>358</v>
      </c>
      <c r="B56" s="67">
        <f t="shared" si="496"/>
        <v>23.6</v>
      </c>
      <c r="C56" s="99">
        <v>20.8</v>
      </c>
      <c r="D56" s="99">
        <v>2.8</v>
      </c>
      <c r="E56" s="38">
        <f t="shared" si="497"/>
        <v>0.11864406779661016</v>
      </c>
      <c r="F56" s="108">
        <f t="shared" si="498"/>
        <v>13.754237288135593</v>
      </c>
      <c r="G56" s="32">
        <f t="shared" si="499"/>
        <v>2.4757627118644066</v>
      </c>
      <c r="H56" s="99">
        <v>12.69</v>
      </c>
      <c r="I56" s="97">
        <f>$HB56*H56</f>
        <v>2.2841999999999998</v>
      </c>
      <c r="J56" s="99">
        <v>21.66</v>
      </c>
      <c r="K56" s="32">
        <f>$HB56*J56</f>
        <v>3.8988</v>
      </c>
      <c r="L56" s="32">
        <f t="shared" si="500"/>
        <v>4.0391593071814889</v>
      </c>
      <c r="M56" s="32">
        <f t="shared" si="501"/>
        <v>4.37790035898783</v>
      </c>
      <c r="N56" s="32">
        <f t="shared" si="502"/>
        <v>2.5648917615676616</v>
      </c>
      <c r="O56" s="107">
        <f t="shared" si="503"/>
        <v>324.60000000000002</v>
      </c>
      <c r="P56" s="68">
        <f t="shared" si="504"/>
        <v>58.427999999999997</v>
      </c>
      <c r="Q56" s="68"/>
      <c r="R56" s="67">
        <f t="shared" si="505"/>
        <v>263.952</v>
      </c>
      <c r="S56" s="67">
        <f t="shared" si="506"/>
        <v>47.511359999999996</v>
      </c>
      <c r="T56" s="67">
        <f t="shared" si="507"/>
        <v>60.647999999999996</v>
      </c>
      <c r="U56" s="67">
        <f t="shared" si="508"/>
        <v>10.916639999999999</v>
      </c>
      <c r="V56" s="38">
        <f t="shared" si="509"/>
        <v>0.18683918669131239</v>
      </c>
      <c r="W56" s="294">
        <f t="shared" si="510"/>
        <v>0.33117247551138135</v>
      </c>
      <c r="X56" s="294">
        <f t="shared" si="511"/>
        <v>0.31491618998486243</v>
      </c>
      <c r="Y56" s="294">
        <f t="shared" si="512"/>
        <v>2.8431107614217587E-2</v>
      </c>
      <c r="Z56" s="294">
        <f t="shared" si="513"/>
        <v>0.10434554416459997</v>
      </c>
      <c r="AA56" s="294">
        <f t="shared" si="514"/>
        <v>5.1001951628478155E-2</v>
      </c>
      <c r="AB56" s="294">
        <f t="shared" si="515"/>
        <v>9.6933339682212738E-2</v>
      </c>
      <c r="AC56" s="294">
        <f t="shared" si="516"/>
        <v>4.59855680944471E-2</v>
      </c>
      <c r="AD56" s="294">
        <f t="shared" si="517"/>
        <v>2.3815667484895379E-2</v>
      </c>
      <c r="AE56" s="294">
        <f t="shared" si="518"/>
        <v>5.8350128488607953E-5</v>
      </c>
      <c r="AF56" s="433">
        <v>0.36202427074818044</v>
      </c>
      <c r="AG56" s="433">
        <v>0.33534739616748976</v>
      </c>
      <c r="AH56" s="433">
        <v>3.0895439329591493E-2</v>
      </c>
      <c r="AI56" s="433">
        <v>0.11273818023505817</v>
      </c>
      <c r="AJ56" s="433">
        <v>3.2720261155242791E-2</v>
      </c>
      <c r="AK56" s="433">
        <v>7.3151523260709686E-2</v>
      </c>
      <c r="AL56" s="433">
        <v>3.5974821419071518E-2</v>
      </c>
      <c r="AM56" s="433">
        <v>1.329250779505208E-2</v>
      </c>
      <c r="AN56" s="433">
        <v>6.620495347745902E-5</v>
      </c>
      <c r="AO56" s="433">
        <v>0.1019877108951599</v>
      </c>
      <c r="AP56" s="433">
        <v>0.16314151548534486</v>
      </c>
      <c r="AQ56" s="433">
        <v>1.0124643442868609E-2</v>
      </c>
      <c r="AR56" s="433">
        <v>4.2000247641196121E-2</v>
      </c>
      <c r="AS56" s="433">
        <v>0.18680879514394089</v>
      </c>
      <c r="AT56" s="433">
        <v>0.27359826167052104</v>
      </c>
      <c r="AU56" s="433">
        <v>0.12035111482580861</v>
      </c>
      <c r="AV56" s="433">
        <v>0.1019877108951599</v>
      </c>
      <c r="AW56" s="433">
        <v>0</v>
      </c>
      <c r="AX56" s="554">
        <f>BA56*$B56/10^3</f>
        <v>4.4130832350006148</v>
      </c>
      <c r="AY56" s="554">
        <f t="shared" si="519"/>
        <v>2.0958730060567774</v>
      </c>
      <c r="AZ56" s="554">
        <f t="shared" si="519"/>
        <v>2.317210228943837</v>
      </c>
      <c r="BA56" s="67">
        <f t="shared" si="520"/>
        <v>186.99505233053452</v>
      </c>
      <c r="BB56" s="67">
        <f t="shared" si="521"/>
        <v>88.8081782227448</v>
      </c>
      <c r="BC56" s="67">
        <f t="shared" si="521"/>
        <v>98.186874107789706</v>
      </c>
      <c r="BD56" s="67">
        <f t="shared" si="522"/>
        <v>199.86754440882606</v>
      </c>
      <c r="BE56" s="105">
        <v>95.999973406547127</v>
      </c>
      <c r="BF56" s="105">
        <v>103.86757100227894</v>
      </c>
      <c r="BG56" s="68">
        <f t="shared" si="523"/>
        <v>91.370825463225714</v>
      </c>
      <c r="BH56" s="106">
        <v>35.3834140002132</v>
      </c>
      <c r="BI56" s="106">
        <v>55.987411463012513</v>
      </c>
      <c r="BJ56" s="554">
        <f>BM56*$B56/10^3</f>
        <v>1.7561664217078774</v>
      </c>
      <c r="BK56" s="554">
        <f t="shared" si="524"/>
        <v>1.8258750000000001E-2</v>
      </c>
      <c r="BL56" s="554">
        <f t="shared" si="525"/>
        <v>1.7379076717078774</v>
      </c>
      <c r="BM56" s="32">
        <f t="shared" si="526"/>
        <v>74.413831428299886</v>
      </c>
      <c r="BN56" s="32">
        <f t="shared" si="527"/>
        <v>0.77367584745762707</v>
      </c>
      <c r="BO56" s="67">
        <f t="shared" si="527"/>
        <v>73.640155580842261</v>
      </c>
      <c r="BP56" s="270"/>
      <c r="BQ56" s="67">
        <f t="shared" si="528"/>
        <v>78.614490751709198</v>
      </c>
      <c r="BR56" s="32">
        <f>I56*0.5*2.5*0.25</f>
        <v>0.71381249999999996</v>
      </c>
      <c r="BS56" s="67">
        <f>(1-BU56)*BF56</f>
        <v>77.900678251709195</v>
      </c>
      <c r="BT56" s="67"/>
      <c r="BU56" s="34">
        <f t="shared" si="529"/>
        <v>0.25</v>
      </c>
      <c r="BV56" s="68">
        <f t="shared" si="530"/>
        <v>43.208933597259389</v>
      </c>
      <c r="BW56" s="32">
        <f>K56*0.5*2.5*0.25</f>
        <v>1.218375</v>
      </c>
      <c r="BX56" s="67">
        <f>(1-BZ56)*BI56</f>
        <v>41.990558597259387</v>
      </c>
      <c r="BY56" s="67"/>
      <c r="BZ56" s="34">
        <f t="shared" si="531"/>
        <v>0.25</v>
      </c>
      <c r="CA56" s="294"/>
      <c r="CB56" s="294"/>
      <c r="CC56" s="294"/>
      <c r="CD56" s="67">
        <f t="shared" si="491"/>
        <v>112.58122090223463</v>
      </c>
      <c r="CE56" s="67">
        <f t="shared" si="491"/>
        <v>88.034502375287175</v>
      </c>
      <c r="CF56" s="67">
        <f t="shared" si="491"/>
        <v>24.546718526947444</v>
      </c>
      <c r="CG56" s="67">
        <f t="shared" si="492"/>
        <v>121.25305365711687</v>
      </c>
      <c r="CH56" s="67">
        <f t="shared" si="492"/>
        <v>95.286160906547124</v>
      </c>
      <c r="CI56" s="67">
        <f t="shared" si="492"/>
        <v>25.966892750569741</v>
      </c>
      <c r="CJ56" s="67">
        <f t="shared" si="493"/>
        <v>48.161891865966325</v>
      </c>
      <c r="CK56" s="67">
        <f t="shared" si="493"/>
        <v>34.165039000213199</v>
      </c>
      <c r="CL56" s="67">
        <f t="shared" si="493"/>
        <v>13.996852865753127</v>
      </c>
      <c r="CM56" s="68"/>
      <c r="CN56" s="293"/>
      <c r="CO56" s="293"/>
      <c r="CS56" s="32">
        <f t="shared" si="532"/>
        <v>6.5140677966101688</v>
      </c>
      <c r="CT56" s="33">
        <v>6.8</v>
      </c>
      <c r="CU56" s="99">
        <v>4.3899999999999997</v>
      </c>
      <c r="CY56" s="97">
        <f>CZ56*$HB56</f>
        <v>0.27180478384261136</v>
      </c>
      <c r="CZ56" s="263">
        <f>(BA56-BM56-EN56*CF56)/'Amortization metrics'!$D$4/G56</f>
        <v>1.5100265769033965</v>
      </c>
      <c r="DA56" s="527">
        <f>10^3*CZ56/$HF56</f>
        <v>151.00265769033965</v>
      </c>
      <c r="DB56" s="528">
        <f>CZ56/$HH56</f>
        <v>43.14361648295418</v>
      </c>
      <c r="DC56" s="97">
        <f>DD56*$HB56</f>
        <v>0.31748396888661251</v>
      </c>
      <c r="DD56" s="263">
        <f>(BD56-BQ56-EQ56*CI56)/'Amortization metrics'!$D$4/I56</f>
        <v>1.7637998271478472</v>
      </c>
      <c r="DE56" s="527">
        <f>10^3*DD56/$HF56</f>
        <v>176.37998271478472</v>
      </c>
      <c r="DF56" s="528">
        <f>DD56/$HH56</f>
        <v>50.394280775652774</v>
      </c>
      <c r="DG56" s="97">
        <f>DH56*$HB56</f>
        <v>7.3342574888887679E-2</v>
      </c>
      <c r="DH56" s="263">
        <f>(BG56-BV56-EX56*CL56)/'Amortization metrics'!$D$4/K56</f>
        <v>0.40745874938270932</v>
      </c>
      <c r="DI56" s="527">
        <f>10^3*DH56/$HF56</f>
        <v>40.74587493827093</v>
      </c>
      <c r="DJ56" s="528">
        <f>DH56/$HH56</f>
        <v>11.641678553791694</v>
      </c>
      <c r="DK56" s="97">
        <f>DL56*$HB56</f>
        <v>0.23782401840851675</v>
      </c>
      <c r="DL56" s="263">
        <f>$EF$11*DX56</f>
        <v>1.3212445467139819</v>
      </c>
      <c r="DM56" s="527">
        <f>10^3*DL56/$HF56</f>
        <v>132.12445467139818</v>
      </c>
      <c r="DN56" s="528">
        <f>DL56/$HH56</f>
        <v>37.749844191828053</v>
      </c>
      <c r="DO56" s="97">
        <f>DP56*$HB56</f>
        <v>0.26908360769592382</v>
      </c>
      <c r="DP56" s="263">
        <f>$EF$11*EA56</f>
        <v>1.4949089316440212</v>
      </c>
      <c r="DQ56" s="527">
        <f>10^3*DP56/$HF56</f>
        <v>149.49089316440211</v>
      </c>
      <c r="DR56" s="528">
        <f>DP56/$HH56</f>
        <v>42.711683761257746</v>
      </c>
      <c r="DS56" s="97">
        <f>DT56*$HB56</f>
        <v>0.10177615019209296</v>
      </c>
      <c r="DT56" s="263">
        <f>$EF$11*ED56</f>
        <v>0.56542305662273873</v>
      </c>
      <c r="DU56" s="527">
        <f>10^3*DT56/$HF56</f>
        <v>56.542305662273876</v>
      </c>
      <c r="DV56" s="528">
        <f>DT56/$HH56</f>
        <v>16.154944474935391</v>
      </c>
      <c r="DW56" s="97">
        <f>DX56*$HB56</f>
        <v>0.47360443622920517</v>
      </c>
      <c r="DX56" s="263">
        <f>CS56/G56</f>
        <v>2.6311357568289178</v>
      </c>
      <c r="DY56" s="68">
        <f>10^3*DX56/$HF56</f>
        <v>263.11357568289179</v>
      </c>
      <c r="DZ56" s="97">
        <f>EA56*$HB56</f>
        <v>0.53585500394011032</v>
      </c>
      <c r="EA56" s="263">
        <f>CT56/I56</f>
        <v>2.9769722441117241</v>
      </c>
      <c r="EB56" s="68">
        <f>10^3*EA56/$HF56</f>
        <v>297.69722441117244</v>
      </c>
      <c r="EC56" s="97">
        <f>ED56*$HB56</f>
        <v>0.20267774699907662</v>
      </c>
      <c r="ED56" s="263">
        <f>CU56/K56</f>
        <v>1.1259874833282035</v>
      </c>
      <c r="EE56" s="68">
        <f>10^3*ED56/$HF56</f>
        <v>112.59874833282035</v>
      </c>
      <c r="EF56" s="60"/>
      <c r="EG56" s="60"/>
      <c r="EH56" s="60"/>
      <c r="EI56" s="554">
        <f>EK56*$P56</f>
        <v>22.408061759999995</v>
      </c>
      <c r="EJ56" s="262">
        <f>EK56*$HB56</f>
        <v>6.9032845841035098E-2</v>
      </c>
      <c r="EK56" s="166">
        <f>(EP56*S56+EW56*U56)/P56</f>
        <v>0.38351581022797282</v>
      </c>
      <c r="EL56" s="68">
        <f>10^3*EK56/$HF56</f>
        <v>38.351581022797276</v>
      </c>
      <c r="EM56" s="97">
        <f>EK56/$HH56</f>
        <v>10.95759457794208</v>
      </c>
      <c r="EN56" s="429">
        <f>(EQ56*C56+EX56*D56)/B56</f>
        <v>1.7403389830508476E-2</v>
      </c>
      <c r="EO56" s="262">
        <f>EP56*$HB56</f>
        <v>6.4059432624113483E-2</v>
      </c>
      <c r="EP56" s="436">
        <f>EQ56*EU56/I56</f>
        <v>0.35588573680063046</v>
      </c>
      <c r="EQ56" s="101">
        <v>1.49E-2</v>
      </c>
      <c r="ER56" s="433">
        <v>1</v>
      </c>
      <c r="ES56" s="433">
        <v>0</v>
      </c>
      <c r="ET56" s="434">
        <f>1-ER56-ES56</f>
        <v>0</v>
      </c>
      <c r="EU56" s="430">
        <f>ER56*$FC56+ES56*$FD56+ET56*$FE56+'Amortization metrics'!$B$6*(ER56*$FF56+ES56*$FG56+ET56*$FH56)/10^3+'Amortization metrics'!$B$5*(ER56*$FI56+ES56*$FJ56+ET56*$FK56)/10^3</f>
        <v>54.558</v>
      </c>
      <c r="EV56" s="262">
        <f>EW56*$HB56</f>
        <v>9.0678116343490281E-2</v>
      </c>
      <c r="EW56" s="436">
        <f>EX56*FB56/K56</f>
        <v>0.50376731301939048</v>
      </c>
      <c r="EX56" s="101">
        <v>3.5999999999999997E-2</v>
      </c>
      <c r="EY56" s="433">
        <v>1</v>
      </c>
      <c r="EZ56" s="433">
        <v>0</v>
      </c>
      <c r="FA56" s="434">
        <f t="shared" si="538"/>
        <v>0</v>
      </c>
      <c r="FB56" s="430">
        <f>EY56*$FC56+EZ56*$FD56+FA56*$FE56+'Amortization metrics'!$B$6*(EY56*$FF56+EZ56*$FG56+FA56*$FH56)/10^3+'Amortization metrics'!$B$5*(EY56*$FI56+EZ56*$FJ56+FA56*$FK56)/10^3</f>
        <v>54.558</v>
      </c>
      <c r="FC56" s="431">
        <v>51.3</v>
      </c>
      <c r="FD56" s="431">
        <v>29</v>
      </c>
      <c r="FE56" s="431">
        <v>29</v>
      </c>
      <c r="FF56" s="99">
        <v>5</v>
      </c>
      <c r="FG56" s="431">
        <v>13</v>
      </c>
      <c r="FH56" s="431">
        <v>13</v>
      </c>
      <c r="FI56" s="431">
        <v>52</v>
      </c>
      <c r="FJ56" s="431">
        <v>58.3</v>
      </c>
      <c r="FK56" s="431">
        <v>58.3</v>
      </c>
      <c r="FL56" s="554">
        <f>FO56+FP56+FM56+FN56+FQ56</f>
        <v>24.021999563878701</v>
      </c>
      <c r="FM56" s="554">
        <f>GC56*$P56</f>
        <v>9.8762789962440003</v>
      </c>
      <c r="FN56" s="554">
        <f>GE56*$P56</f>
        <v>0.24112514987870159</v>
      </c>
      <c r="FO56" s="554">
        <f>GG56*$P56</f>
        <v>5.0263208307599996</v>
      </c>
      <c r="FP56" s="554">
        <f>GI56*$P56</f>
        <v>8.8782745869959996</v>
      </c>
      <c r="FQ56" s="554"/>
      <c r="FR56" s="167">
        <f>FS56*HB56</f>
        <v>7.4004927799995998E-2</v>
      </c>
      <c r="FS56" s="166">
        <f>FY56+FW56+GA56</f>
        <v>0.41113848777775552</v>
      </c>
      <c r="FT56" s="68">
        <f>10^3*FS56/$HF56</f>
        <v>41.113848777775551</v>
      </c>
      <c r="FU56" s="97">
        <f>FS56/$HH56</f>
        <v>11.7468139365073</v>
      </c>
      <c r="FV56" s="473">
        <f>FW56*HB56</f>
        <v>3.1168835939996E-2</v>
      </c>
      <c r="FW56" s="269">
        <f>GC56+GE56</f>
        <v>0.17316019966664445</v>
      </c>
      <c r="FX56" s="473">
        <f>FY56*HB56</f>
        <v>4.2836091859999995E-2</v>
      </c>
      <c r="FY56" s="269">
        <f>GG56+GI56</f>
        <v>0.2379782881111111</v>
      </c>
      <c r="FZ56" s="49"/>
      <c r="GA56" s="49"/>
      <c r="GB56" s="435">
        <v>3.042599814E-2</v>
      </c>
      <c r="GC56" s="522">
        <f>GB56/$HB56</f>
        <v>0.16903332300000001</v>
      </c>
      <c r="GD56" s="435">
        <v>7.4283779999599999E-4</v>
      </c>
      <c r="GE56" s="522">
        <f>GD56/$HB56</f>
        <v>4.1268766666444443E-3</v>
      </c>
      <c r="GF56" s="435">
        <v>1.54846606E-2</v>
      </c>
      <c r="GG56" s="522">
        <f>GF56/$HB56</f>
        <v>8.6025892222222219E-2</v>
      </c>
      <c r="GH56" s="435">
        <v>2.735143126E-2</v>
      </c>
      <c r="GI56" s="522">
        <f>GH56/$HB56</f>
        <v>0.1519523958888889</v>
      </c>
      <c r="GJ56" s="599">
        <f>44/12*CZ56+$FS56+$EK56</f>
        <v>6.3314184133181817</v>
      </c>
      <c r="GK56" s="527">
        <f>10^3*GJ56/$HF56</f>
        <v>633.14184133181811</v>
      </c>
      <c r="GM56" s="599">
        <f>44/12*DD56+$FS56+$EP56</f>
        <v>7.234290257453825</v>
      </c>
      <c r="GN56" s="527">
        <f>10^3*GM56/$HF56</f>
        <v>723.42902574538243</v>
      </c>
      <c r="GP56" s="599">
        <f>44/12*DH56+$FS56+$EW56</f>
        <v>2.4089212152004134</v>
      </c>
      <c r="GQ56" s="527">
        <f>10^3*GP56/$HF56</f>
        <v>240.89212152004134</v>
      </c>
      <c r="GS56" s="599">
        <f>44/12*DL56+$FS56+$EK56</f>
        <v>5.639217635956995</v>
      </c>
      <c r="GT56" s="527">
        <f>10^3*GS56/$HF56</f>
        <v>563.92176359569953</v>
      </c>
      <c r="GV56" s="599">
        <f>44/12*DP56+$FS56+$EP56</f>
        <v>6.2483569739397957</v>
      </c>
      <c r="GW56" s="527">
        <f>10^3*GV56/$HF56</f>
        <v>624.83569739397956</v>
      </c>
      <c r="GY56" s="599">
        <f>44/12*DT56+$FS56+$EW56</f>
        <v>2.9881236750805211</v>
      </c>
      <c r="GZ56" s="527">
        <f>10^3*GY56/$HF56</f>
        <v>298.81236750805209</v>
      </c>
      <c r="HB56" s="31">
        <v>0.18</v>
      </c>
      <c r="HC56" s="97">
        <f t="shared" ref="HC56" si="539">$HB56*HD56</f>
        <v>3.2399999999999998</v>
      </c>
      <c r="HD56" s="98">
        <v>18</v>
      </c>
      <c r="HE56" s="97">
        <f t="shared" ref="HE56" si="540">$HB56*HF56</f>
        <v>1.7999999999999998</v>
      </c>
      <c r="HF56" s="33">
        <v>10</v>
      </c>
      <c r="HG56" s="100">
        <f t="shared" si="536"/>
        <v>6.3E-3</v>
      </c>
      <c r="HH56" s="35">
        <v>3.5000000000000003E-2</v>
      </c>
      <c r="HI56" s="36"/>
      <c r="HJ56" s="35"/>
    </row>
    <row r="57" spans="1:218" s="4" customFormat="1" x14ac:dyDescent="0.25">
      <c r="A57" s="14"/>
      <c r="C57" s="33"/>
      <c r="D57" s="33"/>
      <c r="E57" s="33"/>
      <c r="F57" s="153">
        <f>(O55+O56)/(B55+B56)</f>
        <v>11.650752688172043</v>
      </c>
      <c r="H57" s="99"/>
      <c r="I57" s="60"/>
      <c r="J57" s="99"/>
      <c r="O57" s="60"/>
      <c r="W57" s="60"/>
      <c r="X57" s="60"/>
      <c r="Y57" s="60"/>
      <c r="Z57" s="60"/>
      <c r="AA57" s="60"/>
      <c r="AB57" s="60"/>
      <c r="AC57" s="60"/>
      <c r="AD57" s="60"/>
      <c r="AE57" s="60"/>
      <c r="AF57" s="602"/>
      <c r="AG57" s="602"/>
      <c r="AH57" s="602"/>
      <c r="AI57" s="602"/>
      <c r="AJ57" s="602"/>
      <c r="AK57" s="602"/>
      <c r="AL57" s="602"/>
      <c r="AM57" s="602"/>
      <c r="AN57" s="602"/>
      <c r="AO57" s="602"/>
      <c r="AP57" s="602"/>
      <c r="AQ57" s="602"/>
      <c r="AR57" s="602"/>
      <c r="AS57" s="602"/>
      <c r="AT57" s="602"/>
      <c r="AU57" s="602"/>
      <c r="AV57" s="602"/>
      <c r="AW57" s="602"/>
      <c r="AX57" s="60"/>
      <c r="AY57" s="60"/>
      <c r="AZ57" s="60"/>
      <c r="BD57" s="67"/>
      <c r="BE57" s="105"/>
      <c r="BF57" s="105"/>
      <c r="BG57" s="60"/>
      <c r="BH57" s="106"/>
      <c r="BI57" s="106"/>
      <c r="BJ57" s="60"/>
      <c r="BK57" s="60"/>
      <c r="BL57" s="60"/>
      <c r="BM57" s="32"/>
      <c r="BN57" s="32"/>
      <c r="BO57" s="67"/>
      <c r="BP57" s="270"/>
      <c r="BV57" s="60"/>
      <c r="CA57" s="60"/>
      <c r="CB57" s="60"/>
      <c r="CC57" s="60"/>
      <c r="CM57" s="60"/>
      <c r="CN57" s="60"/>
      <c r="CO57" s="60"/>
      <c r="CT57" s="33"/>
      <c r="CU57" s="99"/>
      <c r="CY57" s="60"/>
      <c r="CZ57" s="32"/>
      <c r="DC57" s="60"/>
      <c r="DD57" s="32"/>
      <c r="DG57" s="60"/>
      <c r="DH57" s="32"/>
      <c r="DK57" s="60"/>
      <c r="DL57" s="32"/>
      <c r="DO57" s="60"/>
      <c r="DP57" s="32"/>
      <c r="DS57" s="60"/>
      <c r="DT57" s="32"/>
      <c r="DW57" s="60"/>
      <c r="DY57" s="60"/>
      <c r="DZ57" s="60"/>
      <c r="EB57" s="60"/>
      <c r="EC57" s="60"/>
      <c r="EE57" s="60"/>
      <c r="EF57" s="60"/>
      <c r="EG57" s="60"/>
      <c r="EH57" s="60"/>
      <c r="EI57" s="97"/>
      <c r="EJ57" s="49"/>
      <c r="EL57" s="60"/>
      <c r="EM57" s="97"/>
      <c r="EN57" s="601"/>
      <c r="EO57" s="49"/>
      <c r="EP57" s="60"/>
      <c r="EQ57" s="100"/>
      <c r="ER57" s="100"/>
      <c r="ES57" s="100"/>
      <c r="ET57" s="100"/>
      <c r="EU57" s="100"/>
      <c r="EV57" s="49"/>
      <c r="EW57" s="60"/>
      <c r="EX57" s="100"/>
      <c r="EY57" s="100"/>
      <c r="EZ57" s="100"/>
      <c r="FA57" s="100"/>
      <c r="FB57" s="100"/>
      <c r="FC57" s="97"/>
      <c r="FD57" s="97"/>
      <c r="FE57" s="97"/>
      <c r="FF57" s="97"/>
      <c r="FG57" s="97"/>
      <c r="FH57" s="97"/>
      <c r="FI57" s="97"/>
      <c r="FJ57" s="97"/>
      <c r="FK57" s="97"/>
      <c r="FL57" s="97"/>
      <c r="FM57" s="97"/>
      <c r="FN57" s="97"/>
      <c r="FO57" s="97"/>
      <c r="FP57" s="97"/>
      <c r="FQ57" s="97"/>
      <c r="FR57" s="522"/>
      <c r="FT57" s="60"/>
      <c r="FU57" s="97"/>
      <c r="FV57" s="49"/>
      <c r="FW57" s="49"/>
      <c r="FX57" s="49"/>
      <c r="FY57" s="49"/>
      <c r="FZ57" s="49"/>
      <c r="GA57" s="49"/>
    </row>
    <row r="58" spans="1:218" s="4" customFormat="1" ht="13.8" x14ac:dyDescent="0.3">
      <c r="A58" s="15" t="s">
        <v>83</v>
      </c>
      <c r="B58" s="67">
        <f>B59</f>
        <v>45</v>
      </c>
      <c r="C58" s="67">
        <f t="shared" ref="C58:D58" si="541">C59</f>
        <v>36.4</v>
      </c>
      <c r="D58" s="67">
        <f t="shared" si="541"/>
        <v>8.6</v>
      </c>
      <c r="E58" s="33"/>
      <c r="G58" s="153">
        <f>P58/B58</f>
        <v>1.3892622222222222</v>
      </c>
      <c r="I58" s="153">
        <f>S58/C58</f>
        <v>1.296</v>
      </c>
      <c r="K58" s="153">
        <f>U58/D58</f>
        <v>1.784</v>
      </c>
      <c r="O58" s="67">
        <f>O59</f>
        <v>781.45999999999992</v>
      </c>
      <c r="P58" s="67">
        <f>P59</f>
        <v>62.516799999999996</v>
      </c>
      <c r="Q58" s="592">
        <f>P58/P$17</f>
        <v>1.6487044178449591E-2</v>
      </c>
      <c r="S58" s="67">
        <f>S59</f>
        <v>47.174399999999999</v>
      </c>
      <c r="U58" s="67">
        <f>U59</f>
        <v>15.3424</v>
      </c>
      <c r="V58" s="154">
        <f>U58/P58</f>
        <v>0.24541243313797251</v>
      </c>
      <c r="W58" s="265">
        <f t="shared" ref="W58:AE58" si="542">W59</f>
        <v>0.15762976146943419</v>
      </c>
      <c r="X58" s="265">
        <f t="shared" si="542"/>
        <v>0.44092631548042693</v>
      </c>
      <c r="Y58" s="265">
        <f t="shared" si="542"/>
        <v>9.013925394961006E-2</v>
      </c>
      <c r="Z58" s="265">
        <f t="shared" si="542"/>
        <v>0.10269012909799811</v>
      </c>
      <c r="AA58" s="265">
        <f t="shared" si="542"/>
        <v>7.673636792592084E-2</v>
      </c>
      <c r="AB58" s="265">
        <f t="shared" si="542"/>
        <v>7.839713832595524E-2</v>
      </c>
      <c r="AC58" s="265">
        <f t="shared" si="542"/>
        <v>2.3254640426344217E-2</v>
      </c>
      <c r="AD58" s="265">
        <f t="shared" si="542"/>
        <v>2.8401363932732262E-2</v>
      </c>
      <c r="AE58" s="265">
        <f t="shared" si="542"/>
        <v>1.7765161027359681E-3</v>
      </c>
      <c r="AF58" s="603"/>
      <c r="AG58" s="603"/>
      <c r="AH58" s="603"/>
      <c r="AI58" s="603"/>
      <c r="AJ58" s="603"/>
      <c r="AK58" s="603"/>
      <c r="AL58" s="603"/>
      <c r="AM58" s="603"/>
      <c r="AN58" s="603"/>
      <c r="AO58" s="603"/>
      <c r="AP58" s="603"/>
      <c r="AQ58" s="603"/>
      <c r="AR58" s="603"/>
      <c r="AS58" s="603"/>
      <c r="AT58" s="603"/>
      <c r="AU58" s="603"/>
      <c r="AV58" s="603"/>
      <c r="AW58" s="603"/>
      <c r="AX58" s="67">
        <f>AX59</f>
        <v>8.0422784961525142</v>
      </c>
      <c r="AY58" s="67">
        <f t="shared" ref="AY58:AZ58" si="543">AY59</f>
        <v>3.6943203936183853</v>
      </c>
      <c r="AZ58" s="67">
        <f t="shared" si="543"/>
        <v>4.3479581025341281</v>
      </c>
      <c r="BA58" s="152">
        <f>BA59</f>
        <v>178.7172999145003</v>
      </c>
      <c r="BB58" s="152">
        <f t="shared" ref="BB58:BC58" si="544">BB59</f>
        <v>82.096008747075231</v>
      </c>
      <c r="BC58" s="152">
        <f t="shared" si="544"/>
        <v>96.621291167425056</v>
      </c>
      <c r="BD58" s="152">
        <f>BD59</f>
        <v>192.07390839510396</v>
      </c>
      <c r="BE58" s="152">
        <f t="shared" ref="BE58:BI58" si="545">BE59</f>
        <v>90.144066287403945</v>
      </c>
      <c r="BF58" s="152">
        <f t="shared" si="545"/>
        <v>101.92984210770001</v>
      </c>
      <c r="BG58" s="152">
        <f>BG59</f>
        <v>122.18467797334067</v>
      </c>
      <c r="BH58" s="152">
        <f t="shared" si="545"/>
        <v>48.032137297311863</v>
      </c>
      <c r="BI58" s="152">
        <f t="shared" si="545"/>
        <v>74.152540676028806</v>
      </c>
      <c r="BJ58" s="67">
        <f>BJ59</f>
        <v>3.2805050769005963</v>
      </c>
      <c r="BK58" s="67">
        <f t="shared" ref="BK58" si="546">BK59</f>
        <v>1.9536500000000002E-2</v>
      </c>
      <c r="BL58" s="67">
        <f t="shared" ref="BL58" si="547">BL59</f>
        <v>3.2609685769005963</v>
      </c>
      <c r="BM58" s="153">
        <f>BM59</f>
        <v>72.900112820013248</v>
      </c>
      <c r="BN58" s="153">
        <f t="shared" ref="BN58:BO58" si="548">BN59</f>
        <v>0.43414444444444444</v>
      </c>
      <c r="BO58" s="152">
        <f t="shared" si="548"/>
        <v>72.465968375568806</v>
      </c>
      <c r="BP58" s="270"/>
      <c r="BQ58" s="67">
        <f>BQ59</f>
        <v>76.852381580775017</v>
      </c>
      <c r="BR58" s="32">
        <f t="shared" ref="BR58:BS58" si="549">BR59</f>
        <v>0.40500000000000003</v>
      </c>
      <c r="BS58" s="67">
        <f t="shared" si="549"/>
        <v>76.447381580775016</v>
      </c>
      <c r="BT58" s="67"/>
      <c r="BV58" s="152">
        <f>BV59</f>
        <v>56.171905507021599</v>
      </c>
      <c r="BW58" s="32">
        <f t="shared" ref="BW58:BX58" si="550">BW59</f>
        <v>0.5575</v>
      </c>
      <c r="BX58" s="67">
        <f t="shared" si="550"/>
        <v>55.614405507021601</v>
      </c>
      <c r="BY58" s="67"/>
      <c r="CA58" s="154"/>
      <c r="CB58" s="154"/>
      <c r="CC58" s="154"/>
      <c r="CM58" s="60"/>
      <c r="CN58" s="60"/>
      <c r="CO58" s="60"/>
      <c r="CS58" s="153">
        <f t="shared" ref="CS58" si="551">CS59</f>
        <v>6.0305333333333326</v>
      </c>
      <c r="CT58" s="153">
        <f t="shared" ref="CT58:CU58" si="552">CT59</f>
        <v>6.3</v>
      </c>
      <c r="CU58" s="153">
        <f t="shared" si="552"/>
        <v>4.8899999999999997</v>
      </c>
      <c r="CY58" s="60"/>
      <c r="CZ58" s="32"/>
      <c r="DC58" s="60"/>
      <c r="DD58" s="32"/>
      <c r="DG58" s="60"/>
      <c r="DH58" s="32"/>
      <c r="DK58" s="60"/>
      <c r="DL58" s="32"/>
      <c r="DO58" s="60"/>
      <c r="DP58" s="32"/>
      <c r="DS58" s="60"/>
      <c r="DT58" s="32"/>
      <c r="DW58" s="60"/>
      <c r="DY58" s="60"/>
      <c r="DZ58" s="60"/>
      <c r="EB58" s="60"/>
      <c r="EC58" s="60"/>
      <c r="EE58" s="60"/>
      <c r="EF58" s="60"/>
      <c r="EG58" s="60"/>
      <c r="EH58" s="60"/>
      <c r="EI58" s="67">
        <f t="shared" ref="EI58" si="553">EI59</f>
        <v>24.478329031311997</v>
      </c>
      <c r="EJ58" s="49"/>
      <c r="EK58" s="153">
        <f>EK59</f>
        <v>0.39154801639418524</v>
      </c>
      <c r="EL58" s="60"/>
      <c r="EM58" s="97"/>
      <c r="EN58" s="265">
        <f>EN59</f>
        <v>1.0850666666666666E-2</v>
      </c>
      <c r="EO58" s="49"/>
      <c r="EP58" s="60"/>
      <c r="EQ58" s="265">
        <f>EQ59</f>
        <v>8.5000000000000006E-3</v>
      </c>
      <c r="ER58" s="265"/>
      <c r="ES58" s="265"/>
      <c r="ET58" s="265"/>
      <c r="EU58" s="265"/>
      <c r="EV58" s="49"/>
      <c r="EW58" s="60"/>
      <c r="EX58" s="265">
        <f>EX59</f>
        <v>2.0799999999999999E-2</v>
      </c>
      <c r="EY58" s="265"/>
      <c r="EZ58" s="265"/>
      <c r="FA58" s="265"/>
      <c r="FB58" s="265"/>
      <c r="FC58" s="608"/>
      <c r="FD58" s="608"/>
      <c r="FE58" s="608"/>
      <c r="FF58" s="608"/>
      <c r="FG58" s="608"/>
      <c r="FH58" s="608"/>
      <c r="FI58" s="608"/>
      <c r="FJ58" s="608"/>
      <c r="FK58" s="608"/>
      <c r="FL58" s="67">
        <f>FL59</f>
        <v>159.40761550239361</v>
      </c>
      <c r="FM58" s="67">
        <f>FM59</f>
        <v>66.5043327638964</v>
      </c>
      <c r="FN58" s="67">
        <f>FN59</f>
        <v>4.5119542061239999</v>
      </c>
      <c r="FO58" s="67">
        <f t="shared" ref="FO58:FP58" si="554">FO59</f>
        <v>29.800125621183998</v>
      </c>
      <c r="FP58" s="67">
        <f t="shared" si="554"/>
        <v>58.591202911189207</v>
      </c>
      <c r="FQ58" s="67"/>
      <c r="FR58" s="522"/>
      <c r="FS58" s="153">
        <f>FS59</f>
        <v>2.5498364520000001</v>
      </c>
      <c r="FT58" s="60"/>
      <c r="FU58" s="97"/>
      <c r="FV58" s="49"/>
      <c r="FW58" s="153">
        <f>FW59</f>
        <v>1.13595524675</v>
      </c>
      <c r="FX58" s="49"/>
      <c r="FY58" s="153">
        <f>FY59</f>
        <v>1.4138812052500001</v>
      </c>
      <c r="FZ58" s="49"/>
      <c r="GA58" s="153">
        <f t="shared" ref="GA58:GJ58" si="555">GA59</f>
        <v>0</v>
      </c>
      <c r="GB58" s="267">
        <f>GB59</f>
        <v>8.5102670340000006E-2</v>
      </c>
      <c r="GC58" s="267">
        <f>GC59</f>
        <v>1.06378337925</v>
      </c>
      <c r="GD58" s="267">
        <f>GD59</f>
        <v>5.7737494E-3</v>
      </c>
      <c r="GE58" s="267">
        <f>GE59</f>
        <v>7.21718675E-2</v>
      </c>
      <c r="GF58" s="267">
        <f t="shared" si="555"/>
        <v>3.8133910399999998E-2</v>
      </c>
      <c r="GG58" s="267">
        <f t="shared" ref="GG58:GI58" si="556">GG59</f>
        <v>0.47667387999999999</v>
      </c>
      <c r="GH58" s="267">
        <f t="shared" si="556"/>
        <v>7.4976586020000013E-2</v>
      </c>
      <c r="GI58" s="267">
        <f t="shared" si="556"/>
        <v>0.93720732525000017</v>
      </c>
      <c r="GJ58" s="153">
        <f t="shared" si="555"/>
        <v>12.227735842145847</v>
      </c>
      <c r="GS58" s="153">
        <f>GS59</f>
        <v>10.933888752066897</v>
      </c>
      <c r="HB58" s="16"/>
    </row>
    <row r="59" spans="1:218" s="4" customFormat="1" x14ac:dyDescent="0.25">
      <c r="A59" s="14" t="s">
        <v>83</v>
      </c>
      <c r="B59" s="67">
        <f>C59+D59</f>
        <v>45</v>
      </c>
      <c r="C59" s="33">
        <v>36.4</v>
      </c>
      <c r="D59" s="33">
        <v>8.6</v>
      </c>
      <c r="E59" s="38">
        <f>D59/B59</f>
        <v>0.19111111111111109</v>
      </c>
      <c r="F59" s="108">
        <f t="shared" ref="F59" si="557">O59/B59</f>
        <v>17.365777777777776</v>
      </c>
      <c r="G59" s="32">
        <f t="shared" ref="G59" si="558">P59/B59</f>
        <v>1.3892622222222222</v>
      </c>
      <c r="H59" s="33">
        <v>16.2</v>
      </c>
      <c r="I59" s="32">
        <f>$HB59*H59</f>
        <v>1.296</v>
      </c>
      <c r="J59" s="33">
        <v>22.3</v>
      </c>
      <c r="K59" s="32">
        <f>$HB59*J59</f>
        <v>1.784</v>
      </c>
      <c r="L59" s="32">
        <f>10/G59</f>
        <v>7.198065160084969</v>
      </c>
      <c r="M59" s="32">
        <f>10/I59</f>
        <v>7.716049382716049</v>
      </c>
      <c r="N59" s="32">
        <f>10/K59</f>
        <v>5.6053811659192823</v>
      </c>
      <c r="O59" s="107">
        <f>R59+T59</f>
        <v>781.45999999999992</v>
      </c>
      <c r="P59" s="68">
        <f>S59+U59</f>
        <v>62.516799999999996</v>
      </c>
      <c r="Q59" s="68"/>
      <c r="R59" s="67">
        <f>C59*H59</f>
        <v>589.67999999999995</v>
      </c>
      <c r="S59" s="67">
        <f>C59*I59</f>
        <v>47.174399999999999</v>
      </c>
      <c r="T59" s="67">
        <f>D59*J59</f>
        <v>191.78</v>
      </c>
      <c r="U59" s="67">
        <f>D59*K59</f>
        <v>15.3424</v>
      </c>
      <c r="V59" s="38">
        <f>U59/P59</f>
        <v>0.24541243313797251</v>
      </c>
      <c r="W59" s="294">
        <f>($C59*AF59+$D59*AO59)/$B59</f>
        <v>0.15762976146943419</v>
      </c>
      <c r="X59" s="294">
        <f t="shared" ref="X59" si="559">($C59*AG59+$D59*AP59)/$B59</f>
        <v>0.44092631548042693</v>
      </c>
      <c r="Y59" s="294">
        <f t="shared" ref="Y59" si="560">($C59*AH59+$D59*AQ59)/$B59</f>
        <v>9.013925394961006E-2</v>
      </c>
      <c r="Z59" s="294">
        <f t="shared" ref="Z59" si="561">($C59*AI59+$D59*AR59)/$B59</f>
        <v>0.10269012909799811</v>
      </c>
      <c r="AA59" s="294">
        <f t="shared" ref="AA59" si="562">($C59*AJ59+$D59*AS59)/$B59</f>
        <v>7.673636792592084E-2</v>
      </c>
      <c r="AB59" s="294">
        <f t="shared" ref="AB59" si="563">($C59*AK59+$D59*AT59)/$B59</f>
        <v>7.839713832595524E-2</v>
      </c>
      <c r="AC59" s="294">
        <f t="shared" ref="AC59" si="564">($C59*AL59+$D59*AU59)/$B59</f>
        <v>2.3254640426344217E-2</v>
      </c>
      <c r="AD59" s="294">
        <f t="shared" ref="AD59" si="565">($C59*AM59+$D59*AV59)/$B59</f>
        <v>2.8401363932732262E-2</v>
      </c>
      <c r="AE59" s="294">
        <f t="shared" ref="AE59" si="566">($C59*AN59+$D59*AW59)/$B59</f>
        <v>1.7765161027359681E-3</v>
      </c>
      <c r="AF59" s="433">
        <v>0.16514396344004131</v>
      </c>
      <c r="AG59" s="433">
        <v>0.50326310923274187</v>
      </c>
      <c r="AH59" s="433">
        <v>9.8375602613234386E-2</v>
      </c>
      <c r="AI59" s="433">
        <v>0.10235435136748625</v>
      </c>
      <c r="AJ59" s="433">
        <v>7.591513875840071E-2</v>
      </c>
      <c r="AK59" s="433">
        <v>4.2445354151031817E-2</v>
      </c>
      <c r="AL59" s="433">
        <v>5.2129533125041443E-3</v>
      </c>
      <c r="AM59" s="433">
        <v>5.3835818699427595E-3</v>
      </c>
      <c r="AN59" s="433">
        <v>1.8603875485751938E-3</v>
      </c>
      <c r="AO59" s="433">
        <v>0.12582546475663203</v>
      </c>
      <c r="AP59" s="433">
        <v>0.17708221169155919</v>
      </c>
      <c r="AQ59" s="433">
        <v>5.527842937333971E-2</v>
      </c>
      <c r="AR59" s="433">
        <v>0.10411132786435076</v>
      </c>
      <c r="AS59" s="433">
        <v>8.021226812333164E-2</v>
      </c>
      <c r="AT59" s="433">
        <v>0.2305651550663288</v>
      </c>
      <c r="AU59" s="433">
        <v>9.9617130070969659E-2</v>
      </c>
      <c r="AV59" s="433">
        <v>0.12582546475663203</v>
      </c>
      <c r="AW59" s="433">
        <v>1.4215253319745946E-3</v>
      </c>
      <c r="AX59" s="554">
        <f>BA59*$B59/10^3</f>
        <v>8.0422784961525142</v>
      </c>
      <c r="AY59" s="554">
        <f t="shared" ref="AY59:AZ59" si="567">BB59*$B59/10^3</f>
        <v>3.6943203936183853</v>
      </c>
      <c r="AZ59" s="554">
        <f t="shared" si="567"/>
        <v>4.3479581025341281</v>
      </c>
      <c r="BA59" s="67">
        <f t="shared" ref="BA59" si="568">BB59+BC59</f>
        <v>178.7172999145003</v>
      </c>
      <c r="BB59" s="67">
        <f>(BE59*$C59+BH59*$D59)/$B59</f>
        <v>82.096008747075231</v>
      </c>
      <c r="BC59" s="67">
        <f>(BF59*$C59+BI59*$D59)/$B59</f>
        <v>96.621291167425056</v>
      </c>
      <c r="BD59" s="67">
        <f>BE59+BF59</f>
        <v>192.07390839510396</v>
      </c>
      <c r="BE59" s="105">
        <v>90.144066287403945</v>
      </c>
      <c r="BF59" s="105">
        <v>101.92984210770001</v>
      </c>
      <c r="BG59" s="68">
        <f>BH59+BI59</f>
        <v>122.18467797334067</v>
      </c>
      <c r="BH59" s="106">
        <v>48.032137297311863</v>
      </c>
      <c r="BI59" s="106">
        <v>74.152540676028806</v>
      </c>
      <c r="BJ59" s="554">
        <f>BM59*$B59/10^3</f>
        <v>3.2805050769005963</v>
      </c>
      <c r="BK59" s="554">
        <f t="shared" ref="BK59" si="569">BN59*$B59/10^3</f>
        <v>1.9536500000000002E-2</v>
      </c>
      <c r="BL59" s="554">
        <f t="shared" ref="BL59" si="570">BO59*$B59/10^3</f>
        <v>3.2609685769005963</v>
      </c>
      <c r="BM59" s="32">
        <f t="shared" ref="BM59" si="571">BN59+BO59</f>
        <v>72.900112820013248</v>
      </c>
      <c r="BN59" s="32">
        <f>(BR59*$C59+BW59*$D59)/$B59</f>
        <v>0.43414444444444444</v>
      </c>
      <c r="BO59" s="67">
        <f>(BS59*$C59+BX59*$D59)/$B59</f>
        <v>72.465968375568806</v>
      </c>
      <c r="BP59" s="270"/>
      <c r="BQ59" s="67">
        <f>BR59+BS59</f>
        <v>76.852381580775017</v>
      </c>
      <c r="BR59" s="32">
        <f>I59*0.5*2.5*0.25</f>
        <v>0.40500000000000003</v>
      </c>
      <c r="BS59" s="67">
        <f>(1-BU59)*BF59</f>
        <v>76.447381580775016</v>
      </c>
      <c r="BT59" s="67"/>
      <c r="BU59" s="34">
        <f t="shared" ref="BU59" si="572">BU$17</f>
        <v>0.25</v>
      </c>
      <c r="BV59" s="68">
        <f>BW59+BX59</f>
        <v>56.171905507021599</v>
      </c>
      <c r="BW59" s="32">
        <f>K59*0.5*2.5*0.25</f>
        <v>0.5575</v>
      </c>
      <c r="BX59" s="67">
        <f>(1-BZ59)*BI59</f>
        <v>55.614405507021601</v>
      </c>
      <c r="BY59" s="67"/>
      <c r="BZ59" s="34">
        <f t="shared" ref="BZ59" si="573">BZ$17</f>
        <v>0.25</v>
      </c>
      <c r="CA59" s="294"/>
      <c r="CB59" s="294"/>
      <c r="CC59" s="294"/>
      <c r="CD59" s="67">
        <f>BA59-BM59</f>
        <v>105.81718709448705</v>
      </c>
      <c r="CE59" s="67">
        <f>BB59-BN59</f>
        <v>81.661864302630789</v>
      </c>
      <c r="CF59" s="67">
        <f>BC59-BO59</f>
        <v>24.15532279185625</v>
      </c>
      <c r="CG59" s="67">
        <f>BD59-BQ59</f>
        <v>115.22152681432894</v>
      </c>
      <c r="CH59" s="67">
        <f>BE59-BR59</f>
        <v>89.739066287403944</v>
      </c>
      <c r="CI59" s="67">
        <f>BF59-BS59</f>
        <v>25.482460526924996</v>
      </c>
      <c r="CJ59" s="67">
        <f>BG59-BV59</f>
        <v>66.012772466319063</v>
      </c>
      <c r="CK59" s="67">
        <f>BH59-BW59</f>
        <v>47.474637297311865</v>
      </c>
      <c r="CL59" s="67">
        <f>BI59-BX59</f>
        <v>18.538135169007205</v>
      </c>
      <c r="CM59" s="68"/>
      <c r="CN59" s="293"/>
      <c r="CO59" s="293"/>
      <c r="CS59" s="32">
        <f>(CT59*$C59+CU59*$D59)/$B59</f>
        <v>6.0305333333333326</v>
      </c>
      <c r="CT59" s="33">
        <v>6.3</v>
      </c>
      <c r="CU59" s="99">
        <v>4.8899999999999997</v>
      </c>
      <c r="CY59" s="97">
        <f>CZ59*$HB59</f>
        <v>0.20261130270003624</v>
      </c>
      <c r="CZ59" s="263">
        <f>(BA59-BM59-EN59*CF59)/'Amortization metrics'!$D$4/G59</f>
        <v>2.5326412837504528</v>
      </c>
      <c r="DA59" s="527">
        <f>10^3*CZ59/$HF59</f>
        <v>194.81856028849637</v>
      </c>
      <c r="DB59" s="528">
        <f>CZ59/$HH59</f>
        <v>16.884275225003019</v>
      </c>
      <c r="DC59" s="97">
        <f>DD59*$HB59</f>
        <v>0.2366356499996915</v>
      </c>
      <c r="DD59" s="263">
        <f>(BD59-BQ59-EQ59*CI59)/'Amortization metrics'!$D$4/I59</f>
        <v>2.9579456249961438</v>
      </c>
      <c r="DE59" s="527">
        <f>10^3*DD59/$HF59</f>
        <v>227.53427884585719</v>
      </c>
      <c r="DF59" s="528">
        <f>DD59/$HH59</f>
        <v>19.719637499974294</v>
      </c>
      <c r="DG59" s="97">
        <f>DH59*$HB59</f>
        <v>9.8097427884609428E-2</v>
      </c>
      <c r="DH59" s="263">
        <f>(BG59-BV59-EX59*CL59)/'Amortization metrics'!$D$4/K59</f>
        <v>1.2262178485576178</v>
      </c>
      <c r="DI59" s="527">
        <f>10^3*DH59/$HF59</f>
        <v>94.324449889047528</v>
      </c>
      <c r="DJ59" s="528">
        <f>DH59/$HH59</f>
        <v>8.1747856570507853</v>
      </c>
      <c r="DK59" s="97">
        <f>DL59*$HB59</f>
        <v>0.17438191164376826</v>
      </c>
      <c r="DL59" s="263">
        <f>$EF$11*DX59</f>
        <v>2.1797738955471031</v>
      </c>
      <c r="DM59" s="527">
        <f>10^3*DL59/$HF59</f>
        <v>167.67491504208485</v>
      </c>
      <c r="DN59" s="528">
        <f>DL59/$HH59</f>
        <v>14.531825970314021</v>
      </c>
      <c r="DO59" s="97">
        <f>DP59*$HB59</f>
        <v>0.19528347117343881</v>
      </c>
      <c r="DP59" s="263">
        <f>$EF$11*EA59</f>
        <v>2.4410433896679851</v>
      </c>
      <c r="DQ59" s="527">
        <f>10^3*DP59/$HF59</f>
        <v>187.77256843599886</v>
      </c>
      <c r="DR59" s="528">
        <f>DP59/$HH59</f>
        <v>16.273622597786567</v>
      </c>
      <c r="DS59" s="97">
        <f>DT59*$HB59</f>
        <v>0.11011435703194161</v>
      </c>
      <c r="DT59" s="263">
        <f>$EF$11*ED59</f>
        <v>1.3764294628992702</v>
      </c>
      <c r="DU59" s="527">
        <f>10^3*DT59/$HF59</f>
        <v>105.87918945379002</v>
      </c>
      <c r="DV59" s="528">
        <f>DT59/$HH59</f>
        <v>9.176196419328468</v>
      </c>
      <c r="DW59" s="97">
        <f>DX59*$HB59</f>
        <v>0.34726537506718186</v>
      </c>
      <c r="DX59" s="263">
        <f>CS59/G59</f>
        <v>4.3408171883397735</v>
      </c>
      <c r="DY59" s="68">
        <f>10^3*DX59/$HF59</f>
        <v>333.90901448767488</v>
      </c>
      <c r="DZ59" s="97">
        <f>EA59*$HB59</f>
        <v>0.38888888888888884</v>
      </c>
      <c r="EA59" s="263">
        <f>CT59/I59</f>
        <v>4.8611111111111107</v>
      </c>
      <c r="EB59" s="68">
        <f>10^3*EA59/$HF59</f>
        <v>373.9316239316239</v>
      </c>
      <c r="EC59" s="97">
        <f>ED59*$HB59</f>
        <v>0.21928251121076234</v>
      </c>
      <c r="ED59" s="263">
        <f>CU59/K59</f>
        <v>2.7410313901345291</v>
      </c>
      <c r="EE59" s="68">
        <f>10^3*ED59/$HF59</f>
        <v>210.84856847188684</v>
      </c>
      <c r="EF59" s="60"/>
      <c r="EG59" s="60"/>
      <c r="EH59" s="60"/>
      <c r="EI59" s="554">
        <f>EK59*$P59</f>
        <v>24.478329031311997</v>
      </c>
      <c r="EJ59" s="262">
        <f>EK59*$HB59</f>
        <v>3.1323841311534817E-2</v>
      </c>
      <c r="EK59" s="170">
        <f>(EP59*S59+EW59*U59)/P59</f>
        <v>0.39154801639418524</v>
      </c>
      <c r="EL59" s="68">
        <f>10^3*EK59/$HF59</f>
        <v>30.119078184168096</v>
      </c>
      <c r="EM59" s="97">
        <f>EK59/$HH59</f>
        <v>2.6103201092945683</v>
      </c>
      <c r="EN59" s="429">
        <f>(EQ59*C59+EX59*D59)/B59</f>
        <v>1.0850666666666666E-2</v>
      </c>
      <c r="EO59" s="262">
        <f>EP59*$HB59</f>
        <v>2.595907114814815E-2</v>
      </c>
      <c r="EP59" s="436">
        <f>EQ59*EU59/I59</f>
        <v>0.32448838935185187</v>
      </c>
      <c r="EQ59" s="101">
        <v>8.5000000000000006E-3</v>
      </c>
      <c r="ER59" s="101">
        <v>0.74199999999999999</v>
      </c>
      <c r="ES59" s="101">
        <v>0.25800000000000001</v>
      </c>
      <c r="ET59" s="429">
        <f>1-ER59-ES59</f>
        <v>0</v>
      </c>
      <c r="EU59" s="430">
        <f>ER59*$FC59+ES59*$FD59+ET59*$FE59+'Amortization metrics'!$B$6*(ER59*$FF59+ES59*$FG59+ET59*$FH59)/10^3+'Amortization metrics'!$B$5*(ER59*$FI59+ES59*$FJ59+ET59*$FK59)/10^3</f>
        <v>49.474935599999995</v>
      </c>
      <c r="EV59" s="262">
        <f>EW59*$HB59</f>
        <v>4.7819292713901333E-2</v>
      </c>
      <c r="EW59" s="436">
        <f>EX59*FB59/K59</f>
        <v>0.59774115892376667</v>
      </c>
      <c r="EX59" s="101">
        <v>2.0799999999999999E-2</v>
      </c>
      <c r="EY59" s="101">
        <v>0.83299999999999996</v>
      </c>
      <c r="EZ59" s="101">
        <v>0.16700000000000001</v>
      </c>
      <c r="FA59" s="429">
        <f>1-EY59-EZ59</f>
        <v>0</v>
      </c>
      <c r="FB59" s="430">
        <f>EY59*$FC59+EZ59*$FD59+FA59*$FE59+'Amortization metrics'!$B$6*(EY59*$FF59+EZ59*$FG59+FA59*$FH59)/10^3+'Amortization metrics'!$B$5*(EY59*$FI59+EZ59*$FJ59+FA59*$FK59)/10^3</f>
        <v>51.267799399999994</v>
      </c>
      <c r="FC59" s="431">
        <v>51.3</v>
      </c>
      <c r="FD59" s="431">
        <v>29</v>
      </c>
      <c r="FE59" s="431">
        <v>29</v>
      </c>
      <c r="FF59" s="99">
        <v>5</v>
      </c>
      <c r="FG59" s="431">
        <v>13</v>
      </c>
      <c r="FH59" s="431">
        <v>13</v>
      </c>
      <c r="FI59" s="431">
        <v>52</v>
      </c>
      <c r="FJ59" s="431">
        <v>58.3</v>
      </c>
      <c r="FK59" s="431">
        <v>58.3</v>
      </c>
      <c r="FL59" s="554">
        <f>FO59+FP59+FM59+FN59+FQ59</f>
        <v>159.40761550239361</v>
      </c>
      <c r="FM59" s="554">
        <f>GC59*$P59</f>
        <v>66.5043327638964</v>
      </c>
      <c r="FN59" s="554">
        <f>GE59*$P59</f>
        <v>4.5119542061239999</v>
      </c>
      <c r="FO59" s="554">
        <f>GG59*$P59</f>
        <v>29.800125621183998</v>
      </c>
      <c r="FP59" s="554">
        <f>GI59*$P59</f>
        <v>58.591202911189207</v>
      </c>
      <c r="FQ59" s="554"/>
      <c r="FR59" s="167">
        <f>FS59*HB59</f>
        <v>0.20398691616</v>
      </c>
      <c r="FS59" s="170">
        <f>FY59+FW59+GA59</f>
        <v>2.5498364520000001</v>
      </c>
      <c r="FT59" s="68">
        <f>10^3*FS59/$HF59</f>
        <v>196.14126553846154</v>
      </c>
      <c r="FU59" s="97">
        <f>FS59/$HH59</f>
        <v>16.998909680000001</v>
      </c>
      <c r="FV59" s="473">
        <f>FW59*HB59</f>
        <v>9.0876419740000006E-2</v>
      </c>
      <c r="FW59" s="269">
        <f>GC59+GE59</f>
        <v>1.13595524675</v>
      </c>
      <c r="FX59" s="473">
        <f>FY59*HB59</f>
        <v>0.11311049642000001</v>
      </c>
      <c r="FY59" s="269">
        <f>GG59+GI59</f>
        <v>1.4138812052500001</v>
      </c>
      <c r="FZ59" s="49"/>
      <c r="GA59" s="49"/>
      <c r="GB59" s="435">
        <v>8.5102670340000006E-2</v>
      </c>
      <c r="GC59" s="522">
        <f>GB59/$HB59</f>
        <v>1.06378337925</v>
      </c>
      <c r="GD59" s="435">
        <v>5.7737494E-3</v>
      </c>
      <c r="GE59" s="522">
        <f>GD59/$HB59</f>
        <v>7.21718675E-2</v>
      </c>
      <c r="GF59" s="435">
        <v>3.8133910399999998E-2</v>
      </c>
      <c r="GG59" s="522">
        <f>GF59/$HB59</f>
        <v>0.47667387999999999</v>
      </c>
      <c r="GH59" s="435">
        <v>7.4976586020000013E-2</v>
      </c>
      <c r="GI59" s="522">
        <f>GH59/$HB59</f>
        <v>0.93720732525000017</v>
      </c>
      <c r="GJ59" s="599">
        <f>44/12*CZ59+$FS59+$EK59</f>
        <v>12.227735842145847</v>
      </c>
      <c r="GK59" s="527">
        <f>10^3*GJ59/$HF59</f>
        <v>940.59506478044977</v>
      </c>
      <c r="GL59" s="528">
        <f>GJ59/$HH59</f>
        <v>81.518238947638991</v>
      </c>
      <c r="GM59" s="599">
        <f>44/12*DD59+$FS59+$EP59</f>
        <v>13.720125466337713</v>
      </c>
      <c r="GN59" s="527">
        <f>10^3*GM59/$HF59</f>
        <v>1055.3942666413625</v>
      </c>
      <c r="GO59" s="528">
        <f>GM59/$HH59</f>
        <v>91.467503108918095</v>
      </c>
      <c r="GP59" s="599">
        <f>44/12*DH59+$FS59+$EW59</f>
        <v>7.6437097223016988</v>
      </c>
      <c r="GQ59" s="527">
        <f>10^3*GP59/$HF59</f>
        <v>587.97767094628455</v>
      </c>
      <c r="GR59" s="528">
        <f>GP59/$HH59</f>
        <v>50.958064815344663</v>
      </c>
      <c r="GS59" s="599">
        <f>44/12*DL59+$FS59+$EK59</f>
        <v>10.933888752066897</v>
      </c>
      <c r="GT59" s="527">
        <f>10^3*GS59/$HF59</f>
        <v>841.06836554360757</v>
      </c>
      <c r="GU59" s="528">
        <f>GS59/$HH59</f>
        <v>72.892591680445989</v>
      </c>
      <c r="GV59" s="599">
        <f>44/12*DP59+$FS59+$EP59</f>
        <v>11.824817270134464</v>
      </c>
      <c r="GW59" s="527">
        <f>10^3*GV59/$HF59</f>
        <v>909.60132847188174</v>
      </c>
      <c r="GX59" s="528">
        <f>GV59/$HH59</f>
        <v>78.832115134229767</v>
      </c>
      <c r="GY59" s="599">
        <f>44/12*DT59+$FS59+$EW59</f>
        <v>8.194485641554424</v>
      </c>
      <c r="GZ59" s="527">
        <f>10^3*GY59/$HF59</f>
        <v>630.34504935034033</v>
      </c>
      <c r="HA59" s="528">
        <f>GY59/$HH59</f>
        <v>54.629904277029496</v>
      </c>
      <c r="HB59" s="35">
        <v>0.08</v>
      </c>
      <c r="HC59" s="32">
        <f t="shared" ref="HC59" si="574">$HB59*HD59</f>
        <v>1.44</v>
      </c>
      <c r="HD59" s="27">
        <v>18</v>
      </c>
      <c r="HE59" s="32">
        <f t="shared" ref="HE59" si="575">$HB59*HF59</f>
        <v>1.04</v>
      </c>
      <c r="HF59" s="33">
        <v>13</v>
      </c>
      <c r="HG59" s="36">
        <f t="shared" ref="HG59" si="576">$HB59*HH59</f>
        <v>1.2E-2</v>
      </c>
      <c r="HH59" s="31">
        <v>0.15</v>
      </c>
      <c r="HI59" s="36"/>
      <c r="HJ59" s="35"/>
    </row>
    <row r="60" spans="1:218" s="4" customFormat="1" x14ac:dyDescent="0.25">
      <c r="A60" s="14"/>
      <c r="H60" s="33"/>
      <c r="J60" s="33"/>
      <c r="O60" s="60"/>
      <c r="W60" s="60"/>
      <c r="X60" s="60"/>
      <c r="Y60" s="60"/>
      <c r="Z60" s="60"/>
      <c r="AA60" s="60"/>
      <c r="AB60" s="60"/>
      <c r="AC60" s="60"/>
      <c r="AD60" s="60"/>
      <c r="AE60" s="60"/>
      <c r="AF60" s="60"/>
      <c r="AG60" s="60"/>
      <c r="AH60" s="60"/>
      <c r="AI60" s="60"/>
      <c r="AJ60" s="60"/>
      <c r="AK60" s="60"/>
      <c r="AL60" s="60"/>
      <c r="AM60" s="60"/>
      <c r="AN60" s="60"/>
      <c r="AO60" s="60"/>
      <c r="AP60" s="60"/>
      <c r="AQ60" s="60"/>
      <c r="AR60" s="60"/>
      <c r="AS60" s="60"/>
      <c r="AT60" s="60"/>
      <c r="AU60" s="60"/>
      <c r="AV60" s="60"/>
      <c r="AW60" s="60"/>
      <c r="AX60" s="60"/>
      <c r="AY60" s="60"/>
      <c r="AZ60" s="60"/>
      <c r="BD60" s="67"/>
      <c r="BE60" s="105"/>
      <c r="BF60" s="105"/>
      <c r="BG60" s="60"/>
      <c r="BH60" s="106"/>
      <c r="BI60" s="106"/>
      <c r="BJ60" s="60"/>
      <c r="BK60" s="60"/>
      <c r="BL60" s="60"/>
      <c r="BM60" s="32"/>
      <c r="BN60" s="32"/>
      <c r="BO60" s="67"/>
      <c r="BP60" s="270"/>
      <c r="BV60" s="60"/>
      <c r="CA60" s="60"/>
      <c r="CB60" s="60"/>
      <c r="CC60" s="60"/>
      <c r="CM60" s="60"/>
      <c r="CN60" s="60"/>
      <c r="CO60" s="60"/>
      <c r="CT60" s="33"/>
      <c r="CU60" s="99"/>
      <c r="CY60" s="60"/>
      <c r="CZ60" s="32"/>
      <c r="DB60" s="67"/>
      <c r="DC60" s="60"/>
      <c r="DD60" s="32"/>
      <c r="DF60" s="67"/>
      <c r="DG60" s="60"/>
      <c r="DH60" s="32"/>
      <c r="DJ60" s="67"/>
      <c r="DK60" s="60"/>
      <c r="DL60" s="32"/>
      <c r="DN60" s="67"/>
      <c r="DO60" s="60"/>
      <c r="DP60" s="32"/>
      <c r="DR60" s="67"/>
      <c r="DS60" s="60"/>
      <c r="DT60" s="32"/>
      <c r="DV60" s="67"/>
      <c r="DW60" s="60"/>
      <c r="DY60" s="60"/>
      <c r="DZ60" s="60"/>
      <c r="EB60" s="60"/>
      <c r="EC60" s="60"/>
      <c r="EE60" s="60"/>
      <c r="EF60" s="60"/>
      <c r="EG60" s="60"/>
      <c r="EH60" s="60"/>
      <c r="EI60" s="97"/>
      <c r="EJ60" s="49"/>
      <c r="EL60" s="60"/>
      <c r="EM60" s="97"/>
      <c r="EN60" s="601"/>
      <c r="EO60" s="49"/>
      <c r="EP60" s="60"/>
      <c r="EQ60" s="100"/>
      <c r="ER60" s="100"/>
      <c r="ES60" s="100"/>
      <c r="ET60" s="100"/>
      <c r="EU60" s="100"/>
      <c r="EV60" s="49"/>
      <c r="EW60" s="60"/>
      <c r="EX60" s="100"/>
      <c r="EY60" s="100"/>
      <c r="EZ60" s="100"/>
      <c r="FA60" s="100"/>
      <c r="FB60" s="100"/>
      <c r="FC60" s="97"/>
      <c r="FD60" s="97"/>
      <c r="FE60" s="97"/>
      <c r="FF60" s="97"/>
      <c r="FG60" s="97"/>
      <c r="FH60" s="97"/>
      <c r="FI60" s="97"/>
      <c r="FJ60" s="97"/>
      <c r="FK60" s="97"/>
      <c r="FL60" s="97"/>
      <c r="FM60" s="97"/>
      <c r="FN60" s="97"/>
      <c r="FO60" s="97"/>
      <c r="FP60" s="97"/>
      <c r="FQ60" s="97"/>
      <c r="FR60" s="522"/>
      <c r="FT60" s="60"/>
      <c r="FU60" s="97"/>
      <c r="FV60" s="49"/>
      <c r="FW60" s="49"/>
      <c r="FX60" s="49"/>
      <c r="FY60" s="49"/>
      <c r="FZ60" s="49"/>
      <c r="GA60" s="49"/>
    </row>
    <row r="61" spans="1:218" s="4" customFormat="1" ht="13.8" x14ac:dyDescent="0.3">
      <c r="A61" s="15" t="s">
        <v>86</v>
      </c>
      <c r="B61" s="152">
        <f>B62+B63</f>
        <v>116.7</v>
      </c>
      <c r="C61" s="152">
        <f>C62+C63</f>
        <v>103.65902578796562</v>
      </c>
      <c r="D61" s="152">
        <f t="shared" ref="D61" si="577">D62+D63</f>
        <v>13.040974212034383</v>
      </c>
      <c r="E61" s="49"/>
      <c r="F61" s="49"/>
      <c r="G61" s="153">
        <f>P61/B61</f>
        <v>4.5221558474083121</v>
      </c>
      <c r="I61" s="153">
        <f>S61/C61</f>
        <v>4.0676092544987155</v>
      </c>
      <c r="K61" s="153">
        <f>U61/D61</f>
        <v>8.1352185089974292</v>
      </c>
      <c r="L61" s="49"/>
      <c r="M61" s="49"/>
      <c r="N61" s="49"/>
      <c r="O61" s="152">
        <f>O62+O63</f>
        <v>2110.9423495702003</v>
      </c>
      <c r="P61" s="152">
        <f>P62+P63</f>
        <v>527.73558739255009</v>
      </c>
      <c r="Q61" s="265">
        <f>P61/P$17</f>
        <v>0.13917538875759825</v>
      </c>
      <c r="R61" s="60"/>
      <c r="S61" s="152">
        <f>S62+S63</f>
        <v>421.64441260744991</v>
      </c>
      <c r="U61" s="152">
        <f>U62+U63</f>
        <v>106.09117478510028</v>
      </c>
      <c r="V61" s="154"/>
      <c r="W61" s="265">
        <f t="shared" ref="W61:AE61" si="578">($B62*W62+$B63*W63)/$B61</f>
        <v>0.15918472723067814</v>
      </c>
      <c r="X61" s="265">
        <f t="shared" si="578"/>
        <v>0.24131385649898962</v>
      </c>
      <c r="Y61" s="265">
        <f t="shared" si="578"/>
        <v>0.14447077716276588</v>
      </c>
      <c r="Z61" s="265">
        <f t="shared" si="578"/>
        <v>0.13467637533262508</v>
      </c>
      <c r="AA61" s="265">
        <f t="shared" si="578"/>
        <v>0.11865923740990651</v>
      </c>
      <c r="AB61" s="265">
        <f t="shared" si="578"/>
        <v>0.16009784566382443</v>
      </c>
      <c r="AC61" s="265">
        <f t="shared" si="578"/>
        <v>1.7890907085841429E-2</v>
      </c>
      <c r="AD61" s="265">
        <f t="shared" si="578"/>
        <v>1.8319315097303741E-2</v>
      </c>
      <c r="AE61" s="265">
        <f t="shared" si="578"/>
        <v>5.2513944060105728E-3</v>
      </c>
      <c r="AF61" s="154"/>
      <c r="AG61" s="154"/>
      <c r="AH61" s="154"/>
      <c r="AI61" s="154"/>
      <c r="AJ61" s="154"/>
      <c r="AK61" s="154"/>
      <c r="AL61" s="154"/>
      <c r="AM61" s="154"/>
      <c r="AN61" s="154"/>
      <c r="AO61" s="154"/>
      <c r="AP61" s="154"/>
      <c r="AQ61" s="154"/>
      <c r="AR61" s="154"/>
      <c r="AS61" s="154"/>
      <c r="AT61" s="154"/>
      <c r="AU61" s="154"/>
      <c r="AV61" s="154"/>
      <c r="AW61" s="154"/>
      <c r="AX61" s="152">
        <f>AX62+AX63</f>
        <v>17.928118100404589</v>
      </c>
      <c r="AY61" s="152">
        <f t="shared" ref="AY61:AZ61" si="579">AY62+AY63</f>
        <v>6.5640608150020334</v>
      </c>
      <c r="AZ61" s="152">
        <f t="shared" si="579"/>
        <v>11.364057285402556</v>
      </c>
      <c r="BA61" s="152">
        <f>($B62*BA62+$B63*BA63)/$B61</f>
        <v>153.62569066327839</v>
      </c>
      <c r="BB61" s="152">
        <f>($B62*BB62+$B63*BB63)/$B61</f>
        <v>56.247307754944586</v>
      </c>
      <c r="BC61" s="152">
        <f>($B62*BC62+$B63*BC63)/$B61</f>
        <v>97.378382908333805</v>
      </c>
      <c r="BD61" s="152">
        <f>($C62*BD62+$C63*BD63)/$C61</f>
        <v>161.93619344482246</v>
      </c>
      <c r="BE61" s="152">
        <f t="shared" ref="BE61:BF61" si="580">($C62*BE62+$C63*BE63)/$C61</f>
        <v>60.067156751861546</v>
      </c>
      <c r="BF61" s="152">
        <f t="shared" si="580"/>
        <v>101.86903669296089</v>
      </c>
      <c r="BG61" s="152">
        <f>($D62*BG62+$D63*BG63)/$D61</f>
        <v>87.567848040748942</v>
      </c>
      <c r="BH61" s="152">
        <f>($D62*BH62+$D63*BH63)/$D61</f>
        <v>25.884405471758537</v>
      </c>
      <c r="BI61" s="152">
        <f>($D62*BI62+$D63*BI63)/$D61</f>
        <v>61.683442568990408</v>
      </c>
      <c r="BJ61" s="152">
        <f>BJ62+BJ63</f>
        <v>10.19016383511209</v>
      </c>
      <c r="BK61" s="152">
        <f t="shared" ref="BK61" si="581">BK62+BK63</f>
        <v>0.1649173710601719</v>
      </c>
      <c r="BL61" s="152">
        <f t="shared" ref="BL61" si="582">BL62+BL63</f>
        <v>10.025246464051918</v>
      </c>
      <c r="BM61" s="153">
        <f>($B62*BM62+$B63*BM63)/$B61</f>
        <v>87.319313068655433</v>
      </c>
      <c r="BN61" s="153">
        <f>($B62*BN62+$B63*BN63)/$B61</f>
        <v>1.4131737023150979</v>
      </c>
      <c r="BO61" s="152">
        <f>($B62*BO62+$B63*BO63)/$B61</f>
        <v>85.906139366340341</v>
      </c>
      <c r="BP61" s="270"/>
      <c r="BQ61" s="152">
        <f>($C62*BQ62+$C63*BQ63)/$C61</f>
        <v>91.170861709952021</v>
      </c>
      <c r="BR61" s="153">
        <f t="shared" ref="BR61:BS61" si="583">($C62*BR62+$C63*BR63)/$C61</f>
        <v>1.2711278920308484</v>
      </c>
      <c r="BS61" s="152">
        <f t="shared" si="583"/>
        <v>89.899733817921174</v>
      </c>
      <c r="BT61" s="152"/>
      <c r="BV61" s="152">
        <f>($D62*BV62+$D63*BV63)/$D61</f>
        <v>56.704439253220947</v>
      </c>
      <c r="BW61" s="153">
        <f>($D62*BW62+$D63*BW63)/$D61</f>
        <v>2.5422557840616964</v>
      </c>
      <c r="BX61" s="152">
        <f>($D62*BX62+$D63*BX63)/$D61</f>
        <v>54.16218346915926</v>
      </c>
      <c r="BY61" s="152"/>
      <c r="CA61" s="154"/>
      <c r="CB61" s="154"/>
      <c r="CC61" s="154"/>
      <c r="CD61" s="152">
        <f t="shared" ref="CD61:CF63" si="584">BA61-BM61</f>
        <v>66.306377594622958</v>
      </c>
      <c r="CE61" s="152">
        <f t="shared" si="584"/>
        <v>54.834134052629487</v>
      </c>
      <c r="CF61" s="152">
        <f t="shared" si="584"/>
        <v>11.472243541993464</v>
      </c>
      <c r="CG61" s="152">
        <f t="shared" ref="CG61:CI63" si="585">BD61-BQ61</f>
        <v>70.765331734870443</v>
      </c>
      <c r="CH61" s="152">
        <f t="shared" si="585"/>
        <v>58.796028859830699</v>
      </c>
      <c r="CI61" s="152">
        <f t="shared" si="585"/>
        <v>11.969302875039716</v>
      </c>
      <c r="CJ61" s="152">
        <f t="shared" ref="CJ61:CL63" si="586">BG61-BV61</f>
        <v>30.863408787527995</v>
      </c>
      <c r="CK61" s="152">
        <f t="shared" si="586"/>
        <v>23.342149687696839</v>
      </c>
      <c r="CL61" s="152">
        <f t="shared" si="586"/>
        <v>7.5212590998311484</v>
      </c>
      <c r="CM61" s="60"/>
      <c r="CN61" s="60"/>
      <c r="CO61" s="60"/>
      <c r="CS61" s="153">
        <f>($B62*CS62+$B63*CS63)/$B61</f>
        <v>5.3424711073135871</v>
      </c>
      <c r="CT61" s="153">
        <f t="shared" ref="CT61" si="587">($C62*CT62+$C63*CT63)/$C61</f>
        <v>5.5404113110539841</v>
      </c>
      <c r="CU61" s="153">
        <f>($D62*CU62+$D63*CU63)/$D61</f>
        <v>3.7691002570694088</v>
      </c>
      <c r="CY61" s="60"/>
      <c r="CZ61" s="523">
        <f>(BA61-BM61-EN61*CF61)/'Amortization metrics'!$D$4/G61</f>
        <v>0.4864893126434981</v>
      </c>
      <c r="DB61" s="67"/>
      <c r="DC61" s="60"/>
      <c r="DD61" s="523">
        <f>(BD61-BQ61-EQ61*CI61)/'Amortization metrics'!$D$4/I61</f>
        <v>0.57705016156996192</v>
      </c>
      <c r="DF61" s="67"/>
      <c r="DG61" s="60"/>
      <c r="DH61" s="523">
        <f>(BG61-BV61-EX61*CL61)/'Amortization metrics'!$D$4/K61</f>
        <v>0.12622144964018306</v>
      </c>
      <c r="DJ61" s="67"/>
      <c r="DK61" s="60"/>
      <c r="DL61" s="523">
        <f>$EF$11*DX61</f>
        <v>0.59324844414647482</v>
      </c>
      <c r="DN61" s="67"/>
      <c r="DO61" s="60"/>
      <c r="DP61" s="523">
        <f>$EF$11*EA61</f>
        <v>0.6839789428917703</v>
      </c>
      <c r="DR61" s="67"/>
      <c r="DS61" s="60"/>
      <c r="DT61" s="523">
        <f>$EF$11*ED61</f>
        <v>0.2326528722100426</v>
      </c>
      <c r="DV61" s="67"/>
      <c r="DW61" s="60"/>
      <c r="DX61" s="523">
        <f>CS61/G61</f>
        <v>1.1813991573013578</v>
      </c>
      <c r="DY61" s="60"/>
      <c r="DZ61" s="60"/>
      <c r="EA61" s="523">
        <f>CT61/I61</f>
        <v>1.362080515704986</v>
      </c>
      <c r="EB61" s="60"/>
      <c r="EC61" s="60"/>
      <c r="ED61" s="523">
        <f>CU61/K61</f>
        <v>0.46330657903052519</v>
      </c>
      <c r="EE61" s="60"/>
      <c r="EF61" s="60"/>
      <c r="EG61" s="60"/>
      <c r="EH61" s="60"/>
      <c r="EI61" s="152">
        <f t="shared" ref="EI61" si="588">EI62+EI63</f>
        <v>97.354313419217192</v>
      </c>
      <c r="EJ61" s="49"/>
      <c r="EK61" s="473">
        <f>($P62*EK62+$P63*EK63)/$P61</f>
        <v>0.18447555128928855</v>
      </c>
      <c r="EL61" s="60"/>
      <c r="EM61" s="97"/>
      <c r="EN61" s="594">
        <f>($B62*EN62+$B63*EN63)/$B61</f>
        <v>2.6757006798712443E-2</v>
      </c>
      <c r="EO61" s="49"/>
      <c r="EP61" s="60"/>
      <c r="EQ61" s="594">
        <f>($C62*EQ62+$C63*EQ63)/$C61</f>
        <v>2.9149100257069408E-2</v>
      </c>
      <c r="ER61" s="594"/>
      <c r="ES61" s="594"/>
      <c r="ET61" s="594"/>
      <c r="EU61" s="594"/>
      <c r="EV61" s="49"/>
      <c r="EW61" s="60"/>
      <c r="EX61" s="594">
        <f>($D62*EX62+$D63*EX63)/$D61</f>
        <v>7.7429305912596396E-3</v>
      </c>
      <c r="EY61" s="594"/>
      <c r="EZ61" s="594"/>
      <c r="FA61" s="594"/>
      <c r="FB61" s="594"/>
      <c r="FC61" s="595"/>
      <c r="FD61" s="595"/>
      <c r="FE61" s="595"/>
      <c r="FF61" s="595"/>
      <c r="FG61" s="595"/>
      <c r="FH61" s="595"/>
      <c r="FI61" s="595"/>
      <c r="FJ61" s="595"/>
      <c r="FK61" s="595"/>
      <c r="FL61" s="152">
        <f>FL62+FL63</f>
        <v>138.47091517041221</v>
      </c>
      <c r="FM61" s="152">
        <f>FM62+FM63</f>
        <v>55.020876552304742</v>
      </c>
      <c r="FN61" s="152">
        <f>FN62+FN63</f>
        <v>9.2566414830607968</v>
      </c>
      <c r="FO61" s="152">
        <f t="shared" ref="FO61:FP61" si="589">FO62+FO63</f>
        <v>28.398986888543046</v>
      </c>
      <c r="FP61" s="152">
        <f t="shared" si="589"/>
        <v>45.794410246503631</v>
      </c>
      <c r="FQ61" s="152"/>
      <c r="FR61" s="522"/>
      <c r="FS61" s="473">
        <f>($P62*FS62+$P63*FS63)/$P61</f>
        <v>0.26238691965909089</v>
      </c>
      <c r="FT61" s="60"/>
      <c r="FU61" s="97"/>
      <c r="FV61" s="49"/>
      <c r="FW61" s="473">
        <f>($P62*FW62+$P63*FW63)/$P61</f>
        <v>0.12179871809090913</v>
      </c>
      <c r="FX61" s="49"/>
      <c r="FY61" s="473">
        <f>($P62*FY62+$P63*FY63)/$P61</f>
        <v>0.14058820156818183</v>
      </c>
      <c r="FZ61" s="49"/>
      <c r="GA61" s="473">
        <f>($P62*GA62+$P63*GA63)/$P61</f>
        <v>0</v>
      </c>
      <c r="GC61" s="269">
        <f>($P62*GC62+$P63*GC63)/$P61</f>
        <v>0.10425841627272729</v>
      </c>
      <c r="GE61" s="269">
        <f>($P62*GE62+$P63*GE63)/$P61</f>
        <v>1.7540301818181819E-2</v>
      </c>
      <c r="GG61" s="269">
        <f>($P62*GG62+$P63*GG63)/$P61</f>
        <v>5.3812908522727278E-2</v>
      </c>
      <c r="GI61" s="269">
        <f>($P62*GI62+$P63*GI63)/$P61</f>
        <v>8.677529304545456E-2</v>
      </c>
      <c r="GJ61" s="149">
        <f>($P62*GJ62+$P63*GJ63)/$P61</f>
        <v>2.2314089137074142</v>
      </c>
      <c r="GS61" s="149">
        <f>($P62*GS62+$P63*GS63)/$P61</f>
        <v>2.6221067661521205</v>
      </c>
    </row>
    <row r="62" spans="1:218" s="4" customFormat="1" x14ac:dyDescent="0.25">
      <c r="A62" s="14" t="s">
        <v>386</v>
      </c>
      <c r="B62" s="67">
        <f>C62+D62</f>
        <v>104.7</v>
      </c>
      <c r="C62" s="27">
        <v>93</v>
      </c>
      <c r="D62" s="27">
        <v>11.7</v>
      </c>
      <c r="E62" s="38">
        <f>D62/B62</f>
        <v>0.11174785100286531</v>
      </c>
      <c r="F62" s="108">
        <f t="shared" ref="F62:F63" si="590">O62/B62</f>
        <v>16.453868194842407</v>
      </c>
      <c r="G62" s="169">
        <f t="shared" ref="G62:G63" si="591">P62/B62</f>
        <v>4.1134670487106018</v>
      </c>
      <c r="H62" s="98">
        <v>14.8</v>
      </c>
      <c r="I62" s="32">
        <f>$HB62*H62</f>
        <v>3.7</v>
      </c>
      <c r="J62" s="60">
        <f>2*H62</f>
        <v>29.6</v>
      </c>
      <c r="K62" s="32">
        <f>$HB62*J62</f>
        <v>7.4</v>
      </c>
      <c r="L62" s="32">
        <f t="shared" ref="L62:L63" si="592">10/G62</f>
        <v>2.4310392867093897</v>
      </c>
      <c r="M62" s="32">
        <f t="shared" ref="M62:M63" si="593">10/I62</f>
        <v>2.7027027027027026</v>
      </c>
      <c r="N62" s="32">
        <f t="shared" ref="N62:N63" si="594">10/K62</f>
        <v>1.3513513513513513</v>
      </c>
      <c r="O62" s="107">
        <f>R62+T62</f>
        <v>1722.72</v>
      </c>
      <c r="P62" s="67">
        <f>HB62*O62</f>
        <v>430.68</v>
      </c>
      <c r="Q62" s="67"/>
      <c r="R62" s="67">
        <f t="shared" ref="R62:R63" si="595">C62*H62</f>
        <v>1376.4</v>
      </c>
      <c r="S62" s="67">
        <f t="shared" ref="S62:S63" si="596">C62*I62</f>
        <v>344.1</v>
      </c>
      <c r="T62" s="67">
        <f t="shared" ref="T62:T63" si="597">D62*J62</f>
        <v>346.32</v>
      </c>
      <c r="U62" s="67">
        <f t="shared" ref="U62:U63" si="598">D62*K62</f>
        <v>86.58</v>
      </c>
      <c r="V62" s="38">
        <f t="shared" ref="V62:V63" si="599">U62/P62</f>
        <v>0.20103092783505153</v>
      </c>
      <c r="W62" s="294">
        <f t="shared" ref="W62:W63" si="600">($C62*AF62+$D62*AO62)/$B62</f>
        <v>0.15125617236880362</v>
      </c>
      <c r="X62" s="294">
        <f t="shared" ref="X62:X63" si="601">($C62*AG62+$D62*AP62)/$B62</f>
        <v>0.2246196826868444</v>
      </c>
      <c r="Y62" s="294">
        <f t="shared" ref="Y62:Y63" si="602">($C62*AH62+$D62*AQ62)/$B62</f>
        <v>0.14801653928475952</v>
      </c>
      <c r="Z62" s="294">
        <f t="shared" ref="Z62:Z63" si="603">($C62*AI62+$D62*AR62)/$B62</f>
        <v>0.13692709982506127</v>
      </c>
      <c r="AA62" s="294">
        <f t="shared" ref="AA62:AA63" si="604">($C62*AJ62+$D62*AS62)/$B62</f>
        <v>0.12326857891581351</v>
      </c>
      <c r="AB62" s="294">
        <f t="shared" ref="AB62:AB63" si="605">($C62*AK62+$D62*AT62)/$B62</f>
        <v>0.17207081542387226</v>
      </c>
      <c r="AC62" s="294">
        <f t="shared" ref="AC62:AC63" si="606">($C62*AL62+$D62*AU62)/$B62</f>
        <v>1.920775002796413E-2</v>
      </c>
      <c r="AD62" s="294">
        <f t="shared" ref="AD62:AD63" si="607">($C62*AM62+$D62*AV62)/$B62</f>
        <v>1.8927990915248043E-2</v>
      </c>
      <c r="AE62" s="294">
        <f t="shared" ref="AE62:AE63" si="608">($C62*AN62+$D62*AW62)/$B62</f>
        <v>5.5566747095736543E-3</v>
      </c>
      <c r="AF62" s="294">
        <f>AF19</f>
        <v>0.15555845280316416</v>
      </c>
      <c r="AG62" s="294">
        <f t="shared" ref="AG62:AW62" si="609">AG19</f>
        <v>0.22208154105850389</v>
      </c>
      <c r="AH62" s="294">
        <f t="shared" si="609"/>
        <v>0.16333543601278258</v>
      </c>
      <c r="AI62" s="294">
        <f t="shared" si="609"/>
        <v>0.13919956081724549</v>
      </c>
      <c r="AJ62" s="294">
        <f t="shared" si="609"/>
        <v>0.1257920029309455</v>
      </c>
      <c r="AK62" s="294">
        <f t="shared" si="609"/>
        <v>0.16858227809611648</v>
      </c>
      <c r="AL62" s="294">
        <f t="shared" si="609"/>
        <v>1.2544895853937327E-2</v>
      </c>
      <c r="AM62" s="294">
        <f t="shared" si="609"/>
        <v>6.5825323925483657E-3</v>
      </c>
      <c r="AN62" s="294">
        <f t="shared" si="609"/>
        <v>6.1761456434495047E-3</v>
      </c>
      <c r="AO62" s="294">
        <f t="shared" si="609"/>
        <v>0.11705855865978398</v>
      </c>
      <c r="AP62" s="294">
        <f t="shared" si="609"/>
        <v>0.24479465460442276</v>
      </c>
      <c r="AQ62" s="294">
        <f t="shared" si="609"/>
        <v>2.6250949908166062E-2</v>
      </c>
      <c r="AR62" s="294">
        <f t="shared" si="609"/>
        <v>0.11886394834872516</v>
      </c>
      <c r="AS62" s="294">
        <f t="shared" si="609"/>
        <v>0.10321059315450797</v>
      </c>
      <c r="AT62" s="294">
        <f t="shared" si="609"/>
        <v>0.19980021469577713</v>
      </c>
      <c r="AU62" s="294">
        <f t="shared" si="609"/>
        <v>7.2168898590741271E-2</v>
      </c>
      <c r="AV62" s="294">
        <f t="shared" si="609"/>
        <v>0.11705855865978398</v>
      </c>
      <c r="AW62" s="294">
        <f t="shared" si="609"/>
        <v>6.3267497876562156E-4</v>
      </c>
      <c r="AX62" s="554">
        <f>BA62*$B62/10^3</f>
        <v>15.585989999999999</v>
      </c>
      <c r="AY62" s="554">
        <f t="shared" ref="AY62:AZ63" si="610">BB62*$B62/10^3</f>
        <v>5.5712999999999999</v>
      </c>
      <c r="AZ62" s="554">
        <f t="shared" si="610"/>
        <v>10.014689999999998</v>
      </c>
      <c r="BA62" s="67">
        <f t="shared" ref="BA62:BA63" si="611">BB62+BC62</f>
        <v>148.86332378223494</v>
      </c>
      <c r="BB62" s="67">
        <f>(BE62*$C62+BH62*$D62)/$B62</f>
        <v>53.212034383954155</v>
      </c>
      <c r="BC62" s="67">
        <f>(BF62*$C62+BI62*$D62)/$B62</f>
        <v>95.651289398280781</v>
      </c>
      <c r="BD62" s="67">
        <f t="shared" ref="BD62:BD63" si="612">BE62+BF62</f>
        <v>157.25</v>
      </c>
      <c r="BE62" s="105">
        <v>56.95</v>
      </c>
      <c r="BF62" s="105">
        <v>100.3</v>
      </c>
      <c r="BG62" s="68">
        <f>BH62+BI62</f>
        <v>82.2</v>
      </c>
      <c r="BH62" s="106">
        <v>23.5</v>
      </c>
      <c r="BI62" s="106">
        <v>58.7</v>
      </c>
      <c r="BJ62" s="554">
        <f>BM62*$B62/10^3</f>
        <v>9.1478085</v>
      </c>
      <c r="BK62" s="554">
        <f t="shared" ref="BK62:BK63" si="613">BN62*$B62/10^3</f>
        <v>0.1345875</v>
      </c>
      <c r="BL62" s="554">
        <f t="shared" ref="BL62:BL63" si="614">BO62*$B62/10^3</f>
        <v>9.0132209999999997</v>
      </c>
      <c r="BM62" s="32">
        <f t="shared" ref="BM62:BM63" si="615">BN62+BO62</f>
        <v>87.371618911174778</v>
      </c>
      <c r="BN62" s="32">
        <f>(BR62*$C62+BW62*$D62)/$B62</f>
        <v>1.2854584527220632</v>
      </c>
      <c r="BO62" s="67">
        <f>(BS62*$C62+BX62*$D62)/$B62</f>
        <v>86.08616045845271</v>
      </c>
      <c r="BP62" s="270"/>
      <c r="BQ62" s="67">
        <f t="shared" ref="BQ62:BQ63" si="616">BR62+BS62</f>
        <v>91.426249999999996</v>
      </c>
      <c r="BR62" s="32">
        <f>I62*0.5*2.5*0.25</f>
        <v>1.15625</v>
      </c>
      <c r="BS62" s="67">
        <f>(1-BU62)*BF62</f>
        <v>90.27</v>
      </c>
      <c r="BT62" s="67"/>
      <c r="BU62" s="257">
        <v>0.1</v>
      </c>
      <c r="BV62" s="68">
        <f>BW62+BX62</f>
        <v>55.142500000000005</v>
      </c>
      <c r="BW62" s="32">
        <f>K62*0.5*2.5*0.25</f>
        <v>2.3125</v>
      </c>
      <c r="BX62" s="67">
        <f>(1-BZ62)*BI62</f>
        <v>52.830000000000005</v>
      </c>
      <c r="BY62" s="67"/>
      <c r="BZ62" s="257">
        <v>0.1</v>
      </c>
      <c r="CA62" s="294"/>
      <c r="CB62" s="294"/>
      <c r="CC62" s="294"/>
      <c r="CD62" s="67">
        <f t="shared" si="584"/>
        <v>61.491704871060165</v>
      </c>
      <c r="CE62" s="67">
        <f t="shared" si="584"/>
        <v>51.926575931232094</v>
      </c>
      <c r="CF62" s="67">
        <f t="shared" si="584"/>
        <v>9.565128939828071</v>
      </c>
      <c r="CG62" s="67">
        <f t="shared" si="585"/>
        <v>65.823750000000004</v>
      </c>
      <c r="CH62" s="67">
        <f t="shared" si="585"/>
        <v>55.793750000000003</v>
      </c>
      <c r="CI62" s="67">
        <f t="shared" si="585"/>
        <v>10.030000000000001</v>
      </c>
      <c r="CJ62" s="67">
        <f t="shared" si="586"/>
        <v>27.057499999999997</v>
      </c>
      <c r="CK62" s="67">
        <f t="shared" si="586"/>
        <v>21.1875</v>
      </c>
      <c r="CL62" s="67">
        <f t="shared" si="586"/>
        <v>5.8699999999999974</v>
      </c>
      <c r="CM62" s="68"/>
      <c r="CN62" s="293"/>
      <c r="CO62" s="293"/>
      <c r="CS62" s="32">
        <f t="shared" ref="CS62:CS63" si="617">(CT62*$C62+CU62*$D62)/$B62</f>
        <v>5.1833237822349565</v>
      </c>
      <c r="CT62" s="33">
        <v>5.38</v>
      </c>
      <c r="CU62" s="99">
        <v>3.62</v>
      </c>
      <c r="CY62" s="97">
        <f>CZ62*$HB62</f>
        <v>0.1240230553465393</v>
      </c>
      <c r="CZ62" s="263">
        <f>(BA62-BM62-EN62*CF62)/'Amortization metrics'!$D$4/G62</f>
        <v>0.49609222138615722</v>
      </c>
      <c r="DB62" s="528">
        <f>CZ62/$HH62</f>
        <v>3.9687377710892577</v>
      </c>
      <c r="DC62" s="97">
        <f>DD62*$HB62</f>
        <v>0.14755139639639639</v>
      </c>
      <c r="DD62" s="263">
        <f>(BD62-BQ62-EQ62*CI62)/'Amortization metrics'!$D$4/I62</f>
        <v>0.59020558558558556</v>
      </c>
      <c r="DF62" s="528">
        <f>DD62/$HH62</f>
        <v>4.7216446846846845</v>
      </c>
      <c r="DG62" s="97">
        <f>DH62*$HB62</f>
        <v>3.0417274774774773E-2</v>
      </c>
      <c r="DH62" s="263">
        <f>(BG62-BV62-EX62*CL62)/'Amortization metrics'!$D$4/K62</f>
        <v>0.12166909909909909</v>
      </c>
      <c r="DJ62" s="528">
        <f>DH62/$HH62</f>
        <v>0.97335279279279274</v>
      </c>
      <c r="DK62" s="97">
        <f>DL62*$HB62</f>
        <v>0.1581904551183152</v>
      </c>
      <c r="DL62" s="263">
        <f>$EF$11*DX62</f>
        <v>0.63276182047326079</v>
      </c>
      <c r="DN62" s="528">
        <f>DL62/$HH62</f>
        <v>5.0620945637860864</v>
      </c>
      <c r="DO62" s="97">
        <f>DP62*$HB62</f>
        <v>0.18254103618181286</v>
      </c>
      <c r="DP62" s="263">
        <f>$EF$11*EA62</f>
        <v>0.73016414472725144</v>
      </c>
      <c r="DR62" s="528">
        <f>DP62/$HH62</f>
        <v>5.8413131578180115</v>
      </c>
      <c r="DS62" s="97">
        <f>DT62*$HB62</f>
        <v>6.141250473774746E-2</v>
      </c>
      <c r="DT62" s="263">
        <f>$EF$11*ED62</f>
        <v>0.24565001895098984</v>
      </c>
      <c r="DV62" s="528">
        <f>DT62/$HH62</f>
        <v>1.9652001516079187</v>
      </c>
      <c r="DW62" s="97">
        <f>DX62*$HB62</f>
        <v>0.31502159375870714</v>
      </c>
      <c r="DX62" s="263">
        <f>CS62/G62</f>
        <v>1.2600863750348286</v>
      </c>
      <c r="DY62" s="60"/>
      <c r="DZ62" s="97">
        <f>EA62*$HB62</f>
        <v>0.36351351351351346</v>
      </c>
      <c r="EA62" s="263">
        <f>CT62/I62</f>
        <v>1.4540540540540539</v>
      </c>
      <c r="EB62" s="60"/>
      <c r="EC62" s="97">
        <f>ED62*$HB62</f>
        <v>0.1222972972972973</v>
      </c>
      <c r="ED62" s="263">
        <f>CU62/K62</f>
        <v>0.48918918918918919</v>
      </c>
      <c r="EE62" s="60"/>
      <c r="EF62" s="60"/>
      <c r="EG62" s="60"/>
      <c r="EH62" s="60"/>
      <c r="EI62" s="554">
        <f>EK62*$P62</f>
        <v>90.149730277200007</v>
      </c>
      <c r="EJ62" s="522">
        <f>EK62*$HB62</f>
        <v>5.2329879653803292E-2</v>
      </c>
      <c r="EK62" s="167">
        <f>(EP62*S62+EW62*U62)/P62</f>
        <v>0.20931951861521317</v>
      </c>
      <c r="EL62" s="68"/>
      <c r="EM62" s="97">
        <f>EK62/$HH62</f>
        <v>1.6745561489217053</v>
      </c>
      <c r="EN62" s="429">
        <f>(EQ62*C62+EX62*D62)/B62</f>
        <v>2.8429799426934094E-2</v>
      </c>
      <c r="EO62" s="262">
        <f>EP62*$HB62</f>
        <v>6.3437189324324322E-2</v>
      </c>
      <c r="EP62" s="436">
        <f>EQ62*EU62/I62</f>
        <v>0.25374875729729729</v>
      </c>
      <c r="EQ62" s="101">
        <v>3.1E-2</v>
      </c>
      <c r="ER62" s="101">
        <v>0.33</v>
      </c>
      <c r="ES62" s="101">
        <v>0.33</v>
      </c>
      <c r="ET62" s="429">
        <f>1-ER62-ES62</f>
        <v>0.33999999999999991</v>
      </c>
      <c r="EU62" s="430">
        <f>ER62*$FC62+ES62*$FD62+ET62*$FE62+'Amortization metrics'!$B$6*(ER62*$FF62+ES62*$FG62+ET62*$FH62)/10^3+'Amortization metrics'!$B$5*(ER62*$FI62+ES62*$FJ62+ET62*$FK62)/10^3</f>
        <v>30.286142000000002</v>
      </c>
      <c r="EV62" s="262">
        <f>EW62*$HB62</f>
        <v>8.1854437837837832E-3</v>
      </c>
      <c r="EW62" s="436">
        <f>EX62*FB62/K62</f>
        <v>3.2741775135135133E-2</v>
      </c>
      <c r="EX62" s="101">
        <v>8.0000000000000002E-3</v>
      </c>
      <c r="EY62" s="101">
        <v>0.33</v>
      </c>
      <c r="EZ62" s="101">
        <v>0.33</v>
      </c>
      <c r="FA62" s="429">
        <f>1-EY62-EZ62</f>
        <v>0.33999999999999991</v>
      </c>
      <c r="FB62" s="430">
        <f>EY62*$FC62+EZ62*$FD62+FA62*$FE62+'Amortization metrics'!$B$6*(EY62*$FF62+EZ62*$FG62+FA62*$FH62)/10^3+'Amortization metrics'!$B$5*(EY62*$FI62+EZ62*$FJ62+FA62*$FK62)/10^3</f>
        <v>30.286142000000002</v>
      </c>
      <c r="FC62" s="431">
        <v>35.200000000000003</v>
      </c>
      <c r="FD62" s="431">
        <v>22.4</v>
      </c>
      <c r="FE62" s="431">
        <v>20.9</v>
      </c>
      <c r="FF62" s="99">
        <v>5</v>
      </c>
      <c r="FG62" s="431">
        <v>8.1999999999999993</v>
      </c>
      <c r="FH62" s="431">
        <v>9.5</v>
      </c>
      <c r="FI62" s="431">
        <v>52</v>
      </c>
      <c r="FJ62" s="431">
        <v>58.3</v>
      </c>
      <c r="FK62" s="431">
        <v>58.3</v>
      </c>
      <c r="FL62" s="554">
        <f>FO62+FP62+FM62+FN62+FQ62</f>
        <v>113.00479855877728</v>
      </c>
      <c r="FM62" s="554">
        <f>GC62*$P62</f>
        <v>44.902014720338187</v>
      </c>
      <c r="FN62" s="554">
        <f>GE62*$P62</f>
        <v>7.5542571870545459</v>
      </c>
      <c r="FO62" s="554">
        <f>GG62*$P62</f>
        <v>23.176143442568183</v>
      </c>
      <c r="FP62" s="554">
        <f>GI62*$P62</f>
        <v>37.372383208816366</v>
      </c>
      <c r="FQ62" s="554"/>
      <c r="FR62" s="166">
        <f>FS62*HB62</f>
        <v>6.5596729914772722E-2</v>
      </c>
      <c r="FS62" s="167">
        <f>FY62+FW62+GA62</f>
        <v>0.26238691965909089</v>
      </c>
      <c r="FT62" s="68"/>
      <c r="FU62" s="97">
        <f>FS62/$HH62</f>
        <v>2.0990953572727271</v>
      </c>
      <c r="FV62" s="269">
        <f>FW62*HB62</f>
        <v>3.0449679522727275E-2</v>
      </c>
      <c r="FW62" s="473">
        <f>GC62+GE62</f>
        <v>0.1217987180909091</v>
      </c>
      <c r="FX62" s="269">
        <f>FY62*HB62</f>
        <v>3.5147050392045451E-2</v>
      </c>
      <c r="FY62" s="473">
        <f>GG62+GI62</f>
        <v>0.1405882015681818</v>
      </c>
      <c r="FZ62" s="49"/>
      <c r="GA62" s="49"/>
      <c r="GB62" s="409"/>
      <c r="GC62" s="409">
        <f>GC63</f>
        <v>0.10425841627272728</v>
      </c>
      <c r="GD62" s="409"/>
      <c r="GE62" s="409">
        <f>GE63</f>
        <v>1.7540301818181819E-2</v>
      </c>
      <c r="GF62" s="435"/>
      <c r="GG62" s="409">
        <f>GG63</f>
        <v>5.3812908522727271E-2</v>
      </c>
      <c r="GH62" s="409"/>
      <c r="GI62" s="409">
        <f>GI63</f>
        <v>8.6775293045454546E-2</v>
      </c>
      <c r="GJ62" s="599">
        <f>44/12*CZ62+$FS62+$EK62</f>
        <v>2.2907112500235471</v>
      </c>
      <c r="GL62" s="528">
        <f>GJ62/$HH62</f>
        <v>18.325690000188377</v>
      </c>
      <c r="GM62" s="599">
        <f>44/12*DD62+$FS62+$EP62</f>
        <v>2.6802228241035349</v>
      </c>
      <c r="GO62" s="528">
        <f>GM62/$HH62</f>
        <v>21.441782592828279</v>
      </c>
      <c r="GP62" s="599">
        <f>44/12*DH62+$FS62+$EW62</f>
        <v>0.74124872482425597</v>
      </c>
      <c r="GR62" s="528">
        <f>GP62/$HH62</f>
        <v>5.9299897985940477</v>
      </c>
      <c r="GS62" s="599">
        <f>44/12*DL62+$FS62+$EK62</f>
        <v>2.7918331133429271</v>
      </c>
      <c r="GU62" s="528">
        <f>GS62/$HH62</f>
        <v>22.334664906743416</v>
      </c>
      <c r="GV62" s="599">
        <f>44/12*DP62+$FS62+$EP62</f>
        <v>3.1934042076229767</v>
      </c>
      <c r="GX62" s="528">
        <f>GV62/$HH62</f>
        <v>25.547233660983814</v>
      </c>
      <c r="GY62" s="599">
        <f>44/12*DT62+$FS62+$EW62</f>
        <v>1.1958454309478552</v>
      </c>
      <c r="HA62" s="528">
        <f>GY62/$HH62</f>
        <v>9.5667634475828418</v>
      </c>
      <c r="HB62" s="31">
        <v>0.25</v>
      </c>
      <c r="HC62" s="32">
        <f t="shared" ref="HC62" si="618">$HB62*HD62</f>
        <v>4.5</v>
      </c>
      <c r="HD62" s="27">
        <v>18</v>
      </c>
      <c r="HH62" s="35">
        <v>0.125</v>
      </c>
    </row>
    <row r="63" spans="1:218" s="4" customFormat="1" x14ac:dyDescent="0.25">
      <c r="A63" s="14" t="s">
        <v>84</v>
      </c>
      <c r="B63" s="105">
        <v>12</v>
      </c>
      <c r="C63" s="67">
        <f>C62/B62*B63</f>
        <v>10.659025787965616</v>
      </c>
      <c r="D63" s="32">
        <f>D62/B62*B63</f>
        <v>1.3409742120343837</v>
      </c>
      <c r="E63" s="38">
        <f>D63/B63</f>
        <v>0.11174785100286531</v>
      </c>
      <c r="F63" s="108">
        <f t="shared" si="590"/>
        <v>32.351862464183377</v>
      </c>
      <c r="G63" s="32">
        <f t="shared" si="591"/>
        <v>8.0879656160458442</v>
      </c>
      <c r="H63" s="98">
        <v>29.1</v>
      </c>
      <c r="I63" s="32">
        <f>$HB63*H63</f>
        <v>7.2750000000000004</v>
      </c>
      <c r="J63" s="60">
        <f>2*H63</f>
        <v>58.2</v>
      </c>
      <c r="K63" s="32">
        <f>$HB63*J63</f>
        <v>14.55</v>
      </c>
      <c r="L63" s="32">
        <f t="shared" si="592"/>
        <v>1.2364048605944664</v>
      </c>
      <c r="M63" s="32">
        <f t="shared" si="593"/>
        <v>1.3745704467353952</v>
      </c>
      <c r="N63" s="32">
        <f t="shared" si="594"/>
        <v>0.6872852233676976</v>
      </c>
      <c r="O63" s="107">
        <f>R63+T63</f>
        <v>388.22234957020055</v>
      </c>
      <c r="P63" s="67">
        <f>HB63*O63</f>
        <v>97.055587392550137</v>
      </c>
      <c r="Q63" s="67"/>
      <c r="R63" s="67">
        <f t="shared" si="595"/>
        <v>310.17765042979943</v>
      </c>
      <c r="S63" s="67">
        <f t="shared" si="596"/>
        <v>77.544412607449857</v>
      </c>
      <c r="T63" s="67">
        <f t="shared" si="597"/>
        <v>78.044699140401136</v>
      </c>
      <c r="U63" s="67">
        <f t="shared" si="598"/>
        <v>19.511174785100284</v>
      </c>
      <c r="V63" s="38">
        <f t="shared" si="599"/>
        <v>0.20103092783505153</v>
      </c>
      <c r="W63" s="294">
        <f t="shared" si="600"/>
        <v>0.22836136840053334</v>
      </c>
      <c r="X63" s="294">
        <f t="shared" si="601"/>
        <v>0.38697052300995649</v>
      </c>
      <c r="Y63" s="294">
        <f t="shared" si="602"/>
        <v>0.11353400264837125</v>
      </c>
      <c r="Z63" s="294">
        <f t="shared" si="603"/>
        <v>0.11503880413611935</v>
      </c>
      <c r="AA63" s="294">
        <f t="shared" si="604"/>
        <v>7.8442732770867996E-2</v>
      </c>
      <c r="AB63" s="294">
        <f t="shared" si="605"/>
        <v>5.5633684507407029E-2</v>
      </c>
      <c r="AC63" s="294">
        <f t="shared" si="606"/>
        <v>6.4014524158208562E-3</v>
      </c>
      <c r="AD63" s="294">
        <f t="shared" si="607"/>
        <v>1.3008618585739708E-2</v>
      </c>
      <c r="AE63" s="294">
        <f t="shared" si="608"/>
        <v>2.5878237574226818E-3</v>
      </c>
      <c r="AF63" s="294">
        <f>AF20</f>
        <v>0.25105641895177455</v>
      </c>
      <c r="AG63" s="294">
        <f t="shared" ref="AG63:AW63" si="619">AG20</f>
        <v>0.38743634269437044</v>
      </c>
      <c r="AH63" s="294">
        <f t="shared" si="619"/>
        <v>0.12084238467810281</v>
      </c>
      <c r="AI63" s="294">
        <f t="shared" si="619"/>
        <v>0.1233258093424815</v>
      </c>
      <c r="AJ63" s="294">
        <f t="shared" si="619"/>
        <v>6.2266308536683891E-2</v>
      </c>
      <c r="AK63" s="294">
        <f t="shared" si="619"/>
        <v>4.2394618122719357E-2</v>
      </c>
      <c r="AL63" s="294">
        <f t="shared" si="619"/>
        <v>1.2195328505599501E-3</v>
      </c>
      <c r="AM63" s="294">
        <f t="shared" si="619"/>
        <v>8.6109038377004364E-3</v>
      </c>
      <c r="AN63" s="294">
        <f t="shared" si="619"/>
        <v>2.8339261829481779E-3</v>
      </c>
      <c r="AO63" s="294">
        <f t="shared" si="619"/>
        <v>4.7964812736821114E-2</v>
      </c>
      <c r="AP63" s="294">
        <f t="shared" si="619"/>
        <v>0.3832678537235894</v>
      </c>
      <c r="AQ63" s="294">
        <f t="shared" si="619"/>
        <v>5.544173523255623E-2</v>
      </c>
      <c r="AR63" s="294">
        <f t="shared" si="619"/>
        <v>4.9167737111189519E-2</v>
      </c>
      <c r="AS63" s="294">
        <f t="shared" si="619"/>
        <v>0.20702456642720329</v>
      </c>
      <c r="AT63" s="294">
        <f t="shared" si="619"/>
        <v>0.16086728910364242</v>
      </c>
      <c r="AU63" s="294">
        <f t="shared" si="619"/>
        <v>4.7591069473022947E-2</v>
      </c>
      <c r="AV63" s="294">
        <f t="shared" si="619"/>
        <v>4.7964812736821114E-2</v>
      </c>
      <c r="AW63" s="294">
        <f t="shared" si="619"/>
        <v>6.3162499042515E-4</v>
      </c>
      <c r="AX63" s="554">
        <f>BA63*$B63/10^3</f>
        <v>2.3421281004045902</v>
      </c>
      <c r="AY63" s="554">
        <f t="shared" si="610"/>
        <v>0.99276081500203328</v>
      </c>
      <c r="AZ63" s="554">
        <f t="shared" si="610"/>
        <v>1.3493672854025569</v>
      </c>
      <c r="BA63" s="67">
        <f t="shared" si="611"/>
        <v>195.1773417003825</v>
      </c>
      <c r="BB63" s="67">
        <f>(BE63*$C63+BH63*$D63)/$B63</f>
        <v>82.730067916836106</v>
      </c>
      <c r="BC63" s="67">
        <f>(BF63*$C63+BI63*$D63)/$B63</f>
        <v>112.44727378354641</v>
      </c>
      <c r="BD63" s="67">
        <f t="shared" si="612"/>
        <v>202.82323125089823</v>
      </c>
      <c r="BE63" s="67">
        <f>BE20</f>
        <v>87.264349411853502</v>
      </c>
      <c r="BF63" s="67">
        <f>BF20</f>
        <v>115.55888183904472</v>
      </c>
      <c r="BG63" s="68">
        <f>BH63+BI63</f>
        <v>134.40232219628342</v>
      </c>
      <c r="BH63" s="68">
        <f>BH20</f>
        <v>46.688343212851741</v>
      </c>
      <c r="BI63" s="68">
        <f>BI20</f>
        <v>87.713978983431687</v>
      </c>
      <c r="BJ63" s="554">
        <f>BM63*$B63/10^3</f>
        <v>1.0423553351120898</v>
      </c>
      <c r="BK63" s="554">
        <f t="shared" si="613"/>
        <v>3.0329871060171917E-2</v>
      </c>
      <c r="BL63" s="554">
        <f t="shared" si="614"/>
        <v>1.0120254640519177</v>
      </c>
      <c r="BM63" s="32">
        <f t="shared" si="615"/>
        <v>86.86294459267414</v>
      </c>
      <c r="BN63" s="32">
        <f>(BR63*$C63+BW63*$D63)/$B63</f>
        <v>2.5274892550143266</v>
      </c>
      <c r="BO63" s="67">
        <f>(BS63*$C63+BX63*$D63)/$B63</f>
        <v>84.335455337659809</v>
      </c>
      <c r="BP63" s="270"/>
      <c r="BQ63" s="67">
        <f t="shared" si="616"/>
        <v>88.942598879283537</v>
      </c>
      <c r="BR63" s="32">
        <f>I63*0.5*2.5*0.25</f>
        <v>2.2734375</v>
      </c>
      <c r="BS63" s="67">
        <f>(1-BU63)*BF63</f>
        <v>86.669161379283537</v>
      </c>
      <c r="BT63" s="67"/>
      <c r="BU63" s="34">
        <f t="shared" ref="BU63" si="620">BU$17</f>
        <v>0.25</v>
      </c>
      <c r="BV63" s="68">
        <f>BW63+BX63</f>
        <v>70.332359237573769</v>
      </c>
      <c r="BW63" s="32">
        <f>K63*0.5*2.5*0.25</f>
        <v>4.546875</v>
      </c>
      <c r="BX63" s="67">
        <f>(1-BZ63)*BI63</f>
        <v>65.785484237573769</v>
      </c>
      <c r="BY63" s="67"/>
      <c r="BZ63" s="34">
        <f t="shared" ref="BZ63" si="621">BZ$17</f>
        <v>0.25</v>
      </c>
      <c r="CA63" s="294"/>
      <c r="CB63" s="294"/>
      <c r="CC63" s="294"/>
      <c r="CD63" s="67">
        <f t="shared" si="584"/>
        <v>108.31439710770836</v>
      </c>
      <c r="CE63" s="67">
        <f t="shared" si="584"/>
        <v>80.202578661821775</v>
      </c>
      <c r="CF63" s="67">
        <f t="shared" si="584"/>
        <v>28.111818445886598</v>
      </c>
      <c r="CG63" s="67">
        <f t="shared" si="585"/>
        <v>113.88063237161469</v>
      </c>
      <c r="CH63" s="67">
        <f t="shared" si="585"/>
        <v>84.990911911853502</v>
      </c>
      <c r="CI63" s="67">
        <f t="shared" si="585"/>
        <v>28.889720459761179</v>
      </c>
      <c r="CJ63" s="67">
        <f t="shared" si="586"/>
        <v>64.069962958709652</v>
      </c>
      <c r="CK63" s="67">
        <f t="shared" si="586"/>
        <v>42.141468212851741</v>
      </c>
      <c r="CL63" s="67">
        <f t="shared" si="586"/>
        <v>21.928494745857918</v>
      </c>
      <c r="CM63" s="68"/>
      <c r="CN63" s="293"/>
      <c r="CO63" s="293"/>
      <c r="CS63" s="32">
        <f t="shared" si="617"/>
        <v>6.7310315186246426</v>
      </c>
      <c r="CT63" s="32">
        <f>CT20</f>
        <v>6.94</v>
      </c>
      <c r="CU63" s="97">
        <f>CU20</f>
        <v>5.07</v>
      </c>
      <c r="CY63" s="97">
        <f>CZ63*$HB63</f>
        <v>0.11124810753650954</v>
      </c>
      <c r="CZ63" s="263">
        <f>(BA63-BM63-EN63*CF63)/'Amortization metrics'!$D$4/G63</f>
        <v>0.44499243014603818</v>
      </c>
      <c r="DB63" s="528">
        <f>CZ63/$HH63</f>
        <v>5.2352050605416256</v>
      </c>
      <c r="DC63" s="97">
        <f>DD63*$HB63</f>
        <v>0.13001725773841671</v>
      </c>
      <c r="DD63" s="263">
        <f>(BD63-BQ63-EQ63*CI63)/'Amortization metrics'!$D$4/I63</f>
        <v>0.52006903095366686</v>
      </c>
      <c r="DF63" s="528">
        <f>DD63/$HH63</f>
        <v>6.1184591876901981</v>
      </c>
      <c r="DG63" s="97">
        <f>DH63*$HB63</f>
        <v>3.662620632165374E-2</v>
      </c>
      <c r="DH63" s="263">
        <f>(BG63-BV63-EX63*CL63)/'Amortization metrics'!$D$4/K63</f>
        <v>0.14650482528661496</v>
      </c>
      <c r="DJ63" s="528">
        <f>DH63/$HH63</f>
        <v>1.7235861798425287</v>
      </c>
      <c r="DK63" s="97">
        <f>DL63*$HB63</f>
        <v>0.10447738350158521</v>
      </c>
      <c r="DL63" s="263">
        <f>$EF$11*DX63</f>
        <v>0.41790953400634084</v>
      </c>
      <c r="DN63" s="528">
        <f>DL63/$HH63</f>
        <v>4.9165827530157742</v>
      </c>
      <c r="DO63" s="97">
        <f>DP63*$HB63</f>
        <v>0.11975852341181138</v>
      </c>
      <c r="DP63" s="263">
        <f>$EF$11*EA63</f>
        <v>0.47903409364724553</v>
      </c>
      <c r="DR63" s="528">
        <f>DP63/$HH63</f>
        <v>5.6356952193793584</v>
      </c>
      <c r="DS63" s="97">
        <f>DT63*$HB63</f>
        <v>4.3744647960942629E-2</v>
      </c>
      <c r="DT63" s="263">
        <f>$EF$11*ED63</f>
        <v>0.17497859184377051</v>
      </c>
      <c r="DV63" s="528">
        <f>DT63/$HH63</f>
        <v>2.0585716687502411</v>
      </c>
      <c r="DW63" s="97">
        <f>DX63*$HB63</f>
        <v>0.20805700216105152</v>
      </c>
      <c r="DX63" s="263">
        <f>CS63/G63</f>
        <v>0.8322280086442061</v>
      </c>
      <c r="DY63" s="60"/>
      <c r="DZ63" s="97">
        <f>EA63*$HB63</f>
        <v>0.23848797250859108</v>
      </c>
      <c r="EA63" s="263">
        <f>CT63/I63</f>
        <v>0.95395189003436431</v>
      </c>
      <c r="EB63" s="60"/>
      <c r="EC63" s="97">
        <f>ED63*$HB63</f>
        <v>8.7113402061855666E-2</v>
      </c>
      <c r="ED63" s="263">
        <f>CU63/K63</f>
        <v>0.34845360824742266</v>
      </c>
      <c r="EE63" s="60"/>
      <c r="EF63" s="60"/>
      <c r="EG63" s="60"/>
      <c r="EH63" s="60"/>
      <c r="EI63" s="554">
        <f>EK63*$P63</f>
        <v>7.2045831420171904</v>
      </c>
      <c r="EJ63" s="522">
        <f>EK63*$HB63</f>
        <v>1.8557878365306264E-2</v>
      </c>
      <c r="EK63" s="167">
        <f>(EP63*S63+EW63*U63)/P63</f>
        <v>7.4231513461225057E-2</v>
      </c>
      <c r="EL63" s="68"/>
      <c r="EM63" s="97">
        <f>EK63/$HH63</f>
        <v>0.87331192307323591</v>
      </c>
      <c r="EN63" s="429">
        <f>(EQ63*C63+EX63*D63)/B63</f>
        <v>1.2161891117478509E-2</v>
      </c>
      <c r="EO63" s="262">
        <f>EP63*$HB63</f>
        <v>2.2084601924398619E-2</v>
      </c>
      <c r="EP63" s="436">
        <f>EQ63*EU63/I63</f>
        <v>8.8338407697594476E-2</v>
      </c>
      <c r="EQ63" s="429">
        <f>EQ20</f>
        <v>1.2999999999999999E-2</v>
      </c>
      <c r="ER63" s="429">
        <f t="shared" ref="ER63:ET63" si="622">ER20</f>
        <v>0.74</v>
      </c>
      <c r="ES63" s="429">
        <f t="shared" si="622"/>
        <v>0.26</v>
      </c>
      <c r="ET63" s="429">
        <f t="shared" si="622"/>
        <v>0</v>
      </c>
      <c r="EU63" s="430">
        <f>ER63*$FC63+ES63*$FD63+ET63*$FE63+'Amortization metrics'!$B$6*(ER63*$FF63+ES63*$FG63+ET63*$FH63)/10^3+'Amortization metrics'!$B$5*(ER63*$FI63+ES63*$FJ63+ET63*$FK63)/10^3</f>
        <v>49.435531999999995</v>
      </c>
      <c r="EV63" s="262">
        <f>EW63*$HB63</f>
        <v>4.5414129381443295E-3</v>
      </c>
      <c r="EW63" s="436">
        <f>EX63*FB63/K63</f>
        <v>1.8165651752577318E-2</v>
      </c>
      <c r="EX63" s="429">
        <f>EX20</f>
        <v>5.4999999999999997E-3</v>
      </c>
      <c r="EY63" s="429">
        <f t="shared" ref="EY63:FA63" si="623">EY20</f>
        <v>0.67</v>
      </c>
      <c r="EZ63" s="429">
        <f t="shared" si="623"/>
        <v>0.33</v>
      </c>
      <c r="FA63" s="429">
        <f t="shared" si="623"/>
        <v>0</v>
      </c>
      <c r="FB63" s="430">
        <f>EY63*$FC63+EZ63*$FD63+FA63*$FE63+'Amortization metrics'!$B$6*(EY63*$FF63+EZ63*$FG63+FA63*$FH63)/10^3+'Amortization metrics'!$B$5*(EY63*$FI63+EZ63*$FJ63+FA63*$FK63)/10^3</f>
        <v>48.056406000000003</v>
      </c>
      <c r="FC63" s="431">
        <v>51.3</v>
      </c>
      <c r="FD63" s="431">
        <v>29</v>
      </c>
      <c r="FE63" s="431">
        <v>29</v>
      </c>
      <c r="FF63" s="99">
        <v>5</v>
      </c>
      <c r="FG63" s="431">
        <v>13</v>
      </c>
      <c r="FH63" s="431">
        <v>13</v>
      </c>
      <c r="FI63" s="431">
        <v>52</v>
      </c>
      <c r="FJ63" s="431">
        <v>58.3</v>
      </c>
      <c r="FK63" s="431">
        <v>58.3</v>
      </c>
      <c r="FL63" s="554">
        <f>FO63+FP63+FM63+FN63+FQ63</f>
        <v>25.466116611634931</v>
      </c>
      <c r="FM63" s="554">
        <f>GC63*$P63</f>
        <v>10.118861831966553</v>
      </c>
      <c r="FN63" s="554">
        <f>GE63*$P63</f>
        <v>1.7023842960062516</v>
      </c>
      <c r="FO63" s="554">
        <f>GG63*$P63</f>
        <v>5.2228434459748625</v>
      </c>
      <c r="FP63" s="554">
        <f>GI63*$P63</f>
        <v>8.4220270376872612</v>
      </c>
      <c r="FQ63" s="554"/>
      <c r="FR63" s="166">
        <f>FS63*HB63</f>
        <v>6.5596729914772722E-2</v>
      </c>
      <c r="FS63" s="167">
        <f>FY63+FW63+GA63</f>
        <v>0.26238691965909089</v>
      </c>
      <c r="FT63" s="68"/>
      <c r="FU63" s="97">
        <f>FS63/$HH63</f>
        <v>3.0869049371657749</v>
      </c>
      <c r="FV63" s="269">
        <f>FW63*HB63</f>
        <v>3.0449679522727275E-2</v>
      </c>
      <c r="FW63" s="473">
        <f>GC63+GE63</f>
        <v>0.1217987180909091</v>
      </c>
      <c r="FX63" s="269">
        <f>FY63*HB63</f>
        <v>3.5147050392045451E-2</v>
      </c>
      <c r="FY63" s="473">
        <f>GG63+GI63</f>
        <v>0.1405882015681818</v>
      </c>
      <c r="FZ63" s="49"/>
      <c r="GA63" s="49"/>
      <c r="GB63" s="409"/>
      <c r="GC63" s="409">
        <f>0.5*GC20</f>
        <v>0.10425841627272728</v>
      </c>
      <c r="GD63" s="409"/>
      <c r="GE63" s="409">
        <f>0.5*GE20</f>
        <v>1.7540301818181819E-2</v>
      </c>
      <c r="GF63" s="435"/>
      <c r="GG63" s="409">
        <f>0.5*GG20</f>
        <v>5.3812908522727271E-2</v>
      </c>
      <c r="GH63" s="409"/>
      <c r="GI63" s="409">
        <f>0.5*GI20</f>
        <v>8.6775293045454546E-2</v>
      </c>
      <c r="GJ63" s="599">
        <f>44/12*CZ63+$FS63+$EK63</f>
        <v>1.9682573436557891</v>
      </c>
      <c r="GL63" s="528">
        <f>GJ63/$HH63</f>
        <v>23.155968748891635</v>
      </c>
      <c r="GM63" s="599">
        <f>44/12*DD63+$FS63+$EP63</f>
        <v>2.2576451075201303</v>
      </c>
      <c r="GO63" s="528">
        <f>GM63/$HH63</f>
        <v>26.560530676707412</v>
      </c>
      <c r="GP63" s="599">
        <f>44/12*DH63+$FS63+$EW63</f>
        <v>0.81773693079592302</v>
      </c>
      <c r="GR63" s="528">
        <f>GP63/$HH63</f>
        <v>9.6204344799520349</v>
      </c>
      <c r="GS63" s="599">
        <f>44/12*DL63+$FS63+$EK63</f>
        <v>1.8689533911435656</v>
      </c>
      <c r="GU63" s="528">
        <f>GS63/$HH63</f>
        <v>21.987686954630181</v>
      </c>
      <c r="GV63" s="599">
        <f>44/12*DP63+$FS63+$EP63</f>
        <v>2.1071836707299192</v>
      </c>
      <c r="GX63" s="528">
        <f>GV63/$HH63</f>
        <v>24.790396126234342</v>
      </c>
      <c r="GY63" s="599">
        <f>44/12*DT63+$FS63+$EW63</f>
        <v>0.92214074150549341</v>
      </c>
      <c r="HA63" s="528">
        <f>GY63/$HH63</f>
        <v>10.848714605946981</v>
      </c>
      <c r="HB63" s="31">
        <v>0.25</v>
      </c>
      <c r="HC63" s="32">
        <f t="shared" ref="HC63" si="624">$HB63*HD63</f>
        <v>4.5</v>
      </c>
      <c r="HD63" s="27">
        <v>18</v>
      </c>
      <c r="HH63" s="35">
        <v>8.5000000000000006E-2</v>
      </c>
    </row>
    <row r="64" spans="1:218" s="4" customFormat="1" x14ac:dyDescent="0.25">
      <c r="A64" s="14"/>
      <c r="H64" s="33"/>
      <c r="J64" s="33"/>
      <c r="O64" s="60"/>
      <c r="R64" s="60"/>
      <c r="S64" s="60"/>
      <c r="W64" s="60"/>
      <c r="X64" s="60"/>
      <c r="Y64" s="60"/>
      <c r="Z64" s="60"/>
      <c r="AA64" s="60"/>
      <c r="AB64" s="60"/>
      <c r="AC64" s="60"/>
      <c r="AD64" s="60"/>
      <c r="AE64" s="60"/>
      <c r="AF64" s="60"/>
      <c r="AG64" s="60"/>
      <c r="AH64" s="60"/>
      <c r="AI64" s="60"/>
      <c r="AJ64" s="60"/>
      <c r="AK64" s="60"/>
      <c r="AL64" s="60"/>
      <c r="AM64" s="60"/>
      <c r="AN64" s="60"/>
      <c r="AO64" s="60"/>
      <c r="AP64" s="60"/>
      <c r="AQ64" s="60"/>
      <c r="AR64" s="60"/>
      <c r="AS64" s="60"/>
      <c r="AT64" s="60"/>
      <c r="AU64" s="60"/>
      <c r="AV64" s="60"/>
      <c r="AW64" s="60"/>
      <c r="AX64" s="60"/>
      <c r="AY64" s="60"/>
      <c r="AZ64" s="60"/>
      <c r="BD64" s="67"/>
      <c r="BE64" s="105"/>
      <c r="BF64" s="105"/>
      <c r="BG64" s="60"/>
      <c r="BH64" s="106"/>
      <c r="BI64" s="106"/>
      <c r="BJ64" s="60"/>
      <c r="BK64" s="60"/>
      <c r="BL64" s="60"/>
      <c r="BM64" s="32"/>
      <c r="BN64" s="32"/>
      <c r="BO64" s="67"/>
      <c r="BP64" s="270"/>
      <c r="BV64" s="60"/>
      <c r="CA64" s="60"/>
      <c r="CB64" s="60"/>
      <c r="CC64" s="60"/>
      <c r="CM64" s="60"/>
      <c r="CN64" s="60"/>
      <c r="CO64" s="60"/>
      <c r="CT64" s="33"/>
      <c r="CU64" s="99"/>
      <c r="CY64" s="60"/>
      <c r="CZ64" s="32"/>
      <c r="DA64" s="97"/>
      <c r="DB64" s="97"/>
      <c r="DC64" s="60"/>
      <c r="DD64" s="32"/>
      <c r="DE64" s="97"/>
      <c r="DF64" s="97"/>
      <c r="DG64" s="60"/>
      <c r="DH64" s="32"/>
      <c r="DI64" s="97"/>
      <c r="DJ64" s="97"/>
      <c r="DK64" s="60"/>
      <c r="DL64" s="32"/>
      <c r="DM64" s="97"/>
      <c r="DN64" s="97"/>
      <c r="DO64" s="60"/>
      <c r="DP64" s="32"/>
      <c r="DQ64" s="97"/>
      <c r="DR64" s="97"/>
      <c r="DS64" s="60"/>
      <c r="DT64" s="32"/>
      <c r="DU64" s="97"/>
      <c r="DV64" s="97"/>
      <c r="DW64" s="60"/>
      <c r="DY64" s="60"/>
      <c r="DZ64" s="60"/>
      <c r="EB64" s="60"/>
      <c r="EC64" s="60"/>
      <c r="EE64" s="60"/>
      <c r="EF64" s="60"/>
      <c r="EG64" s="60"/>
      <c r="EH64" s="60"/>
      <c r="EI64" s="97"/>
      <c r="EJ64" s="49"/>
      <c r="EL64" s="97"/>
      <c r="EM64" s="97"/>
      <c r="EN64" s="601"/>
      <c r="EO64" s="49"/>
      <c r="EP64" s="60"/>
      <c r="EQ64" s="100"/>
      <c r="ER64" s="100"/>
      <c r="ES64" s="100"/>
      <c r="ET64" s="100"/>
      <c r="EU64" s="100"/>
      <c r="EV64" s="49"/>
      <c r="EW64" s="60"/>
      <c r="EX64" s="100"/>
      <c r="EY64" s="100"/>
      <c r="EZ64" s="100"/>
      <c r="FA64" s="100"/>
      <c r="FB64" s="100"/>
      <c r="FC64" s="97"/>
      <c r="FD64" s="97"/>
      <c r="FE64" s="97"/>
      <c r="FF64" s="97"/>
      <c r="FG64" s="97"/>
      <c r="FH64" s="97"/>
      <c r="FI64" s="97"/>
      <c r="FJ64" s="97"/>
      <c r="FK64" s="97"/>
      <c r="FL64" s="97"/>
      <c r="FM64" s="97"/>
      <c r="FN64" s="97"/>
      <c r="FO64" s="97"/>
      <c r="FP64" s="97"/>
      <c r="FQ64" s="97"/>
      <c r="FR64" s="522"/>
      <c r="FT64" s="97"/>
      <c r="FU64" s="97"/>
      <c r="FV64" s="49"/>
      <c r="FW64" s="49"/>
      <c r="FX64" s="49"/>
      <c r="FY64" s="49"/>
      <c r="FZ64" s="49"/>
      <c r="GA64" s="49"/>
      <c r="GJ64" s="60"/>
      <c r="GK64" s="60"/>
      <c r="GL64" s="60"/>
    </row>
    <row r="65" spans="1:218" s="4" customFormat="1" ht="13.8" x14ac:dyDescent="0.3">
      <c r="A65" s="15" t="s">
        <v>309</v>
      </c>
      <c r="B65" s="152">
        <f>B66+B67+B68+B69</f>
        <v>55.489999999999995</v>
      </c>
      <c r="C65" s="152">
        <f>C66+C67+C68+C69</f>
        <v>39</v>
      </c>
      <c r="D65" s="152">
        <f>D66+D67+D68+D69</f>
        <v>16.490000000000002</v>
      </c>
      <c r="F65" s="153"/>
      <c r="G65" s="153">
        <f>P65/B65</f>
        <v>1.4085320598306004</v>
      </c>
      <c r="I65" s="153">
        <f>S65/C65</f>
        <v>0.93852923076923078</v>
      </c>
      <c r="K65" s="153">
        <f>U65/D65</f>
        <v>2.5201215281989082</v>
      </c>
      <c r="O65" s="152">
        <f>O66+O67+O68+O69</f>
        <v>85.967999999999989</v>
      </c>
      <c r="P65" s="152">
        <f>P66+P67+P68+P69</f>
        <v>78.159444000000008</v>
      </c>
      <c r="Q65" s="592">
        <f>P65/P$17</f>
        <v>2.0612350699188969E-2</v>
      </c>
      <c r="S65" s="152">
        <f>S66+S67+S68+S69</f>
        <v>36.602640000000001</v>
      </c>
      <c r="U65" s="152">
        <f>U66+U67+U68+U69</f>
        <v>41.556804</v>
      </c>
      <c r="V65" s="154"/>
      <c r="W65" s="265">
        <f t="shared" ref="W65:AE65" si="625">($B66*W66+$B67*W67+$B68*W68+$B69*W69)/$B65</f>
        <v>0.36957615599694965</v>
      </c>
      <c r="X65" s="265">
        <f t="shared" si="625"/>
        <v>0.19023825955619542</v>
      </c>
      <c r="Y65" s="265">
        <f t="shared" si="625"/>
        <v>1.3387528957409076E-3</v>
      </c>
      <c r="Z65" s="265">
        <f t="shared" si="625"/>
        <v>0.14046256745597349</v>
      </c>
      <c r="AA65" s="265">
        <f t="shared" si="625"/>
        <v>4.8279294814403254E-2</v>
      </c>
      <c r="AB65" s="265">
        <f t="shared" si="625"/>
        <v>0.18102972732070741</v>
      </c>
      <c r="AC65" s="265">
        <f t="shared" si="625"/>
        <v>5.4626418586498554E-2</v>
      </c>
      <c r="AD65" s="265">
        <f t="shared" si="625"/>
        <v>1.443965421860941E-2</v>
      </c>
      <c r="AE65" s="265">
        <f t="shared" si="625"/>
        <v>0</v>
      </c>
      <c r="AF65" s="154"/>
      <c r="AG65" s="154"/>
      <c r="AH65" s="154"/>
      <c r="AI65" s="154"/>
      <c r="AJ65" s="154"/>
      <c r="AK65" s="154"/>
      <c r="AL65" s="154"/>
      <c r="AM65" s="154"/>
      <c r="AN65" s="154"/>
      <c r="AO65" s="154"/>
      <c r="AP65" s="154"/>
      <c r="AQ65" s="154"/>
      <c r="AR65" s="154"/>
      <c r="AS65" s="154"/>
      <c r="AT65" s="154"/>
      <c r="AU65" s="154"/>
      <c r="AV65" s="154"/>
      <c r="AW65" s="154"/>
      <c r="AX65" s="152">
        <f>AX66+AX67+AX68+AX69</f>
        <v>9.3638521283516347</v>
      </c>
      <c r="AY65" s="152">
        <f t="shared" ref="AY65:AZ65" si="626">AY66+AY67+AY68+AY69</f>
        <v>4.1857589658828172</v>
      </c>
      <c r="AZ65" s="152">
        <f t="shared" si="626"/>
        <v>5.1780931624688176</v>
      </c>
      <c r="BA65" s="152">
        <f>($B66*BA66+$B67*BA67+$B68*BA68+$B69*BA69)/$B65</f>
        <v>168.74846149489341</v>
      </c>
      <c r="BB65" s="152">
        <f>($B66*BB66+$B67*BB67+$B68*BB68+$B69*BB69)/$B65</f>
        <v>75.432671938778483</v>
      </c>
      <c r="BC65" s="152">
        <f>($B66*BC66+$B67*BC67+$B68*BC68+$B69*BC69)/$B65</f>
        <v>93.31578955611495</v>
      </c>
      <c r="BD65" s="152">
        <f>($C66*BD66+$C67*BD67+$C68*BD68+$C69*BD69)/$C65</f>
        <v>210.59040751265243</v>
      </c>
      <c r="BE65" s="152">
        <f t="shared" ref="BE65:BF65" si="627">($C66*BE66+$C67*BE67+$C68*BE68+$C69*BE69)/$C65</f>
        <v>95.033724506687122</v>
      </c>
      <c r="BF65" s="152">
        <f t="shared" si="627"/>
        <v>115.55668300596528</v>
      </c>
      <c r="BG65" s="152">
        <f>($D66*BG66+$D67*BG67+$D68*BG68+$D69*BG69)/$D65</f>
        <v>69.789341137549556</v>
      </c>
      <c r="BH65" s="152">
        <f>($D66*BH66+$D67*BH67+$D68*BH68+$D69*BH69)/$D65</f>
        <v>29.07481565324559</v>
      </c>
      <c r="BI65" s="152">
        <f>($D66*BI66+$D67*BI67+$D68*BI68+$D69*BI69)/$D65</f>
        <v>40.714525484303969</v>
      </c>
      <c r="BJ65" s="152">
        <f>BJ66+BJ67+BJ68+BJ69</f>
        <v>4.0254804718516137</v>
      </c>
      <c r="BK65" s="152">
        <f t="shared" ref="BK65" si="628">BK66+BK67+BK68+BK69</f>
        <v>0.1419106</v>
      </c>
      <c r="BL65" s="152">
        <f t="shared" ref="BL65" si="629">BL66+BL67+BL68+BL69</f>
        <v>3.8835698718516141</v>
      </c>
      <c r="BM65" s="153">
        <f>($B66*BM66+$B67*BM67+$B68*BM68+$B69*BM69)/$B65</f>
        <v>72.544250709165865</v>
      </c>
      <c r="BN65" s="153">
        <f>($B66*BN66+$B67*BN67+$B68*BN68+$B69*BN69)/$B65</f>
        <v>2.5574085420796542</v>
      </c>
      <c r="BO65" s="152">
        <f>($B66*BO66+$B67*BO67+$B68*BO68+$B69*BO69)/$B65</f>
        <v>69.986842167086209</v>
      </c>
      <c r="BP65" s="270"/>
      <c r="BQ65" s="152">
        <f>($C66*BQ66+$C67*BQ67+$C68*BQ68+$C69*BQ69)/$C65</f>
        <v>89.573778280114993</v>
      </c>
      <c r="BR65" s="153">
        <f t="shared" ref="BR65:BS65" si="630">($C66*BR66+$C67*BR67+$C68*BR68+$C69*BR69)/$C65</f>
        <v>2.9062660256410258</v>
      </c>
      <c r="BS65" s="152">
        <f t="shared" si="630"/>
        <v>86.667512254473962</v>
      </c>
      <c r="BT65" s="152"/>
      <c r="BV65" s="152">
        <f>($D66*BV66+$D67*BV67+$D68*BV68+$D69*BV69)/$D65</f>
        <v>32.268230377630651</v>
      </c>
      <c r="BW65" s="153">
        <f>($D66*BW66+$D67*BW67+$D68*BW68+$D69*BW69)/$D65</f>
        <v>1.7323362644026683</v>
      </c>
      <c r="BX65" s="152">
        <f>($D66*BX66+$D67*BX67+$D68*BX68+$D69*BX69)/$D65</f>
        <v>30.535894113227986</v>
      </c>
      <c r="BY65" s="152"/>
      <c r="CA65" s="154"/>
      <c r="CB65" s="154"/>
      <c r="CC65" s="154"/>
      <c r="CD65" s="152">
        <f t="shared" ref="CD65:CF69" si="631">BA65-BM65</f>
        <v>96.20421078572754</v>
      </c>
      <c r="CE65" s="152">
        <f t="shared" si="631"/>
        <v>72.875263396698827</v>
      </c>
      <c r="CF65" s="152">
        <f t="shared" si="631"/>
        <v>23.328947389028741</v>
      </c>
      <c r="CG65" s="152">
        <f t="shared" ref="CG65:CI69" si="632">BD65-BQ65</f>
        <v>121.01662923253744</v>
      </c>
      <c r="CH65" s="152">
        <f t="shared" si="632"/>
        <v>92.127458481046091</v>
      </c>
      <c r="CI65" s="152">
        <f t="shared" si="632"/>
        <v>28.889170751491321</v>
      </c>
      <c r="CJ65" s="152">
        <f t="shared" ref="CJ65:CL69" si="633">BG65-BV65</f>
        <v>37.521110759918905</v>
      </c>
      <c r="CK65" s="152">
        <f t="shared" si="633"/>
        <v>27.342479388842921</v>
      </c>
      <c r="CL65" s="152">
        <f t="shared" si="633"/>
        <v>10.178631371075983</v>
      </c>
      <c r="CM65" s="60"/>
      <c r="CN65" s="60"/>
      <c r="CO65" s="60"/>
      <c r="CS65" s="153">
        <f>($B66*CS66+$B67*CS67+$B68*CS68+$B69*CS69)/$B65</f>
        <v>6.379136781402055</v>
      </c>
      <c r="CT65" s="153">
        <f t="shared" ref="CT65:CU65" si="634">($C66*CT66+$C67*CT67+$C68*CT68+$C69*CT69)/$C65</f>
        <v>7.7983076923076924</v>
      </c>
      <c r="CU65" s="153">
        <f t="shared" si="634"/>
        <v>6.0817435897435894</v>
      </c>
      <c r="CV65" s="49"/>
      <c r="CW65" s="49"/>
      <c r="CX65" s="49"/>
      <c r="CY65" s="123"/>
      <c r="CZ65" s="525">
        <f>(BA65-BM65-EN65*CF65)/'Amortization metrics'!$D$4/G65</f>
        <v>2.2716515653644738</v>
      </c>
      <c r="DA65" s="149"/>
      <c r="DB65" s="149"/>
      <c r="DC65" s="123"/>
      <c r="DD65" s="525">
        <f>(BD65-BQ65-EQ65*CI65)/'Amortization metrics'!$D$4/I65</f>
        <v>4.2871093250195136</v>
      </c>
      <c r="DE65" s="149"/>
      <c r="DF65" s="149"/>
      <c r="DG65" s="123"/>
      <c r="DH65" s="525">
        <f>(BG65-BV65-EX65*CL65)/'Amortization metrics'!$D$4/K65</f>
        <v>0.4955522154803732</v>
      </c>
      <c r="DI65" s="149"/>
      <c r="DJ65" s="149"/>
      <c r="DK65" s="123"/>
      <c r="DL65" s="525">
        <f>$EF$11*DX65</f>
        <v>2.2742339009936656</v>
      </c>
      <c r="DM65" s="149"/>
      <c r="DN65" s="149"/>
      <c r="DO65" s="123"/>
      <c r="DP65" s="525">
        <f>$EF$11*EA65</f>
        <v>4.1724631962281862</v>
      </c>
      <c r="DQ65" s="149"/>
      <c r="DR65" s="149"/>
      <c r="DS65" s="123"/>
      <c r="DT65" s="525">
        <f>$EF$11*ED65</f>
        <v>1.2118435980536331</v>
      </c>
      <c r="DU65" s="149"/>
      <c r="DV65" s="149"/>
      <c r="DW65" s="123"/>
      <c r="DX65" s="525">
        <f>CS65/G65</f>
        <v>4.5289255128273425</v>
      </c>
      <c r="DY65" s="123"/>
      <c r="DZ65" s="123"/>
      <c r="EA65" s="525">
        <f>CT65/I65</f>
        <v>8.3090727881923279</v>
      </c>
      <c r="EB65" s="123"/>
      <c r="EC65" s="123"/>
      <c r="ED65" s="525">
        <f>CU65/K65</f>
        <v>2.4132739321068049</v>
      </c>
      <c r="EE65" s="123"/>
      <c r="EF65" s="123"/>
      <c r="EG65" s="123"/>
      <c r="EH65" s="123"/>
      <c r="EI65" s="152">
        <f t="shared" ref="EI65" si="635">EI66+EI67+EI68+EI69</f>
        <v>27.691731269999998</v>
      </c>
      <c r="EJ65" s="49"/>
      <c r="EK65" s="472">
        <f>($P66*EK66+$P67*EK67+$P68*EK68+$P69*EK69)/$P65</f>
        <v>0.35429795623929972</v>
      </c>
      <c r="EL65" s="149"/>
      <c r="EM65" s="149"/>
      <c r="EN65" s="594">
        <f>($B66*EN66+$B67*EN67+$B68*EN68+$B69*EN69)/$B65</f>
        <v>9.1469634168318634E-3</v>
      </c>
      <c r="EO65" s="49"/>
      <c r="EP65" s="60"/>
      <c r="EQ65" s="594">
        <f>($C66*EQ66+$C67*EQ67+$C68*EQ68+$C69*EQ69)/$C65</f>
        <v>1.0706666666666666E-2</v>
      </c>
      <c r="ER65" s="594"/>
      <c r="ES65" s="594"/>
      <c r="ET65" s="594"/>
      <c r="EU65" s="594"/>
      <c r="EV65" s="49"/>
      <c r="EW65" s="60"/>
      <c r="EX65" s="594">
        <f>($D66*EX66+$D67*EX67+$D68*EX68+$D69*EX69)/$D65</f>
        <v>5.4581564584596717E-3</v>
      </c>
      <c r="EY65" s="594"/>
      <c r="EZ65" s="594"/>
      <c r="FA65" s="594"/>
      <c r="FB65" s="594"/>
      <c r="FC65" s="595"/>
      <c r="FD65" s="595"/>
      <c r="FE65" s="595"/>
      <c r="FF65" s="595"/>
      <c r="FG65" s="595"/>
      <c r="FH65" s="595"/>
      <c r="FI65" s="595"/>
      <c r="FJ65" s="595"/>
      <c r="FK65" s="595"/>
      <c r="FL65" s="152">
        <f>FL66+FL67+FL68+FL69</f>
        <v>90.860789873117596</v>
      </c>
      <c r="FM65" s="152">
        <f>FM66+FM67+FM68+FM69</f>
        <v>33.403839172260717</v>
      </c>
      <c r="FN65" s="152">
        <f>FN66+FN67+FN68+FN69</f>
        <v>4.8960327569527999</v>
      </c>
      <c r="FO65" s="152">
        <f t="shared" ref="FO65:FP65" si="636">FO66+FO67+FO68+FO69</f>
        <v>22.8783504099856</v>
      </c>
      <c r="FP65" s="152">
        <f t="shared" si="636"/>
        <v>29.682567533918476</v>
      </c>
      <c r="FQ65" s="152"/>
      <c r="FR65" s="522"/>
      <c r="FS65" s="472">
        <f>($P66*FS66+$P67*FS67+$P68*FS68+$P69*FS69)/$P65</f>
        <v>1.1625055811952498</v>
      </c>
      <c r="FT65" s="149"/>
      <c r="FU65" s="149"/>
      <c r="FV65" s="123"/>
      <c r="FW65" s="149">
        <f>($P66*FW66+$P67*FW67+$P68*FW68+$P69*FW69)/$P65</f>
        <v>0.49002231808626379</v>
      </c>
      <c r="FX65" s="49"/>
      <c r="FY65" s="149">
        <f>($P66*FY66+$P67*FY67+$P68*FY68+$P69*FY69)/$P65</f>
        <v>0.6724832631089861</v>
      </c>
      <c r="FZ65" s="123"/>
      <c r="GA65" s="149">
        <f>($P66*GA66+$P67*GA67+$P68*GA68+$P69*GA69)/$P65</f>
        <v>0</v>
      </c>
      <c r="GB65" s="149">
        <f>($O66*GB66+$O67*GB67+$O68*GB68+$O69*GB69)/$O65</f>
        <v>0.38856131551578171</v>
      </c>
      <c r="GC65" s="149">
        <f>($P66*GC66+$P67*GC67+$P68*GC68+$P69*GC69)/$P65</f>
        <v>0.42738071642706049</v>
      </c>
      <c r="GD65" s="149">
        <f>($O66*GD66+$O67*GD67+$O68*GD68+$O69*GD69)/$O65</f>
        <v>5.6951804822175697E-2</v>
      </c>
      <c r="GE65" s="149">
        <f>($P66*GE66+$P67*GE67+$P68*GE68+$P69*GE69)/$P65</f>
        <v>6.2641601659203197E-2</v>
      </c>
      <c r="GF65" s="149">
        <f>($O66*GF66+$O67*GF67+$O68*GF68+$O69*GF69)/$O65</f>
        <v>0.26612635410833801</v>
      </c>
      <c r="GG65" s="149">
        <f>($P66*GG66+$P67*GG67+$P68*GG68+$P69*GG69)/$P65</f>
        <v>0.29271383263659856</v>
      </c>
      <c r="GH65" s="149">
        <f>($O66*GH66+$O67*GH67+$O68*GH68+$O69*GH69)/$O65</f>
        <v>0.34527460838821977</v>
      </c>
      <c r="GI65" s="149">
        <f>($P66*GI66+$P67*GI67+$P68*GI68+$P69*GI69)/$P65</f>
        <v>0.37976943047238759</v>
      </c>
      <c r="GJ65" s="149">
        <f>($P66*GJ66+$P67*GJ67+$P68*GJ68+$P69*GJ69)/$P65</f>
        <v>9.8401545788776339</v>
      </c>
      <c r="GK65" s="60"/>
      <c r="GL65" s="60"/>
      <c r="GM65" s="149"/>
      <c r="GS65" s="149">
        <f>($P66*GS66+$P67*GS67+$P68*GS68+$P69*GS69)/$P65</f>
        <v>9.8556611744113241</v>
      </c>
      <c r="HB65" s="16"/>
    </row>
    <row r="66" spans="1:218" s="4" customFormat="1" x14ac:dyDescent="0.25">
      <c r="A66" s="14" t="s">
        <v>471</v>
      </c>
      <c r="B66" s="67">
        <f t="shared" ref="B66:B69" si="637">C66+D66</f>
        <v>10.51</v>
      </c>
      <c r="C66" s="33">
        <v>10</v>
      </c>
      <c r="D66" s="33">
        <v>0.51</v>
      </c>
      <c r="E66" s="38">
        <f t="shared" ref="E66:E69" si="638">D66/B66</f>
        <v>4.8525214081826834E-2</v>
      </c>
      <c r="F66" s="108">
        <f t="shared" ref="F66:F69" si="639">O66/B66</f>
        <v>0.72386298763082779</v>
      </c>
      <c r="G66" s="32">
        <f t="shared" ref="G66:G69" si="640">P66/B66</f>
        <v>0.65147668886774512</v>
      </c>
      <c r="H66" s="33">
        <v>0.67</v>
      </c>
      <c r="I66" s="32">
        <f>$HB66*H66</f>
        <v>0.60300000000000009</v>
      </c>
      <c r="J66" s="33">
        <v>1.78</v>
      </c>
      <c r="K66" s="32">
        <f>$HB66*J66</f>
        <v>1.6020000000000001</v>
      </c>
      <c r="L66" s="32">
        <f t="shared" ref="L66:L69" si="641">10/G66</f>
        <v>15.349743392015794</v>
      </c>
      <c r="M66" s="32">
        <f t="shared" ref="M66:M69" si="642">10/I66</f>
        <v>16.583747927031506</v>
      </c>
      <c r="N66" s="32">
        <f t="shared" ref="N66:N69" si="643">10/K66</f>
        <v>6.2421972534332077</v>
      </c>
      <c r="O66" s="108">
        <f t="shared" ref="O66:O69" si="644">R66+T66</f>
        <v>7.6078000000000001</v>
      </c>
      <c r="P66" s="68">
        <f t="shared" ref="P66:P69" si="645">S66+U66</f>
        <v>6.8470200000000014</v>
      </c>
      <c r="Q66" s="68"/>
      <c r="R66" s="67">
        <f t="shared" ref="R66:R69" si="646">C66*H66</f>
        <v>6.7</v>
      </c>
      <c r="S66" s="67">
        <f t="shared" ref="S66:S69" si="647">C66*I66</f>
        <v>6.0300000000000011</v>
      </c>
      <c r="T66" s="67">
        <f t="shared" ref="T66:T69" si="648">D66*J66</f>
        <v>0.90780000000000005</v>
      </c>
      <c r="U66" s="67">
        <f t="shared" ref="U66:U69" si="649">D66*K66</f>
        <v>0.81702000000000008</v>
      </c>
      <c r="V66" s="38">
        <f t="shared" ref="V66:V69" si="650">U66/P66</f>
        <v>0.11932490338862745</v>
      </c>
      <c r="W66" s="294">
        <f t="shared" ref="W66:W69" si="651">($C66*AF66+$D66*AO66)/$B66</f>
        <v>0.76610486953026102</v>
      </c>
      <c r="X66" s="294">
        <f t="shared" ref="X66:X69" si="652">($C66*AG66+$D66*AP66)/$B66</f>
        <v>0.10160699497725167</v>
      </c>
      <c r="Y66" s="294">
        <f t="shared" ref="Y66:Y69" si="653">($C66*AH66+$D66*AQ66)/$B66</f>
        <v>4.5226921816641469E-6</v>
      </c>
      <c r="Z66" s="294">
        <f t="shared" ref="Z66:Z69" si="654">($C66*AI66+$D66*AR66)/$B66</f>
        <v>8.9944508252901609E-2</v>
      </c>
      <c r="AA66" s="294">
        <f t="shared" ref="AA66:AA69" si="655">($C66*AJ66+$D66*AS66)/$B66</f>
        <v>5.0850787431161622E-4</v>
      </c>
      <c r="AB66" s="294">
        <f t="shared" ref="AB66:AB69" si="656">($C66*AK66+$D66*AT66)/$B66</f>
        <v>4.871224293203592E-4</v>
      </c>
      <c r="AC66" s="294">
        <f t="shared" ref="AC66:AC69" si="657">($C66*AL66+$D66*AU66)/$B66</f>
        <v>2.3033138685372287E-3</v>
      </c>
      <c r="AD66" s="294">
        <f t="shared" ref="AD66:AD69" si="658">($C66*AM66+$D66*AV66)/$B66</f>
        <v>3.9030663702714796E-2</v>
      </c>
      <c r="AE66" s="294">
        <f t="shared" ref="AE66:AE69" si="659">($C66*AN66+$D66*AW66)/$B66</f>
        <v>0</v>
      </c>
      <c r="AF66" s="96">
        <v>0.78411832799860204</v>
      </c>
      <c r="AG66" s="96">
        <v>0.10303976381121234</v>
      </c>
      <c r="AH66" s="96">
        <v>4.7533494829290185E-6</v>
      </c>
      <c r="AI66" s="96">
        <v>9.1720702012678748E-2</v>
      </c>
      <c r="AJ66" s="96">
        <v>3.4156063985142448E-4</v>
      </c>
      <c r="AK66" s="96">
        <v>2.8133436147878148E-4</v>
      </c>
      <c r="AL66" s="96">
        <v>5.2023915002425954E-4</v>
      </c>
      <c r="AM66" s="96">
        <v>1.9963337673850928E-2</v>
      </c>
      <c r="AN66" s="96">
        <v>0</v>
      </c>
      <c r="AO66" s="96">
        <v>0.41289980152357492</v>
      </c>
      <c r="AP66" s="96">
        <v>7.3513488429003251E-2</v>
      </c>
      <c r="AQ66" s="96">
        <v>0</v>
      </c>
      <c r="AR66" s="96">
        <v>5.5117179629820261E-2</v>
      </c>
      <c r="AS66" s="96">
        <v>3.7819830598055707E-3</v>
      </c>
      <c r="AT66" s="96">
        <v>4.5221825830767852E-3</v>
      </c>
      <c r="AU66" s="96">
        <v>3.7265563251144461E-2</v>
      </c>
      <c r="AV66" s="96">
        <v>0.41289980152357492</v>
      </c>
      <c r="AW66" s="96">
        <v>0</v>
      </c>
      <c r="AX66" s="554">
        <f>BA66*$B66/10^3</f>
        <v>3.0755850500573039</v>
      </c>
      <c r="AY66" s="554">
        <f t="shared" ref="AY66:AZ69" si="660">BB66*$B66/10^3</f>
        <v>1.5494325934699598</v>
      </c>
      <c r="AZ66" s="554">
        <f t="shared" si="660"/>
        <v>1.5261524565873441</v>
      </c>
      <c r="BA66" s="67">
        <f t="shared" ref="BA66:BA69" si="661">BB66+BC66</f>
        <v>292.63416270764071</v>
      </c>
      <c r="BB66" s="67">
        <f t="shared" ref="BB66:BC69" si="662">(BE66*$C66+BH66*$D66)/$B66</f>
        <v>147.42460451664698</v>
      </c>
      <c r="BC66" s="67">
        <f t="shared" si="662"/>
        <v>145.20955819099373</v>
      </c>
      <c r="BD66" s="67">
        <f t="shared" ref="BD66:BD69" si="663">BE66+BF66</f>
        <v>294.46572018386877</v>
      </c>
      <c r="BE66" s="105">
        <v>148.27103124732446</v>
      </c>
      <c r="BF66" s="105">
        <v>146.19468893654431</v>
      </c>
      <c r="BG66" s="68">
        <f t="shared" ref="BG66:BG69" si="664">BH66+BI66</f>
        <v>256.72127101689472</v>
      </c>
      <c r="BH66" s="106">
        <v>130.82800195434356</v>
      </c>
      <c r="BI66" s="106">
        <v>125.89326906255114</v>
      </c>
      <c r="BJ66" s="554">
        <f>BM66*$B66/10^3</f>
        <v>1.1971643424405081</v>
      </c>
      <c r="BK66" s="554">
        <f t="shared" ref="BK66:BK69" si="665">BN66*$B66/10^3</f>
        <v>5.2549999999999999E-2</v>
      </c>
      <c r="BL66" s="554">
        <f t="shared" ref="BL66:BL69" si="666">BO66*$B66/10^3</f>
        <v>1.1446143424405082</v>
      </c>
      <c r="BM66" s="32">
        <f t="shared" ref="BM66:BM69" si="667">BN66+BO66</f>
        <v>113.90716864324531</v>
      </c>
      <c r="BN66" s="32">
        <f t="shared" ref="BN66:BO69" si="668">(BR66*$C66+BW66*$D66)/$B66</f>
        <v>5</v>
      </c>
      <c r="BO66" s="67">
        <f t="shared" si="668"/>
        <v>108.90716864324531</v>
      </c>
      <c r="BP66" s="270"/>
      <c r="BQ66" s="67">
        <f t="shared" ref="BQ66:BQ69" si="669">BR66+BS66</f>
        <v>114.64601670240823</v>
      </c>
      <c r="BR66" s="33">
        <v>5</v>
      </c>
      <c r="BS66" s="67">
        <f>(1-BU66)*BF66</f>
        <v>109.64601670240823</v>
      </c>
      <c r="BT66" s="67"/>
      <c r="BU66" s="34">
        <f t="shared" ref="BU66:BU69" si="670">BU$17</f>
        <v>0.25</v>
      </c>
      <c r="BV66" s="68">
        <f t="shared" ref="BV66:BV69" si="671">BW66+BX66</f>
        <v>99.419951796913352</v>
      </c>
      <c r="BW66" s="33">
        <v>5</v>
      </c>
      <c r="BX66" s="67">
        <f>(1-BZ66)*BI66</f>
        <v>94.419951796913352</v>
      </c>
      <c r="BY66" s="67"/>
      <c r="BZ66" s="34">
        <f t="shared" ref="BZ66:BZ69" si="672">BZ$17</f>
        <v>0.25</v>
      </c>
      <c r="CA66" s="294"/>
      <c r="CB66" s="294"/>
      <c r="CC66" s="294"/>
      <c r="CD66" s="67">
        <f t="shared" si="631"/>
        <v>178.7269940643954</v>
      </c>
      <c r="CE66" s="67">
        <f t="shared" si="631"/>
        <v>142.42460451664698</v>
      </c>
      <c r="CF66" s="67">
        <f t="shared" si="631"/>
        <v>36.302389547748419</v>
      </c>
      <c r="CG66" s="67">
        <f t="shared" si="632"/>
        <v>179.81970348146052</v>
      </c>
      <c r="CH66" s="67">
        <f t="shared" si="632"/>
        <v>143.27103124732446</v>
      </c>
      <c r="CI66" s="67">
        <f t="shared" si="632"/>
        <v>36.548672234136077</v>
      </c>
      <c r="CJ66" s="67">
        <f t="shared" si="633"/>
        <v>157.30131921998137</v>
      </c>
      <c r="CK66" s="67">
        <f t="shared" si="633"/>
        <v>125.82800195434356</v>
      </c>
      <c r="CL66" s="67">
        <f t="shared" si="633"/>
        <v>31.473317265637789</v>
      </c>
      <c r="CM66" s="68"/>
      <c r="CN66" s="293"/>
      <c r="CO66" s="293"/>
      <c r="CS66" s="32">
        <f t="shared" ref="CS66:CS69" si="673">(CT66*$C66+CU66*$D66)/$B66</f>
        <v>9.8356517602283553</v>
      </c>
      <c r="CT66" s="33">
        <v>9.89</v>
      </c>
      <c r="CU66" s="99">
        <v>8.77</v>
      </c>
      <c r="CY66" s="97">
        <f>CZ66*$HB66</f>
        <v>8.1922275916101803</v>
      </c>
      <c r="CZ66" s="263">
        <f>(BA66-BM66-EN66*CF66)/'Amortization metrics'!$D$4/G66</f>
        <v>9.1024751017890893</v>
      </c>
      <c r="DA66" s="97"/>
      <c r="DB66" s="97"/>
      <c r="DC66" s="97">
        <f>DD66*$HB66</f>
        <v>8.9082505587943821</v>
      </c>
      <c r="DD66" s="263">
        <f>(BD66-BQ66-EQ66*CI66)/'Amortization metrics'!$D$4/I66</f>
        <v>9.8980561764382013</v>
      </c>
      <c r="DE66" s="97"/>
      <c r="DF66" s="97"/>
      <c r="DG66" s="97">
        <f>DH66*$HB66</f>
        <v>2.9110615761191361</v>
      </c>
      <c r="DH66" s="263">
        <f>(BG66-BV66-EX66*CL66)/'Amortization metrics'!$D$4/K66</f>
        <v>3.2345128623545953</v>
      </c>
      <c r="DI66" s="97"/>
      <c r="DJ66" s="97"/>
      <c r="DK66" s="97">
        <f>DL66*$HB66</f>
        <v>6.823178359245393</v>
      </c>
      <c r="DL66" s="263">
        <f>$EF$11*DX66</f>
        <v>7.5813092880504369</v>
      </c>
      <c r="DM66" s="97"/>
      <c r="DN66" s="97"/>
      <c r="DO66" s="97">
        <f>DP66*$HB66</f>
        <v>7.4124442512357307</v>
      </c>
      <c r="DP66" s="263">
        <f>$EF$11*EA66</f>
        <v>8.2360491680397008</v>
      </c>
      <c r="DQ66" s="97"/>
      <c r="DR66" s="97"/>
      <c r="DS66" s="97">
        <f>DT66*$HB66</f>
        <v>2.4741130625553014</v>
      </c>
      <c r="DT66" s="263">
        <f>$EF$11*ED66</f>
        <v>2.7490145139503346</v>
      </c>
      <c r="DU66" s="97"/>
      <c r="DV66" s="97"/>
      <c r="DW66" s="97">
        <f>DX66*$HB66</f>
        <v>13.587725755146034</v>
      </c>
      <c r="DX66" s="263">
        <f>CS66/G66</f>
        <v>15.097473061273371</v>
      </c>
      <c r="DY66" s="60"/>
      <c r="DZ66" s="97">
        <f>EA66*$HB66</f>
        <v>14.761194029850746</v>
      </c>
      <c r="EA66" s="263">
        <f>CT66/I66</f>
        <v>16.401326699834161</v>
      </c>
      <c r="EB66" s="60"/>
      <c r="EC66" s="97">
        <f>ED66*$HB66</f>
        <v>4.9269662921348312</v>
      </c>
      <c r="ED66" s="263">
        <f>CU66/K66</f>
        <v>5.4744069912609232</v>
      </c>
      <c r="EE66" s="60"/>
      <c r="EF66" s="60"/>
      <c r="EG66" s="60"/>
      <c r="EH66" s="60"/>
      <c r="EI66" s="554">
        <f>EK66*$P66</f>
        <v>13.038707303999999</v>
      </c>
      <c r="EJ66" s="262">
        <f>EK66*$HB66</f>
        <v>1.713860420095165</v>
      </c>
      <c r="EK66" s="166">
        <f>(EP66*S66+EW66*U66)/P66</f>
        <v>1.9042893556612945</v>
      </c>
      <c r="EL66" s="97"/>
      <c r="EM66" s="97"/>
      <c r="EN66" s="429">
        <f>(EQ66*C66+EX66*D66)/B66</f>
        <v>2.2739105613701235E-2</v>
      </c>
      <c r="EO66" s="262">
        <f>EP66*$HB66</f>
        <v>1.7018838805970147</v>
      </c>
      <c r="EP66" s="436">
        <f>EQ66*EU66/I66</f>
        <v>1.8909820895522385</v>
      </c>
      <c r="EQ66" s="101">
        <v>2.0899999999999998E-2</v>
      </c>
      <c r="ER66" s="433">
        <v>1</v>
      </c>
      <c r="ES66" s="433">
        <v>0</v>
      </c>
      <c r="ET66" s="434">
        <f>1-ER66-ES66</f>
        <v>0</v>
      </c>
      <c r="EU66" s="430">
        <f>ER66*$FC66+ES66*$FD66+ET66*$FE66+'Amortization metrics'!$B$6*(ER66*$FF66+ES66*$FG66+ET66*$FH66)/10^3+'Amortization metrics'!$B$5*(ER66*$FI66+ES66*$FJ66+ET66*$FK66)/10^3</f>
        <v>54.558</v>
      </c>
      <c r="EV66" s="262">
        <f>EW66*$HB66</f>
        <v>1.8022530337078653</v>
      </c>
      <c r="EW66" s="436">
        <f>EX66*FB66/K66</f>
        <v>2.002503370786517</v>
      </c>
      <c r="EX66" s="101">
        <v>5.8799999999999998E-2</v>
      </c>
      <c r="EY66" s="433">
        <v>1</v>
      </c>
      <c r="EZ66" s="433">
        <v>0</v>
      </c>
      <c r="FA66" s="434">
        <f t="shared" ref="FA66:FA69" si="674">1-EY66-EZ66</f>
        <v>0</v>
      </c>
      <c r="FB66" s="430">
        <f>EY66*$FC66+EZ66*$FD66+FA66*$FE66+'Amortization metrics'!$B$6*(EY66*$FF66+EZ66*$FG66+FA66*$FH66)/10^3+'Amortization metrics'!$B$5*(EY66*$FI66+EZ66*$FJ66+FA66*$FK66)/10^3</f>
        <v>54.558</v>
      </c>
      <c r="FC66" s="431">
        <v>51.3</v>
      </c>
      <c r="FD66" s="431">
        <v>29</v>
      </c>
      <c r="FE66" s="431">
        <v>29</v>
      </c>
      <c r="FF66" s="99">
        <v>5</v>
      </c>
      <c r="FG66" s="431">
        <v>13</v>
      </c>
      <c r="FH66" s="431">
        <v>13</v>
      </c>
      <c r="FI66" s="431">
        <v>52</v>
      </c>
      <c r="FJ66" s="431">
        <v>58.3</v>
      </c>
      <c r="FK66" s="431">
        <v>58.3</v>
      </c>
      <c r="FL66" s="554">
        <f>FO66+FP66+FM66+FN66+FQ66</f>
        <v>5.1961946748624657</v>
      </c>
      <c r="FM66" s="554">
        <f>GC66*$P66</f>
        <v>1.3503693140704203</v>
      </c>
      <c r="FN66" s="554">
        <f>GE66*$P66</f>
        <v>0.10816234907348</v>
      </c>
      <c r="FO66" s="554">
        <f>GG66*$P66</f>
        <v>1.7130665588534801</v>
      </c>
      <c r="FP66" s="554">
        <f>GI66*$P66</f>
        <v>2.0245964528650848</v>
      </c>
      <c r="FQ66" s="554"/>
      <c r="FR66" s="167">
        <f>FS66*HB66</f>
        <v>0.68300884288000008</v>
      </c>
      <c r="FS66" s="166">
        <f>FY66+FW66+GA66</f>
        <v>0.75889871431111122</v>
      </c>
      <c r="FT66" s="97"/>
      <c r="FU66" s="97"/>
      <c r="FV66" s="473">
        <f>FW66*HB66</f>
        <v>0.19171530050000002</v>
      </c>
      <c r="FW66" s="269">
        <f>GC66+GE66</f>
        <v>0.21301700055555556</v>
      </c>
      <c r="FX66" s="473">
        <f>FY66*HB66</f>
        <v>0.49129354238000006</v>
      </c>
      <c r="FY66" s="269">
        <f>GG66+GI66</f>
        <v>0.54588171375555561</v>
      </c>
      <c r="FZ66" s="49"/>
      <c r="GA66" s="49"/>
      <c r="GB66" s="435">
        <v>0.17749800390000001</v>
      </c>
      <c r="GC66" s="522">
        <f>GB66/$HB66</f>
        <v>0.19722000433333334</v>
      </c>
      <c r="GD66" s="435">
        <v>1.42172966E-2</v>
      </c>
      <c r="GE66" s="522">
        <f>GD66/$HB66</f>
        <v>1.579699622222222E-2</v>
      </c>
      <c r="GF66" s="435">
        <v>0.22517239659999999</v>
      </c>
      <c r="GG66" s="522">
        <f>GF66/$HB66</f>
        <v>0.25019155177777774</v>
      </c>
      <c r="GH66" s="435">
        <v>0.26612114578000001</v>
      </c>
      <c r="GI66" s="522">
        <f>GH66/$HB66</f>
        <v>0.29569016197777781</v>
      </c>
      <c r="GJ66" s="610">
        <f>44/12*CZ66+$FS66+$EK66</f>
        <v>36.038930109865731</v>
      </c>
      <c r="GK66" s="60"/>
      <c r="GL66" s="60"/>
      <c r="GM66" s="610">
        <f>44/12*DD66+$FS66+$EP66</f>
        <v>38.942753450803416</v>
      </c>
      <c r="GP66" s="610">
        <f>44/12*DH66+$FS66+$EW66</f>
        <v>14.621282580397811</v>
      </c>
      <c r="GS66" s="610">
        <f>44/12*DL66+$FS66+$EK66</f>
        <v>30.461322126157341</v>
      </c>
      <c r="GV66" s="610">
        <f>44/12*DP66+$FS66+$EP66</f>
        <v>32.848727753342253</v>
      </c>
      <c r="GY66" s="610">
        <f>44/12*DT66+$FS66+$EW66</f>
        <v>12.841121969582188</v>
      </c>
      <c r="HB66" s="31">
        <v>0.9</v>
      </c>
      <c r="HC66" s="32">
        <f>$HB66*HD66</f>
        <v>18.900000000000002</v>
      </c>
      <c r="HD66" s="27">
        <v>21</v>
      </c>
      <c r="HE66" s="32"/>
      <c r="HF66" s="33"/>
      <c r="HG66" s="34">
        <f>$HB66*HH66</f>
        <v>0.11700000000000001</v>
      </c>
      <c r="HH66" s="42">
        <v>0.13</v>
      </c>
      <c r="HI66" s="34">
        <f>$HB66*HJ66</f>
        <v>0.11700000000000001</v>
      </c>
      <c r="HJ66" s="42">
        <v>0.13</v>
      </c>
    </row>
    <row r="67" spans="1:218" s="4" customFormat="1" x14ac:dyDescent="0.25">
      <c r="A67" s="14" t="s">
        <v>473</v>
      </c>
      <c r="B67" s="67">
        <f t="shared" si="637"/>
        <v>2.69</v>
      </c>
      <c r="C67" s="33">
        <v>2.6</v>
      </c>
      <c r="D67" s="33">
        <v>0.09</v>
      </c>
      <c r="E67" s="38">
        <f t="shared" si="638"/>
        <v>3.3457249070631967E-2</v>
      </c>
      <c r="F67" s="108">
        <f t="shared" si="639"/>
        <v>1.3457249070631971</v>
      </c>
      <c r="G67" s="32">
        <f t="shared" si="640"/>
        <v>1.2111524163568774</v>
      </c>
      <c r="H67" s="33">
        <v>1.33</v>
      </c>
      <c r="I67" s="32">
        <f>$HB67*H67</f>
        <v>1.1970000000000001</v>
      </c>
      <c r="J67" s="33">
        <v>1.8</v>
      </c>
      <c r="K67" s="32">
        <f>$HB67*J67</f>
        <v>1.62</v>
      </c>
      <c r="L67" s="32">
        <f t="shared" si="641"/>
        <v>8.2565991405770411</v>
      </c>
      <c r="M67" s="32">
        <f t="shared" si="642"/>
        <v>8.3542188805346704</v>
      </c>
      <c r="N67" s="32">
        <f t="shared" si="643"/>
        <v>6.1728395061728394</v>
      </c>
      <c r="O67" s="108">
        <f t="shared" si="644"/>
        <v>3.62</v>
      </c>
      <c r="P67" s="68">
        <f t="shared" si="645"/>
        <v>3.258</v>
      </c>
      <c r="Q67" s="68"/>
      <c r="R67" s="67">
        <f t="shared" si="646"/>
        <v>3.4580000000000002</v>
      </c>
      <c r="S67" s="67">
        <f t="shared" si="647"/>
        <v>3.1122000000000001</v>
      </c>
      <c r="T67" s="67">
        <f t="shared" si="648"/>
        <v>0.16200000000000001</v>
      </c>
      <c r="U67" s="67">
        <f t="shared" si="649"/>
        <v>0.14580000000000001</v>
      </c>
      <c r="V67" s="38">
        <f t="shared" si="650"/>
        <v>4.4751381215469614E-2</v>
      </c>
      <c r="W67" s="294">
        <f t="shared" si="651"/>
        <v>0.39104362700009732</v>
      </c>
      <c r="X67" s="294">
        <f t="shared" si="652"/>
        <v>0.54520237747634026</v>
      </c>
      <c r="Y67" s="294">
        <f t="shared" si="653"/>
        <v>1.6532234360359107E-2</v>
      </c>
      <c r="Z67" s="294">
        <f t="shared" si="654"/>
        <v>2.7511951298760124E-2</v>
      </c>
      <c r="AA67" s="294">
        <f t="shared" si="655"/>
        <v>3.3691628975502708E-3</v>
      </c>
      <c r="AB67" s="294">
        <f t="shared" si="656"/>
        <v>2.0257173866992488E-3</v>
      </c>
      <c r="AC67" s="294">
        <f t="shared" si="657"/>
        <v>2.3787073512308231E-5</v>
      </c>
      <c r="AD67" s="294">
        <f t="shared" si="658"/>
        <v>1.4291142506681408E-2</v>
      </c>
      <c r="AE67" s="294">
        <f t="shared" si="659"/>
        <v>0</v>
      </c>
      <c r="AF67" s="96">
        <v>0.39110799145188491</v>
      </c>
      <c r="AG67" s="96">
        <v>0.55940528657825717</v>
      </c>
      <c r="AH67" s="96">
        <v>1.6249287832030456E-2</v>
      </c>
      <c r="AI67" s="96">
        <v>2.7806334478944986E-2</v>
      </c>
      <c r="AJ67" s="96">
        <v>3.1323726929043073E-3</v>
      </c>
      <c r="AK67" s="96">
        <v>9.6004169083974914E-4</v>
      </c>
      <c r="AL67" s="96">
        <v>2.4610472210811208E-5</v>
      </c>
      <c r="AM67" s="96">
        <v>1.3140748029276588E-3</v>
      </c>
      <c r="AN67" s="96">
        <v>0</v>
      </c>
      <c r="AO67" s="96">
        <v>0.389184209504012</v>
      </c>
      <c r="AP67" s="96">
        <v>0.1348961145320734</v>
      </c>
      <c r="AQ67" s="96">
        <v>2.4706245178742307E-2</v>
      </c>
      <c r="AR67" s="96">
        <v>1.9007548315641845E-2</v>
      </c>
      <c r="AS67" s="96">
        <v>1.0209768809544762E-2</v>
      </c>
      <c r="AT67" s="96">
        <v>3.2811904155973681E-2</v>
      </c>
      <c r="AU67" s="96">
        <v>0</v>
      </c>
      <c r="AV67" s="96">
        <v>0.389184209504012</v>
      </c>
      <c r="AW67" s="96">
        <v>0</v>
      </c>
      <c r="AX67" s="554">
        <f>BA67*$B67/10^3</f>
        <v>0.72182227749295591</v>
      </c>
      <c r="AY67" s="554">
        <f t="shared" si="660"/>
        <v>0.39910259209153059</v>
      </c>
      <c r="AZ67" s="554">
        <f t="shared" si="660"/>
        <v>0.32271968540142532</v>
      </c>
      <c r="BA67" s="67">
        <f t="shared" si="661"/>
        <v>268.33541914236281</v>
      </c>
      <c r="BB67" s="67">
        <f t="shared" si="662"/>
        <v>148.36527587045748</v>
      </c>
      <c r="BC67" s="67">
        <f t="shared" si="662"/>
        <v>119.97014327190531</v>
      </c>
      <c r="BD67" s="67">
        <f t="shared" si="663"/>
        <v>268.29073225336987</v>
      </c>
      <c r="BE67" s="105">
        <v>148.44668842612117</v>
      </c>
      <c r="BF67" s="105">
        <v>119.84404382724868</v>
      </c>
      <c r="BG67" s="68">
        <f t="shared" si="664"/>
        <v>269.62637371327008</v>
      </c>
      <c r="BH67" s="106">
        <v>146.01335759572868</v>
      </c>
      <c r="BI67" s="106">
        <v>123.61301611754141</v>
      </c>
      <c r="BJ67" s="554">
        <f>BM67*$B67/10^3</f>
        <v>0.24876476405106898</v>
      </c>
      <c r="BK67" s="554">
        <f t="shared" si="665"/>
        <v>6.7250000000000001E-3</v>
      </c>
      <c r="BL67" s="554">
        <f t="shared" si="666"/>
        <v>0.242039764051069</v>
      </c>
      <c r="BM67" s="32">
        <f t="shared" si="667"/>
        <v>92.477607453928997</v>
      </c>
      <c r="BN67" s="32">
        <f t="shared" si="668"/>
        <v>2.5</v>
      </c>
      <c r="BO67" s="67">
        <f t="shared" si="668"/>
        <v>89.977607453928997</v>
      </c>
      <c r="BP67" s="270"/>
      <c r="BQ67" s="67">
        <f t="shared" si="669"/>
        <v>92.383032870436509</v>
      </c>
      <c r="BR67" s="33">
        <v>2.5</v>
      </c>
      <c r="BS67" s="67">
        <f>(1-BU67)*BF67</f>
        <v>89.883032870436509</v>
      </c>
      <c r="BT67" s="67"/>
      <c r="BU67" s="34">
        <f t="shared" si="670"/>
        <v>0.25</v>
      </c>
      <c r="BV67" s="68">
        <f t="shared" si="671"/>
        <v>95.209762088156054</v>
      </c>
      <c r="BW67" s="33">
        <v>2.5</v>
      </c>
      <c r="BX67" s="67">
        <f>(1-BZ67)*BI67</f>
        <v>92.709762088156054</v>
      </c>
      <c r="BY67" s="67"/>
      <c r="BZ67" s="34">
        <f t="shared" si="672"/>
        <v>0.25</v>
      </c>
      <c r="CA67" s="294"/>
      <c r="CB67" s="294"/>
      <c r="CC67" s="294"/>
      <c r="CD67" s="67">
        <f t="shared" si="631"/>
        <v>175.8578116884338</v>
      </c>
      <c r="CE67" s="67">
        <f t="shared" si="631"/>
        <v>145.86527587045748</v>
      </c>
      <c r="CF67" s="67">
        <f t="shared" si="631"/>
        <v>29.992535817976318</v>
      </c>
      <c r="CG67" s="67">
        <f t="shared" si="632"/>
        <v>175.90769938293334</v>
      </c>
      <c r="CH67" s="67">
        <f t="shared" si="632"/>
        <v>145.94668842612117</v>
      </c>
      <c r="CI67" s="67">
        <f t="shared" si="632"/>
        <v>29.961010956812174</v>
      </c>
      <c r="CJ67" s="67">
        <f t="shared" si="633"/>
        <v>174.41661162511403</v>
      </c>
      <c r="CK67" s="67">
        <f t="shared" si="633"/>
        <v>143.51335759572868</v>
      </c>
      <c r="CL67" s="67">
        <f t="shared" si="633"/>
        <v>30.903254029385351</v>
      </c>
      <c r="CM67" s="68"/>
      <c r="CN67" s="293"/>
      <c r="CO67" s="293"/>
      <c r="CS67" s="32">
        <f t="shared" si="673"/>
        <v>8.1090706319702601</v>
      </c>
      <c r="CT67" s="33">
        <v>8.09</v>
      </c>
      <c r="CU67" s="99">
        <v>8.66</v>
      </c>
      <c r="CY67" s="97">
        <f>CZ67*$HB67</f>
        <v>4.3504394356408742</v>
      </c>
      <c r="CZ67" s="263">
        <f>(BA67-BM67-EN67*CF67)/'Amortization metrics'!$D$4/G67</f>
        <v>4.8338215951565271</v>
      </c>
      <c r="DA67" s="97"/>
      <c r="DB67" s="97"/>
      <c r="DC67" s="97">
        <f>DD67*$HB67</f>
        <v>4.4087142702489563</v>
      </c>
      <c r="DD67" s="263">
        <f>(BD67-BQ67-EQ67*CI67)/'Amortization metrics'!$D$4/I67</f>
        <v>4.8985714113877288</v>
      </c>
      <c r="DE67" s="97"/>
      <c r="DF67" s="97"/>
      <c r="DG67" s="97">
        <f>DH67*$HB67</f>
        <v>3.1027760848108259</v>
      </c>
      <c r="DH67" s="263">
        <f>(BG67-BV67-EX67*CL67)/'Amortization metrics'!$D$4/K67</f>
        <v>3.4475289831231399</v>
      </c>
      <c r="DI67" s="97"/>
      <c r="DJ67" s="97"/>
      <c r="DK67" s="97">
        <f>DL67*$HB67</f>
        <v>3.0259012021193539</v>
      </c>
      <c r="DL67" s="263">
        <f>$EF$11*DX67</f>
        <v>3.3621124467992818</v>
      </c>
      <c r="DM67" s="97"/>
      <c r="DN67" s="97"/>
      <c r="DO67" s="97">
        <f>DP67*$HB67</f>
        <v>3.0544768069039918</v>
      </c>
      <c r="DP67" s="263">
        <f>$EF$11*EA67</f>
        <v>3.393863118782213</v>
      </c>
      <c r="DQ67" s="97"/>
      <c r="DR67" s="97"/>
      <c r="DS67" s="97">
        <f>DT67*$HB67</f>
        <v>2.415935514802829</v>
      </c>
      <c r="DT67" s="263">
        <f>$EF$11*ED67</f>
        <v>2.6843727942253652</v>
      </c>
      <c r="DU67" s="97"/>
      <c r="DV67" s="97"/>
      <c r="DW67" s="97">
        <f>DX67*$HB67</f>
        <v>6.0258011049723752</v>
      </c>
      <c r="DX67" s="263">
        <f>CS67/G67</f>
        <v>6.6953345610804167</v>
      </c>
      <c r="DY67" s="60"/>
      <c r="DZ67" s="97">
        <f>EA67*$HB67</f>
        <v>6.0827067669172932</v>
      </c>
      <c r="EA67" s="263">
        <f>CT67/I67</f>
        <v>6.7585630743525478</v>
      </c>
      <c r="EB67" s="60"/>
      <c r="EC67" s="97">
        <f>ED67*$HB67</f>
        <v>4.8111111111111109</v>
      </c>
      <c r="ED67" s="263">
        <f>CU67/K67</f>
        <v>5.3456790123456788</v>
      </c>
      <c r="EE67" s="60"/>
      <c r="EF67" s="60"/>
      <c r="EG67" s="60"/>
      <c r="EH67" s="60"/>
      <c r="EI67" s="554">
        <f>EK67*$P67</f>
        <v>1.0910508840000002</v>
      </c>
      <c r="EJ67" s="262">
        <f>EK67*$HB67</f>
        <v>0.30139527182320447</v>
      </c>
      <c r="EK67" s="166">
        <f>(EP67*S67+EW67*U67)/P67</f>
        <v>0.33488363535911608</v>
      </c>
      <c r="EL67" s="97"/>
      <c r="EM67" s="97"/>
      <c r="EN67" s="429">
        <f>(EQ67*C67+EX67*D67)/B67</f>
        <v>7.4342007434944233E-3</v>
      </c>
      <c r="EO67" s="262">
        <f>EP67*$HB67</f>
        <v>0</v>
      </c>
      <c r="EP67" s="436">
        <f>EQ67*EU67/I67</f>
        <v>0</v>
      </c>
      <c r="EQ67" s="101">
        <v>0</v>
      </c>
      <c r="ER67" s="433">
        <v>1</v>
      </c>
      <c r="ES67" s="433">
        <v>0</v>
      </c>
      <c r="ET67" s="434">
        <f>1-ER67-ES67</f>
        <v>0</v>
      </c>
      <c r="EU67" s="430">
        <f>ER67*$FC67+ES67*$FD67+ET67*$FE67+'Amortization metrics'!$B$6*(ER67*$FF67+ES67*$FG67+ET67*$FH67)/10^3+'Amortization metrics'!$B$5*(ER67*$FI67+ES67*$FJ67+ET67*$FK67)/10^3</f>
        <v>54.558</v>
      </c>
      <c r="EV67" s="262">
        <f>EW67*$HB67</f>
        <v>6.7348819999999998</v>
      </c>
      <c r="EW67" s="436">
        <f>EX67*FB67/K67</f>
        <v>7.4832022222222223</v>
      </c>
      <c r="EX67" s="101">
        <v>0.22220000000000001</v>
      </c>
      <c r="EY67" s="433">
        <v>1</v>
      </c>
      <c r="EZ67" s="433">
        <v>0</v>
      </c>
      <c r="FA67" s="434">
        <f t="shared" si="674"/>
        <v>0</v>
      </c>
      <c r="FB67" s="430">
        <f>EY67*$FC67+EZ67*$FD67+FA67*$FE67+'Amortization metrics'!$B$6*(EY67*$FF67+EZ67*$FG67+FA67*$FH67)/10^3+'Amortization metrics'!$B$5*(EY67*$FI67+EZ67*$FJ67+FA67*$FK67)/10^3</f>
        <v>54.558</v>
      </c>
      <c r="FC67" s="431">
        <v>51.3</v>
      </c>
      <c r="FD67" s="431">
        <v>29</v>
      </c>
      <c r="FE67" s="431">
        <v>29</v>
      </c>
      <c r="FF67" s="99">
        <v>5</v>
      </c>
      <c r="FG67" s="431">
        <v>13</v>
      </c>
      <c r="FH67" s="431">
        <v>13</v>
      </c>
      <c r="FI67" s="431">
        <v>52</v>
      </c>
      <c r="FJ67" s="431">
        <v>58.3</v>
      </c>
      <c r="FK67" s="431">
        <v>58.3</v>
      </c>
      <c r="FL67" s="554">
        <f>FO67+FP67+FM67+FN67+FQ67</f>
        <v>3.4846411895080003</v>
      </c>
      <c r="FM67" s="554">
        <f>GC67*$P67</f>
        <v>0.85596028238160005</v>
      </c>
      <c r="FN67" s="554">
        <f>GE67*$P67</f>
        <v>0.127544692248</v>
      </c>
      <c r="FO67" s="554">
        <f>GG67*$P67</f>
        <v>1.2197501418600001</v>
      </c>
      <c r="FP67" s="554">
        <f>GI67*$P67</f>
        <v>1.2813860730184001</v>
      </c>
      <c r="FQ67" s="554"/>
      <c r="FR67" s="167">
        <f>FS67*HB67</f>
        <v>0.96260806339999994</v>
      </c>
      <c r="FS67" s="166">
        <f>FY67+FW67+GA67</f>
        <v>1.0695645148888888</v>
      </c>
      <c r="FT67" s="97"/>
      <c r="FU67" s="97"/>
      <c r="FV67" s="473">
        <f>FW67*HB67</f>
        <v>0.27168645708</v>
      </c>
      <c r="FW67" s="269">
        <f>GC67+GE67</f>
        <v>0.30187384119999999</v>
      </c>
      <c r="FX67" s="473">
        <f>FY67*HB67</f>
        <v>0.69092160631999999</v>
      </c>
      <c r="FY67" s="269">
        <f>GG67+GI67</f>
        <v>0.76769067368888888</v>
      </c>
      <c r="FZ67" s="49"/>
      <c r="GA67" s="49"/>
      <c r="GB67" s="435">
        <v>0.23645311668000002</v>
      </c>
      <c r="GC67" s="522">
        <f>GB67/$HB67</f>
        <v>0.2627256852</v>
      </c>
      <c r="GD67" s="435">
        <v>3.52333404E-2</v>
      </c>
      <c r="GE67" s="522">
        <f>GD67/$HB67</f>
        <v>3.9148155999999996E-2</v>
      </c>
      <c r="GF67" s="435">
        <v>0.33694755300000001</v>
      </c>
      <c r="GG67" s="522">
        <f>GF67/$HB67</f>
        <v>0.37438617000000002</v>
      </c>
      <c r="GH67" s="435">
        <v>0.35397405332000004</v>
      </c>
      <c r="GI67" s="522">
        <f>GH67/$HB67</f>
        <v>0.39330450368888892</v>
      </c>
      <c r="GJ67" s="610">
        <f>44/12*CZ67+$FS67+$EK67</f>
        <v>19.128460665821937</v>
      </c>
      <c r="GK67" s="60"/>
      <c r="GL67" s="60"/>
      <c r="GM67" s="610">
        <f>44/12*DD67+$FS67+$EP67</f>
        <v>19.030993023310561</v>
      </c>
      <c r="GP67" s="610">
        <f>44/12*DH67+$FS67+$EW67</f>
        <v>21.193706341895957</v>
      </c>
      <c r="GS67" s="610">
        <f>44/12*DL67+$FS67+$EK67</f>
        <v>13.732193788512037</v>
      </c>
      <c r="GV67" s="610">
        <f>44/12*DP67+$FS67+$EP67</f>
        <v>13.513729283757003</v>
      </c>
      <c r="GY67" s="610">
        <f>44/12*DT67+$FS67+$EW67</f>
        <v>18.395466982604116</v>
      </c>
      <c r="HB67" s="31">
        <v>0.9</v>
      </c>
      <c r="HC67" s="32">
        <f t="shared" ref="HC67:HC69" si="675">$HB67*HD67</f>
        <v>15.75</v>
      </c>
      <c r="HD67" s="27">
        <v>17.5</v>
      </c>
      <c r="HE67" s="32"/>
      <c r="HF67" s="33"/>
      <c r="HG67" s="34">
        <f>$HB67*HH67</f>
        <v>0.13500000000000001</v>
      </c>
      <c r="HH67" s="42">
        <v>0.15</v>
      </c>
      <c r="HI67" s="36">
        <f>$HB67*HJ67</f>
        <v>2.7E-2</v>
      </c>
      <c r="HJ67" s="35">
        <v>0.03</v>
      </c>
    </row>
    <row r="68" spans="1:218" s="4" customFormat="1" x14ac:dyDescent="0.25">
      <c r="A68" s="14" t="s">
        <v>472</v>
      </c>
      <c r="B68" s="67">
        <f t="shared" si="637"/>
        <v>8.49</v>
      </c>
      <c r="C68" s="33">
        <v>8.4</v>
      </c>
      <c r="D68" s="33">
        <v>0.09</v>
      </c>
      <c r="E68" s="38">
        <f t="shared" si="638"/>
        <v>1.0600706713780918E-2</v>
      </c>
      <c r="F68" s="108">
        <f t="shared" si="639"/>
        <v>0.48106007067137807</v>
      </c>
      <c r="G68" s="32">
        <f t="shared" si="640"/>
        <v>0.44257526501766786</v>
      </c>
      <c r="H68" s="33">
        <v>0.48</v>
      </c>
      <c r="I68" s="32">
        <f>$HB68*H68</f>
        <v>0.44159999999999999</v>
      </c>
      <c r="J68" s="33">
        <v>0.57999999999999996</v>
      </c>
      <c r="K68" s="32">
        <f>$HB68*J68</f>
        <v>0.53359999999999996</v>
      </c>
      <c r="L68" s="32">
        <f t="shared" si="641"/>
        <v>22.595026858540759</v>
      </c>
      <c r="M68" s="32">
        <f t="shared" si="642"/>
        <v>22.644927536231883</v>
      </c>
      <c r="N68" s="32">
        <f t="shared" si="643"/>
        <v>18.740629685157423</v>
      </c>
      <c r="O68" s="108">
        <f t="shared" si="644"/>
        <v>4.0842000000000001</v>
      </c>
      <c r="P68" s="68">
        <f t="shared" si="645"/>
        <v>3.7574640000000001</v>
      </c>
      <c r="Q68" s="68"/>
      <c r="R68" s="67">
        <f t="shared" si="646"/>
        <v>4.032</v>
      </c>
      <c r="S68" s="67">
        <f t="shared" si="647"/>
        <v>3.7094400000000003</v>
      </c>
      <c r="T68" s="67">
        <f t="shared" si="648"/>
        <v>5.2199999999999996E-2</v>
      </c>
      <c r="U68" s="67">
        <f t="shared" si="649"/>
        <v>4.8023999999999997E-2</v>
      </c>
      <c r="V68" s="38">
        <f t="shared" si="650"/>
        <v>1.27809607756721E-2</v>
      </c>
      <c r="W68" s="294">
        <f t="shared" si="651"/>
        <v>0.88040579454189505</v>
      </c>
      <c r="X68" s="294">
        <f t="shared" si="652"/>
        <v>3.1321357276263995E-3</v>
      </c>
      <c r="Y68" s="294">
        <f t="shared" si="653"/>
        <v>0</v>
      </c>
      <c r="Z68" s="294">
        <f t="shared" si="654"/>
        <v>9.7180611456721314E-2</v>
      </c>
      <c r="AA68" s="294">
        <f t="shared" si="655"/>
        <v>1.3699815231781035E-4</v>
      </c>
      <c r="AB68" s="294">
        <f t="shared" si="656"/>
        <v>3.2757027285885585E-4</v>
      </c>
      <c r="AC68" s="294">
        <f t="shared" si="657"/>
        <v>3.1521069558461692E-6</v>
      </c>
      <c r="AD68" s="294">
        <f t="shared" si="658"/>
        <v>1.8813737741624779E-2</v>
      </c>
      <c r="AE68" s="294">
        <f t="shared" si="659"/>
        <v>0</v>
      </c>
      <c r="AF68" s="96">
        <v>0.88524144541342165</v>
      </c>
      <c r="AG68" s="96">
        <v>2.7936330844342996E-3</v>
      </c>
      <c r="AH68" s="96">
        <v>0</v>
      </c>
      <c r="AI68" s="96">
        <v>9.7074144531161727E-2</v>
      </c>
      <c r="AJ68" s="96">
        <v>1.3846598966407261E-4</v>
      </c>
      <c r="AK68" s="96">
        <v>3.3107995435377214E-4</v>
      </c>
      <c r="AL68" s="96">
        <v>3.1858795303730921E-6</v>
      </c>
      <c r="AM68" s="96">
        <v>1.4418045147434182E-2</v>
      </c>
      <c r="AN68" s="96">
        <v>0</v>
      </c>
      <c r="AO68" s="96">
        <v>0.42907837986608044</v>
      </c>
      <c r="AP68" s="96">
        <v>3.4725715758889067E-2</v>
      </c>
      <c r="AQ68" s="96">
        <v>0</v>
      </c>
      <c r="AR68" s="96">
        <v>0.10711752450895003</v>
      </c>
      <c r="AS68" s="96">
        <v>0</v>
      </c>
      <c r="AT68" s="96">
        <v>0</v>
      </c>
      <c r="AU68" s="96">
        <v>0</v>
      </c>
      <c r="AV68" s="96">
        <v>0.42907837986608044</v>
      </c>
      <c r="AW68" s="96">
        <v>0</v>
      </c>
      <c r="AX68" s="554">
        <f>BA68*$B68/10^3</f>
        <v>2.1911931619047587</v>
      </c>
      <c r="AY68" s="554">
        <f t="shared" si="660"/>
        <v>1.0572918673906067</v>
      </c>
      <c r="AZ68" s="554">
        <f t="shared" si="660"/>
        <v>1.1339012945141522</v>
      </c>
      <c r="BA68" s="67">
        <f t="shared" si="661"/>
        <v>258.09106736216239</v>
      </c>
      <c r="BB68" s="67">
        <f t="shared" si="662"/>
        <v>124.53378885637299</v>
      </c>
      <c r="BC68" s="67">
        <f t="shared" si="662"/>
        <v>133.55727850578941</v>
      </c>
      <c r="BD68" s="67">
        <f t="shared" si="663"/>
        <v>258.02234406553487</v>
      </c>
      <c r="BE68" s="105">
        <v>124.53943580199547</v>
      </c>
      <c r="BF68" s="105">
        <v>133.48290826353937</v>
      </c>
      <c r="BG68" s="68">
        <f t="shared" si="664"/>
        <v>264.5052417140692</v>
      </c>
      <c r="BH68" s="106">
        <v>124.0067405982755</v>
      </c>
      <c r="BI68" s="106">
        <v>140.49850111579369</v>
      </c>
      <c r="BJ68" s="554">
        <f>BM68*$B68/10^3</f>
        <v>0.8928759708856141</v>
      </c>
      <c r="BK68" s="554">
        <f t="shared" si="665"/>
        <v>4.2450000000000002E-2</v>
      </c>
      <c r="BL68" s="554">
        <f t="shared" si="666"/>
        <v>0.85042597088561422</v>
      </c>
      <c r="BM68" s="32">
        <f t="shared" si="667"/>
        <v>105.16795887934207</v>
      </c>
      <c r="BN68" s="32">
        <f t="shared" si="668"/>
        <v>5</v>
      </c>
      <c r="BO68" s="67">
        <f t="shared" si="668"/>
        <v>100.16795887934207</v>
      </c>
      <c r="BP68" s="270"/>
      <c r="BQ68" s="67">
        <f t="shared" si="669"/>
        <v>105.11218119765454</v>
      </c>
      <c r="BR68" s="33">
        <v>5</v>
      </c>
      <c r="BS68" s="67">
        <f>(1-BU68)*BF68</f>
        <v>100.11218119765454</v>
      </c>
      <c r="BT68" s="67"/>
      <c r="BU68" s="34">
        <f t="shared" si="670"/>
        <v>0.25</v>
      </c>
      <c r="BV68" s="68">
        <f t="shared" si="671"/>
        <v>110.37387583684526</v>
      </c>
      <c r="BW68" s="33">
        <v>5</v>
      </c>
      <c r="BX68" s="67">
        <f>(1-BZ68)*BI68</f>
        <v>105.37387583684526</v>
      </c>
      <c r="BY68" s="67"/>
      <c r="BZ68" s="34">
        <f t="shared" si="672"/>
        <v>0.25</v>
      </c>
      <c r="CA68" s="294"/>
      <c r="CB68" s="294"/>
      <c r="CC68" s="294"/>
      <c r="CD68" s="67">
        <f t="shared" si="631"/>
        <v>152.92310848282034</v>
      </c>
      <c r="CE68" s="67">
        <f t="shared" si="631"/>
        <v>119.53378885637299</v>
      </c>
      <c r="CF68" s="67">
        <f t="shared" si="631"/>
        <v>33.389319626447346</v>
      </c>
      <c r="CG68" s="67">
        <f t="shared" si="632"/>
        <v>152.91016286788033</v>
      </c>
      <c r="CH68" s="67">
        <f t="shared" si="632"/>
        <v>119.53943580199547</v>
      </c>
      <c r="CI68" s="67">
        <f t="shared" si="632"/>
        <v>33.370727065884836</v>
      </c>
      <c r="CJ68" s="67">
        <f t="shared" si="633"/>
        <v>154.13136587722394</v>
      </c>
      <c r="CK68" s="67">
        <f t="shared" si="633"/>
        <v>119.0067405982755</v>
      </c>
      <c r="CL68" s="67">
        <f t="shared" si="633"/>
        <v>35.124625278948429</v>
      </c>
      <c r="CM68" s="68"/>
      <c r="CN68" s="293"/>
      <c r="CO68" s="293"/>
      <c r="CS68" s="32">
        <f t="shared" si="673"/>
        <v>9.0513780918727917</v>
      </c>
      <c r="CT68" s="33">
        <v>9.0500000000000007</v>
      </c>
      <c r="CU68" s="99">
        <v>9.18</v>
      </c>
      <c r="CY68" s="97">
        <f>CZ68*$HB68</f>
        <v>10.558282232549194</v>
      </c>
      <c r="CZ68" s="263">
        <f>(BA68-BM68-EN68*CF68)/'Amortization metrics'!$D$4/G68</f>
        <v>11.476393731031733</v>
      </c>
      <c r="DA68" s="97"/>
      <c r="DB68" s="97"/>
      <c r="DC68" s="97">
        <f>DD68*$HB68</f>
        <v>10.583073171601784</v>
      </c>
      <c r="DD68" s="263">
        <f>(BD68-BQ68-EQ68*CI68)/'Amortization metrics'!$D$4/I68</f>
        <v>11.503340403914983</v>
      </c>
      <c r="DE68" s="97"/>
      <c r="DF68" s="97"/>
      <c r="DG68" s="97">
        <f>DH68*$HB68</f>
        <v>8.6338517246398148</v>
      </c>
      <c r="DH68" s="263">
        <f>(BG68-BV68-EX68*CL68)/'Amortization metrics'!$D$4/K68</f>
        <v>9.3846214398258851</v>
      </c>
      <c r="DI68" s="97"/>
      <c r="DJ68" s="97"/>
      <c r="DK68" s="97">
        <f>DL68*$HB68</f>
        <v>9.4483363863806051</v>
      </c>
      <c r="DL68" s="263">
        <f>$EF$11*DX68</f>
        <v>10.269930854761526</v>
      </c>
      <c r="DM68" s="97"/>
      <c r="DN68" s="97"/>
      <c r="DO68" s="97">
        <f>DP68*$HB68</f>
        <v>9.4677611470694014</v>
      </c>
      <c r="DP68" s="263">
        <f>$EF$11*EA68</f>
        <v>10.291044725075436</v>
      </c>
      <c r="DQ68" s="97"/>
      <c r="DR68" s="97"/>
      <c r="DS68" s="97">
        <f>DT68*$HB68</f>
        <v>7.9479410780046882</v>
      </c>
      <c r="DT68" s="263">
        <f>$EF$11*ED68</f>
        <v>8.6390663891355306</v>
      </c>
      <c r="DU68" s="97"/>
      <c r="DV68" s="97"/>
      <c r="DW68" s="97">
        <f>DX68*$HB68</f>
        <v>18.815484060525929</v>
      </c>
      <c r="DX68" s="263">
        <f>CS68/G68</f>
        <v>20.451613109267313</v>
      </c>
      <c r="DY68" s="60"/>
      <c r="DZ68" s="97">
        <f>EA68*$HB68</f>
        <v>18.854166666666668</v>
      </c>
      <c r="EA68" s="263">
        <f>CT68/I68</f>
        <v>20.493659420289855</v>
      </c>
      <c r="EB68" s="60"/>
      <c r="EC68" s="97">
        <f>ED68*$HB68</f>
        <v>15.827586206896552</v>
      </c>
      <c r="ED68" s="263">
        <f>CU68/K68</f>
        <v>17.203898050974512</v>
      </c>
      <c r="EE68" s="60"/>
      <c r="EF68" s="60"/>
      <c r="EG68" s="60"/>
      <c r="EH68" s="60"/>
      <c r="EI68" s="554">
        <f>EK68*$P68</f>
        <v>7.6031483219999991</v>
      </c>
      <c r="EJ68" s="262">
        <f>EK68*$HB68</f>
        <v>1.8616003922432789</v>
      </c>
      <c r="EK68" s="166">
        <f>(EP68*S68+EW68*U68)/P68</f>
        <v>2.0234786872209551</v>
      </c>
      <c r="EL68" s="97"/>
      <c r="EM68" s="97"/>
      <c r="EN68" s="429">
        <f>(EQ68*C68+EX68*D68)/B68</f>
        <v>1.6414487632508835E-2</v>
      </c>
      <c r="EO68" s="262">
        <f>EP68*$HB68</f>
        <v>1.7504024999999999</v>
      </c>
      <c r="EP68" s="436">
        <f>EQ68*EU68/I68</f>
        <v>1.9026114130434781</v>
      </c>
      <c r="EQ68" s="101">
        <v>1.54E-2</v>
      </c>
      <c r="ER68" s="433">
        <v>1</v>
      </c>
      <c r="ES68" s="433">
        <v>0</v>
      </c>
      <c r="ET68" s="434">
        <f>1-ER68-ES68</f>
        <v>0</v>
      </c>
      <c r="EU68" s="430">
        <f>ER68*$FC68+ES68*$FD68+ET68*$FE68+'Amortization metrics'!$B$6*(ER68*$FF68+ES68*$FG68+ET68*$FH68)/10^3+'Amortization metrics'!$B$5*(ER68*$FI68+ES68*$FJ68+ET68*$FK68)/10^3</f>
        <v>54.558</v>
      </c>
      <c r="EV68" s="262">
        <f>EW68*$HB68</f>
        <v>10.450678965517243</v>
      </c>
      <c r="EW68" s="436">
        <f>EX68*FB68/K68</f>
        <v>11.359433658170916</v>
      </c>
      <c r="EX68" s="101">
        <v>0.1111</v>
      </c>
      <c r="EY68" s="433">
        <v>1</v>
      </c>
      <c r="EZ68" s="433">
        <v>0</v>
      </c>
      <c r="FA68" s="434">
        <f t="shared" si="674"/>
        <v>0</v>
      </c>
      <c r="FB68" s="430">
        <f>EY68*$FC68+EZ68*$FD68+FA68*$FE68+'Amortization metrics'!$B$6*(EY68*$FF68+EZ68*$FG68+FA68*$FH68)/10^3+'Amortization metrics'!$B$5*(EY68*$FI68+EZ68*$FJ68+FA68*$FK68)/10^3</f>
        <v>54.558</v>
      </c>
      <c r="FC68" s="431">
        <v>51.3</v>
      </c>
      <c r="FD68" s="431">
        <v>29</v>
      </c>
      <c r="FE68" s="431">
        <v>29</v>
      </c>
      <c r="FF68" s="99">
        <v>5</v>
      </c>
      <c r="FG68" s="431">
        <v>13</v>
      </c>
      <c r="FH68" s="431">
        <v>13</v>
      </c>
      <c r="FI68" s="431">
        <v>52</v>
      </c>
      <c r="FJ68" s="431">
        <v>58.3</v>
      </c>
      <c r="FK68" s="431">
        <v>58.3</v>
      </c>
      <c r="FL68" s="554">
        <f>FO68+FP68+FM68+FN68+FQ68</f>
        <v>2.789544716090496</v>
      </c>
      <c r="FM68" s="554">
        <f>GC68*$P68</f>
        <v>0.72493734752838002</v>
      </c>
      <c r="FN68" s="554">
        <f>GE68*$P68</f>
        <v>5.8066282773720002E-2</v>
      </c>
      <c r="FO68" s="554">
        <f>GG68*$P68</f>
        <v>0.91964910219371998</v>
      </c>
      <c r="FP68" s="554">
        <f>GI68*$P68</f>
        <v>1.086891983594676</v>
      </c>
      <c r="FQ68" s="554"/>
      <c r="FR68" s="167">
        <f>FS68*HB68</f>
        <v>0.68300884288000008</v>
      </c>
      <c r="FS68" s="166">
        <f>FY68+FW68+GA68</f>
        <v>0.74240091617391313</v>
      </c>
      <c r="FT68" s="97"/>
      <c r="FU68" s="97"/>
      <c r="FV68" s="473">
        <f>FW68*HB68</f>
        <v>0.19171530050000002</v>
      </c>
      <c r="FW68" s="269">
        <f>GC68+GE68</f>
        <v>0.20838619619565218</v>
      </c>
      <c r="FX68" s="473">
        <f>FY68*HB68</f>
        <v>0.49129354238000006</v>
      </c>
      <c r="FY68" s="269">
        <f>GG68+GI68</f>
        <v>0.53401471997826089</v>
      </c>
      <c r="FZ68" s="49"/>
      <c r="GA68" s="49"/>
      <c r="GB68" s="435">
        <v>0.17749800390000001</v>
      </c>
      <c r="GC68" s="522">
        <f>GB68/$HB68</f>
        <v>0.19293261293478262</v>
      </c>
      <c r="GD68" s="435">
        <v>1.42172966E-2</v>
      </c>
      <c r="GE68" s="522">
        <f>GD68/$HB68</f>
        <v>1.5453583260869565E-2</v>
      </c>
      <c r="GF68" s="435">
        <v>0.22517239659999999</v>
      </c>
      <c r="GG68" s="522">
        <f>GF68/$HB68</f>
        <v>0.24475260499999998</v>
      </c>
      <c r="GH68" s="435">
        <v>0.26612114578000001</v>
      </c>
      <c r="GI68" s="522">
        <f>GH68/$HB68</f>
        <v>0.28926211497826088</v>
      </c>
      <c r="GJ68" s="610">
        <f>44/12*CZ68+$FS68+$EK68</f>
        <v>44.845989950511225</v>
      </c>
      <c r="GK68" s="60"/>
      <c r="GL68" s="60"/>
      <c r="GM68" s="610">
        <f>44/12*DD68+$FS68+$EP68</f>
        <v>44.823927143572327</v>
      </c>
      <c r="GP68" s="610">
        <f>44/12*DH68+$FS68+$EW68</f>
        <v>46.512113187039738</v>
      </c>
      <c r="GS68" s="610">
        <f>44/12*DL68+$FS68+$EK68</f>
        <v>40.422292737520465</v>
      </c>
      <c r="GV68" s="610">
        <f>44/12*DP68+$FS68+$EP68</f>
        <v>40.378842987827326</v>
      </c>
      <c r="GY68" s="610">
        <f>44/12*DT68+$FS68+$EW68</f>
        <v>43.778411334508434</v>
      </c>
      <c r="HB68" s="31">
        <v>0.92</v>
      </c>
      <c r="HC68" s="32">
        <f t="shared" si="675"/>
        <v>25.76</v>
      </c>
      <c r="HD68" s="105">
        <v>28</v>
      </c>
      <c r="HE68" s="32"/>
      <c r="HF68" s="33"/>
      <c r="HG68" s="34">
        <f>$HB68*HH68</f>
        <v>9.2000000000000012E-2</v>
      </c>
      <c r="HH68" s="42">
        <v>0.1</v>
      </c>
      <c r="HI68" s="34">
        <f>$HB68*HJ68</f>
        <v>0.46</v>
      </c>
      <c r="HJ68" s="42">
        <v>0.5</v>
      </c>
    </row>
    <row r="69" spans="1:218" s="4" customFormat="1" x14ac:dyDescent="0.25">
      <c r="A69" s="14" t="s">
        <v>347</v>
      </c>
      <c r="B69" s="67">
        <f t="shared" si="637"/>
        <v>33.799999999999997</v>
      </c>
      <c r="C69" s="33">
        <v>18</v>
      </c>
      <c r="D69" s="33">
        <v>15.8</v>
      </c>
      <c r="E69" s="38">
        <f t="shared" si="638"/>
        <v>0.4674556213017752</v>
      </c>
      <c r="F69" s="108">
        <f t="shared" si="639"/>
        <v>2.0904142011834317</v>
      </c>
      <c r="G69" s="32">
        <f t="shared" si="640"/>
        <v>1.9022769230769232</v>
      </c>
      <c r="H69" s="33">
        <v>1.45</v>
      </c>
      <c r="I69" s="32">
        <f>$HB69*H69</f>
        <v>1.3194999999999999</v>
      </c>
      <c r="J69" s="33">
        <v>2.82</v>
      </c>
      <c r="K69" s="32">
        <f>$HB69*J69</f>
        <v>2.5661999999999998</v>
      </c>
      <c r="L69" s="32">
        <f t="shared" si="641"/>
        <v>5.2568581780538297</v>
      </c>
      <c r="M69" s="32">
        <f t="shared" si="642"/>
        <v>7.5786282682834409</v>
      </c>
      <c r="N69" s="32">
        <f t="shared" si="643"/>
        <v>3.8968124074507058</v>
      </c>
      <c r="O69" s="107">
        <f t="shared" si="644"/>
        <v>70.655999999999992</v>
      </c>
      <c r="P69" s="68">
        <f t="shared" si="645"/>
        <v>64.296959999999999</v>
      </c>
      <c r="Q69" s="68"/>
      <c r="R69" s="67">
        <f t="shared" si="646"/>
        <v>26.099999999999998</v>
      </c>
      <c r="S69" s="67">
        <f t="shared" si="647"/>
        <v>23.750999999999998</v>
      </c>
      <c r="T69" s="67">
        <f t="shared" si="648"/>
        <v>44.555999999999997</v>
      </c>
      <c r="U69" s="67">
        <f t="shared" si="649"/>
        <v>40.545960000000001</v>
      </c>
      <c r="V69" s="600">
        <f t="shared" si="650"/>
        <v>0.63060461956521741</v>
      </c>
      <c r="W69" s="294">
        <f t="shared" si="651"/>
        <v>0.11625639542061361</v>
      </c>
      <c r="X69" s="294">
        <f t="shared" si="652"/>
        <v>0.23654571827880075</v>
      </c>
      <c r="Y69" s="294">
        <f t="shared" si="653"/>
        <v>8.8071462309075965E-4</v>
      </c>
      <c r="Z69" s="294">
        <f t="shared" si="654"/>
        <v>0.1760319688204954</v>
      </c>
      <c r="AA69" s="294">
        <f t="shared" si="655"/>
        <v>7.8800221567592699E-2</v>
      </c>
      <c r="AB69" s="294">
        <f t="shared" si="656"/>
        <v>0.29680442783748834</v>
      </c>
      <c r="AC69" s="294">
        <f t="shared" si="657"/>
        <v>8.8962171301499263E-2</v>
      </c>
      <c r="AD69" s="294">
        <f t="shared" si="658"/>
        <v>5.7062819617081754E-3</v>
      </c>
      <c r="AE69" s="294">
        <f t="shared" si="659"/>
        <v>0</v>
      </c>
      <c r="AF69" s="96">
        <v>0.21088514817028042</v>
      </c>
      <c r="AG69" s="96">
        <v>0.2248096754657587</v>
      </c>
      <c r="AH69" s="96">
        <v>6.8713835751946901E-4</v>
      </c>
      <c r="AI69" s="96">
        <v>0.30779361068890021</v>
      </c>
      <c r="AJ69" s="96">
        <v>9.522529055245163E-2</v>
      </c>
      <c r="AK69" s="96">
        <v>0.15660037414405986</v>
      </c>
      <c r="AL69" s="96">
        <v>6.9665653597069462E-4</v>
      </c>
      <c r="AM69" s="96">
        <v>3.2966017863357718E-3</v>
      </c>
      <c r="AN69" s="96">
        <v>0</v>
      </c>
      <c r="AO69" s="96">
        <v>8.4514872247906589E-3</v>
      </c>
      <c r="AP69" s="96">
        <v>0.24991589363543087</v>
      </c>
      <c r="AQ69" s="96">
        <v>1.1012445458934955E-3</v>
      </c>
      <c r="AR69" s="96">
        <v>2.5923769223578572E-2</v>
      </c>
      <c r="AS69" s="96">
        <v>6.0088117660791342E-2</v>
      </c>
      <c r="AT69" s="96">
        <v>0.45653056495658395</v>
      </c>
      <c r="AU69" s="96">
        <v>0.18951782103437989</v>
      </c>
      <c r="AV69" s="96">
        <v>8.4514872247906589E-3</v>
      </c>
      <c r="AW69" s="96">
        <v>0</v>
      </c>
      <c r="AX69" s="554">
        <f>BA69*$B69/10^3</f>
        <v>3.3752516388966165</v>
      </c>
      <c r="AY69" s="554">
        <f t="shared" si="660"/>
        <v>1.1799319129307204</v>
      </c>
      <c r="AZ69" s="554">
        <f t="shared" si="660"/>
        <v>2.1953197259658963</v>
      </c>
      <c r="BA69" s="67">
        <f t="shared" si="661"/>
        <v>99.859515943686887</v>
      </c>
      <c r="BB69" s="67">
        <f t="shared" si="662"/>
        <v>34.909228193216585</v>
      </c>
      <c r="BC69" s="67">
        <f t="shared" si="662"/>
        <v>64.950287750470309</v>
      </c>
      <c r="BD69" s="67">
        <f t="shared" si="663"/>
        <v>133.52361650808342</v>
      </c>
      <c r="BE69" s="105">
        <v>43.972905146826449</v>
      </c>
      <c r="BF69" s="105">
        <v>89.550711361256958</v>
      </c>
      <c r="BG69" s="68">
        <f t="shared" si="664"/>
        <v>61.508008971589597</v>
      </c>
      <c r="BH69" s="106">
        <v>24.583520271382547</v>
      </c>
      <c r="BI69" s="106">
        <v>36.92448870020705</v>
      </c>
      <c r="BJ69" s="554">
        <f>BM69*$B69/10^3</f>
        <v>1.6866753944744226</v>
      </c>
      <c r="BK69" s="554">
        <f t="shared" si="665"/>
        <v>4.0185600000000002E-2</v>
      </c>
      <c r="BL69" s="554">
        <f t="shared" si="666"/>
        <v>1.6464897944744226</v>
      </c>
      <c r="BM69" s="32">
        <f t="shared" si="667"/>
        <v>49.901638889775818</v>
      </c>
      <c r="BN69" s="32">
        <f t="shared" si="668"/>
        <v>1.188923076923077</v>
      </c>
      <c r="BO69" s="67">
        <f t="shared" si="668"/>
        <v>48.712715812852743</v>
      </c>
      <c r="BP69" s="270"/>
      <c r="BQ69" s="67">
        <f t="shared" si="669"/>
        <v>67.987721020942715</v>
      </c>
      <c r="BR69" s="32">
        <f>I69*0.5*2.5*0.5</f>
        <v>0.82468749999999991</v>
      </c>
      <c r="BS69" s="67">
        <f>(1-BU69)*BF69</f>
        <v>67.163033520942719</v>
      </c>
      <c r="BT69" s="67"/>
      <c r="BU69" s="34">
        <f t="shared" si="670"/>
        <v>0.25</v>
      </c>
      <c r="BV69" s="68">
        <f t="shared" si="671"/>
        <v>29.297241525155286</v>
      </c>
      <c r="BW69" s="32">
        <f>K69*0.5*2.5*0.5</f>
        <v>1.6038749999999999</v>
      </c>
      <c r="BX69" s="67">
        <f>(1-BZ69)*BI69</f>
        <v>27.693366525155287</v>
      </c>
      <c r="BY69" s="67"/>
      <c r="BZ69" s="34">
        <f t="shared" si="672"/>
        <v>0.25</v>
      </c>
      <c r="CA69" s="294"/>
      <c r="CB69" s="294"/>
      <c r="CC69" s="294"/>
      <c r="CD69" s="67">
        <f t="shared" si="631"/>
        <v>49.957877053911069</v>
      </c>
      <c r="CE69" s="67">
        <f t="shared" si="631"/>
        <v>33.72030511629351</v>
      </c>
      <c r="CF69" s="67">
        <f t="shared" si="631"/>
        <v>16.237571937617567</v>
      </c>
      <c r="CG69" s="67">
        <f t="shared" si="632"/>
        <v>65.535895487140706</v>
      </c>
      <c r="CH69" s="67">
        <f t="shared" si="632"/>
        <v>43.148217646826446</v>
      </c>
      <c r="CI69" s="67">
        <f t="shared" si="632"/>
        <v>22.38767784031424</v>
      </c>
      <c r="CJ69" s="67">
        <f t="shared" si="633"/>
        <v>32.210767446434311</v>
      </c>
      <c r="CK69" s="67">
        <f t="shared" si="633"/>
        <v>22.979645271382548</v>
      </c>
      <c r="CL69" s="67">
        <f t="shared" si="633"/>
        <v>9.2311221750517625</v>
      </c>
      <c r="CM69" s="68"/>
      <c r="CN69" s="293"/>
      <c r="CO69" s="293"/>
      <c r="CS69" s="32">
        <f t="shared" si="673"/>
        <v>4.495443786982249</v>
      </c>
      <c r="CT69" s="33">
        <v>6.01</v>
      </c>
      <c r="CU69" s="99">
        <v>2.77</v>
      </c>
      <c r="CY69" s="97">
        <f>CZ69*$HB69</f>
        <v>0.79578180518529562</v>
      </c>
      <c r="CZ69" s="263">
        <f>(BA69-BM69-EN69*CF69)/'Amortization metrics'!$D$4/G69</f>
        <v>0.87448550020362159</v>
      </c>
      <c r="DA69" s="97"/>
      <c r="DB69" s="97"/>
      <c r="DC69" s="97">
        <f>DD69*$HB69</f>
        <v>1.5043078093021456</v>
      </c>
      <c r="DD69" s="263">
        <f>(BD69-BQ69-EQ69*CI69)/'Amortization metrics'!$D$4/I69</f>
        <v>1.6530855047276325</v>
      </c>
      <c r="DE69" s="97"/>
      <c r="DF69" s="97"/>
      <c r="DG69" s="97">
        <f>DH69*$HB69</f>
        <v>0.38053461364422836</v>
      </c>
      <c r="DH69" s="263">
        <f>(BG69-BV69-EX69*CL69)/'Amortization metrics'!$D$4/K69</f>
        <v>0.41816990510354762</v>
      </c>
      <c r="DI69" s="97"/>
      <c r="DJ69" s="97"/>
      <c r="DK69" s="97">
        <f>DL69*$HB69</f>
        <v>1.0798916310748012</v>
      </c>
      <c r="DL69" s="263">
        <f>$EF$11*DX69</f>
        <v>1.1866941000821991</v>
      </c>
      <c r="DM69" s="97"/>
      <c r="DN69" s="97"/>
      <c r="DO69" s="97">
        <f>DP69*$HB69</f>
        <v>2.0813562474426219</v>
      </c>
      <c r="DP69" s="263">
        <f>$EF$11*EA69</f>
        <v>2.2872046675193647</v>
      </c>
      <c r="DQ69" s="97"/>
      <c r="DR69" s="97"/>
      <c r="DS69" s="97">
        <f>DT69*$HB69</f>
        <v>0.49325399557789568</v>
      </c>
      <c r="DT69" s="263">
        <f>$EF$11*ED69</f>
        <v>0.54203735777790729</v>
      </c>
      <c r="DU69" s="97"/>
      <c r="DV69" s="97"/>
      <c r="DW69" s="97">
        <f>DX69*$HB69</f>
        <v>2.1505038496376816</v>
      </c>
      <c r="DX69" s="263">
        <f>CS69/G69</f>
        <v>2.3631910435578916</v>
      </c>
      <c r="DY69" s="60"/>
      <c r="DZ69" s="97">
        <f>EA69*$HB69</f>
        <v>4.1448275862068966</v>
      </c>
      <c r="EA69" s="263">
        <f>CT69/I69</f>
        <v>4.554755589238348</v>
      </c>
      <c r="EB69" s="60"/>
      <c r="EC69" s="97">
        <f>ED69*$HB69</f>
        <v>0.98226950354609932</v>
      </c>
      <c r="ED69" s="263">
        <f>CU69/K69</f>
        <v>1.0794170368638454</v>
      </c>
      <c r="EE69" s="60"/>
      <c r="EF69" s="60"/>
      <c r="EG69" s="60"/>
      <c r="EH69" s="60"/>
      <c r="EI69" s="554">
        <f>EK69*$P69</f>
        <v>5.9588247600000006</v>
      </c>
      <c r="EJ69" s="262">
        <f>EK69*$HB69</f>
        <v>8.4335721807065236E-2</v>
      </c>
      <c r="EK69" s="166">
        <f>(EP69*S69+EW69*U69)/P69</f>
        <v>9.2676617370401351E-2</v>
      </c>
      <c r="EL69" s="97"/>
      <c r="EM69" s="97"/>
      <c r="EN69" s="429">
        <f>(EQ69*C69+EX69*D69)/B69</f>
        <v>3.2313609467455626E-3</v>
      </c>
      <c r="EO69" s="262">
        <f>EP69*$HB69</f>
        <v>0.16555531034482762</v>
      </c>
      <c r="EP69" s="436">
        <f>EQ69*EU69/I69</f>
        <v>0.18192891246684353</v>
      </c>
      <c r="EQ69" s="101">
        <v>4.4000000000000003E-3</v>
      </c>
      <c r="ER69" s="433">
        <v>1</v>
      </c>
      <c r="ES69" s="433">
        <v>0</v>
      </c>
      <c r="ET69" s="434">
        <f>1-ER69-ES69</f>
        <v>0</v>
      </c>
      <c r="EU69" s="430">
        <f>ER69*$FC69+ES69*$FD69+ET69*$FE69+'Amortization metrics'!$B$6*(ER69*$FF69+ES69*$FG69+ET69*$FH69)/10^3+'Amortization metrics'!$B$5*(ER69*$FI69+ES69*$FJ69+ET69*$FK69)/10^3</f>
        <v>54.558</v>
      </c>
      <c r="EV69" s="262">
        <f>EW69*$HB69</f>
        <v>3.6758936170212766E-2</v>
      </c>
      <c r="EW69" s="436">
        <f>EX69*FB69/K69</f>
        <v>4.0394435351882162E-2</v>
      </c>
      <c r="EX69" s="101">
        <v>1.9E-3</v>
      </c>
      <c r="EY69" s="433">
        <v>1</v>
      </c>
      <c r="EZ69" s="433">
        <v>0</v>
      </c>
      <c r="FA69" s="434">
        <f t="shared" si="674"/>
        <v>0</v>
      </c>
      <c r="FB69" s="430">
        <f>EY69*$FC69+EZ69*$FD69+FA69*$FE69+'Amortization metrics'!$B$6*(EY69*$FF69+EZ69*$FG69+FA69*$FH69)/10^3+'Amortization metrics'!$B$5*(EY69*$FI69+EZ69*$FJ69+FA69*$FK69)/10^3</f>
        <v>54.558</v>
      </c>
      <c r="FC69" s="431">
        <v>51.3</v>
      </c>
      <c r="FD69" s="431">
        <v>29</v>
      </c>
      <c r="FE69" s="431">
        <v>29</v>
      </c>
      <c r="FF69" s="99">
        <v>5</v>
      </c>
      <c r="FG69" s="431">
        <v>13</v>
      </c>
      <c r="FH69" s="431">
        <v>13</v>
      </c>
      <c r="FI69" s="431">
        <v>52</v>
      </c>
      <c r="FJ69" s="431">
        <v>58.3</v>
      </c>
      <c r="FK69" s="431">
        <v>58.3</v>
      </c>
      <c r="FL69" s="554">
        <f>FO69+FP69+FM69+FN69+FQ69</f>
        <v>79.390409292656628</v>
      </c>
      <c r="FM69" s="554">
        <f>GC69*$P69</f>
        <v>30.47257222828032</v>
      </c>
      <c r="FN69" s="554">
        <f>GE69*$P69</f>
        <v>4.6022594328575996</v>
      </c>
      <c r="FO69" s="554">
        <f>GG69*$P69</f>
        <v>19.0258846070784</v>
      </c>
      <c r="FP69" s="554">
        <f>GI69*$P69</f>
        <v>25.289693024440314</v>
      </c>
      <c r="FQ69" s="554"/>
      <c r="FR69" s="167">
        <f>FS69*HB69</f>
        <v>1.1236187909400002</v>
      </c>
      <c r="FS69" s="166">
        <f>FY69+FW69+GA69</f>
        <v>1.2347459241098901</v>
      </c>
      <c r="FT69" s="97"/>
      <c r="FU69" s="97"/>
      <c r="FV69" s="473">
        <f>FW69*HB69</f>
        <v>0.49641688832000003</v>
      </c>
      <c r="FW69" s="269">
        <f>GC69+GE69</f>
        <v>0.54551306408791211</v>
      </c>
      <c r="FX69" s="473">
        <f>FY69*HB69</f>
        <v>0.62720190261999997</v>
      </c>
      <c r="FY69" s="269">
        <f>GG69+GI69</f>
        <v>0.68923286002197792</v>
      </c>
      <c r="FZ69" s="49"/>
      <c r="GA69" s="49"/>
      <c r="GB69" s="435">
        <v>0.43128074372000003</v>
      </c>
      <c r="GC69" s="522">
        <f>GB69/$HB69</f>
        <v>0.47393488320879124</v>
      </c>
      <c r="GD69" s="435">
        <v>6.5136144600000001E-2</v>
      </c>
      <c r="GE69" s="522">
        <f>GD69/$HB69</f>
        <v>7.1578180879120878E-2</v>
      </c>
      <c r="GF69" s="435">
        <v>0.26927486140000001</v>
      </c>
      <c r="GG69" s="522">
        <f>GF69/$HB69</f>
        <v>0.29590644109890107</v>
      </c>
      <c r="GH69" s="435">
        <v>0.35792704121999996</v>
      </c>
      <c r="GI69" s="522">
        <f>GH69/$HB69</f>
        <v>0.39332641892307685</v>
      </c>
      <c r="GJ69" s="610">
        <f>44/12*CZ69+$FS69+$EK69</f>
        <v>4.5338693755602364</v>
      </c>
      <c r="GK69" s="60"/>
      <c r="GL69" s="60"/>
      <c r="GM69" s="599">
        <f>44/12*DD69+$FS69+$EP69</f>
        <v>7.4779883539113863</v>
      </c>
      <c r="GP69" s="610">
        <f>44/12*DH69+$FS69+$EW69</f>
        <v>2.8084300115081136</v>
      </c>
      <c r="GS69" s="599">
        <f>44/12*DL69+$FS69+$EK69</f>
        <v>5.6786342417816877</v>
      </c>
      <c r="GV69" s="599">
        <f>44/12*DP69+$FS69+$EP69</f>
        <v>9.8030919508144052</v>
      </c>
      <c r="GY69" s="599">
        <f>44/12*DT69+$FS69+$EW69</f>
        <v>3.262610671314099</v>
      </c>
      <c r="HB69" s="31">
        <v>0.91</v>
      </c>
      <c r="HC69" s="32">
        <f t="shared" si="675"/>
        <v>18.928000000000001</v>
      </c>
      <c r="HD69" s="105">
        <v>20.8</v>
      </c>
      <c r="HE69" s="32"/>
      <c r="HF69" s="33"/>
      <c r="HG69" s="34">
        <f t="shared" ref="HG69" si="676">$HB69*HH69</f>
        <v>0.13650000000000001</v>
      </c>
      <c r="HH69" s="31">
        <v>0.15</v>
      </c>
      <c r="HI69" s="34">
        <f>$HB69*HJ69</f>
        <v>0.10920000000000001</v>
      </c>
      <c r="HJ69" s="42">
        <v>0.12</v>
      </c>
    </row>
    <row r="70" spans="1:218" s="4" customFormat="1" x14ac:dyDescent="0.25">
      <c r="A70" s="16"/>
      <c r="O70" s="60"/>
      <c r="W70" s="60"/>
      <c r="X70" s="60"/>
      <c r="Y70" s="60"/>
      <c r="Z70" s="60"/>
      <c r="AA70" s="60"/>
      <c r="AB70" s="60"/>
      <c r="AC70" s="60"/>
      <c r="AD70" s="60"/>
      <c r="AE70" s="60"/>
      <c r="AF70" s="60"/>
      <c r="AG70" s="60"/>
      <c r="AH70" s="60"/>
      <c r="AI70" s="60"/>
      <c r="AJ70" s="60"/>
      <c r="AK70" s="60"/>
      <c r="AL70" s="60"/>
      <c r="AM70" s="60"/>
      <c r="AN70" s="60"/>
      <c r="AO70" s="60"/>
      <c r="AP70" s="60"/>
      <c r="AQ70" s="60"/>
      <c r="AR70" s="60"/>
      <c r="AS70" s="60"/>
      <c r="AT70" s="60"/>
      <c r="AU70" s="60"/>
      <c r="AV70" s="60"/>
      <c r="AW70" s="60"/>
      <c r="AX70" s="60"/>
      <c r="AY70" s="60"/>
      <c r="AZ70" s="60"/>
      <c r="BG70" s="60"/>
      <c r="BH70" s="98"/>
      <c r="BI70" s="98"/>
      <c r="BJ70" s="60"/>
      <c r="BK70" s="60"/>
      <c r="BL70" s="60"/>
      <c r="BM70" s="32"/>
      <c r="BN70" s="32"/>
      <c r="BO70" s="67"/>
      <c r="BP70" s="270"/>
      <c r="BV70" s="60"/>
      <c r="CA70" s="60"/>
      <c r="CB70" s="60"/>
      <c r="CC70" s="60"/>
      <c r="CM70" s="60"/>
      <c r="CN70" s="60"/>
      <c r="CO70" s="60"/>
      <c r="CU70" s="99"/>
      <c r="CZ70" s="32"/>
      <c r="DA70" s="97"/>
      <c r="DB70" s="97"/>
      <c r="DC70" s="60"/>
      <c r="DD70" s="32"/>
      <c r="DE70" s="97"/>
      <c r="DF70" s="97"/>
      <c r="DG70" s="60"/>
      <c r="DH70" s="32"/>
      <c r="DI70" s="97"/>
      <c r="DJ70" s="97"/>
      <c r="DK70" s="60"/>
      <c r="DL70" s="32"/>
      <c r="DM70" s="97"/>
      <c r="DN70" s="97"/>
      <c r="DO70" s="60"/>
      <c r="DP70" s="32"/>
      <c r="DQ70" s="97"/>
      <c r="DR70" s="97"/>
      <c r="DS70" s="60"/>
      <c r="DT70" s="32"/>
      <c r="DU70" s="97"/>
      <c r="DV70" s="97"/>
      <c r="DW70" s="97"/>
      <c r="DZ70" s="60"/>
      <c r="EB70" s="60"/>
      <c r="EF70" s="60"/>
      <c r="EG70" s="60"/>
      <c r="EH70" s="60"/>
      <c r="EI70" s="97"/>
      <c r="EJ70" s="49"/>
      <c r="EK70" s="60"/>
      <c r="EL70" s="97"/>
      <c r="EM70" s="97"/>
      <c r="EN70" s="60"/>
      <c r="EO70" s="49"/>
      <c r="EP70" s="60"/>
      <c r="EQ70" s="60"/>
      <c r="ER70" s="60"/>
      <c r="ES70" s="60"/>
      <c r="ET70" s="60"/>
      <c r="EU70" s="60"/>
      <c r="EV70" s="49"/>
      <c r="EW70" s="60"/>
      <c r="EX70" s="100"/>
      <c r="EY70" s="100"/>
      <c r="EZ70" s="100"/>
      <c r="FA70" s="100"/>
      <c r="FB70" s="100"/>
      <c r="FC70" s="97"/>
      <c r="FD70" s="97"/>
      <c r="FE70" s="97"/>
      <c r="FF70" s="97"/>
      <c r="FG70" s="97"/>
      <c r="FH70" s="97"/>
      <c r="FI70" s="97"/>
      <c r="FJ70" s="97"/>
      <c r="FK70" s="97"/>
      <c r="FL70" s="97"/>
      <c r="FM70" s="97"/>
      <c r="FN70" s="97"/>
      <c r="FO70" s="97"/>
      <c r="FP70" s="97"/>
      <c r="FQ70" s="97"/>
      <c r="FR70" s="457"/>
      <c r="FT70" s="97"/>
      <c r="FU70" s="97"/>
      <c r="FV70" s="49"/>
      <c r="FW70" s="49"/>
      <c r="FX70" s="49"/>
      <c r="FY70" s="49"/>
      <c r="FZ70" s="49"/>
      <c r="GA70" s="49"/>
      <c r="GJ70" s="60"/>
      <c r="GK70" s="60"/>
      <c r="GL70" s="60"/>
    </row>
    <row r="71" spans="1:218" s="4" customFormat="1" x14ac:dyDescent="0.25">
      <c r="A71" s="14"/>
      <c r="I71" s="14"/>
      <c r="O71" s="60"/>
      <c r="W71" s="60"/>
      <c r="X71" s="60"/>
      <c r="Y71" s="60"/>
      <c r="Z71" s="60"/>
      <c r="AA71" s="60"/>
      <c r="AB71" s="60"/>
      <c r="AC71" s="60"/>
      <c r="AD71" s="60"/>
      <c r="AE71" s="60"/>
      <c r="AF71" s="60"/>
      <c r="AG71" s="60"/>
      <c r="AH71" s="60"/>
      <c r="AI71" s="60"/>
      <c r="AJ71" s="60"/>
      <c r="AK71" s="60"/>
      <c r="AL71" s="60"/>
      <c r="AM71" s="60"/>
      <c r="AN71" s="60"/>
      <c r="AO71" s="60"/>
      <c r="AP71" s="60"/>
      <c r="AQ71" s="60"/>
      <c r="AR71" s="60"/>
      <c r="AS71" s="60"/>
      <c r="AT71" s="60"/>
      <c r="AU71" s="60"/>
      <c r="AV71" s="60"/>
      <c r="AW71" s="60"/>
      <c r="AX71" s="60"/>
      <c r="AY71" s="60"/>
      <c r="AZ71" s="60"/>
      <c r="BG71" s="60"/>
      <c r="BH71" s="98"/>
      <c r="BI71" s="98"/>
      <c r="BJ71" s="60"/>
      <c r="BK71" s="60"/>
      <c r="BL71" s="60"/>
      <c r="BM71" s="32"/>
      <c r="BN71" s="32"/>
      <c r="BO71" s="67"/>
      <c r="BP71" s="270"/>
      <c r="BV71" s="60"/>
      <c r="CA71" s="60"/>
      <c r="CB71" s="60"/>
      <c r="CC71" s="60"/>
      <c r="CM71" s="60"/>
      <c r="CN71" s="60"/>
      <c r="CO71" s="60"/>
      <c r="CU71" s="99"/>
      <c r="CZ71" s="32"/>
      <c r="DA71" s="97"/>
      <c r="DB71" s="97"/>
      <c r="DC71" s="60"/>
      <c r="DD71" s="32"/>
      <c r="DE71" s="97"/>
      <c r="DF71" s="97"/>
      <c r="DG71" s="60"/>
      <c r="DH71" s="32"/>
      <c r="DI71" s="97"/>
      <c r="DJ71" s="97"/>
      <c r="DK71" s="60"/>
      <c r="DL71" s="32"/>
      <c r="DM71" s="97"/>
      <c r="DN71" s="97"/>
      <c r="DO71" s="60"/>
      <c r="DP71" s="32"/>
      <c r="DQ71" s="97"/>
      <c r="DR71" s="97"/>
      <c r="DS71" s="60"/>
      <c r="DT71" s="32"/>
      <c r="DU71" s="97"/>
      <c r="DV71" s="97"/>
      <c r="DW71" s="97"/>
      <c r="DZ71" s="60"/>
      <c r="EB71" s="60"/>
      <c r="EF71" s="60"/>
      <c r="EG71" s="60"/>
      <c r="EH71" s="60"/>
      <c r="EI71" s="97"/>
      <c r="EJ71" s="49"/>
      <c r="EK71" s="60"/>
      <c r="EL71" s="97"/>
      <c r="EM71" s="97"/>
      <c r="EN71" s="60"/>
      <c r="EO71" s="49"/>
      <c r="EP71" s="60"/>
      <c r="EQ71" s="60"/>
      <c r="ER71" s="60"/>
      <c r="ES71" s="60"/>
      <c r="ET71" s="60"/>
      <c r="EU71" s="60"/>
      <c r="EV71" s="49"/>
      <c r="EW71" s="60"/>
      <c r="EX71" s="100"/>
      <c r="EY71" s="100"/>
      <c r="EZ71" s="100"/>
      <c r="FA71" s="100"/>
      <c r="FB71" s="100"/>
      <c r="FC71" s="97"/>
      <c r="FD71" s="97"/>
      <c r="FE71" s="97"/>
      <c r="FF71" s="97"/>
      <c r="FG71" s="97"/>
      <c r="FH71" s="97"/>
      <c r="FI71" s="97"/>
      <c r="FJ71" s="97"/>
      <c r="FK71" s="97"/>
      <c r="FL71" s="97"/>
      <c r="FM71" s="97"/>
      <c r="FN71" s="97"/>
      <c r="FO71" s="97"/>
      <c r="FP71" s="97"/>
      <c r="FQ71" s="97"/>
      <c r="FR71" s="457"/>
      <c r="FT71" s="97"/>
      <c r="FU71" s="97"/>
      <c r="FV71" s="49"/>
      <c r="FW71" s="49"/>
      <c r="FX71" s="49"/>
      <c r="FY71" s="49"/>
      <c r="FZ71" s="49"/>
      <c r="GA71" s="49"/>
      <c r="GJ71" s="60"/>
      <c r="GK71" s="60"/>
      <c r="GL71" s="60"/>
    </row>
    <row r="72" spans="1:218" s="4" customFormat="1" ht="14.4" x14ac:dyDescent="0.3">
      <c r="A72" s="13" t="s">
        <v>481</v>
      </c>
      <c r="C72" s="152"/>
      <c r="D72" s="49"/>
      <c r="E72" s="49"/>
      <c r="F72" s="49"/>
      <c r="H72" s="49"/>
      <c r="W72" s="60"/>
      <c r="X72" s="60"/>
      <c r="Y72" s="60"/>
      <c r="Z72" s="60"/>
      <c r="AA72" s="60"/>
      <c r="AB72" s="60"/>
      <c r="AC72" s="60"/>
      <c r="AD72" s="60"/>
      <c r="AE72" s="60"/>
      <c r="AF72" s="60"/>
      <c r="AG72" s="60"/>
      <c r="AH72" s="60"/>
      <c r="AI72" s="60"/>
      <c r="AJ72" s="60"/>
      <c r="AK72" s="60"/>
      <c r="AL72" s="60"/>
      <c r="AM72" s="60"/>
      <c r="AN72" s="60"/>
      <c r="AO72" s="60"/>
      <c r="AP72" s="60"/>
      <c r="AQ72" s="60"/>
      <c r="AR72" s="60"/>
      <c r="AS72" s="60"/>
      <c r="AT72" s="60"/>
      <c r="AU72" s="60"/>
      <c r="AV72" s="60"/>
      <c r="AW72" s="60"/>
      <c r="AX72" s="60"/>
      <c r="AY72" s="60"/>
      <c r="AZ72" s="60"/>
      <c r="BG72" s="60"/>
      <c r="BH72" s="98"/>
      <c r="BI72" s="98"/>
      <c r="BJ72" s="60"/>
      <c r="BK72" s="60"/>
      <c r="BL72" s="60"/>
      <c r="BM72" s="32"/>
      <c r="BN72" s="32"/>
      <c r="BO72" s="67"/>
      <c r="BP72" s="270"/>
      <c r="BV72" s="60"/>
      <c r="CA72" s="60"/>
      <c r="CB72" s="60"/>
      <c r="CC72" s="60"/>
      <c r="CM72" s="60"/>
      <c r="CN72" s="60"/>
      <c r="CO72" s="60"/>
      <c r="CU72" s="99"/>
      <c r="CZ72" s="32"/>
      <c r="DA72" s="97"/>
      <c r="DB72" s="97"/>
      <c r="DC72" s="60"/>
      <c r="DD72" s="32"/>
      <c r="DE72" s="97"/>
      <c r="DF72" s="97"/>
      <c r="DG72" s="60"/>
      <c r="DH72" s="32"/>
      <c r="DI72" s="97"/>
      <c r="DJ72" s="97"/>
      <c r="DK72" s="60"/>
      <c r="DL72" s="32"/>
      <c r="DM72" s="97"/>
      <c r="DN72" s="97"/>
      <c r="DO72" s="60"/>
      <c r="DP72" s="32"/>
      <c r="DQ72" s="97"/>
      <c r="DR72" s="97"/>
      <c r="DS72" s="60"/>
      <c r="DT72" s="32"/>
      <c r="DU72" s="97"/>
      <c r="DV72" s="97"/>
      <c r="DW72" s="97"/>
      <c r="DZ72" s="60"/>
      <c r="EB72" s="60"/>
      <c r="EF72" s="60"/>
      <c r="EG72" s="60"/>
      <c r="EH72" s="60"/>
      <c r="EI72" s="97"/>
      <c r="EJ72" s="49"/>
      <c r="EK72" s="60"/>
      <c r="EL72" s="97"/>
      <c r="EM72" s="97"/>
      <c r="EN72" s="60"/>
      <c r="EO72" s="49"/>
      <c r="EP72" s="60"/>
      <c r="EQ72" s="60"/>
      <c r="ER72" s="60"/>
      <c r="ES72" s="60"/>
      <c r="ET72" s="60"/>
      <c r="EU72" s="60"/>
      <c r="EV72" s="49"/>
      <c r="EW72" s="60"/>
      <c r="EX72" s="100"/>
      <c r="EY72" s="100"/>
      <c r="EZ72" s="100"/>
      <c r="FA72" s="100"/>
      <c r="FB72" s="100"/>
      <c r="FC72" s="97"/>
      <c r="FD72" s="97"/>
      <c r="FE72" s="97"/>
      <c r="FF72" s="97"/>
      <c r="FG72" s="97"/>
      <c r="FH72" s="97"/>
      <c r="FI72" s="97"/>
      <c r="FJ72" s="97"/>
      <c r="FK72" s="97"/>
      <c r="FL72" s="97"/>
      <c r="FM72" s="97"/>
      <c r="FN72" s="97"/>
      <c r="FO72" s="97"/>
      <c r="FP72" s="97"/>
      <c r="FQ72" s="97"/>
      <c r="FR72" s="169"/>
      <c r="FT72" s="97"/>
      <c r="FU72" s="97"/>
      <c r="FV72" s="49"/>
      <c r="FW72" s="49"/>
      <c r="FX72" s="49"/>
      <c r="FY72" s="49"/>
      <c r="FZ72" s="49"/>
      <c r="GA72" s="49"/>
      <c r="GJ72" s="60"/>
      <c r="GK72" s="60"/>
      <c r="GL72" s="60"/>
    </row>
    <row r="73" spans="1:218" s="4" customFormat="1" x14ac:dyDescent="0.25">
      <c r="A73" s="16" t="s">
        <v>484</v>
      </c>
      <c r="B73" s="67">
        <f>B75</f>
        <v>2831.6804765413799</v>
      </c>
      <c r="C73" s="67"/>
      <c r="I73" s="67">
        <f>I75</f>
        <v>0.80600000000000005</v>
      </c>
      <c r="L73" s="264"/>
      <c r="M73" s="264"/>
      <c r="N73" s="264"/>
      <c r="O73" s="60"/>
      <c r="S73" s="67">
        <f>S75</f>
        <v>2282.3344640923524</v>
      </c>
      <c r="AX73" s="471">
        <f>AX75</f>
        <v>337.13928232858399</v>
      </c>
      <c r="AY73" s="107">
        <f t="shared" ref="AY73:AZ73" si="677">AY75</f>
        <v>109.16622136428504</v>
      </c>
      <c r="AZ73" s="107">
        <f t="shared" si="677"/>
        <v>227.97306096429895</v>
      </c>
      <c r="BG73" s="60"/>
      <c r="BH73" s="98"/>
      <c r="BI73" s="98"/>
      <c r="BJ73" s="471">
        <f>BJ75</f>
        <v>212.01827098687664</v>
      </c>
      <c r="BK73" s="107">
        <f t="shared" ref="BK73:BL73" si="678">BK75</f>
        <v>6.842516119007529</v>
      </c>
      <c r="BL73" s="107">
        <f t="shared" si="678"/>
        <v>205.1757548678691</v>
      </c>
      <c r="BM73" s="32"/>
      <c r="BN73" s="32"/>
      <c r="BO73" s="67"/>
      <c r="BP73" s="270"/>
      <c r="BV73" s="60"/>
      <c r="CA73" s="585">
        <f>AX73-BJ73</f>
        <v>125.12101134170734</v>
      </c>
      <c r="CB73" s="586">
        <f t="shared" ref="CB73:CC73" si="679">AY73-BK73</f>
        <v>102.32370524527751</v>
      </c>
      <c r="CC73" s="586">
        <f t="shared" si="679"/>
        <v>22.79730609642985</v>
      </c>
      <c r="CM73" s="60"/>
      <c r="CN73" s="60"/>
      <c r="CO73" s="60"/>
      <c r="CU73" s="99"/>
      <c r="DC73" s="60"/>
      <c r="DD73" s="32"/>
      <c r="DE73" s="97"/>
      <c r="DF73" s="97"/>
      <c r="DG73" s="97"/>
      <c r="DH73" s="97"/>
      <c r="DI73" s="97"/>
      <c r="DJ73" s="97"/>
      <c r="DO73" s="60"/>
      <c r="DP73" s="32"/>
      <c r="DQ73" s="97"/>
      <c r="DR73" s="97"/>
      <c r="DS73" s="97"/>
      <c r="DT73" s="97"/>
      <c r="DU73" s="97"/>
      <c r="DV73" s="97"/>
      <c r="DW73" s="97"/>
      <c r="DZ73" s="60"/>
      <c r="EB73" s="60"/>
      <c r="EF73" s="60"/>
      <c r="EG73" s="60"/>
      <c r="EH73" s="60"/>
      <c r="EI73" s="97"/>
      <c r="EJ73" s="49"/>
      <c r="EK73" s="60"/>
      <c r="EL73" s="97"/>
      <c r="EM73" s="97"/>
      <c r="EN73" s="60"/>
      <c r="EO73" s="49"/>
      <c r="EP73" s="60"/>
      <c r="EQ73" s="60"/>
      <c r="ER73" s="60"/>
      <c r="ES73" s="60"/>
      <c r="ET73" s="60"/>
      <c r="EU73" s="60"/>
      <c r="EV73" s="49"/>
      <c r="EW73" s="60"/>
      <c r="EX73" s="100"/>
      <c r="EY73" s="100"/>
      <c r="EZ73" s="100"/>
      <c r="FA73" s="100"/>
      <c r="FB73" s="100"/>
      <c r="FC73" s="97"/>
      <c r="FD73" s="97"/>
      <c r="FE73" s="97"/>
      <c r="FF73" s="97"/>
      <c r="FG73" s="97"/>
      <c r="FH73" s="97"/>
      <c r="FI73" s="97"/>
      <c r="FJ73" s="97"/>
      <c r="FK73" s="97"/>
      <c r="FL73" s="97"/>
      <c r="FM73" s="97"/>
      <c r="FN73" s="97"/>
      <c r="FO73" s="97"/>
      <c r="FP73" s="97"/>
      <c r="FQ73" s="97"/>
      <c r="FR73" s="169"/>
      <c r="FT73" s="97"/>
      <c r="FU73" s="97"/>
      <c r="FV73" s="49"/>
      <c r="FW73" s="49"/>
      <c r="FX73" s="49"/>
      <c r="FY73" s="49"/>
      <c r="FZ73" s="49"/>
      <c r="GA73" s="49"/>
      <c r="GJ73" s="60"/>
      <c r="GK73" s="60"/>
      <c r="GL73" s="60"/>
    </row>
    <row r="74" spans="1:218" s="4" customFormat="1" x14ac:dyDescent="0.25">
      <c r="A74" s="16"/>
      <c r="B74" s="67"/>
      <c r="C74" s="67"/>
      <c r="I74" s="264"/>
      <c r="L74" s="264"/>
      <c r="M74" s="264"/>
      <c r="N74" s="264"/>
      <c r="O74" s="60"/>
      <c r="AX74" s="60"/>
      <c r="AY74" s="60"/>
      <c r="AZ74" s="60"/>
      <c r="BG74" s="60"/>
      <c r="BH74" s="98"/>
      <c r="BI74" s="98"/>
      <c r="BJ74" s="60"/>
      <c r="BK74" s="60"/>
      <c r="BL74" s="60"/>
      <c r="BM74" s="32"/>
      <c r="BN74" s="32"/>
      <c r="BO74" s="67"/>
      <c r="BP74" s="270"/>
      <c r="BV74" s="60"/>
      <c r="CA74" s="60"/>
      <c r="CB74" s="60"/>
      <c r="CC74" s="60"/>
      <c r="CM74" s="60"/>
      <c r="CN74" s="60"/>
      <c r="CO74" s="60"/>
      <c r="CU74" s="99"/>
      <c r="DC74" s="60"/>
      <c r="DD74" s="32"/>
      <c r="DE74" s="97"/>
      <c r="DF74" s="97"/>
      <c r="DG74" s="97"/>
      <c r="DH74" s="97"/>
      <c r="DI74" s="97"/>
      <c r="DJ74" s="97"/>
      <c r="DO74" s="60"/>
      <c r="DP74" s="32"/>
      <c r="DQ74" s="97"/>
      <c r="DR74" s="97"/>
      <c r="DS74" s="97"/>
      <c r="DT74" s="97"/>
      <c r="DU74" s="97"/>
      <c r="DV74" s="97"/>
      <c r="DW74" s="97"/>
      <c r="DZ74" s="60"/>
      <c r="EB74" s="60"/>
      <c r="EF74" s="60"/>
      <c r="EG74" s="60"/>
      <c r="EH74" s="60"/>
      <c r="EI74" s="97"/>
      <c r="EJ74" s="49"/>
      <c r="EK74" s="60"/>
      <c r="EL74" s="97"/>
      <c r="EM74" s="97"/>
      <c r="EN74" s="60"/>
      <c r="EO74" s="49"/>
      <c r="EP74" s="60"/>
      <c r="EQ74" s="60"/>
      <c r="ER74" s="60"/>
      <c r="ES74" s="60"/>
      <c r="ET74" s="60"/>
      <c r="EU74" s="60"/>
      <c r="EV74" s="49"/>
      <c r="EW74" s="60"/>
      <c r="EX74" s="100"/>
      <c r="EY74" s="100"/>
      <c r="EZ74" s="100"/>
      <c r="FA74" s="100"/>
      <c r="FB74" s="100"/>
      <c r="FC74" s="97"/>
      <c r="FD74" s="97"/>
      <c r="FE74" s="97"/>
      <c r="FF74" s="97"/>
      <c r="FG74" s="97"/>
      <c r="FH74" s="97"/>
      <c r="FI74" s="97"/>
      <c r="FJ74" s="97"/>
      <c r="FK74" s="97"/>
      <c r="FL74" s="97"/>
      <c r="FM74" s="97"/>
      <c r="FN74" s="97"/>
      <c r="FO74" s="97"/>
      <c r="FP74" s="97"/>
      <c r="FQ74" s="97"/>
      <c r="FR74" s="169"/>
      <c r="FS74" s="547"/>
      <c r="FT74" s="97"/>
      <c r="FU74" s="97"/>
      <c r="FV74" s="49"/>
      <c r="FW74" s="49"/>
      <c r="FX74" s="49"/>
      <c r="FY74" s="49"/>
      <c r="FZ74" s="49"/>
      <c r="GA74" s="49"/>
      <c r="GB74" s="60"/>
      <c r="GC74" s="269"/>
      <c r="GD74" s="60"/>
      <c r="GE74" s="269"/>
      <c r="GG74" s="547"/>
      <c r="GH74" s="60"/>
      <c r="GI74" s="269"/>
      <c r="GJ74" s="60"/>
      <c r="GK74" s="60"/>
      <c r="GL74" s="60"/>
    </row>
    <row r="75" spans="1:218" s="4" customFormat="1" x14ac:dyDescent="0.25">
      <c r="A75" s="14" t="s">
        <v>482</v>
      </c>
      <c r="B75" s="67">
        <f t="shared" ref="B75:B79" si="680">C75+D75</f>
        <v>2831.6804765413799</v>
      </c>
      <c r="C75" s="68">
        <f>C76+C77+C78+C79</f>
        <v>2831.6804765413799</v>
      </c>
      <c r="D75" s="4">
        <v>0</v>
      </c>
      <c r="F75" s="32"/>
      <c r="I75" s="475">
        <v>0.80600000000000005</v>
      </c>
      <c r="L75" s="32">
        <f>M75</f>
        <v>12.406947890818858</v>
      </c>
      <c r="M75" s="32">
        <f>10/I75</f>
        <v>12.406947890818858</v>
      </c>
      <c r="N75" s="32"/>
      <c r="O75" s="60"/>
      <c r="P75" s="68">
        <f t="shared" ref="P75" si="681">S75+U75</f>
        <v>2282.3344640923524</v>
      </c>
      <c r="S75" s="4">
        <f>B75*I75</f>
        <v>2282.3344640923524</v>
      </c>
      <c r="W75" s="294"/>
      <c r="X75" s="294"/>
      <c r="Y75" s="294"/>
      <c r="Z75" s="294"/>
      <c r="AA75" s="294"/>
      <c r="AB75" s="294"/>
      <c r="AC75" s="294"/>
      <c r="AD75" s="294"/>
      <c r="AE75" s="294"/>
      <c r="AF75" s="45">
        <v>0.14535776602000564</v>
      </c>
      <c r="AG75" s="45">
        <v>0.10566051207957808</v>
      </c>
      <c r="AH75" s="45">
        <v>6.1944117052994657E-2</v>
      </c>
      <c r="AI75" s="45">
        <v>0.23705565299010725</v>
      </c>
      <c r="AJ75" s="45">
        <v>7.225053889052796E-2</v>
      </c>
      <c r="AK75" s="45">
        <v>0.36947552954828167</v>
      </c>
      <c r="AL75" s="60"/>
      <c r="AM75" s="45">
        <v>6.0764521513253997E-3</v>
      </c>
      <c r="AN75" s="45">
        <v>2.1794312671794738E-3</v>
      </c>
      <c r="AX75" s="554">
        <f>BA75*$B75/10^3</f>
        <v>337.13928232858399</v>
      </c>
      <c r="AY75" s="554">
        <f t="shared" ref="AY75:AZ79" si="682">BB75*$B75/10^3</f>
        <v>109.16622136428504</v>
      </c>
      <c r="AZ75" s="554">
        <f t="shared" si="682"/>
        <v>227.97306096429895</v>
      </c>
      <c r="BA75" s="67">
        <f>BD75</f>
        <v>119.05978980381522</v>
      </c>
      <c r="BB75" s="67">
        <f t="shared" ref="BB75:BC79" si="683">BE75</f>
        <v>38.55174419171081</v>
      </c>
      <c r="BC75" s="67">
        <f t="shared" si="683"/>
        <v>80.508045612104411</v>
      </c>
      <c r="BD75" s="68">
        <f>BE75+BF75</f>
        <v>119.05978980381522</v>
      </c>
      <c r="BE75" s="68">
        <f>(BE76*C76+BE77*C77+BE78*C78+BE79*C79)/C75</f>
        <v>38.55174419171081</v>
      </c>
      <c r="BF75" s="68">
        <f>(BF76*C76+BF77*C77+BF78*C78+BF79*C79)/C75</f>
        <v>80.508045612104411</v>
      </c>
      <c r="BG75" s="60"/>
      <c r="BH75" s="98"/>
      <c r="BI75" s="98"/>
      <c r="BJ75" s="554">
        <f>BM75*$B75/10^3</f>
        <v>212.01827098687664</v>
      </c>
      <c r="BK75" s="554">
        <f t="shared" ref="BK75:BK79" si="684">BN75*$B75/10^3</f>
        <v>6.842516119007529</v>
      </c>
      <c r="BL75" s="554">
        <f t="shared" ref="BL75:BL79" si="685">BO75*$B75/10^3</f>
        <v>205.1757548678691</v>
      </c>
      <c r="BM75" s="67">
        <f>BQ75</f>
        <v>74.873656382953271</v>
      </c>
      <c r="BN75" s="67">
        <f t="shared" ref="BN75:BO79" si="686">BR75</f>
        <v>2.4164153320592834</v>
      </c>
      <c r="BO75" s="67">
        <f t="shared" si="686"/>
        <v>72.457241050893984</v>
      </c>
      <c r="BP75" s="270"/>
      <c r="BQ75" s="68">
        <f>BR75+BS75</f>
        <v>74.873656382953271</v>
      </c>
      <c r="BR75" s="97">
        <f>(BR76*C76+BR77*C77+BR78*C78+BR79*C79)/C75</f>
        <v>2.4164153320592834</v>
      </c>
      <c r="BS75" s="68">
        <f>(BS76*C76+BS77*C77+BS78*C78+BS79*C79)/C75</f>
        <v>72.457241050893984</v>
      </c>
      <c r="BT75" s="38">
        <f>(BE75-BR75)/BE75</f>
        <v>0.9373202073544874</v>
      </c>
      <c r="BU75" s="38">
        <f>(BF75-BS75)/BF75</f>
        <v>9.9999999999999825E-2</v>
      </c>
      <c r="BV75" s="60"/>
      <c r="CA75" s="554">
        <f t="shared" ref="CA75:CA79" si="687">AX75-BJ75</f>
        <v>125.12101134170734</v>
      </c>
      <c r="CB75" s="554">
        <f t="shared" ref="CB75:CB79" si="688">AY75-BK75</f>
        <v>102.32370524527751</v>
      </c>
      <c r="CC75" s="554">
        <f t="shared" ref="CC75:CC79" si="689">AZ75-BL75</f>
        <v>22.79730609642985</v>
      </c>
      <c r="CG75" s="261">
        <f t="shared" ref="CG75:CI79" si="690">BD75-BQ75</f>
        <v>44.18613342086195</v>
      </c>
      <c r="CH75" s="107">
        <f t="shared" si="690"/>
        <v>36.13532885965153</v>
      </c>
      <c r="CI75" s="107">
        <f t="shared" si="690"/>
        <v>8.0508045612104269</v>
      </c>
      <c r="CJ75" s="68"/>
      <c r="CK75" s="68"/>
      <c r="CL75" s="68"/>
      <c r="CM75" s="98"/>
      <c r="CN75" s="96"/>
      <c r="CO75" s="96"/>
      <c r="CS75" s="32">
        <f>CT75</f>
        <v>4.4243615855863583</v>
      </c>
      <c r="CT75" s="263">
        <f>(CT76*C76+CT77*C77+CT78*C78+CT79*C79)/C75</f>
        <v>4.4243615855863583</v>
      </c>
      <c r="CU75" s="99"/>
      <c r="CV75" s="38">
        <f>CW75/CT75</f>
        <v>0.30708313196013565</v>
      </c>
      <c r="CW75" s="263">
        <f>(CW76*C76+CW77*C77+CW78*C78+CW79*C79)/C75</f>
        <v>1.3586468126259705</v>
      </c>
      <c r="CZ75" s="97">
        <f>DD75</f>
        <v>1.82462000591414</v>
      </c>
      <c r="DC75" s="97">
        <f>DD75*$HB75</f>
        <v>0.45615500147853499</v>
      </c>
      <c r="DD75" s="263">
        <f>(BD75-BQ75-EQ75*CI75)/'Amortization metrics'!$D$4/I75</f>
        <v>1.82462000591414</v>
      </c>
      <c r="DE75" s="97"/>
      <c r="DF75" s="97"/>
      <c r="DG75" s="97"/>
      <c r="DH75" s="97"/>
      <c r="DI75" s="97"/>
      <c r="DJ75" s="97"/>
      <c r="DL75" s="97">
        <f>DP75</f>
        <v>1.6737585670509614</v>
      </c>
      <c r="DO75" s="97">
        <f>DP75*$HB75</f>
        <v>0.41843964176274034</v>
      </c>
      <c r="DP75" s="263">
        <f>EG$12*EA75</f>
        <v>1.6737585670509614</v>
      </c>
      <c r="DQ75" s="97"/>
      <c r="DR75" s="97"/>
      <c r="DS75" s="97"/>
      <c r="DT75" s="97"/>
      <c r="DU75" s="97"/>
      <c r="DV75" s="97"/>
      <c r="DW75" s="97"/>
      <c r="DX75" s="32">
        <f>EA75</f>
        <v>3.8036163436233097</v>
      </c>
      <c r="DZ75" s="97">
        <f>EA75*$HB75</f>
        <v>0.95090408590582742</v>
      </c>
      <c r="EA75" s="263">
        <f>(CT75-CW75)/I75</f>
        <v>3.8036163436233097</v>
      </c>
      <c r="EB75" s="60"/>
      <c r="EF75" s="60"/>
      <c r="EG75" s="60"/>
      <c r="EH75" s="60"/>
      <c r="EI75" s="613">
        <f>EK75*$P75</f>
        <v>830.06080483917322</v>
      </c>
      <c r="EJ75" s="522">
        <f>EK75*$HB75</f>
        <v>9.0922344851116624E-2</v>
      </c>
      <c r="EK75" s="436">
        <f>(EP75*S75+EW75*U75)/P75</f>
        <v>0.3636893794044665</v>
      </c>
      <c r="EL75" s="68"/>
      <c r="EM75" s="97">
        <f>EK75/$HH75</f>
        <v>4.2786985812290173</v>
      </c>
      <c r="EN75" s="429">
        <f>(EQ75*C75+EX75*D75)/B75</f>
        <v>8.3000000000000001E-3</v>
      </c>
      <c r="EO75" s="522">
        <f>EP75*$HB75</f>
        <v>9.0922344851116624E-2</v>
      </c>
      <c r="EP75" s="436">
        <f>EQ75*EU75/I75</f>
        <v>0.3636893794044665</v>
      </c>
      <c r="EQ75" s="548">
        <v>8.3000000000000001E-3</v>
      </c>
      <c r="ER75" s="549">
        <v>0.73</v>
      </c>
      <c r="ES75" s="549">
        <v>0.27</v>
      </c>
      <c r="ET75" s="434">
        <f>1-ER75-ES75</f>
        <v>0</v>
      </c>
      <c r="EU75" s="430">
        <f>ER75*$FC75+ES75*$FD75+ET75*$FE75+'Amortization metrics'!$B$6*(ER75*$FF75+ES75*$FG75+ET75*$FH75)/10^3+'Amortization metrics'!$B$5*(ER75*$FI75+ES75*$FJ75+ET75*$FK75)/10^3</f>
        <v>35.317306000000002</v>
      </c>
      <c r="EV75" s="522"/>
      <c r="EW75" s="522"/>
      <c r="EX75" s="101"/>
      <c r="EY75" s="101"/>
      <c r="EZ75" s="101"/>
      <c r="FA75" s="101"/>
      <c r="FB75" s="101"/>
      <c r="FC75" s="431">
        <f>FC62</f>
        <v>35.200000000000003</v>
      </c>
      <c r="FD75" s="431">
        <f t="shared" ref="FD75:FK75" si="691">FD62</f>
        <v>22.4</v>
      </c>
      <c r="FE75" s="431">
        <f t="shared" si="691"/>
        <v>20.9</v>
      </c>
      <c r="FF75" s="431">
        <f t="shared" si="691"/>
        <v>5</v>
      </c>
      <c r="FG75" s="431">
        <f t="shared" si="691"/>
        <v>8.1999999999999993</v>
      </c>
      <c r="FH75" s="431">
        <f t="shared" si="691"/>
        <v>9.5</v>
      </c>
      <c r="FI75" s="431">
        <f t="shared" si="691"/>
        <v>52</v>
      </c>
      <c r="FJ75" s="431">
        <f t="shared" si="691"/>
        <v>58.3</v>
      </c>
      <c r="FK75" s="431">
        <f t="shared" si="691"/>
        <v>58.3</v>
      </c>
      <c r="FL75" s="554">
        <f>FO75+FP75+FM75+FN75+FQ75</f>
        <v>171.51900649722407</v>
      </c>
      <c r="FM75" s="554">
        <f>GC75*$P75</f>
        <v>73.034702850955284</v>
      </c>
      <c r="FN75" s="554">
        <f>GE75*$P75</f>
        <v>0</v>
      </c>
      <c r="FO75" s="554">
        <f>GG75*$P75</f>
        <v>37.696810713315237</v>
      </c>
      <c r="FP75" s="554">
        <f>GI75*$P75</f>
        <v>60.787492932953541</v>
      </c>
      <c r="FQ75" s="554"/>
      <c r="FR75" s="166">
        <f>FS75*HB75</f>
        <v>1.8787672139612806E-2</v>
      </c>
      <c r="FS75" s="167">
        <f>FY75+FW75+GA75</f>
        <v>7.5150688558451223E-2</v>
      </c>
      <c r="FT75" s="68"/>
      <c r="FU75" s="97">
        <f>FS75/$HH75</f>
        <v>0.88412574774648489</v>
      </c>
      <c r="FV75" s="269">
        <f>FW75*HB75</f>
        <v>8.0000000000000002E-3</v>
      </c>
      <c r="FW75" s="473">
        <f>GC75+GE75</f>
        <v>3.2000000000000001E-2</v>
      </c>
      <c r="FX75" s="269">
        <f>FY75*HB75</f>
        <v>1.0787672139612806E-2</v>
      </c>
      <c r="FY75" s="473">
        <f>GG75+GI75</f>
        <v>4.3150688558451222E-2</v>
      </c>
      <c r="FZ75" s="49"/>
      <c r="GA75" s="49"/>
      <c r="GB75" s="435"/>
      <c r="GC75" s="409">
        <v>3.2000000000000001E-2</v>
      </c>
      <c r="GD75" s="409"/>
      <c r="GE75" s="409">
        <v>0</v>
      </c>
      <c r="GF75" s="435"/>
      <c r="GG75" s="457">
        <f>GG62*GC75/GC62</f>
        <v>1.6516777582950205E-2</v>
      </c>
      <c r="GH75" s="435"/>
      <c r="GI75" s="457">
        <f>GI62*GC75/GC62</f>
        <v>2.663391097550102E-2</v>
      </c>
      <c r="GJ75" s="60"/>
      <c r="GK75" s="60"/>
      <c r="GL75" s="60"/>
      <c r="HB75" s="31">
        <v>0.25</v>
      </c>
      <c r="HC75" s="32">
        <f t="shared" ref="HC75" si="692">$HB75*HD75</f>
        <v>4.5</v>
      </c>
      <c r="HD75" s="27">
        <v>18</v>
      </c>
      <c r="HH75" s="35">
        <v>8.5000000000000006E-2</v>
      </c>
    </row>
    <row r="76" spans="1:218" s="123" customFormat="1" x14ac:dyDescent="0.25">
      <c r="A76" s="155" t="s">
        <v>388</v>
      </c>
      <c r="B76" s="152">
        <f t="shared" si="680"/>
        <v>908.14878762961303</v>
      </c>
      <c r="C76" s="145">
        <v>908.14878762961303</v>
      </c>
      <c r="F76" s="149"/>
      <c r="I76" s="269">
        <f>CT76*I$75/CT$75</f>
        <v>1.3773166490827657</v>
      </c>
      <c r="M76" s="149"/>
      <c r="N76" s="149"/>
      <c r="AF76" s="147"/>
      <c r="AG76" s="154"/>
      <c r="AH76" s="147"/>
      <c r="AI76" s="147"/>
      <c r="AJ76" s="147"/>
      <c r="AK76" s="147"/>
      <c r="AL76" s="147"/>
      <c r="AM76" s="147"/>
      <c r="AN76" s="147"/>
      <c r="AX76" s="614">
        <f t="shared" ref="AX76:AX79" si="693">BA76*$B76/10^3</f>
        <v>215.72735443961858</v>
      </c>
      <c r="AY76" s="614">
        <f t="shared" si="682"/>
        <v>97.948099655925603</v>
      </c>
      <c r="AZ76" s="614">
        <f t="shared" si="682"/>
        <v>117.77925478369299</v>
      </c>
      <c r="BA76" s="152">
        <f t="shared" ref="BA76:BA79" si="694">BD76</f>
        <v>237.54626706345681</v>
      </c>
      <c r="BB76" s="152">
        <f t="shared" si="683"/>
        <v>107.85468305428556</v>
      </c>
      <c r="BC76" s="152">
        <f t="shared" si="683"/>
        <v>129.69158400917127</v>
      </c>
      <c r="BD76" s="49">
        <f t="shared" ref="BD76:BD79" si="695">BE76+BF76</f>
        <v>237.54626706345681</v>
      </c>
      <c r="BE76" s="145">
        <v>107.85468305428556</v>
      </c>
      <c r="BF76" s="145">
        <v>129.69158400917127</v>
      </c>
      <c r="BH76" s="146"/>
      <c r="BI76" s="146"/>
      <c r="BJ76" s="614">
        <f t="shared" ref="BJ76:BJ79" si="696">BM76*$B76/10^3</f>
        <v>108.27170127439773</v>
      </c>
      <c r="BK76" s="614">
        <f t="shared" si="684"/>
        <v>2.2703719690740325</v>
      </c>
      <c r="BL76" s="614">
        <f t="shared" si="685"/>
        <v>106.00132930532369</v>
      </c>
      <c r="BM76" s="152">
        <f t="shared" ref="BM76:BM79" si="697">BQ76</f>
        <v>119.22242560825414</v>
      </c>
      <c r="BN76" s="152">
        <f t="shared" si="686"/>
        <v>2.5</v>
      </c>
      <c r="BO76" s="152">
        <f t="shared" si="686"/>
        <v>116.72242560825414</v>
      </c>
      <c r="BP76" s="270"/>
      <c r="BQ76" s="152">
        <f t="shared" ref="BQ76:BQ79" si="698">BR76+BS76</f>
        <v>119.22242560825414</v>
      </c>
      <c r="BR76" s="148">
        <v>2.5</v>
      </c>
      <c r="BS76" s="152">
        <f>(1-BU76)*BF76</f>
        <v>116.72242560825414</v>
      </c>
      <c r="BT76" s="265">
        <f>(BE76-BR76)/BE76</f>
        <v>0.97682066342226703</v>
      </c>
      <c r="BU76" s="266">
        <v>0.1</v>
      </c>
      <c r="CA76" s="614">
        <f t="shared" si="687"/>
        <v>107.45565316522085</v>
      </c>
      <c r="CB76" s="614">
        <f t="shared" si="688"/>
        <v>95.677727686851568</v>
      </c>
      <c r="CC76" s="614">
        <f t="shared" si="689"/>
        <v>11.777925478369298</v>
      </c>
      <c r="CG76" s="152">
        <f t="shared" si="690"/>
        <v>118.32384145520267</v>
      </c>
      <c r="CH76" s="152">
        <f t="shared" si="690"/>
        <v>105.35468305428556</v>
      </c>
      <c r="CI76" s="152">
        <f t="shared" si="690"/>
        <v>12.969158400917124</v>
      </c>
      <c r="CJ76" s="152"/>
      <c r="CK76" s="152"/>
      <c r="CL76" s="152"/>
      <c r="CN76" s="154"/>
      <c r="CO76" s="154"/>
      <c r="CS76" s="32">
        <f t="shared" ref="CS76:CS79" si="699">CT76</f>
        <v>7.5604799917993981</v>
      </c>
      <c r="CT76" s="148">
        <v>7.5604799917993981</v>
      </c>
      <c r="CU76" s="269">
        <f>BZ$17*BF76/CG76</f>
        <v>0.27401828408831796</v>
      </c>
      <c r="CV76" s="266">
        <v>0</v>
      </c>
      <c r="CW76" s="149">
        <f>CV76*CT76</f>
        <v>0</v>
      </c>
      <c r="CZ76" s="269"/>
      <c r="DA76" s="269"/>
      <c r="DB76" s="269"/>
      <c r="DC76" s="269"/>
      <c r="DD76" s="149">
        <f>(BD76-BQ76)/'Amortization metrics'!$D$4/I76</f>
        <v>2.8636320131128721</v>
      </c>
      <c r="DO76" s="269"/>
      <c r="DP76" s="149">
        <f>EG$12*EA76</f>
        <v>2.4155257928497531</v>
      </c>
      <c r="DQ76" s="149"/>
      <c r="DR76" s="149"/>
      <c r="DS76" s="149"/>
      <c r="DT76" s="149"/>
      <c r="DU76" s="149"/>
      <c r="DV76" s="149"/>
      <c r="DW76" s="149"/>
      <c r="DZ76" s="269"/>
      <c r="EA76" s="149">
        <f>(CT76-CW76)/I76</f>
        <v>5.4892823642510642</v>
      </c>
      <c r="EI76" s="149"/>
      <c r="FC76" s="149"/>
      <c r="FD76" s="149"/>
      <c r="FE76" s="149"/>
      <c r="FF76" s="149"/>
      <c r="FG76" s="149"/>
      <c r="FH76" s="149"/>
      <c r="FI76" s="149"/>
      <c r="FJ76" s="149"/>
      <c r="FK76" s="149"/>
      <c r="FL76" s="149"/>
      <c r="FM76" s="149"/>
      <c r="FN76" s="149"/>
      <c r="FO76" s="149"/>
      <c r="FP76" s="149"/>
      <c r="FQ76" s="149"/>
      <c r="FR76" s="547"/>
      <c r="FT76" s="149"/>
      <c r="FU76" s="149"/>
      <c r="HB76" s="147"/>
      <c r="HC76" s="149"/>
      <c r="HD76" s="146"/>
      <c r="HH76" s="616"/>
    </row>
    <row r="77" spans="1:218" s="123" customFormat="1" x14ac:dyDescent="0.25">
      <c r="A77" s="155" t="s">
        <v>396</v>
      </c>
      <c r="B77" s="152">
        <f t="shared" si="680"/>
        <v>299.69161947920497</v>
      </c>
      <c r="C77" s="145">
        <v>299.69161947920497</v>
      </c>
      <c r="F77" s="149"/>
      <c r="I77" s="269">
        <f>CT77*I$75/CT$75</f>
        <v>1.1615404691240596</v>
      </c>
      <c r="M77" s="149"/>
      <c r="N77" s="149"/>
      <c r="AF77" s="147"/>
      <c r="AG77" s="147"/>
      <c r="AH77" s="147"/>
      <c r="AI77" s="147"/>
      <c r="AJ77" s="147"/>
      <c r="AK77" s="147"/>
      <c r="AL77" s="147"/>
      <c r="AM77" s="147"/>
      <c r="AN77" s="147"/>
      <c r="AX77" s="617">
        <f t="shared" si="693"/>
        <v>45.685843218733588</v>
      </c>
      <c r="AY77" s="617">
        <f t="shared" si="682"/>
        <v>8.4093579707048907</v>
      </c>
      <c r="AZ77" s="617">
        <f t="shared" si="682"/>
        <v>37.276485248028699</v>
      </c>
      <c r="BA77" s="152">
        <f t="shared" si="694"/>
        <v>152.44284540930795</v>
      </c>
      <c r="BB77" s="152">
        <f t="shared" si="683"/>
        <v>28.060037131897175</v>
      </c>
      <c r="BC77" s="152">
        <f t="shared" si="683"/>
        <v>124.38280827741079</v>
      </c>
      <c r="BD77" s="152">
        <f t="shared" si="695"/>
        <v>152.44284540930795</v>
      </c>
      <c r="BE77" s="145">
        <v>28.060037131897175</v>
      </c>
      <c r="BF77" s="145">
        <v>124.38280827741079</v>
      </c>
      <c r="BH77" s="146"/>
      <c r="BI77" s="146"/>
      <c r="BJ77" s="617">
        <f t="shared" si="696"/>
        <v>35.651176215902048</v>
      </c>
      <c r="BK77" s="617">
        <f t="shared" si="684"/>
        <v>2.1023394926762227</v>
      </c>
      <c r="BL77" s="617">
        <f t="shared" si="685"/>
        <v>33.548836723225833</v>
      </c>
      <c r="BM77" s="152">
        <f t="shared" si="697"/>
        <v>118.959536732644</v>
      </c>
      <c r="BN77" s="152">
        <f t="shared" si="686"/>
        <v>7.0150092829742938</v>
      </c>
      <c r="BO77" s="152">
        <f t="shared" si="686"/>
        <v>111.94452744966971</v>
      </c>
      <c r="BQ77" s="152">
        <f t="shared" si="698"/>
        <v>118.959536732644</v>
      </c>
      <c r="BR77" s="153">
        <f>(1-BT77)*BE77</f>
        <v>7.0150092829742938</v>
      </c>
      <c r="BS77" s="152">
        <f>(1-BU77)*BF77</f>
        <v>111.94452744966971</v>
      </c>
      <c r="BT77" s="266">
        <v>0.75</v>
      </c>
      <c r="BU77" s="266">
        <v>0.1</v>
      </c>
      <c r="CA77" s="617">
        <f t="shared" si="687"/>
        <v>10.03466700283154</v>
      </c>
      <c r="CB77" s="617">
        <f t="shared" si="688"/>
        <v>6.3070184780286684</v>
      </c>
      <c r="CC77" s="617">
        <f t="shared" si="689"/>
        <v>3.7276485248028663</v>
      </c>
      <c r="CG77" s="152">
        <f t="shared" si="690"/>
        <v>33.483308676663952</v>
      </c>
      <c r="CH77" s="152">
        <f t="shared" si="690"/>
        <v>21.045027848922881</v>
      </c>
      <c r="CI77" s="152">
        <f t="shared" si="690"/>
        <v>12.438280827741082</v>
      </c>
      <c r="CJ77" s="152"/>
      <c r="CK77" s="152"/>
      <c r="CL77" s="152"/>
      <c r="CN77" s="154"/>
      <c r="CO77" s="154"/>
      <c r="CS77" s="32">
        <f t="shared" si="699"/>
        <v>6.3760236125266081</v>
      </c>
      <c r="CT77" s="148">
        <v>6.3760236125266081</v>
      </c>
      <c r="CU77" s="269">
        <f>BZ$17*BF77/CG77</f>
        <v>0.92869263218974274</v>
      </c>
      <c r="CV77" s="444">
        <f>1-BT77</f>
        <v>0.25</v>
      </c>
      <c r="CW77" s="149">
        <f>CV77*CT77</f>
        <v>1.594005903131652</v>
      </c>
      <c r="CZ77" s="269"/>
      <c r="DA77" s="269"/>
      <c r="DB77" s="269"/>
      <c r="DC77" s="269"/>
      <c r="DD77" s="149">
        <f>(BD77-BQ77)/'Amortization metrics'!$D$4/I77</f>
        <v>0.96088799218834997</v>
      </c>
      <c r="DO77" s="269"/>
      <c r="DP77" s="149">
        <f>EG$12*EA77</f>
        <v>1.8116443446373149</v>
      </c>
      <c r="DQ77" s="149"/>
      <c r="DR77" s="149"/>
      <c r="DS77" s="149"/>
      <c r="DT77" s="149"/>
      <c r="DU77" s="149"/>
      <c r="DV77" s="149"/>
      <c r="DW77" s="149"/>
      <c r="DZ77" s="269"/>
      <c r="EA77" s="149">
        <f>(CT77-CW77)/I77</f>
        <v>4.1169617731882981</v>
      </c>
      <c r="EI77" s="149"/>
      <c r="FC77" s="149"/>
      <c r="FD77" s="149"/>
      <c r="FE77" s="149"/>
      <c r="FF77" s="149"/>
      <c r="FG77" s="149"/>
      <c r="FH77" s="149"/>
      <c r="FI77" s="149"/>
      <c r="FJ77" s="149"/>
      <c r="FK77" s="149"/>
      <c r="FL77" s="149"/>
      <c r="FM77" s="149"/>
      <c r="FN77" s="149"/>
      <c r="FO77" s="149"/>
      <c r="FP77" s="149"/>
      <c r="FQ77" s="149"/>
      <c r="FR77" s="547"/>
      <c r="FT77" s="149"/>
      <c r="FU77" s="149"/>
      <c r="HB77" s="147"/>
      <c r="HC77" s="149"/>
      <c r="HD77" s="146"/>
      <c r="HH77" s="616"/>
    </row>
    <row r="78" spans="1:218" s="123" customFormat="1" x14ac:dyDescent="0.25">
      <c r="A78" s="155" t="s">
        <v>395</v>
      </c>
      <c r="B78" s="152">
        <f t="shared" si="680"/>
        <v>163.31500175966201</v>
      </c>
      <c r="C78" s="145">
        <v>163.31500175966201</v>
      </c>
      <c r="F78" s="149"/>
      <c r="I78" s="269">
        <f>CT78*I$75/CT$75</f>
        <v>0.85211578446785485</v>
      </c>
      <c r="M78" s="149"/>
      <c r="N78" s="149"/>
      <c r="AF78" s="147"/>
      <c r="AG78" s="147"/>
      <c r="AH78" s="147"/>
      <c r="AI78" s="147"/>
      <c r="AJ78" s="147"/>
      <c r="AK78" s="147"/>
      <c r="AL78" s="147"/>
      <c r="AM78" s="147"/>
      <c r="AN78" s="147"/>
      <c r="AX78" s="617">
        <f t="shared" si="693"/>
        <v>17.367949034562848</v>
      </c>
      <c r="AY78" s="617">
        <f t="shared" si="682"/>
        <v>0.67791816079454703</v>
      </c>
      <c r="AZ78" s="617">
        <f t="shared" si="682"/>
        <v>16.690030873768301</v>
      </c>
      <c r="BA78" s="152">
        <f t="shared" si="694"/>
        <v>106.34631753010608</v>
      </c>
      <c r="BB78" s="152">
        <f t="shared" si="683"/>
        <v>4.1509852339969751</v>
      </c>
      <c r="BC78" s="152">
        <f t="shared" si="683"/>
        <v>102.1953322961091</v>
      </c>
      <c r="BD78" s="152">
        <f t="shared" si="695"/>
        <v>106.34631753010608</v>
      </c>
      <c r="BE78" s="148">
        <v>4.1509852339969751</v>
      </c>
      <c r="BF78" s="145">
        <v>102.1953322961091</v>
      </c>
      <c r="BJ78" s="617">
        <f t="shared" si="696"/>
        <v>15.359986866788747</v>
      </c>
      <c r="BK78" s="617">
        <f t="shared" si="684"/>
        <v>0.33895908039727352</v>
      </c>
      <c r="BL78" s="617">
        <f t="shared" si="685"/>
        <v>15.021027786391473</v>
      </c>
      <c r="BM78" s="152">
        <f t="shared" si="697"/>
        <v>94.051291683496686</v>
      </c>
      <c r="BN78" s="152">
        <f t="shared" si="686"/>
        <v>2.0754926169984875</v>
      </c>
      <c r="BO78" s="152">
        <f t="shared" si="686"/>
        <v>91.975799066498197</v>
      </c>
      <c r="BQ78" s="152">
        <f t="shared" si="698"/>
        <v>94.051291683496686</v>
      </c>
      <c r="BR78" s="153">
        <f>(1-BT78)*BE78</f>
        <v>2.0754926169984875</v>
      </c>
      <c r="BS78" s="152">
        <f>(1-BU78)*BF78</f>
        <v>91.975799066498197</v>
      </c>
      <c r="BT78" s="266">
        <v>0.5</v>
      </c>
      <c r="BU78" s="266">
        <v>0.1</v>
      </c>
      <c r="CA78" s="617">
        <f t="shared" si="687"/>
        <v>2.0079621677741013</v>
      </c>
      <c r="CB78" s="617">
        <f t="shared" si="688"/>
        <v>0.33895908039727352</v>
      </c>
      <c r="CC78" s="617">
        <f t="shared" si="689"/>
        <v>1.6690030873768276</v>
      </c>
      <c r="CG78" s="152">
        <f t="shared" si="690"/>
        <v>12.295025846609391</v>
      </c>
      <c r="CH78" s="152">
        <f t="shared" si="690"/>
        <v>2.0754926169984875</v>
      </c>
      <c r="CI78" s="152">
        <f t="shared" si="690"/>
        <v>10.219533229610903</v>
      </c>
      <c r="CJ78" s="152"/>
      <c r="CK78" s="152"/>
      <c r="CL78" s="152"/>
      <c r="CN78" s="154"/>
      <c r="CO78" s="154"/>
      <c r="CS78" s="32">
        <f t="shared" si="699"/>
        <v>4.6775041479793567</v>
      </c>
      <c r="CT78" s="148">
        <v>4.6775041479793567</v>
      </c>
      <c r="CU78" s="269">
        <f>BZ$17*BF78/CG78</f>
        <v>2.0779812415825782</v>
      </c>
      <c r="CV78" s="444">
        <f>1-BT78</f>
        <v>0.5</v>
      </c>
      <c r="CW78" s="149">
        <f>CV78*CT78</f>
        <v>2.3387520739896783</v>
      </c>
      <c r="CZ78" s="269"/>
      <c r="DA78" s="269"/>
      <c r="DB78" s="269"/>
      <c r="DC78" s="269"/>
      <c r="DD78" s="149">
        <f>(BD78-BQ78)/'Amortization metrics'!$D$4/I78</f>
        <v>0.48096068909569678</v>
      </c>
      <c r="DO78" s="269"/>
      <c r="DP78" s="149">
        <f>EG$12*EA78</f>
        <v>1.2077628964248766</v>
      </c>
      <c r="DQ78" s="149"/>
      <c r="DR78" s="149"/>
      <c r="DS78" s="149"/>
      <c r="DT78" s="149"/>
      <c r="DU78" s="149"/>
      <c r="DV78" s="149"/>
      <c r="DW78" s="149"/>
      <c r="DZ78" s="269"/>
      <c r="EA78" s="149">
        <f>(CT78-CW78)/I78</f>
        <v>2.7446411821255321</v>
      </c>
      <c r="EI78" s="149"/>
      <c r="FC78" s="149"/>
      <c r="FD78" s="149"/>
      <c r="FE78" s="149"/>
      <c r="FF78" s="149"/>
      <c r="FG78" s="149"/>
      <c r="FH78" s="149"/>
      <c r="FI78" s="149"/>
      <c r="FJ78" s="149"/>
      <c r="FK78" s="149"/>
      <c r="FL78" s="149"/>
      <c r="FM78" s="149"/>
      <c r="FN78" s="149"/>
      <c r="FO78" s="149"/>
      <c r="FP78" s="149"/>
      <c r="FQ78" s="149"/>
      <c r="FR78" s="547"/>
      <c r="FT78" s="149"/>
      <c r="FU78" s="149"/>
      <c r="HB78" s="147"/>
      <c r="HC78" s="149"/>
      <c r="HD78" s="146"/>
      <c r="HH78" s="616"/>
    </row>
    <row r="79" spans="1:218" s="123" customFormat="1" x14ac:dyDescent="0.25">
      <c r="A79" s="155" t="s">
        <v>389</v>
      </c>
      <c r="B79" s="152">
        <f t="shared" si="680"/>
        <v>1460.5250676728999</v>
      </c>
      <c r="C79" s="145">
        <v>1460.5250676728999</v>
      </c>
      <c r="F79" s="149"/>
      <c r="I79" s="269">
        <f>CT79*I$75/CT$75</f>
        <v>0.37264597230824242</v>
      </c>
      <c r="M79" s="149"/>
      <c r="N79" s="149"/>
      <c r="AF79" s="147"/>
      <c r="AG79" s="147"/>
      <c r="AH79" s="147"/>
      <c r="AI79" s="147"/>
      <c r="AJ79" s="147"/>
      <c r="AK79" s="147"/>
      <c r="AL79" s="147"/>
      <c r="AM79" s="147"/>
      <c r="AN79" s="147"/>
      <c r="AX79" s="617">
        <f t="shared" si="693"/>
        <v>58.358135635669001</v>
      </c>
      <c r="AY79" s="617">
        <f t="shared" si="682"/>
        <v>2.1308455768600001</v>
      </c>
      <c r="AZ79" s="617">
        <f t="shared" si="682"/>
        <v>56.227290058808997</v>
      </c>
      <c r="BA79" s="152">
        <f t="shared" si="694"/>
        <v>39.956955842362113</v>
      </c>
      <c r="BB79" s="152">
        <f t="shared" si="683"/>
        <v>1.4589585786809827</v>
      </c>
      <c r="BC79" s="152">
        <f t="shared" si="683"/>
        <v>38.497997263681128</v>
      </c>
      <c r="BD79" s="152">
        <f t="shared" si="695"/>
        <v>39.956955842362113</v>
      </c>
      <c r="BE79" s="148">
        <v>1.4589585786809827</v>
      </c>
      <c r="BF79" s="145">
        <v>38.497997263681128</v>
      </c>
      <c r="BJ79" s="617">
        <f t="shared" si="696"/>
        <v>52.735406629788102</v>
      </c>
      <c r="BK79" s="617">
        <f t="shared" si="684"/>
        <v>2.1308455768600001</v>
      </c>
      <c r="BL79" s="617">
        <f t="shared" si="685"/>
        <v>50.604561052928098</v>
      </c>
      <c r="BM79" s="152">
        <f t="shared" si="697"/>
        <v>36.107156115994002</v>
      </c>
      <c r="BN79" s="152">
        <f t="shared" si="686"/>
        <v>1.4589585786809827</v>
      </c>
      <c r="BO79" s="152">
        <f t="shared" si="686"/>
        <v>34.648197537313017</v>
      </c>
      <c r="BQ79" s="152">
        <f t="shared" si="698"/>
        <v>36.107156115994002</v>
      </c>
      <c r="BR79" s="153">
        <f>(1-BT79)*BE79</f>
        <v>1.4589585786809827</v>
      </c>
      <c r="BS79" s="152">
        <f>(1-BU79)*BF79</f>
        <v>34.648197537313017</v>
      </c>
      <c r="BT79" s="266">
        <v>0</v>
      </c>
      <c r="BU79" s="266">
        <v>0.1</v>
      </c>
      <c r="CA79" s="617">
        <f t="shared" si="687"/>
        <v>5.622729005880899</v>
      </c>
      <c r="CB79" s="617">
        <f t="shared" si="688"/>
        <v>0</v>
      </c>
      <c r="CC79" s="617">
        <f t="shared" si="689"/>
        <v>5.622729005880899</v>
      </c>
      <c r="CG79" s="152">
        <f t="shared" si="690"/>
        <v>3.8497997263681114</v>
      </c>
      <c r="CH79" s="152">
        <f t="shared" si="690"/>
        <v>0</v>
      </c>
      <c r="CI79" s="152">
        <f t="shared" si="690"/>
        <v>3.8497997263681114</v>
      </c>
      <c r="CJ79" s="152"/>
      <c r="CK79" s="152"/>
      <c r="CL79" s="152"/>
      <c r="CN79" s="154"/>
      <c r="CO79" s="154"/>
      <c r="CS79" s="32">
        <f t="shared" si="699"/>
        <v>2.0455589639008256</v>
      </c>
      <c r="CT79" s="148">
        <v>2.0455589639008256</v>
      </c>
      <c r="CU79" s="269">
        <f>BZ$17*BF79/CG79</f>
        <v>2.5000000000000009</v>
      </c>
      <c r="CV79" s="444">
        <f>1-BT79</f>
        <v>1</v>
      </c>
      <c r="CW79" s="149">
        <f>CV79*CT79</f>
        <v>2.0455589639008256</v>
      </c>
      <c r="CZ79" s="269"/>
      <c r="DA79" s="269"/>
      <c r="DB79" s="269"/>
      <c r="DC79" s="269"/>
      <c r="DD79" s="149">
        <f>(BD79-BQ79)/'Amortization metrics'!$D$4/I79</f>
        <v>0.34436614664241011</v>
      </c>
      <c r="DO79" s="269"/>
      <c r="DP79" s="149">
        <f>EG$12*EA79</f>
        <v>0</v>
      </c>
      <c r="DQ79" s="149"/>
      <c r="DR79" s="149"/>
      <c r="DS79" s="149"/>
      <c r="DT79" s="149"/>
      <c r="DU79" s="149"/>
      <c r="DV79" s="149"/>
      <c r="DW79" s="149"/>
      <c r="DZ79" s="269"/>
      <c r="EA79" s="149">
        <f>(CT79-CW79)/I79</f>
        <v>0</v>
      </c>
      <c r="EI79" s="149"/>
      <c r="FC79" s="149"/>
      <c r="FD79" s="149"/>
      <c r="FE79" s="149"/>
      <c r="FF79" s="149"/>
      <c r="FG79" s="149"/>
      <c r="FH79" s="149"/>
      <c r="FI79" s="149"/>
      <c r="FJ79" s="149"/>
      <c r="FK79" s="149"/>
      <c r="FL79" s="149"/>
      <c r="FM79" s="149"/>
      <c r="FN79" s="149"/>
      <c r="FO79" s="149"/>
      <c r="FP79" s="149"/>
      <c r="FQ79" s="149"/>
      <c r="FR79" s="547"/>
      <c r="FT79" s="149"/>
      <c r="FU79" s="149"/>
      <c r="HB79" s="147"/>
      <c r="HC79" s="149"/>
      <c r="HD79" s="146"/>
      <c r="HH79" s="616"/>
    </row>
    <row r="80" spans="1:218" s="123" customFormat="1" ht="10.199999999999999" x14ac:dyDescent="0.2">
      <c r="A80" s="155"/>
      <c r="B80" s="144"/>
      <c r="C80" s="145"/>
      <c r="F80" s="149"/>
      <c r="I80" s="149"/>
      <c r="M80" s="149"/>
      <c r="N80" s="149"/>
      <c r="BD80" s="144"/>
      <c r="BE80" s="148"/>
      <c r="BF80" s="145"/>
      <c r="BQ80" s="144"/>
      <c r="BR80" s="149"/>
      <c r="BS80" s="144"/>
      <c r="BT80" s="268"/>
      <c r="BU80" s="268"/>
      <c r="CN80" s="154"/>
      <c r="CO80" s="154"/>
      <c r="CT80" s="148"/>
      <c r="CU80" s="149"/>
      <c r="CV80" s="159"/>
      <c r="CW80" s="149"/>
      <c r="CZ80" s="269"/>
      <c r="DA80" s="269"/>
      <c r="DB80" s="269"/>
      <c r="DC80" s="269"/>
      <c r="DD80" s="149"/>
      <c r="DO80" s="269"/>
      <c r="DP80" s="149"/>
      <c r="DQ80" s="149"/>
      <c r="DR80" s="149"/>
      <c r="DS80" s="149"/>
      <c r="DT80" s="149"/>
      <c r="DU80" s="149"/>
      <c r="DV80" s="149"/>
      <c r="DW80" s="149"/>
      <c r="DZ80" s="269"/>
      <c r="EA80" s="149"/>
      <c r="EI80" s="149"/>
      <c r="FC80" s="149"/>
      <c r="FD80" s="149"/>
      <c r="FE80" s="149"/>
      <c r="FF80" s="149"/>
      <c r="FG80" s="149"/>
      <c r="FH80" s="149"/>
      <c r="FI80" s="149"/>
      <c r="FJ80" s="149"/>
      <c r="FK80" s="149"/>
      <c r="FL80" s="149"/>
      <c r="FM80" s="149"/>
      <c r="FN80" s="149"/>
      <c r="FO80" s="149"/>
      <c r="FP80" s="149"/>
      <c r="FQ80" s="149"/>
      <c r="FR80" s="547"/>
      <c r="FT80" s="149"/>
      <c r="FU80" s="149"/>
      <c r="HB80" s="147"/>
      <c r="HC80" s="149"/>
      <c r="HD80" s="146"/>
      <c r="HH80" s="616"/>
    </row>
    <row r="81" spans="1:194" s="4" customFormat="1" x14ac:dyDescent="0.25">
      <c r="A81" s="376"/>
      <c r="O81" s="60"/>
      <c r="AX81" s="60"/>
      <c r="AY81" s="60"/>
      <c r="AZ81" s="60"/>
      <c r="BG81" s="60"/>
      <c r="BH81" s="60"/>
      <c r="BI81" s="60"/>
      <c r="BJ81" s="60"/>
      <c r="BK81" s="60"/>
      <c r="BL81" s="60"/>
      <c r="CA81" s="60"/>
      <c r="CB81" s="60"/>
      <c r="CC81" s="60"/>
      <c r="CU81" s="97"/>
      <c r="DQ81" s="60"/>
      <c r="DR81" s="60"/>
      <c r="DS81" s="60"/>
      <c r="DT81" s="60"/>
      <c r="DU81" s="60"/>
      <c r="DV81" s="60"/>
      <c r="DW81" s="60"/>
      <c r="EB81" s="60"/>
      <c r="EF81" s="60"/>
      <c r="EG81" s="60"/>
      <c r="EH81" s="60"/>
      <c r="EI81" s="97"/>
      <c r="EN81" s="60"/>
      <c r="EO81" s="49"/>
      <c r="EP81" s="60"/>
      <c r="EQ81" s="60"/>
      <c r="ER81" s="60"/>
      <c r="ES81" s="60"/>
      <c r="ET81" s="60"/>
      <c r="EU81" s="60"/>
      <c r="EV81" s="60"/>
      <c r="EW81" s="60"/>
      <c r="EX81" s="60"/>
      <c r="EY81" s="60"/>
      <c r="EZ81" s="60"/>
      <c r="FA81" s="60"/>
      <c r="FB81" s="60"/>
      <c r="FC81" s="97"/>
      <c r="FD81" s="97"/>
      <c r="FE81" s="97"/>
      <c r="FF81" s="97"/>
      <c r="FG81" s="97"/>
      <c r="FH81" s="97"/>
      <c r="FI81" s="97"/>
      <c r="FJ81" s="97"/>
      <c r="FK81" s="97"/>
      <c r="FL81" s="97"/>
      <c r="FM81" s="97"/>
      <c r="FN81" s="97"/>
      <c r="FO81" s="97"/>
      <c r="FP81" s="97"/>
      <c r="FQ81" s="97"/>
      <c r="FR81" s="169"/>
      <c r="FT81" s="60"/>
      <c r="FU81" s="97"/>
      <c r="FV81" s="49"/>
      <c r="FW81" s="49"/>
      <c r="FX81" s="49"/>
      <c r="FY81" s="49"/>
      <c r="FZ81" s="49"/>
      <c r="GA81" s="49"/>
      <c r="GJ81" s="60"/>
      <c r="GK81" s="60"/>
      <c r="GL81" s="60"/>
    </row>
    <row r="82" spans="1:194" s="4" customFormat="1" x14ac:dyDescent="0.25">
      <c r="A82" s="14"/>
      <c r="O82" s="60"/>
      <c r="AX82" s="60"/>
      <c r="AY82" s="60"/>
      <c r="AZ82" s="60"/>
      <c r="BG82" s="60"/>
      <c r="BH82" s="60"/>
      <c r="BI82" s="60"/>
      <c r="BJ82" s="60"/>
      <c r="BK82" s="60"/>
      <c r="BL82" s="60"/>
      <c r="CA82" s="60"/>
      <c r="CB82" s="60"/>
      <c r="CC82" s="60"/>
      <c r="CU82" s="97"/>
      <c r="DQ82" s="60"/>
      <c r="DR82" s="60"/>
      <c r="DS82" s="60"/>
      <c r="DT82" s="60"/>
      <c r="DU82" s="60"/>
      <c r="DV82" s="60"/>
      <c r="DW82" s="60"/>
      <c r="EF82" s="60"/>
      <c r="EG82" s="60"/>
      <c r="EH82" s="60"/>
      <c r="EI82" s="97"/>
      <c r="EN82" s="60"/>
      <c r="EO82" s="49"/>
      <c r="EP82" s="60"/>
      <c r="EQ82" s="60"/>
      <c r="ER82" s="60"/>
      <c r="ES82" s="60"/>
      <c r="ET82" s="60"/>
      <c r="EU82" s="60"/>
      <c r="EV82" s="60"/>
      <c r="EW82" s="60"/>
      <c r="EX82" s="60"/>
      <c r="EY82" s="60"/>
      <c r="EZ82" s="60"/>
      <c r="FA82" s="60"/>
      <c r="FB82" s="60"/>
      <c r="FC82" s="97"/>
      <c r="FD82" s="97"/>
      <c r="FE82" s="97"/>
      <c r="FF82" s="97"/>
      <c r="FG82" s="97"/>
      <c r="FH82" s="97"/>
      <c r="FI82" s="97"/>
      <c r="FJ82" s="97"/>
      <c r="FK82" s="97"/>
      <c r="FL82" s="97"/>
      <c r="FM82" s="97"/>
      <c r="FN82" s="97"/>
      <c r="FO82" s="97"/>
      <c r="FP82" s="97"/>
      <c r="FQ82" s="97"/>
      <c r="FR82" s="169"/>
      <c r="FT82" s="60"/>
      <c r="FU82" s="97"/>
      <c r="FV82" s="49"/>
      <c r="FW82" s="49"/>
      <c r="FX82" s="49"/>
      <c r="FY82" s="49"/>
      <c r="FZ82" s="49"/>
      <c r="GA82" s="49"/>
      <c r="GJ82" s="60"/>
      <c r="GK82" s="60"/>
      <c r="GL82" s="60"/>
    </row>
    <row r="83" spans="1:194" s="4" customFormat="1" ht="14.4" x14ac:dyDescent="0.3">
      <c r="A83" s="13"/>
      <c r="O83" s="60"/>
      <c r="AX83" s="60"/>
      <c r="AY83" s="60"/>
      <c r="AZ83" s="60"/>
      <c r="BG83" s="60"/>
      <c r="BH83" s="60"/>
      <c r="BI83" s="60"/>
      <c r="BJ83" s="60"/>
      <c r="BK83" s="60"/>
      <c r="BL83" s="60"/>
      <c r="CA83" s="60"/>
      <c r="CB83" s="60"/>
      <c r="CC83" s="60"/>
      <c r="CU83" s="97"/>
      <c r="DQ83" s="60"/>
      <c r="DR83" s="60"/>
      <c r="DS83" s="60"/>
      <c r="DT83" s="60"/>
      <c r="DU83" s="60"/>
      <c r="DV83" s="60"/>
      <c r="DW83" s="60"/>
      <c r="EF83" s="60"/>
      <c r="EG83" s="60"/>
      <c r="EH83" s="60"/>
      <c r="EI83" s="97"/>
      <c r="EN83" s="60"/>
      <c r="EO83" s="49"/>
      <c r="EP83" s="60"/>
      <c r="EQ83" s="60"/>
      <c r="ER83" s="60"/>
      <c r="ES83" s="60"/>
      <c r="ET83" s="60"/>
      <c r="EU83" s="60"/>
      <c r="EV83" s="60"/>
      <c r="EW83" s="60"/>
      <c r="EX83" s="60"/>
      <c r="EY83" s="60"/>
      <c r="EZ83" s="60"/>
      <c r="FA83" s="60"/>
      <c r="FB83" s="60"/>
      <c r="FC83" s="97"/>
      <c r="FD83" s="97"/>
      <c r="FE83" s="97"/>
      <c r="FF83" s="97"/>
      <c r="FG83" s="97"/>
      <c r="FH83" s="97"/>
      <c r="FI83" s="97"/>
      <c r="FJ83" s="97"/>
      <c r="FK83" s="97"/>
      <c r="FL83" s="97"/>
      <c r="FM83" s="97"/>
      <c r="FN83" s="97"/>
      <c r="FO83" s="97"/>
      <c r="FP83" s="97"/>
      <c r="FQ83" s="97"/>
      <c r="FR83" s="169"/>
      <c r="FT83" s="60"/>
      <c r="FU83" s="97"/>
      <c r="FV83" s="49"/>
      <c r="FW83" s="49"/>
      <c r="FX83" s="49"/>
      <c r="FY83" s="49"/>
      <c r="FZ83" s="49"/>
      <c r="GA83" s="49"/>
      <c r="GJ83" s="60"/>
      <c r="GK83" s="60"/>
      <c r="GL83" s="60"/>
    </row>
    <row r="84" spans="1:194" x14ac:dyDescent="0.25">
      <c r="A84" s="14"/>
    </row>
    <row r="85" spans="1:194" x14ac:dyDescent="0.25">
      <c r="A85" s="14"/>
    </row>
    <row r="86" spans="1:194" x14ac:dyDescent="0.25">
      <c r="A86" s="14"/>
    </row>
    <row r="87" spans="1:194" x14ac:dyDescent="0.25">
      <c r="A87" s="14"/>
    </row>
    <row r="88" spans="1:194" x14ac:dyDescent="0.25">
      <c r="A88" s="14"/>
    </row>
    <row r="89" spans="1:194" x14ac:dyDescent="0.25">
      <c r="A89" s="14"/>
    </row>
    <row r="90" spans="1:194" x14ac:dyDescent="0.25">
      <c r="A90" s="14"/>
    </row>
    <row r="91" spans="1:194" x14ac:dyDescent="0.25">
      <c r="A91" s="14"/>
    </row>
    <row r="92" spans="1:194" x14ac:dyDescent="0.25">
      <c r="A92" s="14"/>
    </row>
    <row r="93" spans="1:194" x14ac:dyDescent="0.25">
      <c r="A93" s="14"/>
    </row>
    <row r="94" spans="1:194" x14ac:dyDescent="0.25">
      <c r="A94" s="14"/>
    </row>
    <row r="95" spans="1:194" x14ac:dyDescent="0.25">
      <c r="A95" s="14"/>
    </row>
    <row r="96" spans="1:194" x14ac:dyDescent="0.25">
      <c r="A96" s="14"/>
    </row>
    <row r="97" spans="1:1" x14ac:dyDescent="0.25">
      <c r="A97" s="14"/>
    </row>
    <row r="98" spans="1:1" x14ac:dyDescent="0.25">
      <c r="A98" s="14"/>
    </row>
    <row r="99" spans="1:1" x14ac:dyDescent="0.25">
      <c r="A99" s="14"/>
    </row>
    <row r="100" spans="1:1" x14ac:dyDescent="0.25">
      <c r="A100" s="14"/>
    </row>
    <row r="101" spans="1:1" x14ac:dyDescent="0.25">
      <c r="A101" s="14"/>
    </row>
    <row r="102" spans="1:1" x14ac:dyDescent="0.25">
      <c r="A102" s="14"/>
    </row>
    <row r="103" spans="1:1" x14ac:dyDescent="0.25">
      <c r="A103" s="14"/>
    </row>
    <row r="104" spans="1:1" x14ac:dyDescent="0.25">
      <c r="A104" s="14"/>
    </row>
    <row r="105" spans="1:1" x14ac:dyDescent="0.25">
      <c r="A105" s="14"/>
    </row>
    <row r="106" spans="1:1" x14ac:dyDescent="0.25">
      <c r="A106" s="14"/>
    </row>
    <row r="107" spans="1:1" x14ac:dyDescent="0.25">
      <c r="A107" s="14"/>
    </row>
    <row r="108" spans="1:1" x14ac:dyDescent="0.25">
      <c r="A108" s="14"/>
    </row>
    <row r="109" spans="1:1" x14ac:dyDescent="0.25">
      <c r="A109" s="14"/>
    </row>
    <row r="110" spans="1:1" x14ac:dyDescent="0.25">
      <c r="A110" s="14"/>
    </row>
    <row r="111" spans="1:1" x14ac:dyDescent="0.25">
      <c r="A111" s="14"/>
    </row>
    <row r="112" spans="1:1" x14ac:dyDescent="0.25">
      <c r="A112" s="14"/>
    </row>
    <row r="113" spans="1:1" x14ac:dyDescent="0.25">
      <c r="A113" s="14"/>
    </row>
    <row r="114" spans="1:1" x14ac:dyDescent="0.25">
      <c r="A114" s="14"/>
    </row>
    <row r="115" spans="1:1" x14ac:dyDescent="0.25">
      <c r="A115" s="14"/>
    </row>
    <row r="116" spans="1:1" x14ac:dyDescent="0.25">
      <c r="A116" s="14"/>
    </row>
    <row r="117" spans="1:1" x14ac:dyDescent="0.25">
      <c r="A117" s="14"/>
    </row>
    <row r="118" spans="1:1" x14ac:dyDescent="0.25">
      <c r="A118" s="14"/>
    </row>
    <row r="119" spans="1:1" x14ac:dyDescent="0.25">
      <c r="A119" s="14"/>
    </row>
    <row r="120" spans="1:1" x14ac:dyDescent="0.25">
      <c r="A120" s="14"/>
    </row>
    <row r="121" spans="1:1" x14ac:dyDescent="0.25">
      <c r="A121" s="14"/>
    </row>
    <row r="122" spans="1:1" x14ac:dyDescent="0.25">
      <c r="A122" s="14"/>
    </row>
    <row r="123" spans="1:1" x14ac:dyDescent="0.25">
      <c r="A123" s="14"/>
    </row>
    <row r="124" spans="1:1" x14ac:dyDescent="0.25">
      <c r="A124" s="14"/>
    </row>
    <row r="125" spans="1:1" x14ac:dyDescent="0.25">
      <c r="A125" s="14"/>
    </row>
    <row r="126" spans="1:1" x14ac:dyDescent="0.25">
      <c r="A126" s="14"/>
    </row>
    <row r="127" spans="1:1" x14ac:dyDescent="0.25">
      <c r="A127" s="14"/>
    </row>
    <row r="128" spans="1:1" x14ac:dyDescent="0.25">
      <c r="A128" s="14"/>
    </row>
    <row r="129" spans="1:1" x14ac:dyDescent="0.25">
      <c r="A129" s="14"/>
    </row>
    <row r="130" spans="1:1" x14ac:dyDescent="0.25">
      <c r="A130" s="14"/>
    </row>
    <row r="131" spans="1:1" x14ac:dyDescent="0.25">
      <c r="A131" s="14"/>
    </row>
    <row r="132" spans="1:1" x14ac:dyDescent="0.25">
      <c r="A132" s="14"/>
    </row>
    <row r="133" spans="1:1" x14ac:dyDescent="0.25">
      <c r="A133" s="14"/>
    </row>
    <row r="134" spans="1:1" x14ac:dyDescent="0.25">
      <c r="A134" s="14"/>
    </row>
    <row r="135" spans="1:1" x14ac:dyDescent="0.25">
      <c r="A135" s="14"/>
    </row>
    <row r="136" spans="1:1" x14ac:dyDescent="0.25">
      <c r="A136" s="14"/>
    </row>
    <row r="137" spans="1:1" x14ac:dyDescent="0.25">
      <c r="A137" s="14"/>
    </row>
    <row r="138" spans="1:1" x14ac:dyDescent="0.25">
      <c r="A138" s="14"/>
    </row>
    <row r="139" spans="1:1" x14ac:dyDescent="0.25">
      <c r="A139" s="14"/>
    </row>
    <row r="140" spans="1:1" x14ac:dyDescent="0.25">
      <c r="A140" s="14"/>
    </row>
    <row r="141" spans="1:1" x14ac:dyDescent="0.25">
      <c r="A141" s="14"/>
    </row>
    <row r="142" spans="1:1" x14ac:dyDescent="0.25">
      <c r="A142" s="14"/>
    </row>
    <row r="143" spans="1:1" x14ac:dyDescent="0.25">
      <c r="A143" s="14"/>
    </row>
    <row r="144" spans="1:1" x14ac:dyDescent="0.25">
      <c r="A144" s="14"/>
    </row>
    <row r="145" spans="1:1" x14ac:dyDescent="0.25">
      <c r="A145" s="14"/>
    </row>
    <row r="146" spans="1:1" x14ac:dyDescent="0.25">
      <c r="A146" s="14"/>
    </row>
    <row r="147" spans="1:1" x14ac:dyDescent="0.25">
      <c r="A147" s="14"/>
    </row>
    <row r="148" spans="1:1" x14ac:dyDescent="0.25">
      <c r="A148" s="14"/>
    </row>
    <row r="149" spans="1:1" x14ac:dyDescent="0.25">
      <c r="A149" s="14"/>
    </row>
    <row r="150" spans="1:1" x14ac:dyDescent="0.25">
      <c r="A150" s="14"/>
    </row>
    <row r="151" spans="1:1" x14ac:dyDescent="0.25">
      <c r="A151" s="14"/>
    </row>
    <row r="152" spans="1:1" x14ac:dyDescent="0.25">
      <c r="A152" s="14"/>
    </row>
    <row r="153" spans="1:1" x14ac:dyDescent="0.25">
      <c r="A153" s="14"/>
    </row>
    <row r="154" spans="1:1" x14ac:dyDescent="0.25">
      <c r="A154" s="14"/>
    </row>
    <row r="155" spans="1:1" x14ac:dyDescent="0.25">
      <c r="A155" s="14"/>
    </row>
    <row r="156" spans="1:1" x14ac:dyDescent="0.25">
      <c r="A156" s="14"/>
    </row>
    <row r="157" spans="1:1" x14ac:dyDescent="0.25">
      <c r="A157" s="14"/>
    </row>
    <row r="158" spans="1:1" x14ac:dyDescent="0.25">
      <c r="A158" s="14"/>
    </row>
    <row r="159" spans="1:1" x14ac:dyDescent="0.25">
      <c r="A159" s="14"/>
    </row>
    <row r="160" spans="1:1" x14ac:dyDescent="0.25">
      <c r="A160" s="14"/>
    </row>
    <row r="161" spans="1:1" x14ac:dyDescent="0.25">
      <c r="A161" s="14"/>
    </row>
    <row r="162" spans="1:1" x14ac:dyDescent="0.25">
      <c r="A162" s="14"/>
    </row>
    <row r="163" spans="1:1" x14ac:dyDescent="0.25">
      <c r="A163" s="14"/>
    </row>
    <row r="164" spans="1:1" x14ac:dyDescent="0.25">
      <c r="A164" s="14"/>
    </row>
  </sheetData>
  <printOptions gridLines="1"/>
  <pageMargins left="0.31496062992125984" right="0.31496062992125984" top="0.35433070866141736" bottom="0.35433070866141736" header="0.31496062992125984" footer="0.31496062992125984"/>
  <pageSetup paperSize="8" scale="80" orientation="landscape"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TN198"/>
  <sheetViews>
    <sheetView zoomScaleNormal="100" workbookViewId="0">
      <pane xSplit="1" ySplit="7" topLeftCell="B66" activePane="bottomRight" state="frozen"/>
      <selection sqref="A1:XFD1048576"/>
      <selection pane="topRight" sqref="A1:XFD1048576"/>
      <selection pane="bottomLeft" sqref="A1:XFD1048576"/>
      <selection pane="bottomRight" activeCell="B79" sqref="B79:B117"/>
    </sheetView>
  </sheetViews>
  <sheetFormatPr defaultColWidth="9.109375" defaultRowHeight="12" x14ac:dyDescent="0.25"/>
  <cols>
    <col min="1" max="1" width="27.6640625" style="37" customWidth="1"/>
    <col min="2" max="3" width="6.33203125" style="37" customWidth="1"/>
    <col min="4" max="4" width="6.33203125" style="40" customWidth="1"/>
    <col min="5" max="6" width="5.6640625" style="74" customWidth="1"/>
    <col min="7" max="8" width="6.6640625" style="74" customWidth="1"/>
    <col min="9" max="10" width="6.109375" style="74" customWidth="1"/>
    <col min="11" max="13" width="5.109375" style="74" customWidth="1"/>
    <col min="14" max="14" width="6.33203125" style="37" customWidth="1"/>
    <col min="15" max="21" width="5.33203125" style="37" customWidth="1"/>
    <col min="22" max="23" width="4.6640625" style="37" customWidth="1"/>
    <col min="24" max="24" width="4.6640625" style="74" customWidth="1"/>
    <col min="25" max="27" width="4.6640625" style="37" customWidth="1"/>
    <col min="28" max="33" width="6.6640625" style="37" customWidth="1"/>
    <col min="34" max="36" width="6.6640625" style="74" customWidth="1"/>
    <col min="37" max="40" width="6.6640625" style="37" customWidth="1"/>
    <col min="41" max="51" width="5.33203125" style="37" customWidth="1"/>
    <col min="52" max="54" width="7.6640625" style="74" customWidth="1"/>
    <col min="55" max="55" width="9.33203125" style="74" bestFit="1" customWidth="1"/>
    <col min="56" max="61" width="5.33203125" style="74" customWidth="1"/>
    <col min="62" max="67" width="5.33203125" style="37" customWidth="1"/>
    <col min="68" max="73" width="7.6640625" style="37" customWidth="1"/>
    <col min="74" max="92" width="4.6640625" style="37" customWidth="1"/>
    <col min="93" max="95" width="4.6640625" style="74" customWidth="1"/>
    <col min="96" max="100" width="4.6640625" style="115" customWidth="1"/>
    <col min="101" max="129" width="4.6640625" style="74" customWidth="1"/>
    <col min="130" max="134" width="4.6640625" style="37" customWidth="1"/>
    <col min="135" max="137" width="4.6640625" style="74" customWidth="1"/>
    <col min="138" max="142" width="4.6640625" style="37" customWidth="1"/>
    <col min="143" max="157" width="4.6640625" style="74" customWidth="1"/>
    <col min="158" max="160" width="5.6640625" style="37" customWidth="1"/>
    <col min="161" max="177" width="4.6640625" style="37" customWidth="1"/>
    <col min="178" max="178" width="4.6640625" style="74" customWidth="1"/>
    <col min="179" max="180" width="4.6640625" style="37" customWidth="1"/>
    <col min="181" max="182" width="4.6640625" style="74" customWidth="1"/>
    <col min="183" max="187" width="4.6640625" style="37" customWidth="1"/>
    <col min="188" max="188" width="4.6640625" style="74" customWidth="1"/>
    <col min="189" max="202" width="4.6640625" style="37" customWidth="1"/>
    <col min="203" max="205" width="5.33203125" style="37" customWidth="1"/>
    <col min="206" max="206" width="8.33203125" style="37" customWidth="1"/>
    <col min="207" max="223" width="5.33203125" style="133" customWidth="1"/>
    <col min="224" max="224" width="5.33203125" style="74" customWidth="1"/>
    <col min="225" max="225" width="5.33203125" style="133" customWidth="1"/>
    <col min="226" max="226" width="5.33203125" style="74" customWidth="1"/>
    <col min="227" max="248" width="4.6640625" style="74" customWidth="1"/>
    <col min="249" max="249" width="5.33203125" style="115" customWidth="1"/>
    <col min="250" max="252" width="6.33203125" style="115" customWidth="1"/>
    <col min="253" max="255" width="5.33203125" style="115" customWidth="1"/>
    <col min="256" max="256" width="4.5546875" style="37" customWidth="1"/>
    <col min="257" max="272" width="4.5546875" style="74" customWidth="1"/>
    <col min="273" max="275" width="4.5546875" style="133" customWidth="1"/>
    <col min="276" max="276" width="8" style="133" bestFit="1" customWidth="1"/>
    <col min="277" max="289" width="4.5546875" style="74" customWidth="1"/>
    <col min="290" max="295" width="4.5546875" style="133" customWidth="1"/>
    <col min="296" max="305" width="4.6640625" style="133" customWidth="1"/>
    <col min="306" max="355" width="4.6640625" style="74" customWidth="1"/>
    <col min="356" max="356" width="7.6640625" style="74" customWidth="1"/>
    <col min="357" max="380" width="5.33203125" style="74" customWidth="1"/>
    <col min="381" max="383" width="7.6640625" style="74" customWidth="1"/>
    <col min="384" max="473" width="5.6640625" style="37" customWidth="1"/>
    <col min="474" max="476" width="8.33203125" style="37" customWidth="1"/>
    <col min="477" max="478" width="6.33203125" style="37" customWidth="1"/>
    <col min="479" max="480" width="4.6640625" style="54" customWidth="1"/>
    <col min="481" max="488" width="5.6640625" style="37" customWidth="1"/>
    <col min="489" max="494" width="6.6640625" style="179" customWidth="1"/>
    <col min="495" max="535" width="5.6640625" style="37" customWidth="1"/>
    <col min="536" max="16384" width="9.109375" style="37"/>
  </cols>
  <sheetData>
    <row r="1" spans="1:534" s="17" customFormat="1" ht="20.100000000000001" customHeight="1" x14ac:dyDescent="0.3">
      <c r="A1" s="17" t="s">
        <v>994</v>
      </c>
      <c r="D1" s="699"/>
      <c r="E1" s="513"/>
      <c r="F1" s="513"/>
      <c r="G1" s="513"/>
      <c r="H1" s="513"/>
      <c r="I1" s="513"/>
      <c r="J1" s="513"/>
      <c r="K1" s="513"/>
      <c r="L1" s="513"/>
      <c r="M1" s="513"/>
      <c r="N1" s="113"/>
      <c r="O1" s="113"/>
      <c r="P1" s="113"/>
      <c r="Q1" s="113"/>
      <c r="R1" s="113"/>
      <c r="S1" s="113"/>
      <c r="T1" s="113"/>
      <c r="U1" s="113"/>
      <c r="V1" s="113"/>
      <c r="W1" s="113"/>
      <c r="X1" s="513"/>
      <c r="Y1" s="113"/>
      <c r="Z1" s="113"/>
      <c r="AA1" s="113"/>
      <c r="AB1" s="113"/>
      <c r="AC1" s="113"/>
      <c r="AD1" s="113"/>
      <c r="AE1" s="113"/>
      <c r="AF1" s="113"/>
      <c r="AG1" s="113"/>
      <c r="AH1" s="513"/>
      <c r="AI1" s="513"/>
      <c r="AJ1" s="513"/>
      <c r="AK1" s="113"/>
      <c r="AL1" s="113"/>
      <c r="AM1" s="113"/>
      <c r="AN1" s="113"/>
      <c r="AO1" s="113"/>
      <c r="AP1" s="113"/>
      <c r="AQ1" s="113"/>
      <c r="AR1" s="113"/>
      <c r="AS1" s="113"/>
      <c r="AT1" s="700"/>
      <c r="AU1" s="513"/>
      <c r="AV1" s="513"/>
      <c r="AW1" s="513"/>
      <c r="AX1" s="513"/>
      <c r="AY1" s="513"/>
      <c r="AZ1" s="513"/>
      <c r="BA1" s="513"/>
      <c r="BB1" s="513"/>
      <c r="BC1" s="513"/>
      <c r="BD1" s="513"/>
      <c r="BE1" s="513"/>
      <c r="BF1" s="513"/>
      <c r="BG1" s="513"/>
      <c r="BH1" s="513"/>
      <c r="BI1" s="513"/>
      <c r="BJ1" s="513"/>
      <c r="BK1" s="513"/>
      <c r="BL1" s="513"/>
      <c r="BM1" s="513"/>
      <c r="BN1" s="513"/>
      <c r="BO1" s="513"/>
      <c r="BP1" s="513"/>
      <c r="BQ1" s="513"/>
      <c r="BR1" s="513"/>
      <c r="BS1" s="701"/>
      <c r="BT1" s="701"/>
      <c r="BU1" s="701"/>
      <c r="BV1" s="701"/>
      <c r="BW1" s="701"/>
      <c r="BX1" s="701"/>
      <c r="BY1" s="701"/>
      <c r="BZ1" s="701"/>
      <c r="CA1" s="701"/>
      <c r="CB1" s="701"/>
      <c r="CC1" s="58"/>
      <c r="CD1" s="58"/>
      <c r="CE1" s="58"/>
      <c r="CF1" s="58"/>
      <c r="CG1" s="701"/>
      <c r="CH1" s="701"/>
      <c r="CI1" s="701"/>
      <c r="CJ1" s="58"/>
      <c r="CK1" s="513"/>
      <c r="CL1" s="513"/>
      <c r="CM1" s="513"/>
      <c r="CN1" s="701"/>
      <c r="CO1" s="701"/>
      <c r="CP1" s="701"/>
      <c r="CQ1" s="701"/>
      <c r="CR1" s="702"/>
      <c r="CS1" s="702"/>
      <c r="CT1" s="702"/>
      <c r="CU1" s="702"/>
      <c r="CV1" s="702"/>
      <c r="CW1" s="701"/>
      <c r="CX1" s="701"/>
      <c r="CY1" s="701"/>
      <c r="CZ1" s="701"/>
      <c r="DA1" s="701"/>
      <c r="DB1" s="701"/>
      <c r="DC1" s="701"/>
      <c r="DD1" s="701"/>
      <c r="DE1" s="701"/>
      <c r="DF1" s="701"/>
      <c r="DG1" s="701"/>
      <c r="DH1" s="701"/>
      <c r="DI1" s="701"/>
      <c r="DJ1" s="701"/>
      <c r="DK1" s="701"/>
      <c r="DL1" s="513"/>
      <c r="DM1" s="513"/>
      <c r="DN1" s="513"/>
      <c r="DO1" s="513"/>
      <c r="DP1" s="513"/>
      <c r="DQ1" s="513"/>
      <c r="DR1" s="513"/>
      <c r="DS1" s="58"/>
      <c r="DT1" s="58"/>
      <c r="DU1" s="58"/>
      <c r="DV1" s="58"/>
      <c r="DW1" s="513"/>
      <c r="DX1" s="513"/>
      <c r="DY1" s="513"/>
      <c r="DZ1" s="58"/>
      <c r="EA1" s="58"/>
      <c r="EB1" s="513"/>
      <c r="EC1" s="513"/>
      <c r="ED1" s="513"/>
      <c r="EE1" s="701"/>
      <c r="EF1" s="701"/>
      <c r="EG1" s="701"/>
      <c r="EH1" s="58"/>
      <c r="EI1" s="513"/>
      <c r="EJ1" s="513"/>
      <c r="EK1" s="513"/>
      <c r="EL1" s="513"/>
      <c r="EM1" s="701"/>
      <c r="EN1" s="513"/>
      <c r="EO1" s="513"/>
      <c r="EP1" s="513"/>
      <c r="EQ1" s="513"/>
      <c r="ER1" s="513"/>
      <c r="ES1" s="513"/>
      <c r="ET1" s="513"/>
      <c r="EU1" s="513"/>
      <c r="EV1" s="513"/>
      <c r="EW1" s="513"/>
      <c r="EX1" s="513"/>
      <c r="EY1" s="513"/>
      <c r="EZ1" s="513"/>
      <c r="FA1" s="513"/>
      <c r="FB1" s="513"/>
      <c r="FC1" s="513"/>
      <c r="FD1" s="513"/>
      <c r="FE1" s="513"/>
      <c r="FF1" s="513"/>
      <c r="FG1" s="513"/>
      <c r="FH1" s="513"/>
      <c r="FI1" s="513"/>
      <c r="FJ1" s="513"/>
      <c r="FK1" s="513"/>
      <c r="FL1" s="513"/>
      <c r="FM1" s="513"/>
      <c r="FN1" s="513"/>
      <c r="FO1" s="513"/>
      <c r="FP1" s="513"/>
      <c r="FQ1" s="513"/>
      <c r="FR1" s="513"/>
      <c r="FS1" s="513"/>
      <c r="FT1" s="513"/>
      <c r="FU1" s="513"/>
      <c r="FV1" s="58"/>
      <c r="FW1" s="513"/>
      <c r="FX1" s="513"/>
      <c r="FY1" s="701"/>
      <c r="FZ1" s="513"/>
      <c r="GA1" s="513"/>
      <c r="GB1" s="513"/>
      <c r="GC1" s="513"/>
      <c r="GD1" s="513"/>
      <c r="GE1" s="513"/>
      <c r="GF1" s="701"/>
      <c r="GG1" s="513"/>
      <c r="GH1" s="513"/>
      <c r="GI1" s="513"/>
      <c r="GJ1" s="513"/>
      <c r="GK1" s="513"/>
      <c r="GL1" s="513"/>
      <c r="GM1" s="513"/>
      <c r="GN1" s="513"/>
      <c r="GO1" s="513"/>
      <c r="GP1" s="513"/>
      <c r="GQ1" s="513"/>
      <c r="GR1" s="513"/>
      <c r="GS1" s="513"/>
      <c r="GT1" s="513"/>
      <c r="GU1" s="513"/>
      <c r="GV1" s="513"/>
      <c r="GW1" s="513"/>
      <c r="GX1" s="513"/>
      <c r="GY1" s="58"/>
      <c r="GZ1" s="58"/>
      <c r="HA1" s="58"/>
      <c r="HB1" s="58"/>
      <c r="HC1" s="58"/>
      <c r="HD1" s="58"/>
      <c r="HE1" s="58"/>
      <c r="HF1" s="701"/>
      <c r="HG1" s="701"/>
      <c r="HH1" s="701"/>
      <c r="HI1" s="701"/>
      <c r="HJ1" s="701"/>
      <c r="HK1" s="701"/>
      <c r="HL1" s="701"/>
      <c r="HM1" s="58"/>
      <c r="HN1" s="58"/>
      <c r="HO1" s="58"/>
      <c r="HP1" s="513"/>
      <c r="HQ1" s="58"/>
      <c r="HR1" s="513"/>
      <c r="HS1" s="701"/>
      <c r="HT1" s="701"/>
      <c r="HU1" s="701"/>
      <c r="HV1" s="701"/>
      <c r="HW1" s="701"/>
      <c r="HX1" s="701"/>
      <c r="HY1" s="701"/>
      <c r="HZ1" s="701"/>
      <c r="IA1" s="701"/>
      <c r="IB1" s="701"/>
      <c r="IC1" s="701"/>
      <c r="ID1" s="701"/>
      <c r="IE1" s="701"/>
      <c r="IF1" s="701"/>
      <c r="IG1" s="701"/>
      <c r="IH1" s="701"/>
      <c r="II1" s="701"/>
      <c r="IJ1" s="701"/>
      <c r="IK1" s="701"/>
      <c r="IL1" s="701"/>
      <c r="IM1" s="701"/>
      <c r="IN1" s="701"/>
      <c r="IO1" s="701"/>
      <c r="IP1" s="701"/>
      <c r="IQ1" s="701"/>
      <c r="IR1" s="701"/>
      <c r="IS1" s="701"/>
      <c r="IT1" s="701"/>
      <c r="IU1" s="701"/>
      <c r="IV1" s="701"/>
      <c r="IW1" s="513"/>
      <c r="IX1" s="513"/>
      <c r="IY1" s="513"/>
      <c r="IZ1" s="513"/>
      <c r="JA1" s="701"/>
      <c r="JB1" s="513"/>
      <c r="JC1" s="513"/>
      <c r="JD1" s="513"/>
      <c r="JE1" s="513"/>
      <c r="JF1" s="513"/>
      <c r="JG1" s="513"/>
      <c r="JH1" s="513"/>
      <c r="JI1" s="513"/>
      <c r="JJ1" s="701"/>
      <c r="JK1" s="513"/>
      <c r="JL1" s="513"/>
      <c r="JM1" s="176"/>
      <c r="JN1" s="176"/>
      <c r="JO1" s="176"/>
      <c r="JP1" s="176"/>
      <c r="JQ1" s="513"/>
      <c r="JR1" s="513"/>
      <c r="JS1" s="58"/>
      <c r="JT1" s="58"/>
      <c r="JU1" s="58"/>
      <c r="JV1" s="58"/>
      <c r="JW1" s="58"/>
      <c r="JX1" s="58"/>
      <c r="JY1" s="58"/>
      <c r="JZ1" s="58"/>
      <c r="KA1" s="58"/>
      <c r="KB1" s="58"/>
      <c r="KC1" s="58"/>
      <c r="KD1" s="58"/>
      <c r="KE1" s="58"/>
      <c r="KF1" s="58"/>
      <c r="KG1" s="58"/>
      <c r="KH1" s="58"/>
      <c r="KI1" s="58"/>
      <c r="KJ1" s="58"/>
      <c r="KK1" s="58"/>
      <c r="KL1" s="58"/>
      <c r="KM1" s="58"/>
      <c r="KN1" s="58"/>
      <c r="KO1" s="58"/>
      <c r="KP1" s="58"/>
      <c r="KQ1" s="58"/>
      <c r="KR1" s="58"/>
      <c r="KS1" s="58"/>
      <c r="KT1" s="703"/>
      <c r="KU1" s="58"/>
      <c r="KV1" s="58"/>
      <c r="KW1" s="58"/>
      <c r="KX1" s="701"/>
      <c r="KY1" s="58"/>
      <c r="KZ1" s="58"/>
      <c r="LA1" s="58"/>
      <c r="LB1" s="58"/>
      <c r="LC1" s="701"/>
      <c r="LD1" s="701"/>
      <c r="LE1" s="701"/>
      <c r="LF1" s="701"/>
      <c r="LG1" s="701"/>
      <c r="LH1" s="701"/>
      <c r="LI1" s="58"/>
      <c r="LJ1" s="701"/>
      <c r="LK1" s="701"/>
      <c r="LL1" s="701"/>
      <c r="LM1" s="701"/>
      <c r="LN1" s="513"/>
      <c r="LO1" s="513"/>
      <c r="LP1" s="513"/>
      <c r="LQ1" s="513"/>
      <c r="LR1" s="513"/>
      <c r="LS1" s="513"/>
      <c r="LT1" s="513"/>
      <c r="LU1" s="513"/>
      <c r="LV1" s="513"/>
      <c r="LW1" s="513"/>
      <c r="LX1" s="58"/>
      <c r="LY1" s="58"/>
      <c r="LZ1" s="58"/>
      <c r="MA1" s="58"/>
      <c r="MB1" s="701"/>
      <c r="MC1" s="58"/>
      <c r="MD1" s="58"/>
      <c r="ME1" s="58"/>
      <c r="MF1" s="58"/>
      <c r="MG1" s="701"/>
      <c r="MH1" s="513"/>
      <c r="MI1" s="513"/>
      <c r="MJ1" s="513"/>
      <c r="MK1" s="513"/>
      <c r="ML1" s="513"/>
      <c r="MM1" s="513"/>
      <c r="MN1" s="513"/>
      <c r="MO1" s="513"/>
      <c r="MP1" s="513"/>
      <c r="MQ1" s="513"/>
      <c r="MR1" s="58"/>
      <c r="MS1" s="58"/>
      <c r="MT1" s="58"/>
      <c r="MU1" s="58"/>
      <c r="MV1" s="58"/>
      <c r="MX1" s="20"/>
      <c r="MY1" s="20"/>
      <c r="MZ1" s="20"/>
      <c r="NA1" s="20"/>
      <c r="NB1" s="20"/>
      <c r="NC1" s="20"/>
      <c r="ND1" s="20"/>
      <c r="NE1" s="513"/>
      <c r="NF1" s="513"/>
      <c r="NG1" s="513"/>
      <c r="NH1" s="513"/>
      <c r="NI1" s="20"/>
      <c r="NK1" s="20"/>
      <c r="NL1" s="20"/>
      <c r="NM1" s="20"/>
      <c r="NN1" s="20"/>
      <c r="NO1" s="20"/>
      <c r="NP1" s="20"/>
      <c r="NQ1" s="58"/>
      <c r="NR1" s="65"/>
      <c r="NS1" s="65"/>
      <c r="NT1" s="559"/>
      <c r="NU1" s="20"/>
      <c r="NV1" s="20"/>
      <c r="NW1" s="20"/>
      <c r="NX1" s="20"/>
      <c r="RV1" s="271"/>
      <c r="RW1" s="271"/>
      <c r="RX1" s="271"/>
      <c r="RY1" s="271"/>
      <c r="RZ1" s="271"/>
      <c r="SA1" s="271"/>
    </row>
    <row r="2" spans="1:534" s="19" customFormat="1" ht="18" customHeight="1" x14ac:dyDescent="0.3">
      <c r="A2" s="19" t="s">
        <v>87</v>
      </c>
      <c r="B2" s="18" t="s">
        <v>250</v>
      </c>
      <c r="C2" s="18"/>
      <c r="D2" s="704"/>
      <c r="E2" s="18"/>
      <c r="F2" s="18"/>
      <c r="G2" s="18"/>
      <c r="H2" s="18"/>
      <c r="I2" s="18"/>
      <c r="J2" s="18"/>
      <c r="K2" s="18"/>
      <c r="L2" s="18"/>
      <c r="M2" s="18"/>
      <c r="N2" s="18" t="s">
        <v>168</v>
      </c>
      <c r="O2" s="18"/>
      <c r="P2" s="18"/>
      <c r="Q2" s="18"/>
      <c r="R2" s="18"/>
      <c r="S2" s="18"/>
      <c r="T2" s="18"/>
      <c r="U2" s="18"/>
      <c r="V2" s="18" t="s">
        <v>979</v>
      </c>
      <c r="W2" s="18"/>
      <c r="X2" s="18"/>
      <c r="Y2" s="18"/>
      <c r="Z2" s="18"/>
      <c r="AA2" s="18"/>
      <c r="AB2" s="18" t="s">
        <v>329</v>
      </c>
      <c r="AC2" s="18"/>
      <c r="AD2" s="18"/>
      <c r="AE2" s="18"/>
      <c r="AF2" s="18"/>
      <c r="AG2" s="18"/>
      <c r="AH2" s="18"/>
      <c r="AI2" s="18"/>
      <c r="AJ2" s="18"/>
      <c r="AK2" s="18" t="s">
        <v>796</v>
      </c>
      <c r="AL2" s="18"/>
      <c r="AM2" s="18"/>
      <c r="AN2" s="18"/>
      <c r="AO2" s="18"/>
      <c r="AP2" s="18"/>
      <c r="AQ2" s="18"/>
      <c r="AR2" s="18"/>
      <c r="AS2" s="18"/>
      <c r="AT2" s="18"/>
      <c r="AU2" s="18"/>
      <c r="AV2" s="18"/>
      <c r="AW2" s="18"/>
      <c r="AX2" s="18"/>
      <c r="AY2" s="18"/>
      <c r="AZ2" s="18"/>
      <c r="BA2" s="18"/>
      <c r="BB2" s="18"/>
      <c r="BC2" s="18"/>
      <c r="BD2" s="18"/>
      <c r="BE2" s="18"/>
      <c r="BF2" s="18"/>
      <c r="BG2" s="18"/>
      <c r="BH2" s="18"/>
      <c r="BI2" s="18"/>
      <c r="BJ2" s="18"/>
      <c r="BK2" s="18"/>
      <c r="BL2" s="18"/>
      <c r="BM2" s="18"/>
      <c r="BN2" s="18"/>
      <c r="BO2" s="18"/>
      <c r="BP2" s="619" t="s">
        <v>459</v>
      </c>
      <c r="BQ2" s="619"/>
      <c r="BR2" s="619"/>
      <c r="BS2" s="619"/>
      <c r="BT2" s="619"/>
      <c r="BU2" s="619"/>
      <c r="BV2" s="619" t="s">
        <v>345</v>
      </c>
      <c r="BW2" s="619"/>
      <c r="BX2" s="619"/>
      <c r="BY2" s="619"/>
      <c r="BZ2" s="619"/>
      <c r="CA2" s="619"/>
      <c r="CB2" s="619"/>
      <c r="CC2" s="619"/>
      <c r="CD2" s="619"/>
      <c r="CE2" s="619"/>
      <c r="CF2" s="619"/>
      <c r="CG2" s="619"/>
      <c r="CH2" s="619"/>
      <c r="CI2" s="619"/>
      <c r="CJ2" s="619"/>
      <c r="CK2" s="619"/>
      <c r="CL2" s="619"/>
      <c r="CM2" s="619"/>
      <c r="CN2" s="619"/>
      <c r="CO2" s="619"/>
      <c r="CP2" s="619"/>
      <c r="CQ2" s="619"/>
      <c r="CR2" s="619"/>
      <c r="CS2" s="619"/>
      <c r="CT2" s="619"/>
      <c r="CU2" s="619"/>
      <c r="CV2" s="619"/>
      <c r="CW2" s="619"/>
      <c r="CX2" s="619"/>
      <c r="CY2" s="619"/>
      <c r="CZ2" s="619"/>
      <c r="DA2" s="619"/>
      <c r="DB2" s="619"/>
      <c r="DC2" s="619"/>
      <c r="DD2" s="619"/>
      <c r="DE2" s="619"/>
      <c r="DF2" s="619"/>
      <c r="DG2" s="619"/>
      <c r="DH2" s="619"/>
      <c r="DI2" s="619"/>
      <c r="DJ2" s="619"/>
      <c r="DK2" s="619"/>
      <c r="DL2" s="619"/>
      <c r="DM2" s="619"/>
      <c r="DN2" s="619"/>
      <c r="DO2" s="619"/>
      <c r="DP2" s="619"/>
      <c r="DQ2" s="619"/>
      <c r="DR2" s="619"/>
      <c r="DS2" s="619"/>
      <c r="DT2" s="619"/>
      <c r="DU2" s="619"/>
      <c r="DV2" s="619"/>
      <c r="DW2" s="619"/>
      <c r="DX2" s="619"/>
      <c r="DY2" s="619"/>
      <c r="DZ2" s="619"/>
      <c r="EA2" s="619"/>
      <c r="EB2" s="619"/>
      <c r="EC2" s="619"/>
      <c r="ED2" s="619"/>
      <c r="EE2" s="619"/>
      <c r="EF2" s="619"/>
      <c r="EG2" s="619"/>
      <c r="EH2" s="619"/>
      <c r="EI2" s="619"/>
      <c r="EJ2" s="619"/>
      <c r="EK2" s="619"/>
      <c r="EL2" s="619"/>
      <c r="EM2" s="619"/>
      <c r="EN2" s="619"/>
      <c r="EO2" s="619"/>
      <c r="EP2" s="619"/>
      <c r="EQ2" s="619"/>
      <c r="ER2" s="619"/>
      <c r="ES2" s="619"/>
      <c r="ET2" s="619"/>
      <c r="EU2" s="619"/>
      <c r="EV2" s="619"/>
      <c r="EW2" s="619"/>
      <c r="EX2" s="619"/>
      <c r="EY2" s="619"/>
      <c r="EZ2" s="619"/>
      <c r="FA2" s="619"/>
      <c r="FB2" s="517" t="s">
        <v>62</v>
      </c>
      <c r="FC2" s="517"/>
      <c r="FD2" s="517"/>
      <c r="FE2" s="517"/>
      <c r="FF2" s="517"/>
      <c r="FG2" s="517"/>
      <c r="FH2" s="517"/>
      <c r="FI2" s="517"/>
      <c r="FJ2" s="517"/>
      <c r="FK2" s="517"/>
      <c r="FL2" s="517"/>
      <c r="FM2" s="517"/>
      <c r="FN2" s="517"/>
      <c r="FO2" s="517"/>
      <c r="FP2" s="517"/>
      <c r="FQ2" s="517"/>
      <c r="FR2" s="517"/>
      <c r="FS2" s="517"/>
      <c r="FT2" s="517"/>
      <c r="FU2" s="517"/>
      <c r="FV2" s="517"/>
      <c r="FW2" s="517"/>
      <c r="FX2" s="517"/>
      <c r="FY2" s="517"/>
      <c r="FZ2" s="517"/>
      <c r="GA2" s="517"/>
      <c r="GB2" s="517"/>
      <c r="GC2" s="517"/>
      <c r="GD2" s="517"/>
      <c r="GE2" s="517"/>
      <c r="GF2" s="517"/>
      <c r="GG2" s="517"/>
      <c r="GH2" s="517"/>
      <c r="GI2" s="517"/>
      <c r="GJ2" s="517"/>
      <c r="GK2" s="517"/>
      <c r="GL2" s="517"/>
      <c r="GM2" s="517"/>
      <c r="GN2" s="517"/>
      <c r="GO2" s="517"/>
      <c r="GP2" s="517"/>
      <c r="GQ2" s="517"/>
      <c r="GR2" s="517"/>
      <c r="GS2" s="517"/>
      <c r="GT2" s="517"/>
      <c r="GU2" s="568" t="s">
        <v>745</v>
      </c>
      <c r="GV2" s="568"/>
      <c r="GW2" s="568"/>
      <c r="GX2" s="568"/>
      <c r="GY2" s="568"/>
      <c r="GZ2" s="568"/>
      <c r="HA2" s="568"/>
      <c r="HB2" s="568"/>
      <c r="HC2" s="568"/>
      <c r="HD2" s="568"/>
      <c r="HE2" s="568"/>
      <c r="HF2" s="568"/>
      <c r="HG2" s="568"/>
      <c r="HH2" s="568"/>
      <c r="HI2" s="568"/>
      <c r="HJ2" s="568"/>
      <c r="HK2" s="568"/>
      <c r="HL2" s="568"/>
      <c r="HM2" s="568"/>
      <c r="HN2" s="568"/>
      <c r="HO2" s="568"/>
      <c r="HP2" s="568"/>
      <c r="HQ2" s="568"/>
      <c r="HR2" s="568"/>
      <c r="HS2" s="568"/>
      <c r="HT2" s="568"/>
      <c r="HU2" s="568"/>
      <c r="HV2" s="568"/>
      <c r="HW2" s="568"/>
      <c r="HX2" s="568"/>
      <c r="HY2" s="568"/>
      <c r="HZ2" s="568"/>
      <c r="IA2" s="568"/>
      <c r="IB2" s="568"/>
      <c r="IC2" s="568"/>
      <c r="ID2" s="568"/>
      <c r="IE2" s="568"/>
      <c r="IF2" s="568"/>
      <c r="IG2" s="568"/>
      <c r="IH2" s="568"/>
      <c r="II2" s="568"/>
      <c r="IJ2" s="568"/>
      <c r="IK2" s="568"/>
      <c r="IL2" s="568"/>
      <c r="IM2" s="568"/>
      <c r="IN2" s="568"/>
      <c r="IO2" s="570" t="s">
        <v>430</v>
      </c>
      <c r="IP2" s="177"/>
      <c r="IQ2" s="177"/>
      <c r="IR2" s="177"/>
      <c r="IS2" s="177"/>
      <c r="IT2" s="177"/>
      <c r="IU2" s="177"/>
      <c r="IV2" s="177"/>
      <c r="IW2" s="177"/>
      <c r="IX2" s="177"/>
      <c r="IY2" s="177"/>
      <c r="IZ2" s="177"/>
      <c r="JA2" s="177"/>
      <c r="JB2" s="177"/>
      <c r="JC2" s="177"/>
      <c r="JD2" s="177"/>
      <c r="JE2" s="177"/>
      <c r="JF2" s="177"/>
      <c r="JG2" s="177"/>
      <c r="JH2" s="177"/>
      <c r="JI2" s="177"/>
      <c r="JJ2" s="177"/>
      <c r="JK2" s="177"/>
      <c r="JL2" s="177"/>
      <c r="JM2" s="177"/>
      <c r="JN2" s="177"/>
      <c r="JO2" s="177"/>
      <c r="JP2" s="478"/>
      <c r="JQ2" s="177"/>
      <c r="JR2" s="177"/>
      <c r="JS2" s="177"/>
      <c r="JT2" s="177"/>
      <c r="JU2" s="177"/>
      <c r="JV2" s="177"/>
      <c r="JW2" s="177"/>
      <c r="JX2" s="177"/>
      <c r="JY2" s="177"/>
      <c r="JZ2" s="177"/>
      <c r="KA2" s="177"/>
      <c r="KB2" s="177"/>
      <c r="KC2" s="177"/>
      <c r="KD2" s="478"/>
      <c r="KE2" s="478"/>
      <c r="KF2" s="478"/>
      <c r="KG2" s="478"/>
      <c r="KH2" s="478"/>
      <c r="KI2" s="478"/>
      <c r="KJ2" s="571" t="s">
        <v>323</v>
      </c>
      <c r="KK2" s="571"/>
      <c r="KL2" s="571"/>
      <c r="KM2" s="571"/>
      <c r="KN2" s="571"/>
      <c r="KO2" s="571"/>
      <c r="KP2" s="571"/>
      <c r="KQ2" s="571"/>
      <c r="KR2" s="571"/>
      <c r="KS2" s="571"/>
      <c r="KT2" s="571"/>
      <c r="KU2" s="571"/>
      <c r="KV2" s="571"/>
      <c r="KW2" s="571"/>
      <c r="KX2" s="571"/>
      <c r="KY2" s="571"/>
      <c r="KZ2" s="571"/>
      <c r="LA2" s="571"/>
      <c r="LB2" s="571"/>
      <c r="LC2" s="571"/>
      <c r="LD2" s="571"/>
      <c r="LE2" s="571"/>
      <c r="LF2" s="571"/>
      <c r="LG2" s="571"/>
      <c r="LH2" s="571"/>
      <c r="LI2" s="571"/>
      <c r="LJ2" s="571"/>
      <c r="LK2" s="571"/>
      <c r="LL2" s="571"/>
      <c r="LM2" s="571"/>
      <c r="LN2" s="571"/>
      <c r="LO2" s="571"/>
      <c r="LP2" s="571"/>
      <c r="LQ2" s="571"/>
      <c r="LR2" s="571"/>
      <c r="LS2" s="571"/>
      <c r="LT2" s="571"/>
      <c r="LU2" s="571"/>
      <c r="LV2" s="571"/>
      <c r="LW2" s="571"/>
      <c r="LX2" s="571"/>
      <c r="LY2" s="571"/>
      <c r="LZ2" s="571"/>
      <c r="MA2" s="571"/>
      <c r="MB2" s="571"/>
      <c r="MC2" s="571"/>
      <c r="MD2" s="571"/>
      <c r="ME2" s="571"/>
      <c r="MF2" s="571"/>
      <c r="MG2" s="571"/>
      <c r="MH2" s="571"/>
      <c r="MI2" s="571"/>
      <c r="MJ2" s="571"/>
      <c r="MK2" s="571"/>
      <c r="ML2" s="571"/>
      <c r="MM2" s="571"/>
      <c r="MN2" s="571"/>
      <c r="MO2" s="571"/>
      <c r="MP2" s="571"/>
      <c r="MQ2" s="571"/>
      <c r="MR2" s="255" t="s">
        <v>489</v>
      </c>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t="s">
        <v>304</v>
      </c>
      <c r="NR2" s="255"/>
      <c r="NS2" s="255"/>
      <c r="NT2" s="19" t="s">
        <v>88</v>
      </c>
      <c r="RF2" s="19" t="s">
        <v>8</v>
      </c>
      <c r="RG2" s="19" t="s">
        <v>35</v>
      </c>
      <c r="RI2" s="19" t="s">
        <v>0</v>
      </c>
      <c r="RK2" s="19" t="s">
        <v>19</v>
      </c>
      <c r="RM2" s="19" t="s">
        <v>1</v>
      </c>
      <c r="RU2" s="620"/>
      <c r="RV2" s="620"/>
      <c r="RW2" s="620"/>
      <c r="RX2" s="620"/>
      <c r="RY2" s="620"/>
      <c r="RZ2" s="620"/>
      <c r="TG2" s="19" t="s">
        <v>5</v>
      </c>
    </row>
    <row r="3" spans="1:534" s="25" customFormat="1" ht="15" customHeight="1" x14ac:dyDescent="0.3">
      <c r="A3" s="621"/>
      <c r="B3" s="25" t="s">
        <v>294</v>
      </c>
      <c r="D3" s="705"/>
      <c r="E3" s="89"/>
      <c r="F3" s="89"/>
      <c r="G3" s="89"/>
      <c r="H3" s="89"/>
      <c r="I3" s="89"/>
      <c r="J3" s="89"/>
      <c r="K3" s="89"/>
      <c r="L3" s="89"/>
      <c r="M3" s="89"/>
      <c r="N3" s="25" t="s">
        <v>93</v>
      </c>
      <c r="O3" s="25" t="s">
        <v>171</v>
      </c>
      <c r="V3" s="25" t="s">
        <v>149</v>
      </c>
      <c r="X3" s="89"/>
      <c r="AB3" s="25" t="s">
        <v>507</v>
      </c>
      <c r="AE3" s="25" t="s">
        <v>330</v>
      </c>
      <c r="AH3" s="89"/>
      <c r="AI3" s="89"/>
      <c r="AJ3" s="89"/>
      <c r="AK3" s="25" t="s">
        <v>320</v>
      </c>
      <c r="AO3" s="25" t="s">
        <v>511</v>
      </c>
      <c r="AZ3" s="89"/>
      <c r="BA3" s="89"/>
      <c r="BB3" s="89"/>
      <c r="BC3" s="89"/>
      <c r="BD3" s="89"/>
      <c r="BE3" s="89"/>
      <c r="BF3" s="89"/>
      <c r="BG3" s="89"/>
      <c r="BH3" s="89"/>
      <c r="BI3" s="89"/>
      <c r="BP3" s="25" t="s">
        <v>989</v>
      </c>
      <c r="BS3" s="25" t="s">
        <v>503</v>
      </c>
      <c r="BV3" s="25" t="s">
        <v>513</v>
      </c>
      <c r="CO3" s="89"/>
      <c r="CP3" s="89"/>
      <c r="CQ3" s="89"/>
      <c r="CR3" s="180"/>
      <c r="CS3" s="180"/>
      <c r="CT3" s="180"/>
      <c r="CU3" s="180"/>
      <c r="CV3" s="180"/>
      <c r="CW3" s="89"/>
      <c r="CX3" s="89"/>
      <c r="CY3" s="89"/>
      <c r="CZ3" s="89"/>
      <c r="DA3" s="89"/>
      <c r="DB3" s="89"/>
      <c r="DC3" s="89"/>
      <c r="DD3" s="89"/>
      <c r="DE3" s="89"/>
      <c r="DF3" s="89"/>
      <c r="DG3" s="89"/>
      <c r="DH3" s="89"/>
      <c r="DI3" s="89"/>
      <c r="DJ3" s="89"/>
      <c r="DK3" s="89"/>
      <c r="DL3" s="25" t="s">
        <v>499</v>
      </c>
      <c r="DM3" s="89"/>
      <c r="DN3" s="89"/>
      <c r="DO3" s="89"/>
      <c r="DP3" s="89"/>
      <c r="DQ3" s="89"/>
      <c r="DR3" s="89"/>
      <c r="DS3" s="89"/>
      <c r="DT3" s="89"/>
      <c r="DU3" s="89"/>
      <c r="DV3" s="89"/>
      <c r="DW3" s="89"/>
      <c r="DX3" s="89"/>
      <c r="DY3" s="89"/>
      <c r="EE3" s="89"/>
      <c r="EF3" s="89"/>
      <c r="EG3" s="89"/>
      <c r="EM3" s="89"/>
      <c r="EN3" s="89"/>
      <c r="EO3" s="89"/>
      <c r="EP3" s="89"/>
      <c r="EQ3" s="89"/>
      <c r="ER3" s="89"/>
      <c r="ES3" s="89"/>
      <c r="ET3" s="89"/>
      <c r="EU3" s="89"/>
      <c r="EV3" s="89"/>
      <c r="EW3" s="89"/>
      <c r="EX3" s="89"/>
      <c r="EY3" s="89"/>
      <c r="EZ3" s="89"/>
      <c r="FA3" s="89"/>
      <c r="FB3" s="25" t="s">
        <v>122</v>
      </c>
      <c r="FE3" s="25" t="s">
        <v>330</v>
      </c>
      <c r="FV3" s="89"/>
      <c r="FY3" s="89"/>
      <c r="FZ3" s="89"/>
      <c r="GF3" s="89"/>
      <c r="GU3" s="25" t="s">
        <v>122</v>
      </c>
      <c r="GX3" s="89" t="s">
        <v>6</v>
      </c>
      <c r="GY3" s="25" t="s">
        <v>363</v>
      </c>
      <c r="GZ3" s="178"/>
      <c r="HA3" s="178"/>
      <c r="HB3" s="178"/>
      <c r="HC3" s="178"/>
      <c r="HD3" s="178"/>
      <c r="HE3" s="178"/>
      <c r="HF3" s="178"/>
      <c r="HG3" s="178"/>
      <c r="HH3" s="178"/>
      <c r="HI3" s="178"/>
      <c r="HJ3" s="178"/>
      <c r="HK3" s="178"/>
      <c r="HL3" s="178"/>
      <c r="HO3" s="178"/>
      <c r="HS3" s="89"/>
      <c r="HT3" s="89"/>
      <c r="HU3" s="89"/>
      <c r="HV3" s="89"/>
      <c r="HW3" s="89"/>
      <c r="HX3" s="89"/>
      <c r="HY3" s="89"/>
      <c r="HZ3" s="89"/>
      <c r="IA3" s="89"/>
      <c r="IB3" s="89"/>
      <c r="IC3" s="89"/>
      <c r="ID3" s="89"/>
      <c r="IE3" s="89"/>
      <c r="IF3" s="89"/>
      <c r="IG3" s="89"/>
      <c r="IH3" s="89"/>
      <c r="II3" s="89"/>
      <c r="IJ3" s="89"/>
      <c r="IK3" s="89"/>
      <c r="IL3" s="89"/>
      <c r="IM3" s="89"/>
      <c r="IN3" s="89"/>
      <c r="IO3" s="89" t="s">
        <v>848</v>
      </c>
      <c r="IP3" s="20"/>
      <c r="IQ3" s="65"/>
      <c r="IR3" s="65"/>
      <c r="IS3" s="65"/>
      <c r="IT3" s="65"/>
      <c r="IU3" s="180"/>
      <c r="IV3" s="89" t="s">
        <v>870</v>
      </c>
      <c r="IX3" s="89"/>
      <c r="IY3" s="89"/>
      <c r="IZ3" s="89"/>
      <c r="JA3" s="89"/>
      <c r="JB3" s="89"/>
      <c r="JC3" s="89"/>
      <c r="JD3" s="89"/>
      <c r="JE3" s="89"/>
      <c r="JF3" s="89"/>
      <c r="JG3" s="89"/>
      <c r="JH3" s="89"/>
      <c r="JI3" s="89"/>
      <c r="JJ3" s="89"/>
      <c r="JK3" s="25" t="s">
        <v>274</v>
      </c>
      <c r="JL3" s="89"/>
      <c r="JM3" s="178"/>
      <c r="JN3" s="178"/>
      <c r="JO3" s="178"/>
      <c r="JP3" s="178"/>
      <c r="JQ3" s="89" t="s">
        <v>296</v>
      </c>
      <c r="JR3" s="89"/>
      <c r="JT3" s="89"/>
      <c r="JU3" s="89"/>
      <c r="JV3" s="89"/>
      <c r="JW3" s="89"/>
      <c r="JX3" s="89"/>
      <c r="JY3" s="89"/>
      <c r="JZ3" s="89" t="s">
        <v>250</v>
      </c>
      <c r="KA3" s="89"/>
      <c r="KC3" s="89"/>
      <c r="KD3" s="178"/>
      <c r="KE3" s="178"/>
      <c r="KF3" s="178"/>
      <c r="KG3" s="178"/>
      <c r="KH3" s="178"/>
      <c r="KI3" s="178"/>
      <c r="KJ3" s="25" t="s">
        <v>985</v>
      </c>
      <c r="KK3" s="178"/>
      <c r="KL3" s="178"/>
      <c r="KM3" s="178"/>
      <c r="KN3" s="178"/>
      <c r="KO3" s="178"/>
      <c r="KP3" s="178"/>
      <c r="KQ3" s="178"/>
      <c r="KR3" s="178"/>
      <c r="KS3" s="178"/>
      <c r="KX3" s="89"/>
      <c r="KY3" s="89"/>
      <c r="KZ3" s="89"/>
      <c r="LA3" s="89"/>
      <c r="LB3" s="89"/>
      <c r="LC3" s="89"/>
      <c r="LD3" s="89"/>
      <c r="LE3" s="89"/>
      <c r="LF3" s="89"/>
      <c r="LG3" s="89"/>
      <c r="LH3" s="89"/>
      <c r="LI3" s="89"/>
      <c r="LJ3" s="89"/>
      <c r="LK3" s="89"/>
      <c r="LL3" s="89"/>
      <c r="LM3" s="89"/>
      <c r="LN3" s="25" t="s">
        <v>499</v>
      </c>
      <c r="LO3" s="89"/>
      <c r="LP3" s="89"/>
      <c r="LQ3" s="89"/>
      <c r="LR3" s="89"/>
      <c r="LS3" s="89"/>
      <c r="LT3" s="89"/>
      <c r="LU3" s="89"/>
      <c r="LV3" s="89"/>
      <c r="LW3" s="89"/>
      <c r="MB3" s="89"/>
      <c r="MG3" s="89"/>
      <c r="MH3" s="89"/>
      <c r="MI3" s="89"/>
      <c r="MJ3" s="89"/>
      <c r="MK3" s="89"/>
      <c r="ML3" s="89"/>
      <c r="MM3" s="89"/>
      <c r="MN3" s="89"/>
      <c r="MO3" s="89"/>
      <c r="MP3" s="89"/>
      <c r="MQ3" s="89"/>
      <c r="MS3" s="25" t="s">
        <v>513</v>
      </c>
      <c r="NE3" s="25" t="s">
        <v>499</v>
      </c>
      <c r="NF3" s="89"/>
      <c r="NG3" s="89"/>
      <c r="NH3" s="89"/>
      <c r="NJ3" s="89"/>
      <c r="NK3" s="89"/>
      <c r="NL3" s="89"/>
      <c r="NM3" s="89"/>
      <c r="NN3" s="89"/>
      <c r="NO3" s="89"/>
      <c r="NP3" s="89"/>
      <c r="NQ3" s="25" t="s">
        <v>990</v>
      </c>
      <c r="RU3" s="180"/>
      <c r="RV3" s="180"/>
      <c r="RW3" s="180"/>
      <c r="RX3" s="180"/>
      <c r="RY3" s="180"/>
      <c r="RZ3" s="180"/>
    </row>
    <row r="4" spans="1:534" s="20" customFormat="1" ht="15" customHeight="1" x14ac:dyDescent="0.3">
      <c r="A4" s="622"/>
      <c r="B4" s="20" t="s">
        <v>366</v>
      </c>
      <c r="D4" s="706"/>
      <c r="E4" s="65" t="s">
        <v>369</v>
      </c>
      <c r="F4" s="65"/>
      <c r="G4" s="65"/>
      <c r="H4" s="65"/>
      <c r="I4" s="65"/>
      <c r="J4" s="65"/>
      <c r="K4" s="65"/>
      <c r="L4" s="65"/>
      <c r="M4" s="65"/>
      <c r="O4" s="20" t="s">
        <v>6</v>
      </c>
      <c r="R4" s="20" t="s">
        <v>169</v>
      </c>
      <c r="T4" s="20" t="s">
        <v>203</v>
      </c>
      <c r="X4" s="65"/>
      <c r="AB4" s="20" t="s">
        <v>46</v>
      </c>
      <c r="AC4" s="65" t="s">
        <v>39</v>
      </c>
      <c r="AD4" s="65" t="s">
        <v>57</v>
      </c>
      <c r="AE4" s="65" t="s">
        <v>43</v>
      </c>
      <c r="AF4" s="65"/>
      <c r="AG4" s="65" t="s">
        <v>39</v>
      </c>
      <c r="AH4" s="65"/>
      <c r="AI4" s="65" t="s">
        <v>40</v>
      </c>
      <c r="AJ4" s="65"/>
      <c r="AL4" s="20" t="s">
        <v>151</v>
      </c>
      <c r="AO4" s="65" t="s">
        <v>468</v>
      </c>
      <c r="AP4" s="65"/>
      <c r="AQ4" s="65"/>
      <c r="AR4" s="65"/>
      <c r="AS4" s="65"/>
      <c r="AT4" s="65" t="s">
        <v>321</v>
      </c>
      <c r="AU4" s="65"/>
      <c r="AY4" s="65"/>
      <c r="AZ4" s="65" t="s">
        <v>460</v>
      </c>
      <c r="BA4" s="65"/>
      <c r="BB4" s="65"/>
      <c r="BC4" s="65" t="s">
        <v>467</v>
      </c>
      <c r="BD4" s="65" t="s">
        <v>824</v>
      </c>
      <c r="BE4" s="65"/>
      <c r="BF4" s="65"/>
      <c r="BG4" s="65"/>
      <c r="BH4" s="65"/>
      <c r="BI4" s="65"/>
      <c r="BJ4" s="65" t="s">
        <v>823</v>
      </c>
      <c r="BK4" s="65"/>
      <c r="BL4" s="65"/>
      <c r="BM4" s="65"/>
      <c r="BN4" s="65"/>
      <c r="BO4" s="65"/>
      <c r="BP4" s="65" t="s">
        <v>46</v>
      </c>
      <c r="BQ4" s="65" t="s">
        <v>39</v>
      </c>
      <c r="BR4" s="65" t="s">
        <v>40</v>
      </c>
      <c r="BS4" s="65" t="s">
        <v>46</v>
      </c>
      <c r="BT4" s="65" t="s">
        <v>39</v>
      </c>
      <c r="BU4" s="65" t="s">
        <v>40</v>
      </c>
      <c r="BV4" s="65" t="s">
        <v>505</v>
      </c>
      <c r="BW4" s="65"/>
      <c r="BX4" s="65"/>
      <c r="BY4" s="65"/>
      <c r="BZ4" s="65"/>
      <c r="CA4" s="65"/>
      <c r="CB4" s="65"/>
      <c r="CC4" s="65"/>
      <c r="CD4" s="65"/>
      <c r="CE4" s="65"/>
      <c r="CF4" s="65"/>
      <c r="CG4" s="65"/>
      <c r="CH4" s="65"/>
      <c r="CI4" s="65"/>
      <c r="CJ4" s="65" t="s">
        <v>39</v>
      </c>
      <c r="CL4" s="65"/>
      <c r="CM4" s="65"/>
      <c r="CN4" s="65"/>
      <c r="CO4" s="65"/>
      <c r="CP4" s="65"/>
      <c r="CQ4" s="65"/>
      <c r="CR4" s="119"/>
      <c r="CS4" s="119"/>
      <c r="CT4" s="119"/>
      <c r="CU4" s="119"/>
      <c r="CV4" s="119"/>
      <c r="CW4" s="65"/>
      <c r="CX4" s="65" t="s">
        <v>40</v>
      </c>
      <c r="CY4" s="65"/>
      <c r="CZ4" s="65"/>
      <c r="DA4" s="65"/>
      <c r="DB4" s="65"/>
      <c r="DC4" s="65"/>
      <c r="DD4" s="65"/>
      <c r="DE4" s="65"/>
      <c r="DF4" s="65"/>
      <c r="DG4" s="65"/>
      <c r="DH4" s="65"/>
      <c r="DI4" s="65"/>
      <c r="DJ4" s="65"/>
      <c r="DK4" s="65"/>
      <c r="DL4" s="65" t="s">
        <v>505</v>
      </c>
      <c r="DM4" s="65"/>
      <c r="DN4" s="65"/>
      <c r="DO4" s="65"/>
      <c r="DP4" s="65"/>
      <c r="DQ4" s="65"/>
      <c r="DR4" s="65"/>
      <c r="DS4" s="65"/>
      <c r="DT4" s="65"/>
      <c r="DU4" s="65"/>
      <c r="DV4" s="65"/>
      <c r="DW4" s="65"/>
      <c r="DX4" s="65"/>
      <c r="DY4" s="65"/>
      <c r="DZ4" s="65" t="s">
        <v>39</v>
      </c>
      <c r="EC4" s="65"/>
      <c r="ED4" s="65"/>
      <c r="EE4" s="65"/>
      <c r="EF4" s="65"/>
      <c r="EG4" s="65"/>
      <c r="EH4" s="65"/>
      <c r="EI4" s="119"/>
      <c r="EJ4" s="119"/>
      <c r="EK4" s="119"/>
      <c r="EL4" s="119"/>
      <c r="EM4" s="119"/>
      <c r="EN4" s="65" t="s">
        <v>40</v>
      </c>
      <c r="EP4" s="65"/>
      <c r="EQ4" s="65"/>
      <c r="ER4" s="65"/>
      <c r="ES4" s="65"/>
      <c r="ET4" s="65"/>
      <c r="EU4" s="65"/>
      <c r="EV4" s="65"/>
      <c r="EW4" s="65"/>
      <c r="EX4" s="65"/>
      <c r="EY4" s="65"/>
      <c r="EZ4" s="65"/>
      <c r="FA4" s="65"/>
      <c r="FB4" s="20" t="s">
        <v>46</v>
      </c>
      <c r="FC4" s="20" t="s">
        <v>56</v>
      </c>
      <c r="FD4" s="20" t="s">
        <v>57</v>
      </c>
      <c r="FE4" s="65" t="s">
        <v>505</v>
      </c>
      <c r="FS4" s="20" t="s">
        <v>39</v>
      </c>
      <c r="FV4" s="65"/>
      <c r="FY4" s="65"/>
      <c r="FZ4" s="65"/>
      <c r="GF4" s="65"/>
      <c r="GG4" s="20" t="s">
        <v>40</v>
      </c>
      <c r="GU4" s="20" t="s">
        <v>46</v>
      </c>
      <c r="GV4" s="20" t="s">
        <v>56</v>
      </c>
      <c r="GW4" s="20" t="s">
        <v>57</v>
      </c>
      <c r="GX4" s="20" t="s">
        <v>980</v>
      </c>
      <c r="GY4" s="65" t="s">
        <v>505</v>
      </c>
      <c r="HM4" s="20" t="s">
        <v>39</v>
      </c>
      <c r="HS4" s="65"/>
      <c r="HT4" s="65"/>
      <c r="HU4" s="65"/>
      <c r="HV4" s="65"/>
      <c r="HW4" s="65"/>
      <c r="HX4" s="65"/>
      <c r="HY4" s="65"/>
      <c r="HZ4" s="65"/>
      <c r="IA4" s="20" t="s">
        <v>40</v>
      </c>
      <c r="IG4" s="65"/>
      <c r="IH4" s="65"/>
      <c r="II4" s="65"/>
      <c r="IJ4" s="65"/>
      <c r="IK4" s="65"/>
      <c r="IL4" s="65"/>
      <c r="IM4" s="65"/>
      <c r="IN4" s="65"/>
      <c r="IO4" s="119" t="s">
        <v>2</v>
      </c>
      <c r="IP4" s="20" t="s">
        <v>981</v>
      </c>
      <c r="IS4" s="20" t="s">
        <v>250</v>
      </c>
      <c r="IT4" s="94"/>
      <c r="IU4" s="120"/>
      <c r="IV4" s="20" t="s">
        <v>274</v>
      </c>
      <c r="IX4" s="65"/>
      <c r="IY4" s="65"/>
      <c r="IZ4" s="65"/>
      <c r="JA4" s="65"/>
      <c r="JB4" s="65"/>
      <c r="JC4" s="65"/>
      <c r="JD4" s="65"/>
      <c r="JE4" s="65"/>
      <c r="JF4" s="65"/>
      <c r="JG4" s="65"/>
      <c r="JH4" s="65"/>
      <c r="JI4" s="65"/>
      <c r="JJ4" s="65"/>
      <c r="JK4" s="20" t="s">
        <v>364</v>
      </c>
      <c r="JP4" s="178" t="s">
        <v>456</v>
      </c>
      <c r="JQ4" s="20" t="s">
        <v>364</v>
      </c>
      <c r="JR4" s="65"/>
      <c r="JS4" s="65"/>
      <c r="JT4" s="65"/>
      <c r="JU4" s="65"/>
      <c r="JZ4" s="20" t="s">
        <v>364</v>
      </c>
      <c r="KA4" s="65"/>
      <c r="KD4" s="65"/>
      <c r="KE4" s="65"/>
      <c r="KF4" s="65"/>
      <c r="KG4" s="65"/>
      <c r="KH4" s="65"/>
      <c r="KJ4" s="65" t="s">
        <v>505</v>
      </c>
      <c r="KK4" s="65"/>
      <c r="KL4" s="65"/>
      <c r="KM4" s="65"/>
      <c r="KN4" s="65"/>
      <c r="KO4" s="65"/>
      <c r="KP4" s="65"/>
      <c r="KQ4" s="65"/>
      <c r="KR4" s="65"/>
      <c r="KS4" s="65"/>
      <c r="KT4" s="65" t="s">
        <v>39</v>
      </c>
      <c r="KU4" s="65"/>
      <c r="KV4" s="65"/>
      <c r="KW4" s="65"/>
      <c r="KX4" s="65"/>
      <c r="KY4" s="65"/>
      <c r="KZ4" s="65"/>
      <c r="LA4" s="65"/>
      <c r="LB4" s="65"/>
      <c r="LC4" s="65"/>
      <c r="LD4" s="65" t="s">
        <v>40</v>
      </c>
      <c r="LE4" s="65"/>
      <c r="LF4" s="65"/>
      <c r="LG4" s="65"/>
      <c r="LH4" s="65"/>
      <c r="LI4" s="65"/>
      <c r="LJ4" s="65"/>
      <c r="LK4" s="65"/>
      <c r="LL4" s="65"/>
      <c r="LM4" s="65"/>
      <c r="LN4" s="65" t="s">
        <v>505</v>
      </c>
      <c r="LO4" s="65"/>
      <c r="LP4" s="65"/>
      <c r="LQ4" s="65"/>
      <c r="LR4" s="65"/>
      <c r="LS4" s="65"/>
      <c r="LT4" s="65"/>
      <c r="LU4" s="65"/>
      <c r="LV4" s="65"/>
      <c r="LW4" s="65"/>
      <c r="LX4" s="65" t="s">
        <v>39</v>
      </c>
      <c r="LY4" s="65"/>
      <c r="LZ4" s="65"/>
      <c r="MA4" s="65"/>
      <c r="MB4" s="65"/>
      <c r="MC4" s="65"/>
      <c r="MD4" s="65"/>
      <c r="ME4" s="65"/>
      <c r="MF4" s="65"/>
      <c r="MG4" s="65"/>
      <c r="MH4" s="65" t="s">
        <v>40</v>
      </c>
      <c r="MI4" s="65"/>
      <c r="MJ4" s="65"/>
      <c r="MK4" s="65"/>
      <c r="ML4" s="65"/>
      <c r="MM4" s="65"/>
      <c r="MN4" s="65"/>
      <c r="MO4" s="65"/>
      <c r="MP4" s="65"/>
      <c r="MQ4" s="65"/>
      <c r="MR4" s="65"/>
      <c r="MS4" s="65" t="s">
        <v>504</v>
      </c>
      <c r="MT4" s="65"/>
      <c r="MU4" s="65"/>
      <c r="MV4" s="65"/>
      <c r="MW4" s="65" t="s">
        <v>39</v>
      </c>
      <c r="MX4" s="65"/>
      <c r="MY4" s="65"/>
      <c r="MZ4" s="65"/>
      <c r="NA4" s="65" t="s">
        <v>40</v>
      </c>
      <c r="NB4" s="65"/>
      <c r="NC4" s="65"/>
      <c r="ND4" s="65"/>
      <c r="NE4" s="65" t="s">
        <v>504</v>
      </c>
      <c r="NF4" s="65"/>
      <c r="NG4" s="65"/>
      <c r="NH4" s="65"/>
      <c r="NI4" s="65" t="s">
        <v>39</v>
      </c>
      <c r="NJ4" s="65"/>
      <c r="NK4" s="65"/>
      <c r="NL4" s="65"/>
      <c r="NM4" s="65" t="s">
        <v>40</v>
      </c>
      <c r="NN4" s="65"/>
      <c r="NO4" s="65"/>
      <c r="NP4" s="65"/>
      <c r="NQ4" s="65" t="s">
        <v>46</v>
      </c>
      <c r="NR4" s="65" t="s">
        <v>39</v>
      </c>
      <c r="NS4" s="65" t="s">
        <v>40</v>
      </c>
      <c r="NT4" s="20" t="s">
        <v>33</v>
      </c>
      <c r="NU4" s="20" t="s">
        <v>236</v>
      </c>
      <c r="NV4" s="20" t="s">
        <v>982</v>
      </c>
      <c r="NY4" s="20" t="s">
        <v>983</v>
      </c>
      <c r="OA4" s="20" t="s">
        <v>130</v>
      </c>
      <c r="OC4" s="20" t="s">
        <v>16</v>
      </c>
      <c r="OE4" s="94" t="s">
        <v>387</v>
      </c>
      <c r="RG4" s="20" t="s">
        <v>36</v>
      </c>
      <c r="RH4" s="20" t="s">
        <v>37</v>
      </c>
      <c r="RM4" s="20" t="s">
        <v>9</v>
      </c>
      <c r="RU4" s="119" t="s">
        <v>31</v>
      </c>
      <c r="RV4" s="119"/>
      <c r="RW4" s="119"/>
      <c r="RX4" s="119" t="s">
        <v>32</v>
      </c>
      <c r="RY4" s="119"/>
      <c r="RZ4" s="119"/>
      <c r="SA4" s="20" t="s">
        <v>968</v>
      </c>
      <c r="SI4" s="20" t="s">
        <v>12</v>
      </c>
      <c r="SQ4" s="20" t="s">
        <v>13</v>
      </c>
      <c r="SY4" s="20" t="s">
        <v>14</v>
      </c>
      <c r="TG4" s="20" t="s">
        <v>2</v>
      </c>
      <c r="TI4" s="20" t="s">
        <v>3</v>
      </c>
      <c r="TL4" s="20" t="s">
        <v>4</v>
      </c>
    </row>
    <row r="5" spans="1:534" s="94" customFormat="1" ht="15" customHeight="1" x14ac:dyDescent="0.3">
      <c r="A5" s="573"/>
      <c r="D5" s="707"/>
      <c r="E5" s="114" t="s">
        <v>371</v>
      </c>
      <c r="F5" s="114"/>
      <c r="G5" s="114"/>
      <c r="H5" s="114"/>
      <c r="I5" s="114"/>
      <c r="J5" s="114"/>
      <c r="K5" s="114"/>
      <c r="L5" s="114"/>
      <c r="M5" s="114"/>
      <c r="X5" s="114"/>
      <c r="AE5" s="114" t="s">
        <v>333</v>
      </c>
      <c r="AF5" s="114" t="s">
        <v>334</v>
      </c>
      <c r="AG5" s="114" t="s">
        <v>333</v>
      </c>
      <c r="AH5" s="114" t="s">
        <v>334</v>
      </c>
      <c r="AI5" s="114" t="s">
        <v>333</v>
      </c>
      <c r="AJ5" s="114" t="s">
        <v>334</v>
      </c>
      <c r="AO5" s="114"/>
      <c r="AP5" s="114"/>
      <c r="AQ5" s="114"/>
      <c r="AR5" s="114"/>
      <c r="AS5" s="114"/>
      <c r="AT5" s="94" t="s">
        <v>463</v>
      </c>
      <c r="AU5" s="114"/>
      <c r="AY5" s="114"/>
      <c r="AZ5" s="94" t="s">
        <v>462</v>
      </c>
      <c r="BA5" s="114"/>
      <c r="BB5" s="114"/>
      <c r="BC5" s="94" t="s">
        <v>469</v>
      </c>
      <c r="BD5" s="94" t="s">
        <v>463</v>
      </c>
      <c r="BE5" s="114"/>
      <c r="BF5" s="114"/>
      <c r="BG5" s="114"/>
      <c r="BH5" s="114"/>
      <c r="BI5" s="114"/>
      <c r="BJ5" s="94" t="s">
        <v>463</v>
      </c>
      <c r="BK5" s="114"/>
      <c r="BL5" s="114"/>
      <c r="BM5" s="114"/>
      <c r="BN5" s="114"/>
      <c r="BO5" s="114"/>
      <c r="BP5" s="114"/>
      <c r="BQ5" s="114"/>
      <c r="BR5" s="114"/>
      <c r="BS5" s="114"/>
      <c r="BT5" s="114"/>
      <c r="BU5" s="114"/>
      <c r="BV5" s="114" t="s">
        <v>411</v>
      </c>
      <c r="BX5" s="114"/>
      <c r="BY5" s="114"/>
      <c r="BZ5" s="114"/>
      <c r="CA5" s="114"/>
      <c r="CB5" s="114"/>
      <c r="CC5" s="120" t="s">
        <v>331</v>
      </c>
      <c r="CG5" s="114"/>
      <c r="CH5" s="114"/>
      <c r="CI5" s="114"/>
      <c r="CJ5" s="114" t="s">
        <v>411</v>
      </c>
      <c r="CL5" s="114"/>
      <c r="CM5" s="114"/>
      <c r="CN5" s="114"/>
      <c r="CO5" s="114"/>
      <c r="CP5" s="114"/>
      <c r="CQ5" s="120" t="s">
        <v>331</v>
      </c>
      <c r="CU5" s="120"/>
      <c r="CV5" s="120"/>
      <c r="CW5" s="114"/>
      <c r="CX5" s="114" t="s">
        <v>411</v>
      </c>
      <c r="CZ5" s="114"/>
      <c r="DA5" s="114"/>
      <c r="DB5" s="114"/>
      <c r="DC5" s="114"/>
      <c r="DD5" s="114"/>
      <c r="DE5" s="120" t="s">
        <v>331</v>
      </c>
      <c r="DI5" s="114"/>
      <c r="DJ5" s="114"/>
      <c r="DK5" s="114"/>
      <c r="DL5" s="114" t="s">
        <v>411</v>
      </c>
      <c r="DN5" s="114"/>
      <c r="DO5" s="114"/>
      <c r="DP5" s="114"/>
      <c r="DQ5" s="114"/>
      <c r="DR5" s="114"/>
      <c r="DS5" s="120" t="s">
        <v>331</v>
      </c>
      <c r="DW5" s="114"/>
      <c r="DX5" s="114"/>
      <c r="DY5" s="114"/>
      <c r="DZ5" s="114" t="s">
        <v>411</v>
      </c>
      <c r="EB5" s="114"/>
      <c r="EC5" s="114"/>
      <c r="ED5" s="114"/>
      <c r="EE5" s="114"/>
      <c r="EF5" s="114"/>
      <c r="EG5" s="120" t="s">
        <v>331</v>
      </c>
      <c r="EK5" s="114"/>
      <c r="EL5" s="114"/>
      <c r="EM5" s="114"/>
      <c r="EN5" s="114" t="s">
        <v>411</v>
      </c>
      <c r="EP5" s="114"/>
      <c r="EQ5" s="114"/>
      <c r="ER5" s="114"/>
      <c r="ES5" s="114"/>
      <c r="ET5" s="114"/>
      <c r="EU5" s="120" t="s">
        <v>331</v>
      </c>
      <c r="EY5" s="114"/>
      <c r="EZ5" s="114"/>
      <c r="FA5" s="114"/>
      <c r="FB5" s="114"/>
      <c r="FC5" s="114"/>
      <c r="FD5" s="114"/>
      <c r="FE5" s="114" t="s">
        <v>411</v>
      </c>
      <c r="FH5" s="114"/>
      <c r="FK5" s="114"/>
      <c r="FL5" s="120" t="s">
        <v>331</v>
      </c>
      <c r="FR5" s="114"/>
      <c r="FS5" s="114" t="s">
        <v>411</v>
      </c>
      <c r="FV5" s="114"/>
      <c r="FY5" s="114"/>
      <c r="FZ5" s="120" t="s">
        <v>331</v>
      </c>
      <c r="GF5" s="114"/>
      <c r="GG5" s="114" t="s">
        <v>411</v>
      </c>
      <c r="GJ5" s="114"/>
      <c r="GM5" s="114"/>
      <c r="GN5" s="120" t="s">
        <v>331</v>
      </c>
      <c r="GT5" s="114"/>
      <c r="GU5" s="114"/>
      <c r="GV5" s="114"/>
      <c r="GW5" s="114"/>
      <c r="GX5" s="120" t="s">
        <v>46</v>
      </c>
      <c r="GY5" s="114" t="s">
        <v>322</v>
      </c>
      <c r="HB5" s="114"/>
      <c r="HD5" s="114"/>
      <c r="HE5" s="114"/>
      <c r="HF5" s="94" t="s">
        <v>331</v>
      </c>
      <c r="HG5" s="114"/>
      <c r="HH5" s="114"/>
      <c r="HI5" s="114"/>
      <c r="HJ5" s="114"/>
      <c r="HK5" s="114"/>
      <c r="HL5" s="114"/>
      <c r="HM5" s="114" t="s">
        <v>322</v>
      </c>
      <c r="HP5" s="114"/>
      <c r="HR5" s="114"/>
      <c r="HS5" s="114"/>
      <c r="HT5" s="94" t="s">
        <v>331</v>
      </c>
      <c r="HU5" s="114"/>
      <c r="HV5" s="114"/>
      <c r="HW5" s="114"/>
      <c r="HX5" s="114"/>
      <c r="HY5" s="114"/>
      <c r="HZ5" s="114"/>
      <c r="IA5" s="114" t="s">
        <v>322</v>
      </c>
      <c r="ID5" s="114"/>
      <c r="IF5" s="114"/>
      <c r="IG5" s="114"/>
      <c r="IH5" s="94" t="s">
        <v>331</v>
      </c>
      <c r="II5" s="114"/>
      <c r="IJ5" s="114"/>
      <c r="IK5" s="114"/>
      <c r="IL5" s="114"/>
      <c r="IM5" s="114"/>
      <c r="IN5" s="114"/>
      <c r="IO5" s="476"/>
      <c r="IP5" s="114" t="s">
        <v>869</v>
      </c>
      <c r="IQ5" s="114" t="s">
        <v>868</v>
      </c>
      <c r="IR5" s="114" t="s">
        <v>269</v>
      </c>
      <c r="IS5" s="114" t="s">
        <v>529</v>
      </c>
      <c r="IT5" s="114" t="s">
        <v>528</v>
      </c>
      <c r="IU5" s="477" t="s">
        <v>269</v>
      </c>
      <c r="IV5" s="114" t="s">
        <v>322</v>
      </c>
      <c r="IX5" s="114"/>
      <c r="IY5" s="114"/>
      <c r="IZ5" s="114"/>
      <c r="JE5" s="94" t="s">
        <v>331</v>
      </c>
      <c r="JG5" s="114"/>
      <c r="JH5" s="114"/>
      <c r="JI5" s="114"/>
      <c r="JJ5" s="114"/>
      <c r="JK5" s="94" t="s">
        <v>273</v>
      </c>
      <c r="JL5" s="114"/>
      <c r="JM5" s="114" t="s">
        <v>437</v>
      </c>
      <c r="JN5" s="114" t="s">
        <v>417</v>
      </c>
      <c r="JO5" s="114" t="s">
        <v>416</v>
      </c>
      <c r="JP5" s="95" t="s">
        <v>273</v>
      </c>
      <c r="JQ5" s="94" t="s">
        <v>273</v>
      </c>
      <c r="JR5" s="114"/>
      <c r="JS5" s="114" t="s">
        <v>361</v>
      </c>
      <c r="JT5" s="114"/>
      <c r="JU5" s="114" t="s">
        <v>362</v>
      </c>
      <c r="JX5" s="114" t="s">
        <v>269</v>
      </c>
      <c r="JZ5" s="94" t="s">
        <v>273</v>
      </c>
      <c r="KA5" s="114"/>
      <c r="KB5" s="114" t="s">
        <v>361</v>
      </c>
      <c r="KD5" s="114" t="s">
        <v>292</v>
      </c>
      <c r="KE5" s="114"/>
      <c r="KF5" s="114" t="s">
        <v>362</v>
      </c>
      <c r="KH5" s="114" t="s">
        <v>269</v>
      </c>
      <c r="KJ5" s="114" t="s">
        <v>156</v>
      </c>
      <c r="KK5" s="114"/>
      <c r="KL5" s="114"/>
      <c r="KM5" s="114"/>
      <c r="KN5" s="114"/>
      <c r="KO5" s="94" t="s">
        <v>331</v>
      </c>
      <c r="KQ5" s="114"/>
      <c r="KR5" s="114"/>
      <c r="KS5" s="114"/>
      <c r="KT5" s="114" t="s">
        <v>156</v>
      </c>
      <c r="KU5" s="114"/>
      <c r="KV5" s="114"/>
      <c r="KW5" s="114"/>
      <c r="KX5" s="114"/>
      <c r="KY5" s="94" t="s">
        <v>331</v>
      </c>
      <c r="LA5" s="114"/>
      <c r="LB5" s="114"/>
      <c r="LC5" s="114"/>
      <c r="LD5" s="114" t="s">
        <v>156</v>
      </c>
      <c r="LE5" s="114"/>
      <c r="LF5" s="114"/>
      <c r="LG5" s="114"/>
      <c r="LH5" s="114"/>
      <c r="LI5" s="94" t="s">
        <v>331</v>
      </c>
      <c r="LK5" s="114"/>
      <c r="LL5" s="114"/>
      <c r="LM5" s="114"/>
      <c r="LN5" s="114" t="s">
        <v>156</v>
      </c>
      <c r="LO5" s="114"/>
      <c r="LP5" s="114"/>
      <c r="LQ5" s="114"/>
      <c r="LR5" s="114"/>
      <c r="LS5" s="94" t="s">
        <v>331</v>
      </c>
      <c r="LU5" s="114"/>
      <c r="LV5" s="114"/>
      <c r="LW5" s="114"/>
      <c r="LX5" s="114" t="s">
        <v>156</v>
      </c>
      <c r="LY5" s="114"/>
      <c r="LZ5" s="114"/>
      <c r="MA5" s="114"/>
      <c r="MB5" s="114"/>
      <c r="MC5" s="94" t="s">
        <v>331</v>
      </c>
      <c r="ME5" s="114"/>
      <c r="MF5" s="114"/>
      <c r="MG5" s="114"/>
      <c r="MH5" s="114" t="s">
        <v>156</v>
      </c>
      <c r="MI5" s="114"/>
      <c r="MJ5" s="114"/>
      <c r="MK5" s="114"/>
      <c r="ML5" s="114"/>
      <c r="MM5" s="94" t="s">
        <v>331</v>
      </c>
      <c r="MO5" s="114"/>
      <c r="MP5" s="114"/>
      <c r="MQ5" s="114"/>
      <c r="MS5" s="114" t="s">
        <v>322</v>
      </c>
      <c r="MT5" s="114"/>
      <c r="MU5" s="94" t="s">
        <v>331</v>
      </c>
      <c r="MV5" s="114"/>
      <c r="MW5" s="114" t="s">
        <v>322</v>
      </c>
      <c r="MX5" s="114"/>
      <c r="MY5" s="94" t="s">
        <v>331</v>
      </c>
      <c r="MZ5" s="114"/>
      <c r="NA5" s="114" t="s">
        <v>322</v>
      </c>
      <c r="NB5" s="114"/>
      <c r="NC5" s="94" t="s">
        <v>331</v>
      </c>
      <c r="ND5" s="114"/>
      <c r="NE5" s="114" t="s">
        <v>322</v>
      </c>
      <c r="NF5" s="114"/>
      <c r="NG5" s="94" t="s">
        <v>331</v>
      </c>
      <c r="NH5" s="114"/>
      <c r="NI5" s="114" t="s">
        <v>322</v>
      </c>
      <c r="NJ5" s="114"/>
      <c r="NK5" s="94" t="s">
        <v>331</v>
      </c>
      <c r="NL5" s="114"/>
      <c r="NM5" s="114" t="s">
        <v>322</v>
      </c>
      <c r="NN5" s="114"/>
      <c r="NO5" s="94" t="s">
        <v>331</v>
      </c>
      <c r="NP5" s="114"/>
      <c r="NQ5" s="114" t="s">
        <v>322</v>
      </c>
      <c r="NR5" s="114" t="s">
        <v>322</v>
      </c>
      <c r="NS5" s="114" t="s">
        <v>322</v>
      </c>
      <c r="RU5" s="120"/>
      <c r="RV5" s="120"/>
      <c r="RW5" s="120"/>
      <c r="RX5" s="120"/>
      <c r="RY5" s="120"/>
      <c r="RZ5" s="120"/>
    </row>
    <row r="6" spans="1:534" s="94" customFormat="1" ht="15" customHeight="1" x14ac:dyDescent="0.3">
      <c r="A6" s="573"/>
      <c r="D6" s="707"/>
      <c r="E6" s="114"/>
      <c r="F6" s="114"/>
      <c r="G6" s="114"/>
      <c r="H6" s="114"/>
      <c r="I6" s="114"/>
      <c r="J6" s="114"/>
      <c r="K6" s="114" t="s">
        <v>508</v>
      </c>
      <c r="L6" s="114"/>
      <c r="M6" s="114"/>
      <c r="X6" s="114"/>
      <c r="AH6" s="114"/>
      <c r="AI6" s="114"/>
      <c r="AJ6" s="114"/>
      <c r="AZ6" s="114" t="s">
        <v>991</v>
      </c>
      <c r="BA6" s="114" t="s">
        <v>464</v>
      </c>
      <c r="BB6" s="114" t="s">
        <v>465</v>
      </c>
      <c r="BC6" s="114"/>
      <c r="CA6" s="114"/>
      <c r="CB6" s="114"/>
      <c r="CI6" s="114"/>
      <c r="CO6" s="114"/>
      <c r="CP6" s="114"/>
      <c r="CU6" s="120"/>
      <c r="CV6" s="120"/>
      <c r="CW6" s="114"/>
      <c r="DC6" s="114"/>
      <c r="DD6" s="114"/>
      <c r="DK6" s="114"/>
      <c r="DQ6" s="114"/>
      <c r="DR6" s="114"/>
      <c r="DY6" s="114"/>
      <c r="EE6" s="114"/>
      <c r="EF6" s="114"/>
      <c r="EM6" s="114"/>
      <c r="ES6" s="114"/>
      <c r="ET6" s="114"/>
      <c r="FA6" s="114"/>
      <c r="FH6" s="114"/>
      <c r="FK6" s="114"/>
      <c r="FR6" s="114"/>
      <c r="FV6" s="114"/>
      <c r="FY6" s="114"/>
      <c r="GF6" s="114"/>
      <c r="GJ6" s="114"/>
      <c r="GM6" s="114"/>
      <c r="GT6" s="114"/>
      <c r="GU6" s="94" t="s">
        <v>273</v>
      </c>
      <c r="GV6" s="114"/>
      <c r="GW6" s="114"/>
      <c r="GX6" s="94" t="s">
        <v>273</v>
      </c>
      <c r="GY6" s="94" t="s">
        <v>273</v>
      </c>
      <c r="GZ6" s="114"/>
      <c r="HA6" s="114"/>
      <c r="HB6" s="114"/>
      <c r="HC6" s="114"/>
      <c r="HD6" s="114"/>
      <c r="HE6" s="114"/>
      <c r="HF6" s="94" t="s">
        <v>273</v>
      </c>
      <c r="HG6" s="114"/>
      <c r="HH6" s="114"/>
      <c r="HI6" s="114"/>
      <c r="HJ6" s="114"/>
      <c r="HK6" s="114"/>
      <c r="HL6" s="114"/>
      <c r="HM6" s="94" t="s">
        <v>273</v>
      </c>
      <c r="HN6" s="114"/>
      <c r="HO6" s="114"/>
      <c r="HP6" s="114"/>
      <c r="HQ6" s="114"/>
      <c r="HR6" s="114"/>
      <c r="HS6" s="114"/>
      <c r="HT6" s="94" t="s">
        <v>273</v>
      </c>
      <c r="HU6" s="114"/>
      <c r="HV6" s="114"/>
      <c r="HW6" s="114"/>
      <c r="HX6" s="114"/>
      <c r="HY6" s="114"/>
      <c r="HZ6" s="114"/>
      <c r="IA6" s="94" t="s">
        <v>273</v>
      </c>
      <c r="IB6" s="114"/>
      <c r="IC6" s="114"/>
      <c r="ID6" s="114"/>
      <c r="IE6" s="114"/>
      <c r="IF6" s="114"/>
      <c r="IG6" s="114"/>
      <c r="IH6" s="94" t="s">
        <v>273</v>
      </c>
      <c r="II6" s="114"/>
      <c r="IJ6" s="114"/>
      <c r="IK6" s="114"/>
      <c r="IL6" s="114"/>
      <c r="IM6" s="114"/>
      <c r="IN6" s="114"/>
      <c r="IV6" s="94" t="s">
        <v>273</v>
      </c>
      <c r="IX6" s="114"/>
      <c r="IY6" s="114"/>
      <c r="IZ6" s="114"/>
      <c r="JA6" s="95"/>
      <c r="JB6" s="95" t="s">
        <v>437</v>
      </c>
      <c r="JC6" s="95" t="s">
        <v>417</v>
      </c>
      <c r="JD6" s="95" t="s">
        <v>416</v>
      </c>
      <c r="JE6" s="95"/>
      <c r="JF6" s="114"/>
      <c r="JG6" s="114"/>
      <c r="JH6" s="114"/>
      <c r="JI6" s="114"/>
      <c r="JJ6" s="114"/>
      <c r="JK6" s="114"/>
      <c r="JL6" s="114"/>
      <c r="JM6" s="95"/>
      <c r="JN6" s="95"/>
      <c r="JO6" s="95"/>
      <c r="JP6" s="95"/>
      <c r="JQ6" s="114"/>
      <c r="JR6" s="114"/>
      <c r="JT6" s="114"/>
      <c r="JU6" s="114"/>
      <c r="JV6" s="114"/>
      <c r="JW6" s="114"/>
      <c r="JX6" s="114"/>
      <c r="JY6" s="114"/>
      <c r="JZ6" s="114"/>
      <c r="KA6" s="114"/>
      <c r="KB6" s="114"/>
      <c r="KC6" s="114"/>
      <c r="KD6" s="114"/>
      <c r="KE6" s="114"/>
      <c r="KF6" s="114"/>
      <c r="KG6" s="114"/>
      <c r="KH6" s="114"/>
      <c r="KI6" s="114"/>
      <c r="KN6" s="114"/>
      <c r="KS6" s="114"/>
      <c r="KX6" s="114"/>
      <c r="LC6" s="114"/>
      <c r="LH6" s="114"/>
      <c r="LM6" s="114"/>
      <c r="LR6" s="114"/>
      <c r="LW6" s="114"/>
      <c r="MB6" s="114"/>
      <c r="MG6" s="114"/>
      <c r="ML6" s="114"/>
      <c r="MQ6" s="114"/>
      <c r="MS6" s="114"/>
      <c r="MT6" s="114"/>
      <c r="MU6" s="114"/>
      <c r="MV6" s="114"/>
      <c r="MW6" s="114"/>
      <c r="MX6" s="114"/>
      <c r="MY6" s="114"/>
      <c r="MZ6" s="114"/>
      <c r="NA6" s="114"/>
      <c r="NB6" s="114"/>
      <c r="NC6" s="114"/>
      <c r="ND6" s="114"/>
      <c r="NE6" s="114"/>
      <c r="NF6" s="114"/>
      <c r="NG6" s="114"/>
      <c r="NH6" s="114"/>
      <c r="NI6" s="114"/>
      <c r="NJ6" s="114"/>
      <c r="NK6" s="114"/>
      <c r="NL6" s="114"/>
      <c r="NM6" s="114"/>
      <c r="NN6" s="114"/>
      <c r="NO6" s="114"/>
      <c r="NP6" s="114"/>
      <c r="NQ6" s="114"/>
      <c r="RU6" s="120"/>
      <c r="RV6" s="120"/>
      <c r="RW6" s="120"/>
      <c r="RX6" s="120"/>
      <c r="RY6" s="120"/>
      <c r="RZ6" s="120"/>
    </row>
    <row r="7" spans="1:534" s="4" customFormat="1" ht="84" customHeight="1" x14ac:dyDescent="0.25">
      <c r="A7" s="49"/>
      <c r="B7" s="4" t="s">
        <v>319</v>
      </c>
      <c r="C7" s="4" t="s">
        <v>133</v>
      </c>
      <c r="D7" s="34" t="s">
        <v>368</v>
      </c>
      <c r="E7" s="60" t="s">
        <v>370</v>
      </c>
      <c r="F7" s="60" t="s">
        <v>479</v>
      </c>
      <c r="G7" s="60" t="s">
        <v>834</v>
      </c>
      <c r="H7" s="60" t="s">
        <v>835</v>
      </c>
      <c r="I7" s="60" t="s">
        <v>840</v>
      </c>
      <c r="J7" s="60" t="s">
        <v>841</v>
      </c>
      <c r="K7" s="60" t="s">
        <v>46</v>
      </c>
      <c r="L7" s="60" t="s">
        <v>509</v>
      </c>
      <c r="M7" s="60" t="s">
        <v>510</v>
      </c>
      <c r="N7" s="4" t="s">
        <v>204</v>
      </c>
      <c r="O7" s="4" t="s">
        <v>48</v>
      </c>
      <c r="P7" s="4" t="s">
        <v>50</v>
      </c>
      <c r="Q7" s="4" t="s">
        <v>170</v>
      </c>
      <c r="R7" s="4" t="s">
        <v>48</v>
      </c>
      <c r="S7" s="4" t="s">
        <v>50</v>
      </c>
      <c r="T7" s="4" t="s">
        <v>48</v>
      </c>
      <c r="U7" s="4" t="s">
        <v>50</v>
      </c>
      <c r="V7" s="4" t="s">
        <v>48</v>
      </c>
      <c r="W7" s="4" t="s">
        <v>50</v>
      </c>
      <c r="X7" s="60" t="s">
        <v>238</v>
      </c>
      <c r="Y7" s="4" t="s">
        <v>290</v>
      </c>
      <c r="Z7" s="4" t="s">
        <v>150</v>
      </c>
      <c r="AA7" s="4" t="s">
        <v>110</v>
      </c>
      <c r="AB7" s="4" t="s">
        <v>225</v>
      </c>
      <c r="AC7" s="4" t="s">
        <v>225</v>
      </c>
      <c r="AD7" s="4" t="s">
        <v>225</v>
      </c>
      <c r="AE7" s="4" t="s">
        <v>225</v>
      </c>
      <c r="AF7" s="4" t="s">
        <v>225</v>
      </c>
      <c r="AG7" s="4" t="s">
        <v>225</v>
      </c>
      <c r="AH7" s="4" t="s">
        <v>225</v>
      </c>
      <c r="AI7" s="4" t="s">
        <v>225</v>
      </c>
      <c r="AJ7" s="4" t="s">
        <v>225</v>
      </c>
      <c r="AK7" s="4" t="s">
        <v>152</v>
      </c>
      <c r="AL7" s="4" t="s">
        <v>326</v>
      </c>
      <c r="AM7" s="4" t="s">
        <v>153</v>
      </c>
      <c r="AN7" s="4" t="s">
        <v>399</v>
      </c>
      <c r="AO7" s="4" t="s">
        <v>401</v>
      </c>
      <c r="AP7" s="4" t="s">
        <v>404</v>
      </c>
      <c r="AQ7" s="4" t="s">
        <v>102</v>
      </c>
      <c r="AR7" s="4" t="s">
        <v>121</v>
      </c>
      <c r="AS7" s="4" t="s">
        <v>400</v>
      </c>
      <c r="AT7" s="4" t="s">
        <v>403</v>
      </c>
      <c r="AU7" s="4" t="s">
        <v>405</v>
      </c>
      <c r="AV7" s="4" t="s">
        <v>328</v>
      </c>
      <c r="AW7" s="4" t="s">
        <v>406</v>
      </c>
      <c r="AX7" s="4" t="s">
        <v>407</v>
      </c>
      <c r="AY7" s="4" t="s">
        <v>332</v>
      </c>
      <c r="AZ7" s="4" t="s">
        <v>461</v>
      </c>
      <c r="BA7" s="4" t="s">
        <v>461</v>
      </c>
      <c r="BB7" s="4" t="s">
        <v>461</v>
      </c>
      <c r="BC7" s="4" t="s">
        <v>466</v>
      </c>
      <c r="BD7" s="4" t="s">
        <v>402</v>
      </c>
      <c r="BE7" s="4" t="s">
        <v>408</v>
      </c>
      <c r="BF7" s="4" t="s">
        <v>458</v>
      </c>
      <c r="BG7" s="4" t="s">
        <v>409</v>
      </c>
      <c r="BH7" s="4" t="s">
        <v>410</v>
      </c>
      <c r="BI7" s="4" t="s">
        <v>335</v>
      </c>
      <c r="BJ7" s="4" t="s">
        <v>402</v>
      </c>
      <c r="BK7" s="4" t="s">
        <v>408</v>
      </c>
      <c r="BL7" s="4" t="s">
        <v>458</v>
      </c>
      <c r="BM7" s="4" t="s">
        <v>409</v>
      </c>
      <c r="BN7" s="4" t="s">
        <v>410</v>
      </c>
      <c r="BO7" s="4" t="s">
        <v>335</v>
      </c>
      <c r="BP7" s="4" t="s">
        <v>154</v>
      </c>
      <c r="BQ7" s="4" t="s">
        <v>154</v>
      </c>
      <c r="BR7" s="4" t="s">
        <v>154</v>
      </c>
      <c r="BS7" s="4" t="s">
        <v>154</v>
      </c>
      <c r="BT7" s="4" t="s">
        <v>154</v>
      </c>
      <c r="BU7" s="4" t="s">
        <v>154</v>
      </c>
      <c r="BV7" s="4" t="s">
        <v>423</v>
      </c>
      <c r="BW7" s="4" t="s">
        <v>154</v>
      </c>
      <c r="BX7" s="4" t="s">
        <v>85</v>
      </c>
      <c r="BY7" s="4" t="s">
        <v>155</v>
      </c>
      <c r="BZ7" s="4" t="s">
        <v>291</v>
      </c>
      <c r="CA7" s="4" t="s">
        <v>440</v>
      </c>
      <c r="CB7" s="4" t="s">
        <v>486</v>
      </c>
      <c r="CC7" s="4" t="s">
        <v>423</v>
      </c>
      <c r="CD7" s="4" t="s">
        <v>154</v>
      </c>
      <c r="CE7" s="4" t="s">
        <v>85</v>
      </c>
      <c r="CF7" s="4" t="s">
        <v>155</v>
      </c>
      <c r="CG7" s="4" t="s">
        <v>441</v>
      </c>
      <c r="CH7" s="4" t="s">
        <v>440</v>
      </c>
      <c r="CI7" s="4" t="s">
        <v>486</v>
      </c>
      <c r="CJ7" s="4" t="s">
        <v>423</v>
      </c>
      <c r="CK7" s="4" t="s">
        <v>154</v>
      </c>
      <c r="CL7" s="4" t="s">
        <v>85</v>
      </c>
      <c r="CM7" s="4" t="s">
        <v>155</v>
      </c>
      <c r="CN7" s="4" t="s">
        <v>441</v>
      </c>
      <c r="CO7" s="4" t="s">
        <v>440</v>
      </c>
      <c r="CP7" s="4" t="s">
        <v>486</v>
      </c>
      <c r="CQ7" s="4" t="s">
        <v>423</v>
      </c>
      <c r="CR7" s="4" t="s">
        <v>154</v>
      </c>
      <c r="CS7" s="4" t="s">
        <v>85</v>
      </c>
      <c r="CT7" s="4" t="s">
        <v>155</v>
      </c>
      <c r="CU7" s="4" t="s">
        <v>441</v>
      </c>
      <c r="CV7" s="4" t="s">
        <v>440</v>
      </c>
      <c r="CW7" s="4" t="s">
        <v>486</v>
      </c>
      <c r="CX7" s="4" t="s">
        <v>423</v>
      </c>
      <c r="CY7" s="4" t="s">
        <v>154</v>
      </c>
      <c r="CZ7" s="4" t="s">
        <v>85</v>
      </c>
      <c r="DA7" s="4" t="s">
        <v>155</v>
      </c>
      <c r="DB7" s="4" t="s">
        <v>291</v>
      </c>
      <c r="DC7" s="4" t="s">
        <v>440</v>
      </c>
      <c r="DD7" s="4" t="s">
        <v>486</v>
      </c>
      <c r="DE7" s="4" t="s">
        <v>423</v>
      </c>
      <c r="DF7" s="4" t="s">
        <v>154</v>
      </c>
      <c r="DG7" s="4" t="s">
        <v>85</v>
      </c>
      <c r="DH7" s="4" t="s">
        <v>155</v>
      </c>
      <c r="DI7" s="4" t="s">
        <v>441</v>
      </c>
      <c r="DJ7" s="4" t="s">
        <v>440</v>
      </c>
      <c r="DK7" s="4" t="s">
        <v>486</v>
      </c>
      <c r="DL7" s="4" t="s">
        <v>423</v>
      </c>
      <c r="DM7" s="4" t="s">
        <v>154</v>
      </c>
      <c r="DN7" s="4" t="s">
        <v>85</v>
      </c>
      <c r="DO7" s="4" t="s">
        <v>155</v>
      </c>
      <c r="DP7" s="4" t="s">
        <v>291</v>
      </c>
      <c r="DQ7" s="4" t="s">
        <v>440</v>
      </c>
      <c r="DR7" s="4" t="s">
        <v>486</v>
      </c>
      <c r="DS7" s="4" t="s">
        <v>423</v>
      </c>
      <c r="DT7" s="4" t="s">
        <v>154</v>
      </c>
      <c r="DU7" s="4" t="s">
        <v>85</v>
      </c>
      <c r="DV7" s="4" t="s">
        <v>155</v>
      </c>
      <c r="DW7" s="4" t="s">
        <v>441</v>
      </c>
      <c r="DX7" s="4" t="s">
        <v>440</v>
      </c>
      <c r="DY7" s="4" t="s">
        <v>486</v>
      </c>
      <c r="DZ7" s="4" t="s">
        <v>423</v>
      </c>
      <c r="EA7" s="4" t="s">
        <v>154</v>
      </c>
      <c r="EB7" s="4" t="s">
        <v>85</v>
      </c>
      <c r="EC7" s="4" t="s">
        <v>155</v>
      </c>
      <c r="ED7" s="4" t="s">
        <v>291</v>
      </c>
      <c r="EE7" s="4" t="s">
        <v>440</v>
      </c>
      <c r="EF7" s="4" t="s">
        <v>486</v>
      </c>
      <c r="EG7" s="4" t="s">
        <v>423</v>
      </c>
      <c r="EH7" s="4" t="s">
        <v>154</v>
      </c>
      <c r="EI7" s="4" t="s">
        <v>85</v>
      </c>
      <c r="EJ7" s="4" t="s">
        <v>155</v>
      </c>
      <c r="EK7" s="4" t="s">
        <v>441</v>
      </c>
      <c r="EL7" s="4" t="s">
        <v>440</v>
      </c>
      <c r="EM7" s="4" t="s">
        <v>486</v>
      </c>
      <c r="EN7" s="4" t="s">
        <v>423</v>
      </c>
      <c r="EO7" s="4" t="s">
        <v>154</v>
      </c>
      <c r="EP7" s="4" t="s">
        <v>85</v>
      </c>
      <c r="EQ7" s="4" t="s">
        <v>155</v>
      </c>
      <c r="ER7" s="4" t="s">
        <v>291</v>
      </c>
      <c r="ES7" s="4" t="s">
        <v>440</v>
      </c>
      <c r="ET7" s="4" t="s">
        <v>486</v>
      </c>
      <c r="EU7" s="4" t="s">
        <v>423</v>
      </c>
      <c r="EV7" s="4" t="s">
        <v>154</v>
      </c>
      <c r="EW7" s="4" t="s">
        <v>85</v>
      </c>
      <c r="EX7" s="4" t="s">
        <v>155</v>
      </c>
      <c r="EY7" s="4" t="s">
        <v>441</v>
      </c>
      <c r="EZ7" s="4" t="s">
        <v>440</v>
      </c>
      <c r="FA7" s="4" t="s">
        <v>486</v>
      </c>
      <c r="FB7" s="4" t="s">
        <v>318</v>
      </c>
      <c r="FC7" s="4" t="s">
        <v>318</v>
      </c>
      <c r="FD7" s="4" t="s">
        <v>318</v>
      </c>
      <c r="FE7" s="4" t="s">
        <v>431</v>
      </c>
      <c r="FF7" s="4" t="s">
        <v>318</v>
      </c>
      <c r="FG7" s="4" t="s">
        <v>360</v>
      </c>
      <c r="FH7" s="4" t="s">
        <v>317</v>
      </c>
      <c r="FI7" s="4" t="s">
        <v>443</v>
      </c>
      <c r="FJ7" s="4" t="s">
        <v>442</v>
      </c>
      <c r="FK7" s="4" t="s">
        <v>487</v>
      </c>
      <c r="FL7" s="4" t="s">
        <v>431</v>
      </c>
      <c r="FM7" s="4" t="s">
        <v>318</v>
      </c>
      <c r="FN7" s="4" t="s">
        <v>360</v>
      </c>
      <c r="FO7" s="4" t="s">
        <v>317</v>
      </c>
      <c r="FP7" s="4" t="s">
        <v>443</v>
      </c>
      <c r="FQ7" s="4" t="s">
        <v>442</v>
      </c>
      <c r="FR7" s="4" t="s">
        <v>487</v>
      </c>
      <c r="FS7" s="4" t="s">
        <v>431</v>
      </c>
      <c r="FT7" s="4" t="s">
        <v>318</v>
      </c>
      <c r="FU7" s="4" t="s">
        <v>360</v>
      </c>
      <c r="FV7" s="4" t="s">
        <v>317</v>
      </c>
      <c r="FW7" s="4" t="s">
        <v>443</v>
      </c>
      <c r="FX7" s="4" t="s">
        <v>442</v>
      </c>
      <c r="FY7" s="4" t="s">
        <v>487</v>
      </c>
      <c r="FZ7" s="4" t="s">
        <v>431</v>
      </c>
      <c r="GA7" s="4" t="s">
        <v>318</v>
      </c>
      <c r="GB7" s="4" t="s">
        <v>360</v>
      </c>
      <c r="GC7" s="4" t="s">
        <v>317</v>
      </c>
      <c r="GD7" s="4" t="s">
        <v>443</v>
      </c>
      <c r="GE7" s="4" t="s">
        <v>442</v>
      </c>
      <c r="GF7" s="4" t="s">
        <v>487</v>
      </c>
      <c r="GG7" s="4" t="s">
        <v>431</v>
      </c>
      <c r="GH7" s="4" t="s">
        <v>318</v>
      </c>
      <c r="GI7" s="4" t="s">
        <v>360</v>
      </c>
      <c r="GJ7" s="4" t="s">
        <v>317</v>
      </c>
      <c r="GK7" s="4" t="s">
        <v>443</v>
      </c>
      <c r="GL7" s="4" t="s">
        <v>442</v>
      </c>
      <c r="GM7" s="4" t="s">
        <v>487</v>
      </c>
      <c r="GN7" s="4" t="s">
        <v>431</v>
      </c>
      <c r="GO7" s="4" t="s">
        <v>318</v>
      </c>
      <c r="GP7" s="4" t="s">
        <v>360</v>
      </c>
      <c r="GQ7" s="4" t="s">
        <v>317</v>
      </c>
      <c r="GR7" s="4" t="s">
        <v>443</v>
      </c>
      <c r="GS7" s="4" t="s">
        <v>442</v>
      </c>
      <c r="GT7" s="4" t="s">
        <v>487</v>
      </c>
      <c r="GU7" s="4" t="s">
        <v>286</v>
      </c>
      <c r="GV7" s="4" t="s">
        <v>286</v>
      </c>
      <c r="GW7" s="4" t="s">
        <v>286</v>
      </c>
      <c r="GX7" s="60" t="s">
        <v>851</v>
      </c>
      <c r="GY7" s="4" t="s">
        <v>419</v>
      </c>
      <c r="GZ7" s="4" t="s">
        <v>287</v>
      </c>
      <c r="HA7" s="4" t="s">
        <v>281</v>
      </c>
      <c r="HB7" s="4" t="s">
        <v>282</v>
      </c>
      <c r="HC7" s="4" t="s">
        <v>438</v>
      </c>
      <c r="HD7" s="4" t="s">
        <v>429</v>
      </c>
      <c r="HE7" s="4" t="s">
        <v>486</v>
      </c>
      <c r="HF7" s="4" t="s">
        <v>419</v>
      </c>
      <c r="HG7" s="4" t="s">
        <v>287</v>
      </c>
      <c r="HH7" s="4" t="s">
        <v>281</v>
      </c>
      <c r="HI7" s="4" t="s">
        <v>282</v>
      </c>
      <c r="HJ7" s="4" t="s">
        <v>438</v>
      </c>
      <c r="HK7" s="4" t="s">
        <v>429</v>
      </c>
      <c r="HL7" s="4" t="s">
        <v>486</v>
      </c>
      <c r="HM7" s="4" t="s">
        <v>419</v>
      </c>
      <c r="HN7" s="4" t="s">
        <v>287</v>
      </c>
      <c r="HO7" s="4" t="s">
        <v>281</v>
      </c>
      <c r="HP7" s="4" t="s">
        <v>282</v>
      </c>
      <c r="HQ7" s="4" t="s">
        <v>438</v>
      </c>
      <c r="HR7" s="4" t="s">
        <v>429</v>
      </c>
      <c r="HS7" s="4" t="s">
        <v>486</v>
      </c>
      <c r="HT7" s="4" t="s">
        <v>419</v>
      </c>
      <c r="HU7" s="4" t="s">
        <v>287</v>
      </c>
      <c r="HV7" s="4" t="s">
        <v>281</v>
      </c>
      <c r="HW7" s="4" t="s">
        <v>282</v>
      </c>
      <c r="HX7" s="4" t="s">
        <v>438</v>
      </c>
      <c r="HY7" s="4" t="s">
        <v>429</v>
      </c>
      <c r="HZ7" s="4" t="s">
        <v>486</v>
      </c>
      <c r="IA7" s="4" t="s">
        <v>419</v>
      </c>
      <c r="IB7" s="4" t="s">
        <v>287</v>
      </c>
      <c r="IC7" s="4" t="s">
        <v>281</v>
      </c>
      <c r="ID7" s="4" t="s">
        <v>282</v>
      </c>
      <c r="IE7" s="4" t="s">
        <v>438</v>
      </c>
      <c r="IF7" s="4" t="s">
        <v>429</v>
      </c>
      <c r="IG7" s="4" t="s">
        <v>486</v>
      </c>
      <c r="IH7" s="4" t="s">
        <v>419</v>
      </c>
      <c r="II7" s="4" t="s">
        <v>287</v>
      </c>
      <c r="IJ7" s="4" t="s">
        <v>281</v>
      </c>
      <c r="IK7" s="4" t="s">
        <v>282</v>
      </c>
      <c r="IL7" s="4" t="s">
        <v>438</v>
      </c>
      <c r="IM7" s="4" t="s">
        <v>429</v>
      </c>
      <c r="IN7" s="4" t="s">
        <v>486</v>
      </c>
      <c r="IO7" s="60" t="s">
        <v>851</v>
      </c>
      <c r="IP7" s="60" t="s">
        <v>852</v>
      </c>
      <c r="IQ7" s="60" t="s">
        <v>851</v>
      </c>
      <c r="IR7" s="60" t="s">
        <v>851</v>
      </c>
      <c r="IS7" s="60" t="s">
        <v>852</v>
      </c>
      <c r="IT7" s="60" t="s">
        <v>851</v>
      </c>
      <c r="IU7" s="60" t="s">
        <v>851</v>
      </c>
      <c r="IV7" s="4" t="s">
        <v>413</v>
      </c>
      <c r="IW7" s="4" t="s">
        <v>286</v>
      </c>
      <c r="IX7" s="4" t="s">
        <v>281</v>
      </c>
      <c r="IY7" s="4" t="s">
        <v>282</v>
      </c>
      <c r="IZ7" s="4" t="s">
        <v>439</v>
      </c>
      <c r="JA7" s="4" t="s">
        <v>488</v>
      </c>
      <c r="JB7" s="123" t="s">
        <v>286</v>
      </c>
      <c r="JC7" s="123" t="s">
        <v>286</v>
      </c>
      <c r="JD7" s="123" t="s">
        <v>286</v>
      </c>
      <c r="JE7" s="4" t="s">
        <v>413</v>
      </c>
      <c r="JF7" s="4" t="s">
        <v>286</v>
      </c>
      <c r="JG7" s="4" t="s">
        <v>281</v>
      </c>
      <c r="JH7" s="4" t="s">
        <v>282</v>
      </c>
      <c r="JI7" s="4" t="s">
        <v>288</v>
      </c>
      <c r="JJ7" s="4" t="s">
        <v>488</v>
      </c>
      <c r="JK7" s="4" t="s">
        <v>286</v>
      </c>
      <c r="JL7" s="4" t="s">
        <v>288</v>
      </c>
      <c r="JM7" s="123" t="s">
        <v>286</v>
      </c>
      <c r="JN7" s="123" t="s">
        <v>286</v>
      </c>
      <c r="JO7" s="123" t="s">
        <v>286</v>
      </c>
      <c r="JP7" s="49" t="s">
        <v>286</v>
      </c>
      <c r="JQ7" s="4" t="s">
        <v>287</v>
      </c>
      <c r="JR7" s="4" t="s">
        <v>289</v>
      </c>
      <c r="JS7" s="4" t="s">
        <v>287</v>
      </c>
      <c r="JT7" s="4" t="s">
        <v>289</v>
      </c>
      <c r="JU7" s="4" t="s">
        <v>286</v>
      </c>
      <c r="JV7" s="4" t="s">
        <v>288</v>
      </c>
      <c r="JW7" s="60" t="s">
        <v>984</v>
      </c>
      <c r="JX7" s="4" t="s">
        <v>286</v>
      </c>
      <c r="JY7" s="4" t="s">
        <v>288</v>
      </c>
      <c r="JZ7" s="4" t="s">
        <v>287</v>
      </c>
      <c r="KA7" s="4" t="s">
        <v>289</v>
      </c>
      <c r="KB7" s="4" t="s">
        <v>286</v>
      </c>
      <c r="KC7" s="4" t="s">
        <v>289</v>
      </c>
      <c r="KD7" s="49" t="s">
        <v>295</v>
      </c>
      <c r="KE7" s="49" t="s">
        <v>457</v>
      </c>
      <c r="KF7" s="4" t="s">
        <v>286</v>
      </c>
      <c r="KG7" s="4" t="s">
        <v>288</v>
      </c>
      <c r="KH7" s="4" t="s">
        <v>286</v>
      </c>
      <c r="KI7" s="4" t="s">
        <v>288</v>
      </c>
      <c r="KJ7" s="4" t="s">
        <v>286</v>
      </c>
      <c r="KK7" s="4" t="s">
        <v>288</v>
      </c>
      <c r="KL7" s="4" t="s">
        <v>281</v>
      </c>
      <c r="KM7" s="4" t="s">
        <v>282</v>
      </c>
      <c r="KN7" s="4" t="s">
        <v>488</v>
      </c>
      <c r="KO7" s="4" t="s">
        <v>286</v>
      </c>
      <c r="KP7" s="4" t="s">
        <v>288</v>
      </c>
      <c r="KQ7" s="4" t="s">
        <v>281</v>
      </c>
      <c r="KR7" s="4" t="s">
        <v>282</v>
      </c>
      <c r="KS7" s="4" t="s">
        <v>488</v>
      </c>
      <c r="KT7" s="4" t="s">
        <v>286</v>
      </c>
      <c r="KU7" s="4" t="s">
        <v>288</v>
      </c>
      <c r="KV7" s="4" t="s">
        <v>281</v>
      </c>
      <c r="KW7" s="4" t="s">
        <v>282</v>
      </c>
      <c r="KX7" s="4" t="s">
        <v>488</v>
      </c>
      <c r="KY7" s="4" t="s">
        <v>286</v>
      </c>
      <c r="KZ7" s="4" t="s">
        <v>288</v>
      </c>
      <c r="LA7" s="4" t="s">
        <v>281</v>
      </c>
      <c r="LB7" s="4" t="s">
        <v>282</v>
      </c>
      <c r="LC7" s="4" t="s">
        <v>488</v>
      </c>
      <c r="LD7" s="4" t="s">
        <v>286</v>
      </c>
      <c r="LE7" s="4" t="s">
        <v>288</v>
      </c>
      <c r="LF7" s="4" t="s">
        <v>281</v>
      </c>
      <c r="LG7" s="4" t="s">
        <v>282</v>
      </c>
      <c r="LH7" s="4" t="s">
        <v>488</v>
      </c>
      <c r="LI7" s="4" t="s">
        <v>286</v>
      </c>
      <c r="LJ7" s="4" t="s">
        <v>288</v>
      </c>
      <c r="LK7" s="4" t="s">
        <v>281</v>
      </c>
      <c r="LL7" s="4" t="s">
        <v>282</v>
      </c>
      <c r="LM7" s="4" t="s">
        <v>488</v>
      </c>
      <c r="LN7" s="4" t="s">
        <v>286</v>
      </c>
      <c r="LO7" s="4" t="s">
        <v>288</v>
      </c>
      <c r="LP7" s="4" t="s">
        <v>281</v>
      </c>
      <c r="LQ7" s="4" t="s">
        <v>282</v>
      </c>
      <c r="LR7" s="4" t="s">
        <v>488</v>
      </c>
      <c r="LS7" s="4" t="s">
        <v>286</v>
      </c>
      <c r="LT7" s="4" t="s">
        <v>288</v>
      </c>
      <c r="LU7" s="4" t="s">
        <v>281</v>
      </c>
      <c r="LV7" s="4" t="s">
        <v>282</v>
      </c>
      <c r="LW7" s="4" t="s">
        <v>488</v>
      </c>
      <c r="LX7" s="4" t="s">
        <v>286</v>
      </c>
      <c r="LY7" s="4" t="s">
        <v>288</v>
      </c>
      <c r="LZ7" s="4" t="s">
        <v>281</v>
      </c>
      <c r="MA7" s="4" t="s">
        <v>282</v>
      </c>
      <c r="MB7" s="4" t="s">
        <v>488</v>
      </c>
      <c r="MC7" s="4" t="s">
        <v>286</v>
      </c>
      <c r="MD7" s="4" t="s">
        <v>288</v>
      </c>
      <c r="ME7" s="4" t="s">
        <v>281</v>
      </c>
      <c r="MF7" s="4" t="s">
        <v>282</v>
      </c>
      <c r="MG7" s="4" t="s">
        <v>488</v>
      </c>
      <c r="MH7" s="4" t="s">
        <v>286</v>
      </c>
      <c r="MI7" s="4" t="s">
        <v>288</v>
      </c>
      <c r="MJ7" s="4" t="s">
        <v>281</v>
      </c>
      <c r="MK7" s="4" t="s">
        <v>282</v>
      </c>
      <c r="ML7" s="4" t="s">
        <v>488</v>
      </c>
      <c r="MM7" s="4" t="s">
        <v>286</v>
      </c>
      <c r="MN7" s="4" t="s">
        <v>288</v>
      </c>
      <c r="MO7" s="4" t="s">
        <v>281</v>
      </c>
      <c r="MP7" s="4" t="s">
        <v>282</v>
      </c>
      <c r="MQ7" s="4" t="s">
        <v>488</v>
      </c>
      <c r="MR7" s="4" t="s">
        <v>385</v>
      </c>
      <c r="MS7" s="4" t="s">
        <v>288</v>
      </c>
      <c r="MT7" s="4" t="s">
        <v>488</v>
      </c>
      <c r="MU7" s="4" t="s">
        <v>288</v>
      </c>
      <c r="MV7" s="4" t="s">
        <v>488</v>
      </c>
      <c r="MW7" s="4" t="s">
        <v>288</v>
      </c>
      <c r="MX7" s="4" t="s">
        <v>488</v>
      </c>
      <c r="MY7" s="4" t="s">
        <v>288</v>
      </c>
      <c r="MZ7" s="4" t="s">
        <v>488</v>
      </c>
      <c r="NA7" s="4" t="s">
        <v>288</v>
      </c>
      <c r="NB7" s="4" t="s">
        <v>488</v>
      </c>
      <c r="NC7" s="4" t="s">
        <v>288</v>
      </c>
      <c r="ND7" s="4" t="s">
        <v>488</v>
      </c>
      <c r="NE7" s="4" t="s">
        <v>288</v>
      </c>
      <c r="NF7" s="4" t="s">
        <v>488</v>
      </c>
      <c r="NG7" s="4" t="s">
        <v>288</v>
      </c>
      <c r="NH7" s="4" t="s">
        <v>488</v>
      </c>
      <c r="NI7" s="4" t="s">
        <v>288</v>
      </c>
      <c r="NJ7" s="4" t="s">
        <v>488</v>
      </c>
      <c r="NK7" s="4" t="s">
        <v>288</v>
      </c>
      <c r="NL7" s="4" t="s">
        <v>488</v>
      </c>
      <c r="NM7" s="4" t="s">
        <v>288</v>
      </c>
      <c r="NN7" s="4" t="s">
        <v>488</v>
      </c>
      <c r="NO7" s="4" t="s">
        <v>288</v>
      </c>
      <c r="NP7" s="4" t="s">
        <v>488</v>
      </c>
      <c r="NQ7" s="4" t="s">
        <v>506</v>
      </c>
      <c r="NR7" s="4" t="s">
        <v>506</v>
      </c>
      <c r="NS7" s="4" t="s">
        <v>506</v>
      </c>
      <c r="NT7" s="4" t="s">
        <v>34</v>
      </c>
      <c r="NU7" s="4" t="s">
        <v>237</v>
      </c>
      <c r="NV7" s="4" t="s">
        <v>128</v>
      </c>
      <c r="NW7" s="4" t="s">
        <v>129</v>
      </c>
      <c r="NX7" s="4" t="s">
        <v>227</v>
      </c>
      <c r="NY7" s="4" t="s">
        <v>129</v>
      </c>
      <c r="NZ7" s="4" t="s">
        <v>227</v>
      </c>
      <c r="OA7" s="4" t="s">
        <v>131</v>
      </c>
      <c r="OB7" s="4" t="s">
        <v>132</v>
      </c>
      <c r="OC7" s="4" t="s">
        <v>34</v>
      </c>
      <c r="OD7" s="4" t="s">
        <v>18</v>
      </c>
      <c r="OE7" s="4" t="s">
        <v>34</v>
      </c>
      <c r="OF7" s="4" t="s">
        <v>18</v>
      </c>
      <c r="RF7" s="4" t="s">
        <v>6</v>
      </c>
      <c r="RG7" s="4" t="s">
        <v>6</v>
      </c>
      <c r="RH7" s="4" t="s">
        <v>6</v>
      </c>
      <c r="RI7" s="4" t="s">
        <v>6</v>
      </c>
      <c r="RJ7" s="4" t="s">
        <v>7</v>
      </c>
      <c r="RK7" s="49" t="s">
        <v>6</v>
      </c>
      <c r="RL7" s="49" t="s">
        <v>29</v>
      </c>
      <c r="RM7" s="4" t="s">
        <v>6</v>
      </c>
      <c r="RN7" s="4" t="s">
        <v>10</v>
      </c>
      <c r="RO7" s="4" t="s">
        <v>6</v>
      </c>
      <c r="RP7" s="4" t="s">
        <v>11</v>
      </c>
      <c r="RQ7" s="4" t="s">
        <v>10</v>
      </c>
      <c r="RR7" s="4" t="s">
        <v>7</v>
      </c>
      <c r="RS7" s="4" t="s">
        <v>6</v>
      </c>
      <c r="RT7" s="4" t="s">
        <v>11</v>
      </c>
      <c r="RU7" s="149"/>
      <c r="RV7" s="149"/>
      <c r="RW7" s="149"/>
      <c r="RX7" s="149"/>
      <c r="RY7" s="149"/>
      <c r="RZ7" s="149"/>
      <c r="SA7" s="4" t="s">
        <v>6</v>
      </c>
      <c r="SB7" s="4" t="s">
        <v>15</v>
      </c>
      <c r="SC7" s="4" t="s">
        <v>6</v>
      </c>
      <c r="SD7" s="4" t="s">
        <v>20</v>
      </c>
      <c r="SE7" s="4" t="s">
        <v>15</v>
      </c>
      <c r="SF7" s="4" t="s">
        <v>6</v>
      </c>
      <c r="SG7" s="4" t="s">
        <v>20</v>
      </c>
      <c r="SH7" s="4" t="s">
        <v>15</v>
      </c>
      <c r="SI7" s="4" t="s">
        <v>6</v>
      </c>
      <c r="SJ7" s="4" t="s">
        <v>15</v>
      </c>
      <c r="SK7" s="4" t="s">
        <v>6</v>
      </c>
      <c r="SL7" s="4" t="s">
        <v>20</v>
      </c>
      <c r="SM7" s="4" t="s">
        <v>15</v>
      </c>
      <c r="SN7" s="4" t="s">
        <v>6</v>
      </c>
      <c r="SO7" s="4" t="s">
        <v>20</v>
      </c>
      <c r="SP7" s="4" t="s">
        <v>15</v>
      </c>
      <c r="SQ7" s="4" t="s">
        <v>6</v>
      </c>
      <c r="SR7" s="4" t="s">
        <v>15</v>
      </c>
      <c r="SS7" s="4" t="s">
        <v>6</v>
      </c>
      <c r="ST7" s="4" t="s">
        <v>20</v>
      </c>
      <c r="SU7" s="4" t="s">
        <v>15</v>
      </c>
      <c r="SV7" s="4" t="s">
        <v>6</v>
      </c>
      <c r="SW7" s="4" t="s">
        <v>20</v>
      </c>
      <c r="SX7" s="4" t="s">
        <v>15</v>
      </c>
      <c r="SY7" s="4" t="s">
        <v>6</v>
      </c>
      <c r="SZ7" s="4" t="s">
        <v>15</v>
      </c>
      <c r="TA7" s="4" t="s">
        <v>6</v>
      </c>
      <c r="TB7" s="4" t="s">
        <v>20</v>
      </c>
      <c r="TC7" s="4" t="s">
        <v>15</v>
      </c>
      <c r="TD7" s="4" t="s">
        <v>6</v>
      </c>
      <c r="TE7" s="4" t="s">
        <v>20</v>
      </c>
      <c r="TF7" s="4" t="s">
        <v>15</v>
      </c>
      <c r="TG7" s="4" t="s">
        <v>6</v>
      </c>
      <c r="TH7" s="4" t="s">
        <v>10</v>
      </c>
      <c r="TI7" s="4" t="s">
        <v>6</v>
      </c>
      <c r="TJ7" s="4" t="s">
        <v>20</v>
      </c>
      <c r="TK7" s="4" t="s">
        <v>15</v>
      </c>
      <c r="TL7" s="4" t="s">
        <v>6</v>
      </c>
      <c r="TM7" s="4" t="s">
        <v>20</v>
      </c>
      <c r="TN7" s="4" t="s">
        <v>15</v>
      </c>
    </row>
    <row r="8" spans="1:534" s="4" customFormat="1" x14ac:dyDescent="0.25">
      <c r="A8" s="14"/>
      <c r="B8" s="14"/>
      <c r="C8" s="14"/>
      <c r="D8" s="708"/>
      <c r="E8" s="102"/>
      <c r="F8" s="102"/>
      <c r="G8" s="102"/>
      <c r="H8" s="102"/>
      <c r="I8" s="102"/>
      <c r="J8" s="102"/>
      <c r="K8" s="102"/>
      <c r="L8" s="102"/>
      <c r="M8" s="102"/>
      <c r="N8" s="14"/>
      <c r="O8" s="14"/>
      <c r="P8" s="14"/>
      <c r="Q8" s="14"/>
      <c r="R8" s="14"/>
      <c r="S8" s="14"/>
      <c r="T8" s="14"/>
      <c r="U8" s="14"/>
      <c r="X8" s="60"/>
      <c r="AH8" s="60"/>
      <c r="AI8" s="60"/>
      <c r="AJ8" s="60"/>
      <c r="AZ8" s="60"/>
      <c r="BA8" s="60"/>
      <c r="BB8" s="60"/>
      <c r="BC8" s="60"/>
      <c r="BD8" s="60"/>
      <c r="BE8" s="60"/>
      <c r="BF8" s="60"/>
      <c r="BG8" s="60"/>
      <c r="BH8" s="60"/>
      <c r="BI8" s="60"/>
      <c r="CO8" s="60"/>
      <c r="CP8" s="60"/>
      <c r="CQ8" s="60"/>
      <c r="CR8" s="97"/>
      <c r="CS8" s="97"/>
      <c r="CT8" s="97"/>
      <c r="CU8" s="97"/>
      <c r="CV8" s="97"/>
      <c r="CW8" s="60"/>
      <c r="CX8" s="60"/>
      <c r="CY8" s="60"/>
      <c r="CZ8" s="60"/>
      <c r="DA8" s="60"/>
      <c r="DB8" s="60"/>
      <c r="DC8" s="60"/>
      <c r="DD8" s="60"/>
      <c r="DE8" s="60"/>
      <c r="DF8" s="60"/>
      <c r="DG8" s="60"/>
      <c r="DH8" s="60"/>
      <c r="DI8" s="60"/>
      <c r="DJ8" s="60"/>
      <c r="DK8" s="60"/>
      <c r="DL8" s="60"/>
      <c r="DM8" s="60"/>
      <c r="DN8" s="60"/>
      <c r="DO8" s="60"/>
      <c r="DP8" s="60"/>
      <c r="DQ8" s="60"/>
      <c r="DR8" s="60"/>
      <c r="DS8" s="60"/>
      <c r="DT8" s="60"/>
      <c r="DU8" s="60"/>
      <c r="DV8" s="60"/>
      <c r="DW8" s="60"/>
      <c r="DX8" s="60"/>
      <c r="DY8" s="60"/>
      <c r="EE8" s="60"/>
      <c r="EF8" s="60"/>
      <c r="EG8" s="60"/>
      <c r="EM8" s="60"/>
      <c r="EN8" s="60"/>
      <c r="EO8" s="60"/>
      <c r="EP8" s="60"/>
      <c r="EQ8" s="60"/>
      <c r="ER8" s="60"/>
      <c r="ES8" s="60"/>
      <c r="ET8" s="60"/>
      <c r="EU8" s="60"/>
      <c r="EV8" s="60"/>
      <c r="EW8" s="60"/>
      <c r="EX8" s="60"/>
      <c r="EY8" s="60"/>
      <c r="EZ8" s="60"/>
      <c r="FA8" s="60"/>
      <c r="FV8" s="60"/>
      <c r="FY8" s="60"/>
      <c r="FZ8" s="60"/>
      <c r="GF8" s="60"/>
      <c r="GY8" s="123"/>
      <c r="GZ8" s="123"/>
      <c r="HA8" s="123"/>
      <c r="HB8" s="123"/>
      <c r="HC8" s="123"/>
      <c r="HD8" s="123"/>
      <c r="HE8" s="123"/>
      <c r="HF8" s="123"/>
      <c r="HG8" s="123"/>
      <c r="HH8" s="123"/>
      <c r="HI8" s="123"/>
      <c r="HJ8" s="123"/>
      <c r="HK8" s="123"/>
      <c r="HL8" s="123"/>
      <c r="HM8" s="123"/>
      <c r="HN8" s="123"/>
      <c r="HO8" s="123"/>
      <c r="HP8" s="60"/>
      <c r="HQ8" s="123"/>
      <c r="HR8" s="60"/>
      <c r="HS8" s="60"/>
      <c r="HT8" s="60"/>
      <c r="HU8" s="60"/>
      <c r="HV8" s="60"/>
      <c r="HW8" s="60"/>
      <c r="HX8" s="60"/>
      <c r="HY8" s="60"/>
      <c r="HZ8" s="60"/>
      <c r="IA8" s="60"/>
      <c r="IB8" s="60"/>
      <c r="IC8" s="60"/>
      <c r="ID8" s="60"/>
      <c r="IE8" s="60"/>
      <c r="IF8" s="60"/>
      <c r="IG8" s="60"/>
      <c r="IH8" s="60"/>
      <c r="II8" s="60"/>
      <c r="IJ8" s="60"/>
      <c r="IK8" s="60"/>
      <c r="IL8" s="60"/>
      <c r="IM8" s="60"/>
      <c r="IN8" s="60"/>
      <c r="IO8" s="97"/>
      <c r="IP8" s="97"/>
      <c r="IQ8" s="97"/>
      <c r="IR8" s="97"/>
      <c r="IS8" s="97"/>
      <c r="IT8" s="97"/>
      <c r="IU8" s="97"/>
      <c r="IW8" s="60"/>
      <c r="IX8" s="60"/>
      <c r="IY8" s="60"/>
      <c r="IZ8" s="60"/>
      <c r="JA8" s="60"/>
      <c r="JB8" s="60"/>
      <c r="JC8" s="60"/>
      <c r="JD8" s="60"/>
      <c r="JE8" s="60"/>
      <c r="JF8" s="60"/>
      <c r="JG8" s="60"/>
      <c r="JH8" s="60"/>
      <c r="JI8" s="60"/>
      <c r="JJ8" s="60"/>
      <c r="JK8" s="60"/>
      <c r="JL8" s="60"/>
      <c r="JM8" s="123"/>
      <c r="JN8" s="123"/>
      <c r="JO8" s="123"/>
      <c r="JP8" s="123"/>
      <c r="JQ8" s="60"/>
      <c r="JR8" s="60"/>
      <c r="JS8" s="60"/>
      <c r="JT8" s="60"/>
      <c r="JU8" s="60"/>
      <c r="JV8" s="60"/>
      <c r="JW8" s="60"/>
      <c r="JX8" s="60"/>
      <c r="JY8" s="60"/>
      <c r="JZ8" s="60"/>
      <c r="KA8" s="60"/>
      <c r="KB8" s="60"/>
      <c r="KC8" s="60"/>
      <c r="KD8" s="123"/>
      <c r="KE8" s="123"/>
      <c r="KF8" s="123"/>
      <c r="KG8" s="123"/>
      <c r="KH8" s="123"/>
      <c r="KI8" s="123"/>
      <c r="KJ8" s="123"/>
      <c r="KK8" s="123"/>
      <c r="KL8" s="123"/>
      <c r="KM8" s="123"/>
      <c r="KN8" s="123"/>
      <c r="KO8" s="123"/>
      <c r="KP8" s="123"/>
      <c r="KQ8" s="123"/>
      <c r="KR8" s="123"/>
      <c r="KS8" s="123"/>
      <c r="KT8" s="60"/>
      <c r="KU8" s="60"/>
      <c r="KV8" s="60"/>
      <c r="KW8" s="60"/>
      <c r="KX8" s="60"/>
      <c r="KY8" s="60"/>
      <c r="KZ8" s="60"/>
      <c r="LA8" s="60"/>
      <c r="LB8" s="60"/>
      <c r="LC8" s="60"/>
      <c r="LD8" s="60"/>
      <c r="LE8" s="60"/>
      <c r="LF8" s="60"/>
      <c r="LG8" s="60"/>
      <c r="LH8" s="60"/>
      <c r="LI8" s="60"/>
      <c r="LJ8" s="60"/>
      <c r="LK8" s="60"/>
      <c r="LL8" s="60"/>
      <c r="LM8" s="60"/>
      <c r="LN8" s="60"/>
      <c r="LO8" s="60"/>
      <c r="LP8" s="60"/>
      <c r="LQ8" s="60"/>
      <c r="LR8" s="60"/>
      <c r="LS8" s="60"/>
      <c r="LT8" s="60"/>
      <c r="LU8" s="60"/>
      <c r="LV8" s="60"/>
      <c r="LW8" s="60"/>
      <c r="LX8" s="60"/>
      <c r="LY8" s="60"/>
      <c r="LZ8" s="60"/>
      <c r="MA8" s="60"/>
      <c r="MB8" s="60"/>
      <c r="MC8" s="60"/>
      <c r="MD8" s="60"/>
      <c r="ME8" s="60"/>
      <c r="MF8" s="60"/>
      <c r="MG8" s="60"/>
      <c r="MH8" s="60"/>
      <c r="MI8" s="60"/>
      <c r="MJ8" s="60"/>
      <c r="MK8" s="60"/>
      <c r="ML8" s="60"/>
      <c r="MM8" s="60"/>
      <c r="MN8" s="60"/>
      <c r="MO8" s="60"/>
      <c r="MP8" s="60"/>
      <c r="MQ8" s="60"/>
      <c r="MR8" s="60"/>
      <c r="MS8" s="60"/>
      <c r="MT8" s="60"/>
      <c r="MU8" s="60"/>
      <c r="MV8" s="60"/>
      <c r="MW8" s="60"/>
      <c r="MX8" s="60"/>
      <c r="MY8" s="60"/>
      <c r="MZ8" s="60"/>
      <c r="NA8" s="60"/>
      <c r="NB8" s="60"/>
      <c r="NC8" s="60"/>
      <c r="ND8" s="60"/>
      <c r="NE8" s="60"/>
      <c r="NF8" s="60"/>
      <c r="NG8" s="60"/>
      <c r="NH8" s="60"/>
      <c r="NI8" s="60"/>
      <c r="NJ8" s="60"/>
      <c r="NK8" s="60"/>
      <c r="NL8" s="60"/>
      <c r="NM8" s="60"/>
      <c r="NN8" s="60"/>
      <c r="NO8" s="60"/>
      <c r="NP8" s="60"/>
      <c r="NQ8" s="60"/>
      <c r="NR8" s="60"/>
      <c r="NS8" s="60"/>
      <c r="RU8" s="97"/>
      <c r="RV8" s="97"/>
      <c r="RW8" s="97"/>
      <c r="RX8" s="97"/>
      <c r="RY8" s="97"/>
      <c r="RZ8" s="97"/>
    </row>
    <row r="9" spans="1:534" s="11" customFormat="1" ht="14.4" x14ac:dyDescent="0.3">
      <c r="A9" s="23" t="s">
        <v>122</v>
      </c>
      <c r="B9" s="13"/>
      <c r="C9" s="13"/>
      <c r="D9" s="709"/>
      <c r="E9" s="23"/>
      <c r="F9" s="23"/>
      <c r="G9" s="23"/>
      <c r="H9" s="23"/>
      <c r="I9" s="23"/>
      <c r="J9" s="23"/>
      <c r="K9" s="23"/>
      <c r="L9" s="23"/>
      <c r="M9" s="23"/>
      <c r="N9" s="13"/>
      <c r="O9" s="13"/>
      <c r="P9" s="13"/>
      <c r="Q9" s="13"/>
      <c r="R9" s="13"/>
      <c r="S9" s="13"/>
      <c r="T9" s="13"/>
      <c r="U9" s="13"/>
      <c r="X9" s="623"/>
      <c r="AH9" s="623"/>
      <c r="AI9" s="623"/>
      <c r="AJ9" s="623"/>
      <c r="AZ9" s="623"/>
      <c r="BA9" s="623"/>
      <c r="BB9" s="623"/>
      <c r="BC9" s="623"/>
      <c r="BD9" s="623"/>
      <c r="BE9" s="623"/>
      <c r="BF9" s="623"/>
      <c r="BG9" s="623"/>
      <c r="BH9" s="623"/>
      <c r="BI9" s="623"/>
      <c r="CO9" s="623"/>
      <c r="CP9" s="623"/>
      <c r="CQ9" s="623"/>
      <c r="CR9" s="624"/>
      <c r="CS9" s="624"/>
      <c r="CT9" s="624"/>
      <c r="CU9" s="624"/>
      <c r="CV9" s="624"/>
      <c r="CW9" s="623"/>
      <c r="CX9" s="623"/>
      <c r="CY9" s="623"/>
      <c r="CZ9" s="623"/>
      <c r="DA9" s="623"/>
      <c r="DB9" s="623"/>
      <c r="DC9" s="623"/>
      <c r="DD9" s="623"/>
      <c r="DE9" s="623"/>
      <c r="DF9" s="623"/>
      <c r="DG9" s="623"/>
      <c r="DH9" s="623"/>
      <c r="DI9" s="623"/>
      <c r="DJ9" s="623"/>
      <c r="DK9" s="623"/>
      <c r="DL9" s="623"/>
      <c r="DM9" s="623"/>
      <c r="DN9" s="623"/>
      <c r="DO9" s="623"/>
      <c r="DP9" s="623"/>
      <c r="DQ9" s="623"/>
      <c r="DR9" s="623"/>
      <c r="DS9" s="623"/>
      <c r="DT9" s="623"/>
      <c r="DU9" s="623"/>
      <c r="DV9" s="623"/>
      <c r="DW9" s="623"/>
      <c r="DX9" s="623"/>
      <c r="DY9" s="623"/>
      <c r="EE9" s="623"/>
      <c r="EF9" s="623"/>
      <c r="EG9" s="623"/>
      <c r="EM9" s="623"/>
      <c r="EN9" s="623"/>
      <c r="EO9" s="623"/>
      <c r="EP9" s="623"/>
      <c r="EQ9" s="623"/>
      <c r="ER9" s="623"/>
      <c r="ES9" s="623"/>
      <c r="ET9" s="623"/>
      <c r="EU9" s="623"/>
      <c r="EV9" s="623"/>
      <c r="EW9" s="623"/>
      <c r="EX9" s="623"/>
      <c r="EY9" s="623"/>
      <c r="EZ9" s="623"/>
      <c r="FA9" s="623"/>
      <c r="FV9" s="623"/>
      <c r="FY9" s="623"/>
      <c r="FZ9" s="623"/>
      <c r="GF9" s="623"/>
      <c r="GY9" s="146"/>
      <c r="GZ9" s="146"/>
      <c r="HA9" s="146"/>
      <c r="HB9" s="146"/>
      <c r="HC9" s="146"/>
      <c r="HD9" s="146"/>
      <c r="HE9" s="146"/>
      <c r="HF9" s="146"/>
      <c r="HG9" s="146"/>
      <c r="HH9" s="146"/>
      <c r="HI9" s="146"/>
      <c r="HJ9" s="146"/>
      <c r="HK9" s="146"/>
      <c r="HL9" s="146"/>
      <c r="HM9" s="146"/>
      <c r="HN9" s="146"/>
      <c r="HO9" s="146"/>
      <c r="HP9" s="623"/>
      <c r="HQ9" s="146"/>
      <c r="HR9" s="623"/>
      <c r="HS9" s="623"/>
      <c r="HT9" s="623"/>
      <c r="HU9" s="623"/>
      <c r="HV9" s="623"/>
      <c r="HW9" s="623"/>
      <c r="HX9" s="623"/>
      <c r="HY9" s="623"/>
      <c r="HZ9" s="623"/>
      <c r="IA9" s="623"/>
      <c r="IB9" s="623"/>
      <c r="IC9" s="623"/>
      <c r="ID9" s="623"/>
      <c r="IE9" s="623"/>
      <c r="IF9" s="623"/>
      <c r="IG9" s="623"/>
      <c r="IH9" s="623"/>
      <c r="II9" s="623"/>
      <c r="IJ9" s="623"/>
      <c r="IK9" s="623"/>
      <c r="IL9" s="623"/>
      <c r="IM9" s="623"/>
      <c r="IN9" s="623"/>
      <c r="IO9" s="97"/>
      <c r="IP9" s="97"/>
      <c r="IQ9" s="97"/>
      <c r="IR9" s="97"/>
      <c r="IS9" s="97"/>
      <c r="IT9" s="97"/>
      <c r="IU9" s="97"/>
      <c r="IW9" s="623"/>
      <c r="IX9" s="623"/>
      <c r="IY9" s="623"/>
      <c r="IZ9" s="623"/>
      <c r="JA9" s="623"/>
      <c r="JB9" s="623"/>
      <c r="JC9" s="623"/>
      <c r="JD9" s="623"/>
      <c r="JE9" s="623"/>
      <c r="JF9" s="623"/>
      <c r="JG9" s="623"/>
      <c r="JH9" s="623"/>
      <c r="JI9" s="623"/>
      <c r="JJ9" s="623"/>
      <c r="JK9" s="623"/>
      <c r="JL9" s="623"/>
      <c r="JM9" s="146"/>
      <c r="JN9" s="146"/>
      <c r="JO9" s="146"/>
      <c r="JP9" s="146"/>
      <c r="JQ9" s="623"/>
      <c r="JR9" s="623"/>
      <c r="JS9" s="623"/>
      <c r="JT9" s="623"/>
      <c r="JU9" s="623"/>
      <c r="JV9" s="623"/>
      <c r="JW9" s="623"/>
      <c r="JX9" s="623"/>
      <c r="JY9" s="623"/>
      <c r="JZ9" s="623"/>
      <c r="KA9" s="623"/>
      <c r="KB9" s="623"/>
      <c r="KC9" s="623"/>
      <c r="KD9" s="146"/>
      <c r="KE9" s="146"/>
      <c r="KF9" s="146"/>
      <c r="KG9" s="146"/>
      <c r="KH9" s="146"/>
      <c r="KI9" s="146"/>
      <c r="KJ9" s="146"/>
      <c r="KK9" s="146"/>
      <c r="KL9" s="146"/>
      <c r="KM9" s="146"/>
      <c r="KN9" s="146"/>
      <c r="KO9" s="146"/>
      <c r="KP9" s="146"/>
      <c r="KQ9" s="146"/>
      <c r="KR9" s="146"/>
      <c r="KS9" s="146"/>
      <c r="KT9" s="623"/>
      <c r="KU9" s="623"/>
      <c r="KV9" s="623"/>
      <c r="KW9" s="623"/>
      <c r="KX9" s="623"/>
      <c r="KY9" s="623"/>
      <c r="KZ9" s="623"/>
      <c r="LA9" s="623"/>
      <c r="LB9" s="623"/>
      <c r="LC9" s="623"/>
      <c r="LD9" s="623"/>
      <c r="LE9" s="623"/>
      <c r="LF9" s="623"/>
      <c r="LG9" s="623"/>
      <c r="LH9" s="623"/>
      <c r="LI9" s="623"/>
      <c r="LJ9" s="623"/>
      <c r="LK9" s="623"/>
      <c r="LL9" s="623"/>
      <c r="LM9" s="623"/>
      <c r="LN9" s="623"/>
      <c r="LO9" s="623"/>
      <c r="LP9" s="623"/>
      <c r="LQ9" s="623"/>
      <c r="LR9" s="623"/>
      <c r="LS9" s="623"/>
      <c r="LT9" s="623"/>
      <c r="LU9" s="623"/>
      <c r="LV9" s="623"/>
      <c r="LW9" s="623"/>
      <c r="LX9" s="623"/>
      <c r="LY9" s="623"/>
      <c r="LZ9" s="623"/>
      <c r="MA9" s="623"/>
      <c r="MB9" s="623"/>
      <c r="MC9" s="623"/>
      <c r="MD9" s="623"/>
      <c r="ME9" s="623"/>
      <c r="MF9" s="623"/>
      <c r="MG9" s="623"/>
      <c r="MH9" s="623"/>
      <c r="MI9" s="623"/>
      <c r="MJ9" s="623"/>
      <c r="MK9" s="623"/>
      <c r="ML9" s="623"/>
      <c r="MM9" s="623"/>
      <c r="MN9" s="623"/>
      <c r="MO9" s="623"/>
      <c r="MP9" s="623"/>
      <c r="MQ9" s="623"/>
      <c r="MR9" s="623"/>
      <c r="MS9" s="623"/>
      <c r="MT9" s="623"/>
      <c r="MU9" s="623"/>
      <c r="MV9" s="623"/>
      <c r="MW9" s="623"/>
      <c r="MX9" s="623"/>
      <c r="MY9" s="623"/>
      <c r="MZ9" s="623"/>
      <c r="NA9" s="623"/>
      <c r="NB9" s="623"/>
      <c r="NC9" s="623"/>
      <c r="ND9" s="623"/>
      <c r="NE9" s="623"/>
      <c r="NF9" s="623"/>
      <c r="NG9" s="623"/>
      <c r="NH9" s="623"/>
      <c r="NI9" s="623"/>
      <c r="NJ9" s="623"/>
      <c r="NK9" s="623"/>
      <c r="NL9" s="623"/>
      <c r="NM9" s="623"/>
      <c r="NN9" s="623"/>
      <c r="NO9" s="623"/>
      <c r="NP9" s="623"/>
      <c r="NQ9" s="623"/>
      <c r="NR9" s="623"/>
      <c r="NS9" s="623"/>
      <c r="RU9" s="624"/>
      <c r="RV9" s="624"/>
      <c r="RW9" s="624"/>
      <c r="RX9" s="624"/>
      <c r="RY9" s="624"/>
      <c r="RZ9" s="624"/>
    </row>
    <row r="10" spans="1:534" s="4" customFormat="1" x14ac:dyDescent="0.25">
      <c r="A10" s="14"/>
      <c r="B10" s="14"/>
      <c r="C10" s="14"/>
      <c r="D10" s="708"/>
      <c r="E10" s="102"/>
      <c r="F10" s="102"/>
      <c r="G10" s="102"/>
      <c r="H10" s="102"/>
      <c r="I10" s="102"/>
      <c r="J10" s="102"/>
      <c r="K10" s="102"/>
      <c r="L10" s="102"/>
      <c r="M10" s="102"/>
      <c r="N10" s="14"/>
      <c r="P10" s="14"/>
      <c r="Q10" s="14"/>
      <c r="R10" s="94"/>
      <c r="S10" s="14"/>
      <c r="T10" s="14"/>
      <c r="U10" s="14"/>
      <c r="X10" s="60"/>
      <c r="AH10" s="60"/>
      <c r="AI10" s="60"/>
      <c r="AJ10" s="60"/>
      <c r="AZ10" s="60"/>
      <c r="BA10" s="60"/>
      <c r="BB10" s="60"/>
      <c r="BC10" s="60"/>
      <c r="BD10" s="60"/>
      <c r="BE10" s="60"/>
      <c r="BF10" s="60"/>
      <c r="BG10" s="60"/>
      <c r="BH10" s="60"/>
      <c r="BI10" s="60"/>
      <c r="CO10" s="60"/>
      <c r="CP10" s="60"/>
      <c r="CQ10" s="60"/>
      <c r="CR10" s="97"/>
      <c r="CS10" s="97"/>
      <c r="CT10" s="97"/>
      <c r="CU10" s="97"/>
      <c r="CV10" s="97"/>
      <c r="CW10" s="60"/>
      <c r="CX10" s="60"/>
      <c r="CY10" s="60"/>
      <c r="CZ10" s="60"/>
      <c r="DA10" s="60"/>
      <c r="DB10" s="60"/>
      <c r="DC10" s="60"/>
      <c r="DD10" s="60"/>
      <c r="DE10" s="60"/>
      <c r="DF10" s="60"/>
      <c r="DG10" s="60"/>
      <c r="DH10" s="60"/>
      <c r="DI10" s="60"/>
      <c r="DJ10" s="60"/>
      <c r="DK10" s="60"/>
      <c r="DL10" s="60"/>
      <c r="DM10" s="60"/>
      <c r="DN10" s="60"/>
      <c r="DO10" s="60"/>
      <c r="DP10" s="60"/>
      <c r="DQ10" s="60"/>
      <c r="DR10" s="60"/>
      <c r="DS10" s="60"/>
      <c r="DT10" s="60"/>
      <c r="DU10" s="60"/>
      <c r="DV10" s="60"/>
      <c r="DW10" s="60"/>
      <c r="DX10" s="60"/>
      <c r="DY10" s="60"/>
      <c r="EE10" s="60"/>
      <c r="EF10" s="60"/>
      <c r="EG10" s="60"/>
      <c r="EM10" s="60"/>
      <c r="EN10" s="60"/>
      <c r="EO10" s="60"/>
      <c r="EP10" s="60"/>
      <c r="EQ10" s="60"/>
      <c r="ER10" s="60"/>
      <c r="ES10" s="60"/>
      <c r="ET10" s="60"/>
      <c r="EU10" s="60"/>
      <c r="EV10" s="60"/>
      <c r="EW10" s="60"/>
      <c r="EX10" s="60"/>
      <c r="EY10" s="60"/>
      <c r="EZ10" s="60"/>
      <c r="FA10" s="60"/>
      <c r="FV10" s="60"/>
      <c r="FY10" s="60"/>
      <c r="FZ10" s="60"/>
      <c r="GF10" s="60"/>
      <c r="GY10" s="123"/>
      <c r="GZ10" s="123"/>
      <c r="HA10" s="123"/>
      <c r="HB10" s="123"/>
      <c r="HC10" s="123"/>
      <c r="HD10" s="123"/>
      <c r="HE10" s="123"/>
      <c r="HF10" s="123"/>
      <c r="HG10" s="123"/>
      <c r="HH10" s="123"/>
      <c r="HI10" s="123"/>
      <c r="HJ10" s="123"/>
      <c r="HK10" s="123"/>
      <c r="HL10" s="123"/>
      <c r="HM10" s="123"/>
      <c r="HN10" s="123"/>
      <c r="HO10" s="123"/>
      <c r="HP10" s="60"/>
      <c r="HQ10" s="123"/>
      <c r="HR10" s="60"/>
      <c r="HS10" s="60"/>
      <c r="HT10" s="60"/>
      <c r="HU10" s="60"/>
      <c r="HV10" s="60"/>
      <c r="HW10" s="60"/>
      <c r="HX10" s="60"/>
      <c r="HY10" s="60"/>
      <c r="HZ10" s="60"/>
      <c r="IA10" s="60"/>
      <c r="IB10" s="60"/>
      <c r="IC10" s="60"/>
      <c r="ID10" s="60"/>
      <c r="IE10" s="60"/>
      <c r="IF10" s="60"/>
      <c r="IG10" s="60"/>
      <c r="IH10" s="60"/>
      <c r="II10" s="60"/>
      <c r="IJ10" s="60"/>
      <c r="IK10" s="60"/>
      <c r="IL10" s="60"/>
      <c r="IM10" s="60"/>
      <c r="IN10" s="60"/>
      <c r="IO10" s="97"/>
      <c r="IP10" s="97"/>
      <c r="IQ10" s="97"/>
      <c r="IR10" s="97"/>
      <c r="IS10" s="97"/>
      <c r="IT10" s="97"/>
      <c r="IU10" s="97"/>
      <c r="IW10" s="60"/>
      <c r="IX10" s="60"/>
      <c r="IY10" s="60"/>
      <c r="IZ10" s="60"/>
      <c r="JA10" s="60"/>
      <c r="JB10" s="60"/>
      <c r="JC10" s="60"/>
      <c r="JD10" s="60"/>
      <c r="JE10" s="60"/>
      <c r="JF10" s="60"/>
      <c r="JG10" s="60"/>
      <c r="JH10" s="60"/>
      <c r="JI10" s="60"/>
      <c r="JJ10" s="60"/>
      <c r="JK10" s="60"/>
      <c r="JL10" s="60"/>
      <c r="JM10" s="123"/>
      <c r="JN10" s="123"/>
      <c r="JO10" s="123"/>
      <c r="JP10" s="123"/>
      <c r="JQ10" s="60"/>
      <c r="JR10" s="60"/>
      <c r="JS10" s="60"/>
      <c r="JT10" s="60"/>
      <c r="JU10" s="60"/>
      <c r="JV10" s="60"/>
      <c r="JW10" s="60"/>
      <c r="JX10" s="60"/>
      <c r="JY10" s="60"/>
      <c r="JZ10" s="60"/>
      <c r="KA10" s="60"/>
      <c r="KB10" s="60"/>
      <c r="KC10" s="60"/>
      <c r="KD10" s="123"/>
      <c r="KE10" s="123"/>
      <c r="KF10" s="123"/>
      <c r="KG10" s="123"/>
      <c r="KH10" s="123"/>
      <c r="KI10" s="123"/>
      <c r="KJ10" s="123"/>
      <c r="KK10" s="123"/>
      <c r="KL10" s="123"/>
      <c r="KM10" s="123"/>
      <c r="KN10" s="123"/>
      <c r="KO10" s="123"/>
      <c r="KP10" s="123"/>
      <c r="KQ10" s="123"/>
      <c r="KR10" s="123"/>
      <c r="KS10" s="123"/>
      <c r="KT10" s="60"/>
      <c r="KU10" s="60"/>
      <c r="KV10" s="60"/>
      <c r="KW10" s="60"/>
      <c r="KX10" s="60"/>
      <c r="KY10" s="60"/>
      <c r="KZ10" s="60"/>
      <c r="LA10" s="60"/>
      <c r="LB10" s="60"/>
      <c r="LC10" s="60"/>
      <c r="LD10" s="60"/>
      <c r="LE10" s="60"/>
      <c r="LF10" s="60"/>
      <c r="LG10" s="60"/>
      <c r="LH10" s="60"/>
      <c r="LI10" s="60"/>
      <c r="LJ10" s="60"/>
      <c r="LK10" s="60"/>
      <c r="LL10" s="60"/>
      <c r="LM10" s="60"/>
      <c r="LN10" s="60"/>
      <c r="LO10" s="60"/>
      <c r="LP10" s="60"/>
      <c r="LQ10" s="60"/>
      <c r="LR10" s="60"/>
      <c r="LS10" s="60"/>
      <c r="LT10" s="60"/>
      <c r="LU10" s="60"/>
      <c r="LV10" s="60"/>
      <c r="LW10" s="60"/>
      <c r="LX10" s="60"/>
      <c r="LY10" s="60"/>
      <c r="LZ10" s="60"/>
      <c r="MA10" s="60"/>
      <c r="MB10" s="60"/>
      <c r="MC10" s="60"/>
      <c r="MD10" s="60"/>
      <c r="ME10" s="60"/>
      <c r="MF10" s="60"/>
      <c r="MG10" s="60"/>
      <c r="MH10" s="60"/>
      <c r="MI10" s="60"/>
      <c r="MJ10" s="60"/>
      <c r="MK10" s="60"/>
      <c r="ML10" s="60"/>
      <c r="MM10" s="60"/>
      <c r="MN10" s="60"/>
      <c r="MO10" s="60"/>
      <c r="MP10" s="60"/>
      <c r="MQ10" s="60"/>
      <c r="MR10" s="60"/>
      <c r="MS10" s="60"/>
      <c r="MT10" s="60"/>
      <c r="MU10" s="60"/>
      <c r="MV10" s="60"/>
      <c r="MW10" s="60"/>
      <c r="MX10" s="60"/>
      <c r="MY10" s="60"/>
      <c r="MZ10" s="60"/>
      <c r="NA10" s="60"/>
      <c r="NB10" s="60"/>
      <c r="NC10" s="60"/>
      <c r="ND10" s="60"/>
      <c r="NE10" s="60"/>
      <c r="NF10" s="60"/>
      <c r="NG10" s="60"/>
      <c r="NH10" s="60"/>
      <c r="NI10" s="60"/>
      <c r="NJ10" s="60"/>
      <c r="NK10" s="60"/>
      <c r="NL10" s="60"/>
      <c r="NM10" s="60"/>
      <c r="NN10" s="60"/>
      <c r="NO10" s="60"/>
      <c r="NP10" s="60"/>
      <c r="NQ10" s="60"/>
      <c r="NR10" s="60"/>
      <c r="NS10" s="60"/>
      <c r="RU10" s="97"/>
      <c r="RV10" s="97"/>
      <c r="RW10" s="97"/>
      <c r="RX10" s="97"/>
      <c r="RY10" s="97"/>
      <c r="RZ10" s="97"/>
    </row>
    <row r="11" spans="1:534" s="4" customFormat="1" ht="13.8" x14ac:dyDescent="0.3">
      <c r="A11" s="15" t="s">
        <v>74</v>
      </c>
      <c r="B11" s="14"/>
      <c r="C11" s="14"/>
      <c r="D11" s="708"/>
      <c r="E11" s="102"/>
      <c r="F11" s="102"/>
      <c r="G11" s="102"/>
      <c r="H11" s="102"/>
      <c r="I11" s="102"/>
      <c r="J11" s="102"/>
      <c r="K11" s="102"/>
      <c r="L11" s="102"/>
      <c r="M11" s="102"/>
      <c r="N11" s="14"/>
      <c r="Q11" s="14"/>
      <c r="R11" s="67"/>
      <c r="S11" s="67"/>
      <c r="T11" s="14"/>
      <c r="U11" s="14"/>
      <c r="X11" s="60"/>
      <c r="AH11" s="60"/>
      <c r="AI11" s="60"/>
      <c r="AJ11" s="60"/>
      <c r="AZ11" s="60"/>
      <c r="BA11" s="60"/>
      <c r="BB11" s="60"/>
      <c r="BC11" s="60"/>
      <c r="BD11" s="60"/>
      <c r="BE11" s="60"/>
      <c r="BF11" s="60"/>
      <c r="BG11" s="60"/>
      <c r="BH11" s="60"/>
      <c r="BI11" s="60"/>
      <c r="CK11" s="37"/>
      <c r="CN11" s="37"/>
      <c r="CO11" s="74"/>
      <c r="CP11" s="74"/>
      <c r="CQ11" s="74"/>
      <c r="CR11" s="97"/>
      <c r="CS11" s="97"/>
      <c r="CT11" s="97"/>
      <c r="CU11" s="97"/>
      <c r="CV11" s="97"/>
      <c r="CW11" s="74"/>
      <c r="CX11" s="74"/>
      <c r="CY11" s="74"/>
      <c r="CZ11" s="74"/>
      <c r="DA11" s="74"/>
      <c r="DB11" s="74"/>
      <c r="DC11" s="74"/>
      <c r="DD11" s="74"/>
      <c r="DE11" s="74"/>
      <c r="DF11" s="74"/>
      <c r="DG11" s="74"/>
      <c r="DH11" s="74"/>
      <c r="DI11" s="74"/>
      <c r="DJ11" s="74"/>
      <c r="DK11" s="74"/>
      <c r="DL11" s="74"/>
      <c r="DM11" s="74"/>
      <c r="DN11" s="74"/>
      <c r="DO11" s="74"/>
      <c r="DP11" s="74"/>
      <c r="DQ11" s="74"/>
      <c r="DR11" s="74"/>
      <c r="DS11" s="74"/>
      <c r="DT11" s="74"/>
      <c r="DU11" s="74"/>
      <c r="DV11" s="74"/>
      <c r="DW11" s="74"/>
      <c r="DX11" s="74"/>
      <c r="DY11" s="74"/>
      <c r="EE11" s="74"/>
      <c r="EF11" s="74"/>
      <c r="EG11" s="74"/>
      <c r="EM11" s="74"/>
      <c r="EN11" s="74"/>
      <c r="EO11" s="74"/>
      <c r="EP11" s="74"/>
      <c r="EQ11" s="74"/>
      <c r="ER11" s="74"/>
      <c r="ES11" s="74"/>
      <c r="ET11" s="74"/>
      <c r="EU11" s="74"/>
      <c r="EV11" s="74"/>
      <c r="EW11" s="74"/>
      <c r="EX11" s="74"/>
      <c r="EY11" s="74"/>
      <c r="EZ11" s="74"/>
      <c r="FA11" s="74"/>
      <c r="FV11" s="60"/>
      <c r="FY11" s="74"/>
      <c r="FZ11" s="60"/>
      <c r="GF11" s="74"/>
      <c r="GY11" s="123"/>
      <c r="GZ11" s="123"/>
      <c r="HA11" s="123"/>
      <c r="HB11" s="123"/>
      <c r="HC11" s="123"/>
      <c r="HD11" s="123"/>
      <c r="HE11" s="123"/>
      <c r="HF11" s="123"/>
      <c r="HG11" s="123"/>
      <c r="HH11" s="123"/>
      <c r="HI11" s="123"/>
      <c r="HJ11" s="123"/>
      <c r="HK11" s="123"/>
      <c r="HL11" s="123"/>
      <c r="HM11" s="123"/>
      <c r="HN11" s="123"/>
      <c r="HO11" s="123"/>
      <c r="HP11" s="60"/>
      <c r="HQ11" s="123"/>
      <c r="HR11" s="60"/>
      <c r="HS11" s="74"/>
      <c r="HT11" s="74"/>
      <c r="HU11" s="74"/>
      <c r="HV11" s="74"/>
      <c r="HW11" s="74"/>
      <c r="HX11" s="74"/>
      <c r="HY11" s="74"/>
      <c r="HZ11" s="74"/>
      <c r="IA11" s="74"/>
      <c r="IB11" s="74"/>
      <c r="IC11" s="74"/>
      <c r="ID11" s="74"/>
      <c r="IE11" s="74"/>
      <c r="IF11" s="74"/>
      <c r="IG11" s="74"/>
      <c r="IH11" s="74"/>
      <c r="II11" s="74"/>
      <c r="IJ11" s="74"/>
      <c r="IK11" s="74"/>
      <c r="IL11" s="74"/>
      <c r="IM11" s="74"/>
      <c r="IN11" s="74"/>
      <c r="IO11" s="97"/>
      <c r="IP11" s="97"/>
      <c r="IQ11" s="97"/>
      <c r="IR11" s="97"/>
      <c r="IS11" s="97"/>
      <c r="IT11" s="97"/>
      <c r="IU11" s="97"/>
      <c r="IW11" s="60"/>
      <c r="IX11" s="60"/>
      <c r="IY11" s="60"/>
      <c r="IZ11" s="60"/>
      <c r="JA11" s="60"/>
      <c r="JB11" s="60"/>
      <c r="JC11" s="60"/>
      <c r="JD11" s="60"/>
      <c r="JE11" s="60"/>
      <c r="JF11" s="60"/>
      <c r="JG11" s="60"/>
      <c r="JH11" s="60"/>
      <c r="JI11" s="60"/>
      <c r="JJ11" s="60"/>
      <c r="JK11" s="60"/>
      <c r="JL11" s="60"/>
      <c r="JM11" s="123"/>
      <c r="JN11" s="123"/>
      <c r="JO11" s="123"/>
      <c r="JP11" s="123"/>
      <c r="JQ11" s="60"/>
      <c r="JR11" s="60"/>
      <c r="JS11" s="60"/>
      <c r="JT11" s="60"/>
      <c r="JU11" s="60"/>
      <c r="JV11" s="60"/>
      <c r="JW11" s="60"/>
      <c r="JX11" s="60"/>
      <c r="JY11" s="60"/>
      <c r="JZ11" s="60"/>
      <c r="KA11" s="60"/>
      <c r="KB11" s="60"/>
      <c r="KC11" s="60"/>
      <c r="KD11" s="123"/>
      <c r="KE11" s="123"/>
      <c r="KF11" s="123"/>
      <c r="KG11" s="123"/>
      <c r="KH11" s="123"/>
      <c r="KI11" s="123"/>
      <c r="KJ11" s="123"/>
      <c r="KK11" s="123"/>
      <c r="KL11" s="123"/>
      <c r="KM11" s="123"/>
      <c r="KN11" s="123"/>
      <c r="KO11" s="123"/>
      <c r="KP11" s="123"/>
      <c r="KQ11" s="123"/>
      <c r="KR11" s="123"/>
      <c r="KS11" s="123"/>
      <c r="KT11" s="60"/>
      <c r="KU11" s="60"/>
      <c r="KV11" s="60"/>
      <c r="KW11" s="60"/>
      <c r="KX11" s="74"/>
      <c r="KY11" s="60"/>
      <c r="KZ11" s="60"/>
      <c r="LA11" s="60"/>
      <c r="LB11" s="60"/>
      <c r="LC11" s="74"/>
      <c r="LD11" s="74"/>
      <c r="LE11" s="74"/>
      <c r="LF11" s="74"/>
      <c r="LG11" s="74"/>
      <c r="LH11" s="74"/>
      <c r="LI11" s="74"/>
      <c r="LJ11" s="74"/>
      <c r="LK11" s="74"/>
      <c r="LL11" s="74"/>
      <c r="LM11" s="74"/>
      <c r="LN11" s="74"/>
      <c r="LO11" s="74"/>
      <c r="LP11" s="74"/>
      <c r="LQ11" s="74"/>
      <c r="LR11" s="74"/>
      <c r="LS11" s="74"/>
      <c r="LT11" s="74"/>
      <c r="LU11" s="74"/>
      <c r="LV11" s="74"/>
      <c r="LW11" s="74"/>
      <c r="LX11" s="60"/>
      <c r="LY11" s="60"/>
      <c r="LZ11" s="60"/>
      <c r="MA11" s="60"/>
      <c r="MB11" s="74"/>
      <c r="MC11" s="60"/>
      <c r="MD11" s="60"/>
      <c r="ME11" s="60"/>
      <c r="MF11" s="60"/>
      <c r="MG11" s="74"/>
      <c r="MH11" s="74"/>
      <c r="MI11" s="74"/>
      <c r="MJ11" s="74"/>
      <c r="MK11" s="74"/>
      <c r="ML11" s="74"/>
      <c r="MM11" s="74"/>
      <c r="MN11" s="74"/>
      <c r="MO11" s="74"/>
      <c r="MP11" s="74"/>
      <c r="MQ11" s="74"/>
      <c r="MR11" s="60"/>
      <c r="MS11" s="60"/>
      <c r="MT11" s="60"/>
      <c r="MU11" s="60"/>
      <c r="MV11" s="60"/>
      <c r="MW11" s="74"/>
      <c r="MX11" s="74"/>
      <c r="MY11" s="74"/>
      <c r="MZ11" s="74"/>
      <c r="NA11" s="74"/>
      <c r="NB11" s="74"/>
      <c r="NC11" s="74"/>
      <c r="ND11" s="74"/>
      <c r="NE11" s="74"/>
      <c r="NF11" s="74"/>
      <c r="NG11" s="74"/>
      <c r="NH11" s="74"/>
      <c r="NI11" s="74"/>
      <c r="NJ11" s="74"/>
      <c r="NK11" s="74"/>
      <c r="NL11" s="74"/>
      <c r="NM11" s="74"/>
      <c r="NN11" s="74"/>
      <c r="NO11" s="74"/>
      <c r="NP11" s="74"/>
      <c r="NQ11" s="74"/>
      <c r="NR11" s="60"/>
      <c r="NS11" s="60"/>
      <c r="RU11" s="97"/>
      <c r="RV11" s="97"/>
      <c r="RW11" s="97"/>
      <c r="RX11" s="97"/>
      <c r="RY11" s="97"/>
      <c r="RZ11" s="97"/>
    </row>
    <row r="12" spans="1:534" s="49" customFormat="1" x14ac:dyDescent="0.25">
      <c r="A12" s="50" t="s">
        <v>246</v>
      </c>
      <c r="B12" s="50"/>
      <c r="C12" s="50"/>
      <c r="D12" s="710"/>
      <c r="E12" s="575"/>
      <c r="F12" s="575"/>
      <c r="G12" s="575"/>
      <c r="H12" s="575"/>
      <c r="I12" s="575"/>
      <c r="J12" s="575"/>
      <c r="K12" s="575"/>
      <c r="L12" s="575"/>
      <c r="M12" s="575"/>
      <c r="N12" s="625">
        <f>'Crops; pasture DISCOUNTED'!V19</f>
        <v>1922.0228</v>
      </c>
      <c r="P12" s="577">
        <f>P14+P15+P16+P17</f>
        <v>1030.3550016126335</v>
      </c>
      <c r="Q12" s="711">
        <f t="shared" ref="Q12" si="0">P12/N12</f>
        <v>0.5360784490239312</v>
      </c>
      <c r="R12" s="152"/>
      <c r="S12" s="152"/>
      <c r="T12" s="50"/>
      <c r="U12" s="50"/>
      <c r="X12" s="123"/>
      <c r="AH12" s="123"/>
      <c r="AI12" s="123"/>
      <c r="AJ12" s="123"/>
      <c r="AZ12" s="123"/>
      <c r="BA12" s="123"/>
      <c r="BB12" s="123"/>
      <c r="BC12" s="123"/>
      <c r="BD12" s="123"/>
      <c r="BE12" s="123"/>
      <c r="BF12" s="123"/>
      <c r="BG12" s="123"/>
      <c r="BH12" s="123"/>
      <c r="BI12" s="123"/>
      <c r="CK12" s="54"/>
      <c r="CN12" s="54"/>
      <c r="CO12" s="133"/>
      <c r="CP12" s="133"/>
      <c r="CQ12" s="133"/>
      <c r="CR12" s="149"/>
      <c r="CS12" s="149"/>
      <c r="CT12" s="149"/>
      <c r="CU12" s="149"/>
      <c r="CV12" s="149"/>
      <c r="CW12" s="133"/>
      <c r="CX12" s="133"/>
      <c r="CY12" s="133"/>
      <c r="CZ12" s="133"/>
      <c r="DA12" s="133"/>
      <c r="DB12" s="133"/>
      <c r="DC12" s="133"/>
      <c r="DD12" s="133"/>
      <c r="DE12" s="133"/>
      <c r="DF12" s="133"/>
      <c r="DG12" s="133"/>
      <c r="DH12" s="133"/>
      <c r="DI12" s="133"/>
      <c r="DJ12" s="133"/>
      <c r="DK12" s="133"/>
      <c r="DL12" s="133"/>
      <c r="DM12" s="133"/>
      <c r="DN12" s="133"/>
      <c r="DO12" s="133"/>
      <c r="DP12" s="133"/>
      <c r="DQ12" s="133"/>
      <c r="DR12" s="133"/>
      <c r="DS12" s="133"/>
      <c r="DT12" s="133"/>
      <c r="DU12" s="133"/>
      <c r="DV12" s="133"/>
      <c r="DW12" s="133"/>
      <c r="DX12" s="133"/>
      <c r="DY12" s="133"/>
      <c r="EE12" s="133"/>
      <c r="EF12" s="133"/>
      <c r="EG12" s="133"/>
      <c r="EM12" s="133"/>
      <c r="EN12" s="133"/>
      <c r="EO12" s="133"/>
      <c r="EP12" s="133"/>
      <c r="EQ12" s="133"/>
      <c r="ER12" s="133"/>
      <c r="ES12" s="133"/>
      <c r="ET12" s="133"/>
      <c r="EU12" s="133"/>
      <c r="EV12" s="133"/>
      <c r="EW12" s="133"/>
      <c r="EX12" s="133"/>
      <c r="EY12" s="133"/>
      <c r="EZ12" s="133"/>
      <c r="FA12" s="133"/>
      <c r="FV12" s="123"/>
      <c r="FY12" s="133"/>
      <c r="FZ12" s="123"/>
      <c r="GF12" s="133"/>
      <c r="GY12" s="123"/>
      <c r="GZ12" s="123"/>
      <c r="HA12" s="123"/>
      <c r="HB12" s="123"/>
      <c r="HC12" s="123"/>
      <c r="HD12" s="123"/>
      <c r="HE12" s="123"/>
      <c r="HF12" s="123"/>
      <c r="HG12" s="123"/>
      <c r="HH12" s="123"/>
      <c r="HI12" s="123"/>
      <c r="HJ12" s="123"/>
      <c r="HK12" s="123"/>
      <c r="HL12" s="123"/>
      <c r="HM12" s="123"/>
      <c r="HN12" s="123"/>
      <c r="HO12" s="123"/>
      <c r="HP12" s="123"/>
      <c r="HQ12" s="123"/>
      <c r="HR12" s="123"/>
      <c r="HS12" s="133"/>
      <c r="HT12" s="133"/>
      <c r="HU12" s="133"/>
      <c r="HV12" s="133"/>
      <c r="HW12" s="133"/>
      <c r="HX12" s="133"/>
      <c r="HY12" s="133"/>
      <c r="HZ12" s="133"/>
      <c r="IA12" s="133"/>
      <c r="IB12" s="133"/>
      <c r="IC12" s="133"/>
      <c r="ID12" s="133"/>
      <c r="IE12" s="133"/>
      <c r="IF12" s="133"/>
      <c r="IG12" s="133"/>
      <c r="IH12" s="133"/>
      <c r="II12" s="133"/>
      <c r="IJ12" s="133"/>
      <c r="IK12" s="133"/>
      <c r="IL12" s="133"/>
      <c r="IM12" s="133"/>
      <c r="IN12" s="133"/>
      <c r="IO12" s="97"/>
      <c r="IP12" s="97"/>
      <c r="IQ12" s="97"/>
      <c r="IR12" s="97"/>
      <c r="IS12" s="97"/>
      <c r="IT12" s="97"/>
      <c r="IU12" s="97"/>
      <c r="IW12" s="123"/>
      <c r="IX12" s="123"/>
      <c r="IY12" s="123"/>
      <c r="IZ12" s="123"/>
      <c r="JA12" s="123"/>
      <c r="JB12" s="123"/>
      <c r="JC12" s="123"/>
      <c r="JD12" s="123"/>
      <c r="JE12" s="123"/>
      <c r="JF12" s="123"/>
      <c r="JG12" s="123"/>
      <c r="JH12" s="123"/>
      <c r="JI12" s="123"/>
      <c r="JJ12" s="123"/>
      <c r="JK12" s="123"/>
      <c r="JL12" s="123"/>
      <c r="JM12" s="123"/>
      <c r="JN12" s="123"/>
      <c r="JO12" s="123"/>
      <c r="JP12" s="123"/>
      <c r="JQ12" s="123"/>
      <c r="JR12" s="123"/>
      <c r="JS12" s="123"/>
      <c r="JT12" s="123"/>
      <c r="JU12" s="123"/>
      <c r="JV12" s="123"/>
      <c r="JW12" s="123"/>
      <c r="JX12" s="123"/>
      <c r="JY12" s="123"/>
      <c r="JZ12" s="123"/>
      <c r="KA12" s="123"/>
      <c r="KB12" s="123"/>
      <c r="KC12" s="123"/>
      <c r="KD12" s="123"/>
      <c r="KE12" s="123"/>
      <c r="KF12" s="123"/>
      <c r="KG12" s="123"/>
      <c r="KH12" s="123"/>
      <c r="KI12" s="123"/>
      <c r="KJ12" s="123"/>
      <c r="KK12" s="123"/>
      <c r="KL12" s="123"/>
      <c r="KM12" s="123"/>
      <c r="KN12" s="123"/>
      <c r="KO12" s="123"/>
      <c r="KP12" s="123"/>
      <c r="KQ12" s="123"/>
      <c r="KR12" s="123"/>
      <c r="KS12" s="123"/>
      <c r="KT12" s="123"/>
      <c r="KU12" s="123"/>
      <c r="KV12" s="123"/>
      <c r="KW12" s="123"/>
      <c r="KX12" s="133"/>
      <c r="KY12" s="123"/>
      <c r="KZ12" s="123"/>
      <c r="LA12" s="123"/>
      <c r="LB12" s="123"/>
      <c r="LC12" s="133"/>
      <c r="LD12" s="133"/>
      <c r="LE12" s="133"/>
      <c r="LF12" s="133"/>
      <c r="LG12" s="133"/>
      <c r="LH12" s="133"/>
      <c r="LI12" s="133"/>
      <c r="LJ12" s="133"/>
      <c r="LK12" s="133"/>
      <c r="LL12" s="133"/>
      <c r="LM12" s="133"/>
      <c r="LN12" s="133"/>
      <c r="LO12" s="133"/>
      <c r="LP12" s="133"/>
      <c r="LQ12" s="133"/>
      <c r="LR12" s="133"/>
      <c r="LS12" s="133"/>
      <c r="LT12" s="133"/>
      <c r="LU12" s="133"/>
      <c r="LV12" s="133"/>
      <c r="LW12" s="133"/>
      <c r="LX12" s="123"/>
      <c r="LY12" s="123"/>
      <c r="LZ12" s="123"/>
      <c r="MA12" s="123"/>
      <c r="MB12" s="133"/>
      <c r="MC12" s="123"/>
      <c r="MD12" s="123"/>
      <c r="ME12" s="123"/>
      <c r="MF12" s="123"/>
      <c r="MG12" s="133"/>
      <c r="MH12" s="133"/>
      <c r="MI12" s="133"/>
      <c r="MJ12" s="133"/>
      <c r="MK12" s="133"/>
      <c r="ML12" s="133"/>
      <c r="MM12" s="133"/>
      <c r="MN12" s="133"/>
      <c r="MO12" s="133"/>
      <c r="MP12" s="133"/>
      <c r="MQ12" s="133"/>
      <c r="MR12" s="123"/>
      <c r="MS12" s="123"/>
      <c r="MT12" s="123"/>
      <c r="MU12" s="123"/>
      <c r="MV12" s="123"/>
      <c r="MW12" s="133"/>
      <c r="MX12" s="133"/>
      <c r="MY12" s="133"/>
      <c r="MZ12" s="133"/>
      <c r="NA12" s="133"/>
      <c r="NB12" s="133"/>
      <c r="NC12" s="133"/>
      <c r="ND12" s="133"/>
      <c r="NE12" s="133"/>
      <c r="NF12" s="133"/>
      <c r="NG12" s="133"/>
      <c r="NH12" s="133"/>
      <c r="NI12" s="133"/>
      <c r="NJ12" s="133"/>
      <c r="NK12" s="133"/>
      <c r="NL12" s="133"/>
      <c r="NM12" s="133"/>
      <c r="NN12" s="133"/>
      <c r="NO12" s="133"/>
      <c r="NP12" s="133"/>
      <c r="NQ12" s="133"/>
      <c r="NR12" s="123"/>
      <c r="NS12" s="123"/>
      <c r="RU12" s="149"/>
      <c r="RV12" s="149"/>
      <c r="RW12" s="149"/>
      <c r="RX12" s="149"/>
      <c r="RY12" s="149"/>
      <c r="RZ12" s="149"/>
    </row>
    <row r="13" spans="1:534" s="49" customFormat="1" x14ac:dyDescent="0.25">
      <c r="A13" s="50" t="s">
        <v>173</v>
      </c>
      <c r="B13" s="50"/>
      <c r="C13" s="50"/>
      <c r="D13" s="710"/>
      <c r="E13" s="575"/>
      <c r="F13" s="575"/>
      <c r="G13" s="575"/>
      <c r="H13" s="575"/>
      <c r="I13" s="575"/>
      <c r="J13" s="575"/>
      <c r="K13" s="575"/>
      <c r="L13" s="575"/>
      <c r="M13" s="575"/>
      <c r="N13" s="50"/>
      <c r="R13" s="712">
        <f>R14+0.8*R15+R16</f>
        <v>934.32042095835209</v>
      </c>
      <c r="S13" s="152"/>
      <c r="T13" s="50"/>
      <c r="U13" s="50"/>
      <c r="X13" s="123"/>
      <c r="AH13" s="123"/>
      <c r="AI13" s="123"/>
      <c r="AJ13" s="123"/>
      <c r="AZ13" s="123"/>
      <c r="BA13" s="123"/>
      <c r="BB13" s="123"/>
      <c r="BC13" s="123"/>
      <c r="BD13" s="123"/>
      <c r="BE13" s="123"/>
      <c r="BF13" s="123"/>
      <c r="BG13" s="123"/>
      <c r="BH13" s="123"/>
      <c r="BI13" s="123"/>
      <c r="CK13" s="54"/>
      <c r="CN13" s="54"/>
      <c r="CO13" s="133"/>
      <c r="CP13" s="133"/>
      <c r="CQ13" s="133"/>
      <c r="CR13" s="149"/>
      <c r="CS13" s="149"/>
      <c r="CT13" s="149"/>
      <c r="CU13" s="149"/>
      <c r="CV13" s="149"/>
      <c r="CW13" s="133"/>
      <c r="CX13" s="133"/>
      <c r="CY13" s="133"/>
      <c r="CZ13" s="133"/>
      <c r="DA13" s="133"/>
      <c r="DB13" s="133"/>
      <c r="DC13" s="133"/>
      <c r="DD13" s="133"/>
      <c r="DE13" s="133"/>
      <c r="DF13" s="133"/>
      <c r="DG13" s="133"/>
      <c r="DH13" s="133"/>
      <c r="DI13" s="133"/>
      <c r="DJ13" s="133"/>
      <c r="DK13" s="133"/>
      <c r="DL13" s="133"/>
      <c r="DM13" s="133"/>
      <c r="DN13" s="133"/>
      <c r="DO13" s="133"/>
      <c r="DP13" s="133"/>
      <c r="DQ13" s="133"/>
      <c r="DR13" s="133"/>
      <c r="DS13" s="133"/>
      <c r="DT13" s="133"/>
      <c r="DU13" s="133"/>
      <c r="DV13" s="133"/>
      <c r="DW13" s="133"/>
      <c r="DX13" s="133"/>
      <c r="DY13" s="133"/>
      <c r="EE13" s="133"/>
      <c r="EF13" s="133"/>
      <c r="EG13" s="133"/>
      <c r="EM13" s="133"/>
      <c r="EN13" s="133"/>
      <c r="EO13" s="133"/>
      <c r="EP13" s="133"/>
      <c r="EQ13" s="133"/>
      <c r="ER13" s="133"/>
      <c r="ES13" s="133"/>
      <c r="ET13" s="133"/>
      <c r="EU13" s="133"/>
      <c r="EV13" s="133"/>
      <c r="EW13" s="133"/>
      <c r="EX13" s="133"/>
      <c r="EY13" s="133"/>
      <c r="EZ13" s="133"/>
      <c r="FA13" s="133"/>
      <c r="FV13" s="123"/>
      <c r="FY13" s="133"/>
      <c r="FZ13" s="123"/>
      <c r="GF13" s="133"/>
      <c r="GY13" s="123"/>
      <c r="GZ13" s="123"/>
      <c r="HA13" s="123"/>
      <c r="HB13" s="123"/>
      <c r="HC13" s="123"/>
      <c r="HD13" s="123"/>
      <c r="HE13" s="123"/>
      <c r="HF13" s="123"/>
      <c r="HG13" s="123"/>
      <c r="HH13" s="123"/>
      <c r="HI13" s="123"/>
      <c r="HJ13" s="123"/>
      <c r="HK13" s="123"/>
      <c r="HL13" s="123"/>
      <c r="HM13" s="123"/>
      <c r="HN13" s="123"/>
      <c r="HO13" s="123"/>
      <c r="HP13" s="123"/>
      <c r="HQ13" s="123"/>
      <c r="HR13" s="123"/>
      <c r="HS13" s="133"/>
      <c r="HT13" s="133"/>
      <c r="HU13" s="133"/>
      <c r="HV13" s="133"/>
      <c r="HW13" s="133"/>
      <c r="HX13" s="133"/>
      <c r="HY13" s="133"/>
      <c r="HZ13" s="133"/>
      <c r="IA13" s="133"/>
      <c r="IB13" s="133"/>
      <c r="IC13" s="133"/>
      <c r="ID13" s="133"/>
      <c r="IE13" s="133"/>
      <c r="IF13" s="133"/>
      <c r="IG13" s="133"/>
      <c r="IH13" s="133"/>
      <c r="II13" s="133"/>
      <c r="IJ13" s="133"/>
      <c r="IK13" s="133"/>
      <c r="IL13" s="133"/>
      <c r="IM13" s="133"/>
      <c r="IN13" s="133"/>
      <c r="IO13" s="97"/>
      <c r="IP13" s="97"/>
      <c r="IQ13" s="97"/>
      <c r="IR13" s="97"/>
      <c r="IS13" s="97"/>
      <c r="IT13" s="97"/>
      <c r="IU13" s="97"/>
      <c r="IW13" s="123"/>
      <c r="IX13" s="123"/>
      <c r="IY13" s="123"/>
      <c r="IZ13" s="123"/>
      <c r="JA13" s="123"/>
      <c r="JB13" s="123"/>
      <c r="JC13" s="123"/>
      <c r="JD13" s="123"/>
      <c r="JE13" s="123"/>
      <c r="JF13" s="123"/>
      <c r="JG13" s="123"/>
      <c r="JH13" s="123"/>
      <c r="JI13" s="123"/>
      <c r="JJ13" s="123"/>
      <c r="JK13" s="123"/>
      <c r="JL13" s="123"/>
      <c r="JM13" s="123"/>
      <c r="JN13" s="123"/>
      <c r="JO13" s="123"/>
      <c r="JP13" s="123"/>
      <c r="JQ13" s="123"/>
      <c r="JR13" s="123"/>
      <c r="JS13" s="123"/>
      <c r="JT13" s="123"/>
      <c r="JU13" s="123"/>
      <c r="JV13" s="123"/>
      <c r="JW13" s="123"/>
      <c r="JX13" s="123"/>
      <c r="JY13" s="123"/>
      <c r="JZ13" s="123"/>
      <c r="KA13" s="123"/>
      <c r="KB13" s="123"/>
      <c r="KC13" s="123"/>
      <c r="KD13" s="123"/>
      <c r="KE13" s="123"/>
      <c r="KF13" s="123"/>
      <c r="KG13" s="123"/>
      <c r="KH13" s="123"/>
      <c r="KI13" s="123"/>
      <c r="KJ13" s="123"/>
      <c r="KK13" s="123"/>
      <c r="KL13" s="123"/>
      <c r="KM13" s="123"/>
      <c r="KN13" s="123"/>
      <c r="KO13" s="123"/>
      <c r="KP13" s="123"/>
      <c r="KQ13" s="123"/>
      <c r="KR13" s="123"/>
      <c r="KS13" s="123"/>
      <c r="KT13" s="123"/>
      <c r="KU13" s="123"/>
      <c r="KV13" s="123"/>
      <c r="KW13" s="123"/>
      <c r="KX13" s="133"/>
      <c r="KY13" s="123"/>
      <c r="KZ13" s="123"/>
      <c r="LA13" s="123"/>
      <c r="LB13" s="123"/>
      <c r="LC13" s="133"/>
      <c r="LD13" s="133"/>
      <c r="LE13" s="133"/>
      <c r="LF13" s="133"/>
      <c r="LG13" s="133"/>
      <c r="LH13" s="133"/>
      <c r="LI13" s="133"/>
      <c r="LJ13" s="133"/>
      <c r="LK13" s="133"/>
      <c r="LL13" s="133"/>
      <c r="LM13" s="133"/>
      <c r="LN13" s="133"/>
      <c r="LO13" s="133"/>
      <c r="LP13" s="133"/>
      <c r="LQ13" s="133"/>
      <c r="LR13" s="133"/>
      <c r="LS13" s="133"/>
      <c r="LT13" s="133"/>
      <c r="LU13" s="133"/>
      <c r="LV13" s="133"/>
      <c r="LW13" s="133"/>
      <c r="LX13" s="123"/>
      <c r="LY13" s="123"/>
      <c r="LZ13" s="123"/>
      <c r="MA13" s="123"/>
      <c r="MB13" s="133"/>
      <c r="MC13" s="123"/>
      <c r="MD13" s="123"/>
      <c r="ME13" s="123"/>
      <c r="MF13" s="123"/>
      <c r="MG13" s="133"/>
      <c r="MH13" s="133"/>
      <c r="MI13" s="133"/>
      <c r="MJ13" s="133"/>
      <c r="MK13" s="133"/>
      <c r="ML13" s="133"/>
      <c r="MM13" s="133"/>
      <c r="MN13" s="133"/>
      <c r="MO13" s="133"/>
      <c r="MP13" s="133"/>
      <c r="MQ13" s="133"/>
      <c r="MR13" s="123"/>
      <c r="MS13" s="123"/>
      <c r="MT13" s="123"/>
      <c r="MU13" s="123"/>
      <c r="MV13" s="123"/>
      <c r="MW13" s="133"/>
      <c r="MX13" s="133"/>
      <c r="MY13" s="133"/>
      <c r="MZ13" s="133"/>
      <c r="NA13" s="133"/>
      <c r="NB13" s="133"/>
      <c r="NC13" s="133"/>
      <c r="ND13" s="133"/>
      <c r="NE13" s="133"/>
      <c r="NF13" s="133"/>
      <c r="NG13" s="133"/>
      <c r="NH13" s="133"/>
      <c r="NI13" s="133"/>
      <c r="NJ13" s="133"/>
      <c r="NK13" s="133"/>
      <c r="NL13" s="133"/>
      <c r="NM13" s="133"/>
      <c r="NN13" s="133"/>
      <c r="NO13" s="133"/>
      <c r="NP13" s="133"/>
      <c r="NQ13" s="133"/>
      <c r="NR13" s="123"/>
      <c r="NS13" s="123"/>
      <c r="RU13" s="149"/>
      <c r="RV13" s="149"/>
      <c r="RW13" s="149"/>
      <c r="RX13" s="149"/>
      <c r="RY13" s="149"/>
      <c r="RZ13" s="149"/>
    </row>
    <row r="14" spans="1:534" s="4" customFormat="1" x14ac:dyDescent="0.25">
      <c r="A14" s="14" t="s">
        <v>52</v>
      </c>
      <c r="B14" s="14"/>
      <c r="C14" s="14"/>
      <c r="D14" s="708"/>
      <c r="E14" s="102"/>
      <c r="F14" s="102"/>
      <c r="G14" s="102"/>
      <c r="H14" s="102"/>
      <c r="I14" s="102"/>
      <c r="J14" s="102"/>
      <c r="K14" s="102"/>
      <c r="L14" s="102"/>
      <c r="M14" s="102"/>
      <c r="N14" s="628">
        <f>'Crops; pasture DISCOUNTED'!V20</f>
        <v>626.68319999999994</v>
      </c>
      <c r="O14" s="67">
        <f t="shared" ref="O14:P17" si="1">R14+T14</f>
        <v>148.34381044487429</v>
      </c>
      <c r="P14" s="67">
        <f t="shared" si="1"/>
        <v>130.54255319148936</v>
      </c>
      <c r="Q14" s="627">
        <f>P14/N14</f>
        <v>0.2083070891185361</v>
      </c>
      <c r="R14" s="713">
        <f>S14/$NT14</f>
        <v>105.11363636363636</v>
      </c>
      <c r="S14" s="630">
        <f>W44/C44</f>
        <v>92.5</v>
      </c>
      <c r="T14" s="713">
        <f>U14/$NT14</f>
        <v>43.230174081237919</v>
      </c>
      <c r="U14" s="630">
        <f>W107/C107</f>
        <v>38.042553191489368</v>
      </c>
      <c r="X14" s="60"/>
      <c r="AB14" s="126">
        <f>'Crops; pasture DISCOUNTED'!R20</f>
        <v>2.1685598082093156</v>
      </c>
      <c r="AC14" s="126">
        <f>'Crops; pasture DISCOUNTED'!S20</f>
        <v>2.4126616483304382</v>
      </c>
      <c r="AD14" s="126">
        <f>'Crops; pasture DISCOUNTED'!T20</f>
        <v>1.4204545454545454</v>
      </c>
      <c r="AE14" s="126"/>
      <c r="AF14" s="126"/>
      <c r="AG14" s="126"/>
      <c r="AH14" s="126"/>
      <c r="AI14" s="126"/>
      <c r="AJ14" s="126"/>
      <c r="AK14" s="60"/>
      <c r="AL14" s="60"/>
      <c r="AM14" s="60"/>
      <c r="AN14" s="60"/>
      <c r="AO14" s="126"/>
      <c r="AP14" s="126"/>
      <c r="AQ14" s="126"/>
      <c r="AR14" s="126"/>
      <c r="AS14" s="126"/>
      <c r="AT14" s="126"/>
      <c r="AU14" s="126"/>
      <c r="AV14" s="126"/>
      <c r="AW14" s="126"/>
      <c r="AX14" s="126"/>
      <c r="AY14" s="126"/>
      <c r="AZ14" s="126"/>
      <c r="BA14" s="126"/>
      <c r="BB14" s="126"/>
      <c r="BC14" s="126"/>
      <c r="BD14" s="126"/>
      <c r="BE14" s="126"/>
      <c r="BF14" s="126"/>
      <c r="BG14" s="126"/>
      <c r="BH14" s="126"/>
      <c r="BI14" s="126"/>
      <c r="BJ14" s="126"/>
      <c r="BK14" s="126"/>
      <c r="BL14" s="126"/>
      <c r="BM14" s="126"/>
      <c r="BN14" s="126"/>
      <c r="BO14" s="126"/>
      <c r="BP14" s="126">
        <f>'Crops; pasture DISCOUNTED'!HG20</f>
        <v>0.62024617333486898</v>
      </c>
      <c r="BQ14" s="126">
        <f>'Crops; pasture DISCOUNTED'!HK20</f>
        <v>0.7223505067947068</v>
      </c>
      <c r="BR14" s="126">
        <f>'Crops; pasture DISCOUNTED'!HO20</f>
        <v>0.30732436507045485</v>
      </c>
      <c r="BS14" s="126">
        <f>'Crops; pasture DISCOUNTED'!HS20</f>
        <v>0.71814097529610543</v>
      </c>
      <c r="BT14" s="126">
        <f>'Crops; pasture DISCOUNTED'!HW20</f>
        <v>0.83524560209985377</v>
      </c>
      <c r="BU14" s="126">
        <f>'Crops; pasture DISCOUNTED'!I20</f>
        <v>4.1448</v>
      </c>
      <c r="BV14" s="126"/>
      <c r="BW14" s="126"/>
      <c r="BX14" s="126"/>
      <c r="BY14" s="126"/>
      <c r="BZ14" s="126"/>
      <c r="CA14" s="126"/>
      <c r="CB14" s="126"/>
      <c r="CC14" s="126"/>
      <c r="CD14" s="126"/>
      <c r="CE14" s="126"/>
      <c r="CF14" s="126"/>
      <c r="CG14" s="126"/>
      <c r="CH14" s="126"/>
      <c r="CI14" s="126"/>
      <c r="CJ14" s="41"/>
      <c r="CL14" s="714"/>
      <c r="CM14" s="32"/>
      <c r="CN14" s="67"/>
      <c r="CO14" s="68"/>
      <c r="CP14" s="68"/>
      <c r="CQ14" s="68"/>
      <c r="CR14" s="97"/>
      <c r="CS14" s="97"/>
      <c r="CT14" s="97"/>
      <c r="CU14" s="97"/>
      <c r="CV14" s="97"/>
      <c r="CW14" s="68"/>
      <c r="CX14" s="68"/>
      <c r="CY14" s="68"/>
      <c r="CZ14" s="68"/>
      <c r="DA14" s="68"/>
      <c r="DB14" s="68"/>
      <c r="DC14" s="68"/>
      <c r="DD14" s="68"/>
      <c r="DE14" s="68"/>
      <c r="DF14" s="68"/>
      <c r="DG14" s="68"/>
      <c r="DH14" s="68"/>
      <c r="DI14" s="68"/>
      <c r="DJ14" s="68"/>
      <c r="DK14" s="68"/>
      <c r="DL14" s="68"/>
      <c r="DM14" s="68"/>
      <c r="DN14" s="68"/>
      <c r="DO14" s="68"/>
      <c r="DP14" s="68"/>
      <c r="DQ14" s="68"/>
      <c r="DR14" s="68"/>
      <c r="DS14" s="68"/>
      <c r="DT14" s="68"/>
      <c r="DU14" s="68"/>
      <c r="DV14" s="68"/>
      <c r="DW14" s="68"/>
      <c r="DX14" s="68"/>
      <c r="DY14" s="68"/>
      <c r="DZ14" s="41"/>
      <c r="EE14" s="68"/>
      <c r="EF14" s="68"/>
      <c r="EG14" s="68"/>
      <c r="EM14" s="68"/>
      <c r="EN14" s="68"/>
      <c r="EO14" s="68"/>
      <c r="EP14" s="68"/>
      <c r="EQ14" s="68"/>
      <c r="ER14" s="68"/>
      <c r="ES14" s="68"/>
      <c r="ET14" s="68"/>
      <c r="EU14" s="68"/>
      <c r="EV14" s="68"/>
      <c r="EW14" s="68"/>
      <c r="EX14" s="68"/>
      <c r="EY14" s="68"/>
      <c r="EZ14" s="68"/>
      <c r="FA14" s="68"/>
      <c r="FB14" s="126">
        <f>'Crops; pasture DISCOUNTED'!IE20</f>
        <v>1.4396316990785778</v>
      </c>
      <c r="FC14" s="126">
        <f>'Crops; pasture DISCOUNTED'!IH20</f>
        <v>1.6743871839413242</v>
      </c>
      <c r="FD14" s="126">
        <f>'Crops; pasture DISCOUNTED'!IK20</f>
        <v>0.72017045454545459</v>
      </c>
      <c r="FE14" s="126"/>
      <c r="FF14" s="126"/>
      <c r="FG14" s="126"/>
      <c r="FH14" s="126"/>
      <c r="FI14" s="126"/>
      <c r="FJ14" s="126"/>
      <c r="FK14" s="126"/>
      <c r="FL14" s="126"/>
      <c r="FM14" s="126"/>
      <c r="FN14" s="126"/>
      <c r="FO14" s="126"/>
      <c r="FP14" s="126"/>
      <c r="FQ14" s="126"/>
      <c r="FR14" s="126"/>
      <c r="FS14" s="126"/>
      <c r="FV14" s="60"/>
      <c r="FY14" s="68"/>
      <c r="FZ14" s="60"/>
      <c r="GF14" s="68"/>
      <c r="GG14" s="126"/>
      <c r="GH14" s="126"/>
      <c r="GI14" s="126"/>
      <c r="GJ14" s="126"/>
      <c r="GK14" s="126"/>
      <c r="GL14" s="126"/>
      <c r="GM14" s="126"/>
      <c r="GN14" s="126"/>
      <c r="GO14" s="126"/>
      <c r="GP14" s="126"/>
      <c r="GQ14" s="126"/>
      <c r="GR14" s="126"/>
      <c r="GS14" s="126"/>
      <c r="GT14" s="126"/>
      <c r="GU14" s="126">
        <f>'Crops; pasture DISCOUNTED'!IR20</f>
        <v>0.12614324514635142</v>
      </c>
      <c r="GV14" s="126">
        <f>'Crops; pasture DISCOUNTED'!IW20</f>
        <v>0.15505257575757572</v>
      </c>
      <c r="GW14" s="334">
        <f>'Crops; pasture DISCOUNTED'!JD20</f>
        <v>3.7544067187500002E-2</v>
      </c>
      <c r="GX14" s="334"/>
      <c r="GY14" s="123"/>
      <c r="GZ14" s="123"/>
      <c r="HA14" s="123"/>
      <c r="HB14" s="123"/>
      <c r="HC14" s="123"/>
      <c r="HD14" s="123"/>
      <c r="HE14" s="123"/>
      <c r="HF14" s="123"/>
      <c r="HG14" s="123"/>
      <c r="HH14" s="123"/>
      <c r="HI14" s="123"/>
      <c r="HJ14" s="123"/>
      <c r="HK14" s="123"/>
      <c r="HL14" s="123"/>
      <c r="HM14" s="123"/>
      <c r="HN14" s="123"/>
      <c r="HO14" s="123"/>
      <c r="HP14" s="60"/>
      <c r="HQ14" s="123"/>
      <c r="HR14" s="60"/>
      <c r="HS14" s="68"/>
      <c r="HT14" s="68"/>
      <c r="HU14" s="68"/>
      <c r="HV14" s="68"/>
      <c r="HW14" s="68"/>
      <c r="HX14" s="68"/>
      <c r="HY14" s="68"/>
      <c r="HZ14" s="68"/>
      <c r="IA14" s="68"/>
      <c r="IB14" s="68"/>
      <c r="IC14" s="68"/>
      <c r="ID14" s="68"/>
      <c r="IE14" s="68"/>
      <c r="IF14" s="68"/>
      <c r="IG14" s="68"/>
      <c r="IH14" s="68"/>
      <c r="II14" s="68"/>
      <c r="IJ14" s="68"/>
      <c r="IK14" s="68"/>
      <c r="IL14" s="68"/>
      <c r="IM14" s="68"/>
      <c r="IN14" s="68"/>
      <c r="IO14" s="97"/>
      <c r="IP14" s="97"/>
      <c r="IQ14" s="97"/>
      <c r="IR14" s="97"/>
      <c r="IS14" s="97"/>
      <c r="IT14" s="97"/>
      <c r="IU14" s="97"/>
      <c r="IV14" s="41"/>
      <c r="IW14" s="60"/>
      <c r="IX14" s="60"/>
      <c r="IY14" s="60"/>
      <c r="IZ14" s="60"/>
      <c r="JA14" s="60"/>
      <c r="JB14" s="60"/>
      <c r="JC14" s="60"/>
      <c r="JD14" s="60"/>
      <c r="JE14" s="60"/>
      <c r="JF14" s="60"/>
      <c r="JG14" s="60"/>
      <c r="JH14" s="60"/>
      <c r="JI14" s="60"/>
      <c r="JJ14" s="60"/>
      <c r="JK14" s="60"/>
      <c r="JL14" s="60"/>
      <c r="JM14" s="123"/>
      <c r="JN14" s="123"/>
      <c r="JO14" s="123"/>
      <c r="JP14" s="123"/>
      <c r="JQ14" s="60"/>
      <c r="JR14" s="60"/>
      <c r="JS14" s="60"/>
      <c r="JT14" s="60"/>
      <c r="JU14" s="60"/>
      <c r="JV14" s="60"/>
      <c r="JW14" s="60"/>
      <c r="JX14" s="60"/>
      <c r="JY14" s="60"/>
      <c r="JZ14" s="60"/>
      <c r="KA14" s="60"/>
      <c r="KB14" s="60"/>
      <c r="KC14" s="60"/>
      <c r="KD14" s="123"/>
      <c r="KE14" s="123"/>
      <c r="KF14" s="123"/>
      <c r="KG14" s="123"/>
      <c r="KH14" s="123"/>
      <c r="KI14" s="123"/>
      <c r="KJ14" s="123"/>
      <c r="KK14" s="123"/>
      <c r="KL14" s="123"/>
      <c r="KM14" s="123"/>
      <c r="KN14" s="123"/>
      <c r="KO14" s="123"/>
      <c r="KP14" s="123"/>
      <c r="KQ14" s="123"/>
      <c r="KR14" s="123"/>
      <c r="KS14" s="123"/>
      <c r="KT14" s="60"/>
      <c r="KU14" s="60"/>
      <c r="KV14" s="60"/>
      <c r="KW14" s="60"/>
      <c r="KX14" s="68"/>
      <c r="KY14" s="60"/>
      <c r="KZ14" s="60"/>
      <c r="LA14" s="60"/>
      <c r="LB14" s="60"/>
      <c r="LC14" s="68"/>
      <c r="LD14" s="68"/>
      <c r="LE14" s="68"/>
      <c r="LF14" s="68"/>
      <c r="LG14" s="68"/>
      <c r="LH14" s="68"/>
      <c r="LI14" s="68"/>
      <c r="LJ14" s="68"/>
      <c r="LK14" s="68"/>
      <c r="LL14" s="68"/>
      <c r="LM14" s="68"/>
      <c r="LN14" s="68"/>
      <c r="LO14" s="68"/>
      <c r="LP14" s="68"/>
      <c r="LQ14" s="68"/>
      <c r="LR14" s="68"/>
      <c r="LS14" s="68"/>
      <c r="LT14" s="68"/>
      <c r="LU14" s="68"/>
      <c r="LV14" s="68"/>
      <c r="LW14" s="68"/>
      <c r="LX14" s="60"/>
      <c r="LY14" s="60"/>
      <c r="LZ14" s="60"/>
      <c r="MA14" s="60"/>
      <c r="MB14" s="68"/>
      <c r="MC14" s="60"/>
      <c r="MD14" s="60"/>
      <c r="ME14" s="60"/>
      <c r="MF14" s="60"/>
      <c r="MG14" s="68"/>
      <c r="MH14" s="68"/>
      <c r="MI14" s="68"/>
      <c r="MJ14" s="68"/>
      <c r="MK14" s="68"/>
      <c r="ML14" s="68"/>
      <c r="MM14" s="68"/>
      <c r="MN14" s="68"/>
      <c r="MO14" s="68"/>
      <c r="MP14" s="68"/>
      <c r="MQ14" s="68"/>
      <c r="MR14" s="60"/>
      <c r="MS14" s="60"/>
      <c r="MT14" s="60"/>
      <c r="MU14" s="60"/>
      <c r="MV14" s="60"/>
      <c r="MW14" s="68"/>
      <c r="MX14" s="68"/>
      <c r="MY14" s="68"/>
      <c r="MZ14" s="68"/>
      <c r="NA14" s="68"/>
      <c r="NB14" s="68"/>
      <c r="NC14" s="68"/>
      <c r="ND14" s="68"/>
      <c r="NE14" s="68"/>
      <c r="NF14" s="68"/>
      <c r="NG14" s="68"/>
      <c r="NH14" s="68"/>
      <c r="NI14" s="68"/>
      <c r="NJ14" s="68"/>
      <c r="NK14" s="68"/>
      <c r="NL14" s="68"/>
      <c r="NM14" s="68"/>
      <c r="NN14" s="68"/>
      <c r="NO14" s="68"/>
      <c r="NP14" s="68"/>
      <c r="NQ14" s="68"/>
      <c r="NR14" s="60"/>
      <c r="NS14" s="60"/>
      <c r="NT14" s="631">
        <f>'Crops; pasture DISCOUNTED'!LI20</f>
        <v>0.88</v>
      </c>
      <c r="NU14" s="631"/>
      <c r="NV14" s="41">
        <f>'Crops; pasture DISCOUNTED'!LJ20</f>
        <v>16.544</v>
      </c>
      <c r="NW14" s="41">
        <f>'Crops; pasture DISCOUNTED'!LK20</f>
        <v>18.8</v>
      </c>
      <c r="NX14" s="41"/>
      <c r="NY14" s="41"/>
      <c r="NZ14" s="41"/>
      <c r="OA14" s="41">
        <f>'Crops; pasture DISCOUNTED'!LL20</f>
        <v>13.2</v>
      </c>
      <c r="OB14" s="41">
        <f>'Crops; pasture DISCOUNTED'!LM20</f>
        <v>15</v>
      </c>
      <c r="OC14" s="631">
        <f>'Crops; pasture DISCOUNTED'!LN20</f>
        <v>8.8000000000000009E-2</v>
      </c>
      <c r="OD14" s="631">
        <f>'Crops; pasture DISCOUNTED'!LO20</f>
        <v>0.1</v>
      </c>
      <c r="OE14" s="631">
        <f>'Crops; pasture DISCOUNTED'!LP20</f>
        <v>3.5200000000000002E-2</v>
      </c>
      <c r="OF14" s="631">
        <f>'Crops; pasture DISCOUNTED'!LQ20</f>
        <v>0.04</v>
      </c>
      <c r="RU14" s="97"/>
      <c r="RV14" s="97"/>
      <c r="RW14" s="97"/>
      <c r="RX14" s="97"/>
      <c r="RY14" s="97"/>
      <c r="RZ14" s="97"/>
    </row>
    <row r="15" spans="1:534" s="4" customFormat="1" x14ac:dyDescent="0.25">
      <c r="A15" s="4" t="s">
        <v>66</v>
      </c>
      <c r="B15" s="14"/>
      <c r="C15" s="14"/>
      <c r="D15" s="708"/>
      <c r="E15" s="102"/>
      <c r="F15" s="102"/>
      <c r="G15" s="102"/>
      <c r="H15" s="102"/>
      <c r="I15" s="102"/>
      <c r="J15" s="102"/>
      <c r="K15" s="102"/>
      <c r="L15" s="102"/>
      <c r="M15" s="102"/>
      <c r="N15" s="628">
        <f>'Crops; pasture DISCOUNTED'!V21</f>
        <v>546.42264</v>
      </c>
      <c r="O15" s="67">
        <f t="shared" si="1"/>
        <v>507.38916256157637</v>
      </c>
      <c r="P15" s="67">
        <f t="shared" si="1"/>
        <v>441.42857142857144</v>
      </c>
      <c r="Q15" s="627">
        <f t="shared" ref="Q15:Q17" si="2">P15/N15</f>
        <v>0.80785190640814486</v>
      </c>
      <c r="R15" s="713">
        <f>S15/$NT15</f>
        <v>507.38916256157637</v>
      </c>
      <c r="S15" s="630">
        <f>W49/C49</f>
        <v>441.42857142857144</v>
      </c>
      <c r="T15" s="14"/>
      <c r="U15" s="14"/>
      <c r="X15" s="60"/>
      <c r="AB15" s="126">
        <f>'Crops; pasture DISCOUNTED'!R21</f>
        <v>1.9819822985372644</v>
      </c>
      <c r="AC15" s="126">
        <f>'Crops; pasture DISCOUNTED'!S21</f>
        <v>3.707823507601038</v>
      </c>
      <c r="AD15" s="126">
        <f>'Crops; pasture DISCOUNTED'!T21</f>
        <v>1.4793118241394103</v>
      </c>
      <c r="AE15" s="126"/>
      <c r="AF15" s="126"/>
      <c r="AG15" s="126"/>
      <c r="AH15" s="126"/>
      <c r="AI15" s="126"/>
      <c r="AJ15" s="126"/>
      <c r="AK15" s="60"/>
      <c r="AL15" s="60"/>
      <c r="AM15" s="60"/>
      <c r="AN15" s="60"/>
      <c r="AO15" s="126"/>
      <c r="AP15" s="126"/>
      <c r="AQ15" s="126"/>
      <c r="AR15" s="126"/>
      <c r="AS15" s="126"/>
      <c r="AT15" s="126"/>
      <c r="AU15" s="126"/>
      <c r="AV15" s="126"/>
      <c r="AW15" s="126"/>
      <c r="AX15" s="126"/>
      <c r="AY15" s="126"/>
      <c r="AZ15" s="126"/>
      <c r="BA15" s="126"/>
      <c r="BB15" s="126"/>
      <c r="BC15" s="126"/>
      <c r="BD15" s="126"/>
      <c r="BE15" s="126"/>
      <c r="BF15" s="126"/>
      <c r="BG15" s="126"/>
      <c r="BH15" s="126"/>
      <c r="BI15" s="126"/>
      <c r="BJ15" s="126"/>
      <c r="BK15" s="126"/>
      <c r="BL15" s="126"/>
      <c r="BM15" s="126"/>
      <c r="BN15" s="126"/>
      <c r="BO15" s="126"/>
      <c r="BP15" s="126">
        <f>'Crops; pasture DISCOUNTED'!HG21</f>
        <v>0.74142378060946179</v>
      </c>
      <c r="BQ15" s="126">
        <f>'Crops; pasture DISCOUNTED'!HK21</f>
        <v>1.4315105251951632</v>
      </c>
      <c r="BR15" s="126">
        <f>'Crops; pasture DISCOUNTED'!HO21</f>
        <v>0.54042833012723446</v>
      </c>
      <c r="BS15" s="126">
        <f>'Crops; pasture DISCOUNTED'!HS21</f>
        <v>0.68836597921553866</v>
      </c>
      <c r="BT15" s="126">
        <f>'Crops; pasture DISCOUNTED'!HW21</f>
        <v>1.3871985409594847</v>
      </c>
      <c r="BU15" s="126">
        <f>'Crops; pasture DISCOUNTED'!I21</f>
        <v>2.6970000000000001</v>
      </c>
      <c r="BV15" s="126"/>
      <c r="BW15" s="126"/>
      <c r="BX15" s="126"/>
      <c r="BY15" s="126"/>
      <c r="BZ15" s="126"/>
      <c r="CA15" s="126"/>
      <c r="CB15" s="126"/>
      <c r="CC15" s="126"/>
      <c r="CD15" s="126"/>
      <c r="CE15" s="126"/>
      <c r="CF15" s="126"/>
      <c r="CG15" s="126"/>
      <c r="CH15" s="126"/>
      <c r="CI15" s="126"/>
      <c r="CJ15" s="41"/>
      <c r="CL15" s="714"/>
      <c r="CM15" s="32"/>
      <c r="CN15" s="67"/>
      <c r="CO15" s="68"/>
      <c r="CP15" s="68"/>
      <c r="CQ15" s="68"/>
      <c r="CR15" s="97"/>
      <c r="CS15" s="97"/>
      <c r="CT15" s="97"/>
      <c r="CU15" s="97"/>
      <c r="CV15" s="97"/>
      <c r="CW15" s="68"/>
      <c r="CX15" s="68"/>
      <c r="CY15" s="68"/>
      <c r="CZ15" s="68"/>
      <c r="DA15" s="68"/>
      <c r="DB15" s="68"/>
      <c r="DC15" s="68"/>
      <c r="DD15" s="68"/>
      <c r="DE15" s="68"/>
      <c r="DF15" s="68"/>
      <c r="DG15" s="68"/>
      <c r="DH15" s="68"/>
      <c r="DI15" s="68"/>
      <c r="DJ15" s="68"/>
      <c r="DK15" s="68"/>
      <c r="DL15" s="68"/>
      <c r="DM15" s="68"/>
      <c r="DN15" s="68"/>
      <c r="DO15" s="68"/>
      <c r="DP15" s="68"/>
      <c r="DQ15" s="68"/>
      <c r="DR15" s="68"/>
      <c r="DS15" s="68"/>
      <c r="DT15" s="68"/>
      <c r="DU15" s="68"/>
      <c r="DV15" s="68"/>
      <c r="DW15" s="68"/>
      <c r="DX15" s="68"/>
      <c r="DY15" s="68"/>
      <c r="DZ15" s="41"/>
      <c r="EE15" s="68"/>
      <c r="EF15" s="68"/>
      <c r="EG15" s="68"/>
      <c r="EM15" s="68"/>
      <c r="EN15" s="68"/>
      <c r="EO15" s="68"/>
      <c r="EP15" s="68"/>
      <c r="EQ15" s="68"/>
      <c r="ER15" s="68"/>
      <c r="ES15" s="68"/>
      <c r="ET15" s="68"/>
      <c r="EU15" s="68"/>
      <c r="EV15" s="68"/>
      <c r="EW15" s="68"/>
      <c r="EX15" s="68"/>
      <c r="EY15" s="68"/>
      <c r="EZ15" s="68"/>
      <c r="FA15" s="68"/>
      <c r="FB15" s="126">
        <f>'Crops; pasture DISCOUNTED'!IE21</f>
        <v>1.3799428222813024</v>
      </c>
      <c r="FC15" s="126">
        <f>'Crops; pasture DISCOUNTED'!IH21</f>
        <v>2.7808676307007785</v>
      </c>
      <c r="FD15" s="126">
        <f>'Crops; pasture DISCOUNTED'!IK21</f>
        <v>0.97190786845959265</v>
      </c>
      <c r="FE15" s="126"/>
      <c r="FF15" s="126"/>
      <c r="FG15" s="126"/>
      <c r="FH15" s="126"/>
      <c r="FI15" s="126"/>
      <c r="FJ15" s="126"/>
      <c r="FK15" s="126"/>
      <c r="FL15" s="126"/>
      <c r="FM15" s="126"/>
      <c r="FN15" s="126"/>
      <c r="FO15" s="126"/>
      <c r="FP15" s="126"/>
      <c r="FQ15" s="126"/>
      <c r="FR15" s="126"/>
      <c r="FS15" s="126"/>
      <c r="FV15" s="60"/>
      <c r="FY15" s="68"/>
      <c r="FZ15" s="60"/>
      <c r="GF15" s="68"/>
      <c r="GG15" s="126"/>
      <c r="GH15" s="126"/>
      <c r="GI15" s="126"/>
      <c r="GJ15" s="126"/>
      <c r="GK15" s="126"/>
      <c r="GL15" s="126"/>
      <c r="GM15" s="126"/>
      <c r="GN15" s="126"/>
      <c r="GO15" s="126"/>
      <c r="GP15" s="126"/>
      <c r="GQ15" s="126"/>
      <c r="GR15" s="126"/>
      <c r="GS15" s="126"/>
      <c r="GT15" s="126"/>
      <c r="GU15" s="126">
        <f>'Crops; pasture DISCOUNTED'!IR21</f>
        <v>0.28003970250207788</v>
      </c>
      <c r="GV15" s="126">
        <f>'Crops; pasture DISCOUNTED'!IW21</f>
        <v>0.4906587245087134</v>
      </c>
      <c r="GW15" s="126">
        <f>'Crops; pasture DISCOUNTED'!JD21</f>
        <v>0.21869456648766994</v>
      </c>
      <c r="GX15" s="126"/>
      <c r="GY15" s="123"/>
      <c r="GZ15" s="123"/>
      <c r="HA15" s="123"/>
      <c r="HB15" s="123"/>
      <c r="HC15" s="123"/>
      <c r="HD15" s="123"/>
      <c r="HE15" s="123"/>
      <c r="HF15" s="123"/>
      <c r="HG15" s="123"/>
      <c r="HH15" s="123"/>
      <c r="HI15" s="123"/>
      <c r="HJ15" s="123"/>
      <c r="HK15" s="123"/>
      <c r="HL15" s="123"/>
      <c r="HM15" s="123"/>
      <c r="HN15" s="123"/>
      <c r="HO15" s="123"/>
      <c r="HP15" s="60"/>
      <c r="HQ15" s="123"/>
      <c r="HR15" s="60"/>
      <c r="HS15" s="68"/>
      <c r="HT15" s="68"/>
      <c r="HU15" s="68"/>
      <c r="HV15" s="68"/>
      <c r="HW15" s="68"/>
      <c r="HX15" s="68"/>
      <c r="HY15" s="68"/>
      <c r="HZ15" s="68"/>
      <c r="IA15" s="68"/>
      <c r="IB15" s="68"/>
      <c r="IC15" s="68"/>
      <c r="ID15" s="68"/>
      <c r="IE15" s="68"/>
      <c r="IF15" s="68"/>
      <c r="IG15" s="68"/>
      <c r="IH15" s="68"/>
      <c r="II15" s="68"/>
      <c r="IJ15" s="68"/>
      <c r="IK15" s="68"/>
      <c r="IL15" s="68"/>
      <c r="IM15" s="68"/>
      <c r="IN15" s="68"/>
      <c r="IO15" s="97"/>
      <c r="IP15" s="97"/>
      <c r="IQ15" s="97"/>
      <c r="IR15" s="97"/>
      <c r="IS15" s="97"/>
      <c r="IT15" s="97"/>
      <c r="IU15" s="97"/>
      <c r="IV15" s="41"/>
      <c r="IW15" s="60"/>
      <c r="IX15" s="60"/>
      <c r="IY15" s="60"/>
      <c r="IZ15" s="60"/>
      <c r="JA15" s="60"/>
      <c r="JB15" s="60"/>
      <c r="JC15" s="60"/>
      <c r="JD15" s="60"/>
      <c r="JE15" s="60"/>
      <c r="JF15" s="60"/>
      <c r="JG15" s="60"/>
      <c r="JH15" s="60"/>
      <c r="JI15" s="60"/>
      <c r="JJ15" s="60"/>
      <c r="JK15" s="60"/>
      <c r="JL15" s="60"/>
      <c r="JM15" s="123"/>
      <c r="JN15" s="123"/>
      <c r="JO15" s="123"/>
      <c r="JP15" s="123"/>
      <c r="JQ15" s="60"/>
      <c r="JR15" s="60"/>
      <c r="JS15" s="60"/>
      <c r="JT15" s="60"/>
      <c r="JU15" s="60"/>
      <c r="JV15" s="60"/>
      <c r="JW15" s="60"/>
      <c r="JX15" s="60"/>
      <c r="JY15" s="60"/>
      <c r="JZ15" s="60"/>
      <c r="KA15" s="60"/>
      <c r="KB15" s="60"/>
      <c r="KC15" s="60"/>
      <c r="KD15" s="123"/>
      <c r="KE15" s="123"/>
      <c r="KF15" s="123"/>
      <c r="KG15" s="123"/>
      <c r="KH15" s="123"/>
      <c r="KI15" s="123"/>
      <c r="KJ15" s="123"/>
      <c r="KK15" s="123"/>
      <c r="KL15" s="123"/>
      <c r="KM15" s="123"/>
      <c r="KN15" s="123"/>
      <c r="KO15" s="123"/>
      <c r="KP15" s="123"/>
      <c r="KQ15" s="123"/>
      <c r="KR15" s="123"/>
      <c r="KS15" s="123"/>
      <c r="KT15" s="60"/>
      <c r="KU15" s="60"/>
      <c r="KV15" s="60"/>
      <c r="KW15" s="60"/>
      <c r="KX15" s="68"/>
      <c r="KY15" s="60"/>
      <c r="KZ15" s="60"/>
      <c r="LA15" s="60"/>
      <c r="LB15" s="60"/>
      <c r="LC15" s="68"/>
      <c r="LD15" s="68"/>
      <c r="LE15" s="68"/>
      <c r="LF15" s="68"/>
      <c r="LG15" s="68"/>
      <c r="LH15" s="68"/>
      <c r="LI15" s="68"/>
      <c r="LJ15" s="68"/>
      <c r="LK15" s="68"/>
      <c r="LL15" s="68"/>
      <c r="LM15" s="68"/>
      <c r="LN15" s="68"/>
      <c r="LO15" s="68"/>
      <c r="LP15" s="68"/>
      <c r="LQ15" s="68"/>
      <c r="LR15" s="68"/>
      <c r="LS15" s="68"/>
      <c r="LT15" s="68"/>
      <c r="LU15" s="68"/>
      <c r="LV15" s="68"/>
      <c r="LW15" s="68"/>
      <c r="LX15" s="60"/>
      <c r="LY15" s="60"/>
      <c r="LZ15" s="60"/>
      <c r="MA15" s="60"/>
      <c r="MB15" s="68"/>
      <c r="MC15" s="60"/>
      <c r="MD15" s="60"/>
      <c r="ME15" s="60"/>
      <c r="MF15" s="60"/>
      <c r="MG15" s="68"/>
      <c r="MH15" s="68"/>
      <c r="MI15" s="68"/>
      <c r="MJ15" s="68"/>
      <c r="MK15" s="68"/>
      <c r="ML15" s="68"/>
      <c r="MM15" s="68"/>
      <c r="MN15" s="68"/>
      <c r="MO15" s="68"/>
      <c r="MP15" s="68"/>
      <c r="MQ15" s="68"/>
      <c r="MR15" s="60"/>
      <c r="MS15" s="60"/>
      <c r="MT15" s="60"/>
      <c r="MU15" s="60"/>
      <c r="MV15" s="60"/>
      <c r="MW15" s="68"/>
      <c r="MX15" s="68"/>
      <c r="MY15" s="68"/>
      <c r="MZ15" s="68"/>
      <c r="NA15" s="68"/>
      <c r="NB15" s="68"/>
      <c r="NC15" s="68"/>
      <c r="ND15" s="68"/>
      <c r="NE15" s="68"/>
      <c r="NF15" s="68"/>
      <c r="NG15" s="68"/>
      <c r="NH15" s="68"/>
      <c r="NI15" s="68"/>
      <c r="NJ15" s="68"/>
      <c r="NK15" s="68"/>
      <c r="NL15" s="68"/>
      <c r="NM15" s="68"/>
      <c r="NN15" s="68"/>
      <c r="NO15" s="68"/>
      <c r="NP15" s="68"/>
      <c r="NQ15" s="68"/>
      <c r="NR15" s="60"/>
      <c r="NS15" s="60"/>
      <c r="NT15" s="631">
        <f>'Crops; pasture DISCOUNTED'!LI21</f>
        <v>0.87</v>
      </c>
      <c r="NU15" s="631"/>
      <c r="NV15" s="41">
        <f>'Crops; pasture DISCOUNTED'!LJ21</f>
        <v>15.572999999999999</v>
      </c>
      <c r="NW15" s="41">
        <f>'Crops; pasture DISCOUNTED'!LK21</f>
        <v>17.899999999999999</v>
      </c>
      <c r="NX15" s="41"/>
      <c r="NY15" s="41"/>
      <c r="NZ15" s="41"/>
      <c r="OA15" s="41">
        <f>'Crops; pasture DISCOUNTED'!LL21</f>
        <v>10.005000000000001</v>
      </c>
      <c r="OB15" s="41">
        <f>'Crops; pasture DISCOUNTED'!LM21</f>
        <v>11.5</v>
      </c>
      <c r="OC15" s="631">
        <f>'Crops; pasture DISCOUNTED'!LN21</f>
        <v>6.9599999999999995E-2</v>
      </c>
      <c r="OD15" s="631">
        <f>'Crops; pasture DISCOUNTED'!LO21</f>
        <v>0.08</v>
      </c>
      <c r="OE15" s="631">
        <f>'Crops; pasture DISCOUNTED'!LP21</f>
        <v>1.3049999999999999E-2</v>
      </c>
      <c r="OF15" s="631">
        <f>'Crops; pasture DISCOUNTED'!LQ21</f>
        <v>1.4999999999999999E-2</v>
      </c>
      <c r="RU15" s="97"/>
      <c r="RV15" s="97"/>
      <c r="RW15" s="97"/>
      <c r="RX15" s="97"/>
      <c r="RY15" s="97"/>
      <c r="RZ15" s="97"/>
    </row>
    <row r="16" spans="1:534" s="4" customFormat="1" x14ac:dyDescent="0.25">
      <c r="A16" s="4" t="s">
        <v>65</v>
      </c>
      <c r="B16" s="14"/>
      <c r="C16" s="14"/>
      <c r="D16" s="708"/>
      <c r="E16" s="102"/>
      <c r="F16" s="102"/>
      <c r="G16" s="102"/>
      <c r="H16" s="102"/>
      <c r="I16" s="102"/>
      <c r="J16" s="102"/>
      <c r="K16" s="102"/>
      <c r="L16" s="102"/>
      <c r="M16" s="102"/>
      <c r="N16" s="628">
        <f>'Crops; pasture DISCOUNTED'!V22</f>
        <v>544.09431999999993</v>
      </c>
      <c r="O16" s="67">
        <f t="shared" si="1"/>
        <v>439.02263744160979</v>
      </c>
      <c r="P16" s="67">
        <f t="shared" si="1"/>
        <v>386.33992094861662</v>
      </c>
      <c r="Q16" s="627">
        <f t="shared" si="2"/>
        <v>0.710060566242663</v>
      </c>
      <c r="R16" s="713">
        <f>S16/$NT16</f>
        <v>423.29545454545456</v>
      </c>
      <c r="S16" s="630">
        <f>W54/C54</f>
        <v>372.5</v>
      </c>
      <c r="T16" s="713">
        <f>U16/$NT16</f>
        <v>15.727182896155231</v>
      </c>
      <c r="U16" s="630">
        <f>W112/C112</f>
        <v>13.839920948616603</v>
      </c>
      <c r="X16" s="60"/>
      <c r="AB16" s="126">
        <f>'Crops; pasture DISCOUNTED'!R22</f>
        <v>3.607830348238152</v>
      </c>
      <c r="AC16" s="126">
        <f>'Crops; pasture DISCOUNTED'!S22</f>
        <v>4.2720437457279559</v>
      </c>
      <c r="AD16" s="126">
        <f>'Crops; pasture DISCOUNTED'!T22</f>
        <v>2.3527197440240917</v>
      </c>
      <c r="AE16" s="126"/>
      <c r="AF16" s="126"/>
      <c r="AG16" s="126"/>
      <c r="AH16" s="126"/>
      <c r="AI16" s="126"/>
      <c r="AJ16" s="126"/>
      <c r="AK16" s="60"/>
      <c r="AL16" s="60"/>
      <c r="AM16" s="60"/>
      <c r="AN16" s="60"/>
      <c r="AO16" s="126"/>
      <c r="AP16" s="126"/>
      <c r="AQ16" s="126"/>
      <c r="AR16" s="126"/>
      <c r="AS16" s="126"/>
      <c r="AT16" s="126"/>
      <c r="AU16" s="126"/>
      <c r="AV16" s="126"/>
      <c r="AW16" s="126"/>
      <c r="AX16" s="126"/>
      <c r="AY16" s="126"/>
      <c r="AZ16" s="126"/>
      <c r="BA16" s="126"/>
      <c r="BB16" s="126"/>
      <c r="BC16" s="126"/>
      <c r="BD16" s="126"/>
      <c r="BE16" s="126"/>
      <c r="BF16" s="126"/>
      <c r="BG16" s="126"/>
      <c r="BH16" s="126"/>
      <c r="BI16" s="126"/>
      <c r="BJ16" s="126"/>
      <c r="BK16" s="126"/>
      <c r="BL16" s="126"/>
      <c r="BM16" s="126"/>
      <c r="BN16" s="126"/>
      <c r="BO16" s="126"/>
      <c r="BP16" s="126">
        <f>'Crops; pasture DISCOUNTED'!HG22</f>
        <v>0.55335594962421264</v>
      </c>
      <c r="BQ16" s="126">
        <f>'Crops; pasture DISCOUNTED'!HK22</f>
        <v>0.73740154170480843</v>
      </c>
      <c r="BR16" s="126">
        <f>'Crops; pasture DISCOUNTED'!HO22</f>
        <v>0.20557980546301863</v>
      </c>
      <c r="BS16" s="126">
        <f>'Crops; pasture DISCOUNTED'!HS22</f>
        <v>0.78587616470202692</v>
      </c>
      <c r="BT16" s="126">
        <f>'Crops; pasture DISCOUNTED'!HW22</f>
        <v>1.0079874811629852</v>
      </c>
      <c r="BU16" s="126">
        <f>'Crops; pasture DISCOUNTED'!I22</f>
        <v>2.3408000000000002</v>
      </c>
      <c r="BV16" s="126"/>
      <c r="BW16" s="126"/>
      <c r="BX16" s="126"/>
      <c r="BY16" s="126"/>
      <c r="BZ16" s="126"/>
      <c r="CA16" s="126"/>
      <c r="CB16" s="126"/>
      <c r="CC16" s="126"/>
      <c r="CD16" s="126"/>
      <c r="CE16" s="126"/>
      <c r="CF16" s="126"/>
      <c r="CG16" s="126"/>
      <c r="CH16" s="126"/>
      <c r="CI16" s="126"/>
      <c r="CJ16" s="41"/>
      <c r="CL16" s="714"/>
      <c r="CM16" s="32"/>
      <c r="CN16" s="67"/>
      <c r="CO16" s="68"/>
      <c r="CP16" s="68"/>
      <c r="CQ16" s="68"/>
      <c r="CR16" s="97"/>
      <c r="CS16" s="97"/>
      <c r="CT16" s="97"/>
      <c r="CU16" s="97"/>
      <c r="CV16" s="97"/>
      <c r="CW16" s="68"/>
      <c r="CX16" s="68"/>
      <c r="CY16" s="68"/>
      <c r="CZ16" s="68"/>
      <c r="DA16" s="68"/>
      <c r="DB16" s="68"/>
      <c r="DC16" s="68"/>
      <c r="DD16" s="68"/>
      <c r="DE16" s="68"/>
      <c r="DF16" s="68"/>
      <c r="DG16" s="68"/>
      <c r="DH16" s="68"/>
      <c r="DI16" s="68"/>
      <c r="DJ16" s="68"/>
      <c r="DK16" s="68"/>
      <c r="DL16" s="68"/>
      <c r="DM16" s="68"/>
      <c r="DN16" s="68"/>
      <c r="DO16" s="68"/>
      <c r="DP16" s="68"/>
      <c r="DQ16" s="68"/>
      <c r="DR16" s="68"/>
      <c r="DS16" s="68"/>
      <c r="DT16" s="68"/>
      <c r="DU16" s="68"/>
      <c r="DV16" s="68"/>
      <c r="DW16" s="68"/>
      <c r="DX16" s="68"/>
      <c r="DY16" s="68"/>
      <c r="DZ16" s="41"/>
      <c r="EE16" s="68"/>
      <c r="EF16" s="68"/>
      <c r="EG16" s="68"/>
      <c r="EM16" s="68"/>
      <c r="EN16" s="68"/>
      <c r="EO16" s="68"/>
      <c r="EP16" s="68"/>
      <c r="EQ16" s="68"/>
      <c r="ER16" s="68"/>
      <c r="ES16" s="68"/>
      <c r="ET16" s="68"/>
      <c r="EU16" s="68"/>
      <c r="EV16" s="68"/>
      <c r="EW16" s="68"/>
      <c r="EX16" s="68"/>
      <c r="EY16" s="68"/>
      <c r="EZ16" s="68"/>
      <c r="FA16" s="68"/>
      <c r="FB16" s="126">
        <f>'Crops; pasture DISCOUNTED'!IE22</f>
        <v>1.5754180267862383</v>
      </c>
      <c r="FC16" s="126">
        <f>'Crops; pasture DISCOUNTED'!IH22</f>
        <v>2.0206766917293235</v>
      </c>
      <c r="FD16" s="126">
        <f>'Crops; pasture DISCOUNTED'!IK22</f>
        <v>0.73404856013551667</v>
      </c>
      <c r="FE16" s="126"/>
      <c r="FF16" s="126"/>
      <c r="FG16" s="126"/>
      <c r="FH16" s="126"/>
      <c r="FI16" s="126"/>
      <c r="FJ16" s="126"/>
      <c r="FK16" s="126"/>
      <c r="FL16" s="126"/>
      <c r="FM16" s="126"/>
      <c r="FN16" s="126"/>
      <c r="FO16" s="126"/>
      <c r="FP16" s="126"/>
      <c r="FQ16" s="126"/>
      <c r="FR16" s="126"/>
      <c r="FS16" s="126"/>
      <c r="FV16" s="60"/>
      <c r="FY16" s="68"/>
      <c r="FZ16" s="60"/>
      <c r="GF16" s="68"/>
      <c r="GG16" s="126"/>
      <c r="GH16" s="126"/>
      <c r="GI16" s="126"/>
      <c r="GJ16" s="126"/>
      <c r="GK16" s="126"/>
      <c r="GL16" s="126"/>
      <c r="GM16" s="126"/>
      <c r="GN16" s="126"/>
      <c r="GO16" s="126"/>
      <c r="GP16" s="126"/>
      <c r="GQ16" s="126"/>
      <c r="GR16" s="126"/>
      <c r="GS16" s="126"/>
      <c r="GT16" s="126"/>
      <c r="GU16" s="126">
        <f>'Crops; pasture DISCOUNTED'!IR22</f>
        <v>0.12730423645613503</v>
      </c>
      <c r="GV16" s="126">
        <f>'Crops; pasture DISCOUNTED'!IW22</f>
        <v>0.19189135097402596</v>
      </c>
      <c r="GW16" s="126">
        <f>'Crops; pasture DISCOUNTED'!JD22</f>
        <v>5.2591638434029749E-3</v>
      </c>
      <c r="GX16" s="126"/>
      <c r="GY16" s="123"/>
      <c r="GZ16" s="123"/>
      <c r="HA16" s="123"/>
      <c r="HB16" s="123"/>
      <c r="HC16" s="123"/>
      <c r="HD16" s="123"/>
      <c r="HE16" s="123"/>
      <c r="HF16" s="123"/>
      <c r="HG16" s="123"/>
      <c r="HH16" s="123"/>
      <c r="HI16" s="123"/>
      <c r="HJ16" s="123"/>
      <c r="HK16" s="123"/>
      <c r="HL16" s="123"/>
      <c r="HM16" s="123"/>
      <c r="HN16" s="123"/>
      <c r="HO16" s="123"/>
      <c r="HP16" s="60"/>
      <c r="HQ16" s="123"/>
      <c r="HR16" s="60"/>
      <c r="HS16" s="68"/>
      <c r="HT16" s="68"/>
      <c r="HU16" s="68"/>
      <c r="HV16" s="68"/>
      <c r="HW16" s="68"/>
      <c r="HX16" s="68"/>
      <c r="HY16" s="68"/>
      <c r="HZ16" s="68"/>
      <c r="IA16" s="68"/>
      <c r="IB16" s="68"/>
      <c r="IC16" s="68"/>
      <c r="ID16" s="68"/>
      <c r="IE16" s="68"/>
      <c r="IF16" s="68"/>
      <c r="IG16" s="68"/>
      <c r="IH16" s="68"/>
      <c r="II16" s="68"/>
      <c r="IJ16" s="68"/>
      <c r="IK16" s="68"/>
      <c r="IL16" s="68"/>
      <c r="IM16" s="68"/>
      <c r="IN16" s="68"/>
      <c r="IO16" s="430"/>
      <c r="IP16" s="430"/>
      <c r="IQ16" s="430"/>
      <c r="IR16" s="430"/>
      <c r="IS16" s="430"/>
      <c r="IT16" s="430"/>
      <c r="IU16" s="430"/>
      <c r="IV16" s="41"/>
      <c r="IW16" s="60"/>
      <c r="IX16" s="60"/>
      <c r="IY16" s="60"/>
      <c r="IZ16" s="60"/>
      <c r="JA16" s="60"/>
      <c r="JB16" s="60"/>
      <c r="JC16" s="60"/>
      <c r="JD16" s="60"/>
      <c r="JE16" s="60"/>
      <c r="JF16" s="60"/>
      <c r="JG16" s="60"/>
      <c r="JH16" s="60"/>
      <c r="JI16" s="60"/>
      <c r="JJ16" s="60"/>
      <c r="JK16" s="60"/>
      <c r="JL16" s="60"/>
      <c r="JM16" s="123"/>
      <c r="JN16" s="123"/>
      <c r="JO16" s="123"/>
      <c r="JP16" s="123"/>
      <c r="JQ16" s="60"/>
      <c r="JR16" s="60"/>
      <c r="JS16" s="60"/>
      <c r="JT16" s="60"/>
      <c r="JU16" s="60"/>
      <c r="JV16" s="60"/>
      <c r="JW16" s="60"/>
      <c r="JX16" s="60"/>
      <c r="JY16" s="60"/>
      <c r="JZ16" s="60"/>
      <c r="KA16" s="60"/>
      <c r="KB16" s="60"/>
      <c r="KC16" s="60"/>
      <c r="KD16" s="123"/>
      <c r="KE16" s="123"/>
      <c r="KF16" s="123"/>
      <c r="KG16" s="123"/>
      <c r="KH16" s="123"/>
      <c r="KI16" s="123"/>
      <c r="KJ16" s="123"/>
      <c r="KK16" s="123"/>
      <c r="KL16" s="123"/>
      <c r="KM16" s="123"/>
      <c r="KN16" s="123"/>
      <c r="KO16" s="123"/>
      <c r="KP16" s="123"/>
      <c r="KQ16" s="123"/>
      <c r="KR16" s="123"/>
      <c r="KS16" s="123"/>
      <c r="KT16" s="60"/>
      <c r="KU16" s="60"/>
      <c r="KV16" s="60"/>
      <c r="KW16" s="60"/>
      <c r="KX16" s="68"/>
      <c r="KY16" s="60"/>
      <c r="KZ16" s="60"/>
      <c r="LA16" s="60"/>
      <c r="LB16" s="60"/>
      <c r="LC16" s="68"/>
      <c r="LD16" s="68"/>
      <c r="LE16" s="68"/>
      <c r="LF16" s="68"/>
      <c r="LG16" s="68"/>
      <c r="LH16" s="68"/>
      <c r="LI16" s="68"/>
      <c r="LJ16" s="68"/>
      <c r="LK16" s="68"/>
      <c r="LL16" s="68"/>
      <c r="LM16" s="68"/>
      <c r="LN16" s="68"/>
      <c r="LO16" s="68"/>
      <c r="LP16" s="68"/>
      <c r="LQ16" s="68"/>
      <c r="LR16" s="68"/>
      <c r="LS16" s="68"/>
      <c r="LT16" s="68"/>
      <c r="LU16" s="68"/>
      <c r="LV16" s="68"/>
      <c r="LW16" s="68"/>
      <c r="LX16" s="60"/>
      <c r="LY16" s="60"/>
      <c r="LZ16" s="60"/>
      <c r="MA16" s="60"/>
      <c r="MB16" s="68"/>
      <c r="MC16" s="60"/>
      <c r="MD16" s="60"/>
      <c r="ME16" s="60"/>
      <c r="MF16" s="60"/>
      <c r="MG16" s="68"/>
      <c r="MH16" s="68"/>
      <c r="MI16" s="68"/>
      <c r="MJ16" s="68"/>
      <c r="MK16" s="68"/>
      <c r="ML16" s="68"/>
      <c r="MM16" s="68"/>
      <c r="MN16" s="68"/>
      <c r="MO16" s="68"/>
      <c r="MP16" s="68"/>
      <c r="MQ16" s="68"/>
      <c r="MR16" s="60"/>
      <c r="MS16" s="60"/>
      <c r="MT16" s="60"/>
      <c r="MU16" s="60"/>
      <c r="MV16" s="60"/>
      <c r="MW16" s="68"/>
      <c r="MX16" s="68"/>
      <c r="MY16" s="68"/>
      <c r="MZ16" s="68"/>
      <c r="NA16" s="68"/>
      <c r="NB16" s="68"/>
      <c r="NC16" s="68"/>
      <c r="ND16" s="68"/>
      <c r="NE16" s="68"/>
      <c r="NF16" s="68"/>
      <c r="NG16" s="68"/>
      <c r="NH16" s="68"/>
      <c r="NI16" s="68"/>
      <c r="NJ16" s="68"/>
      <c r="NK16" s="68"/>
      <c r="NL16" s="68"/>
      <c r="NM16" s="68"/>
      <c r="NN16" s="68"/>
      <c r="NO16" s="68"/>
      <c r="NP16" s="68"/>
      <c r="NQ16" s="68"/>
      <c r="NR16" s="60"/>
      <c r="NS16" s="60"/>
      <c r="NT16" s="631">
        <f>'Crops; pasture DISCOUNTED'!LI22</f>
        <v>0.88</v>
      </c>
      <c r="NU16" s="631"/>
      <c r="NV16" s="41">
        <f>'Crops; pasture DISCOUNTED'!LJ22</f>
        <v>16.192</v>
      </c>
      <c r="NW16" s="41">
        <f>'Crops; pasture DISCOUNTED'!LK22</f>
        <v>18.399999999999999</v>
      </c>
      <c r="NX16" s="41"/>
      <c r="NY16" s="41"/>
      <c r="NZ16" s="41"/>
      <c r="OA16" s="41">
        <f>'Crops; pasture DISCOUNTED'!LL22</f>
        <v>12.32</v>
      </c>
      <c r="OB16" s="41">
        <f>'Crops; pasture DISCOUNTED'!LM22</f>
        <v>14</v>
      </c>
      <c r="OC16" s="631">
        <f>'Crops; pasture DISCOUNTED'!LN22</f>
        <v>0.1144</v>
      </c>
      <c r="OD16" s="631">
        <f>'Crops; pasture DISCOUNTED'!LO22</f>
        <v>0.13</v>
      </c>
      <c r="OE16" s="631">
        <f>'Crops; pasture DISCOUNTED'!LP22</f>
        <v>2.2000000000000002E-2</v>
      </c>
      <c r="OF16" s="631">
        <f>'Crops; pasture DISCOUNTED'!LQ22</f>
        <v>2.5000000000000001E-2</v>
      </c>
      <c r="RU16" s="97"/>
      <c r="RV16" s="97"/>
      <c r="RW16" s="97"/>
      <c r="RX16" s="97"/>
      <c r="RY16" s="97"/>
      <c r="RZ16" s="97"/>
    </row>
    <row r="17" spans="1:494" s="4" customFormat="1" x14ac:dyDescent="0.25">
      <c r="A17" s="4" t="s">
        <v>67</v>
      </c>
      <c r="B17" s="14"/>
      <c r="C17" s="14"/>
      <c r="D17" s="708"/>
      <c r="E17" s="102"/>
      <c r="F17" s="102"/>
      <c r="G17" s="102"/>
      <c r="H17" s="102"/>
      <c r="I17" s="102"/>
      <c r="J17" s="102"/>
      <c r="K17" s="102"/>
      <c r="L17" s="102"/>
      <c r="M17" s="102"/>
      <c r="N17" s="628">
        <f>'Crops; pasture DISCOUNTED'!V23</f>
        <v>126.17439999999999</v>
      </c>
      <c r="O17" s="67">
        <f t="shared" si="1"/>
        <v>81.868131868131869</v>
      </c>
      <c r="P17" s="67">
        <f t="shared" si="1"/>
        <v>72.043956043956044</v>
      </c>
      <c r="Q17" s="627">
        <f t="shared" si="2"/>
        <v>0.57098711025339566</v>
      </c>
      <c r="R17" s="14"/>
      <c r="S17" s="630"/>
      <c r="T17" s="713">
        <f>U17/$NT17</f>
        <v>81.868131868131869</v>
      </c>
      <c r="U17" s="630">
        <f>W126/C126</f>
        <v>72.043956043956044</v>
      </c>
      <c r="X17" s="60"/>
      <c r="AB17" s="126">
        <f>'Crops; pasture DISCOUNTED'!R23</f>
        <v>4.4065991199482619</v>
      </c>
      <c r="AC17" s="126">
        <f>'Crops; pasture DISCOUNTED'!S23</f>
        <v>4.5093795093795093</v>
      </c>
      <c r="AD17" s="126">
        <f>'Crops; pasture DISCOUNTED'!T23</f>
        <v>3.4645232815964526</v>
      </c>
      <c r="AE17" s="126"/>
      <c r="AF17" s="126"/>
      <c r="AG17" s="126"/>
      <c r="AH17" s="126"/>
      <c r="AI17" s="126"/>
      <c r="AJ17" s="126"/>
      <c r="AK17" s="60"/>
      <c r="AL17" s="60"/>
      <c r="AM17" s="60"/>
      <c r="AN17" s="60"/>
      <c r="AO17" s="126"/>
      <c r="AP17" s="126"/>
      <c r="AQ17" s="126"/>
      <c r="AR17" s="126"/>
      <c r="AS17" s="126"/>
      <c r="AT17" s="126"/>
      <c r="AU17" s="126"/>
      <c r="AV17" s="126"/>
      <c r="AW17" s="126"/>
      <c r="AX17" s="126"/>
      <c r="AY17" s="126"/>
      <c r="AZ17" s="126"/>
      <c r="BA17" s="126"/>
      <c r="BB17" s="126"/>
      <c r="BC17" s="126"/>
      <c r="BD17" s="126"/>
      <c r="BE17" s="126"/>
      <c r="BF17" s="126"/>
      <c r="BG17" s="126"/>
      <c r="BH17" s="126"/>
      <c r="BI17" s="126"/>
      <c r="BJ17" s="126"/>
      <c r="BK17" s="126"/>
      <c r="BL17" s="126"/>
      <c r="BM17" s="126"/>
      <c r="BN17" s="126"/>
      <c r="BO17" s="126"/>
      <c r="BP17" s="126">
        <f>'Crops; pasture DISCOUNTED'!HG23</f>
        <v>0.73105803685441206</v>
      </c>
      <c r="BQ17" s="126">
        <f>'Crops; pasture DISCOUNTED'!HK23</f>
        <v>0.77684126430950062</v>
      </c>
      <c r="BR17" s="126">
        <f>'Crops; pasture DISCOUNTED'!HO23</f>
        <v>0.31141307709235555</v>
      </c>
      <c r="BS17" s="126">
        <f>'Crops; pasture DISCOUNTED'!HS23</f>
        <v>1.017599865227367</v>
      </c>
      <c r="BT17" s="126">
        <f>'Crops; pasture DISCOUNTED'!HW23</f>
        <v>1.0707351162365557</v>
      </c>
      <c r="BU17" s="126">
        <f>'Crops; pasture DISCOUNTED'!I23</f>
        <v>2.2176</v>
      </c>
      <c r="BV17" s="126"/>
      <c r="BW17" s="126"/>
      <c r="BX17" s="126"/>
      <c r="BY17" s="126"/>
      <c r="BZ17" s="126"/>
      <c r="CA17" s="126"/>
      <c r="CB17" s="126"/>
      <c r="CC17" s="126"/>
      <c r="CD17" s="126"/>
      <c r="CE17" s="126"/>
      <c r="CF17" s="126"/>
      <c r="CG17" s="126"/>
      <c r="CH17" s="126"/>
      <c r="CI17" s="126"/>
      <c r="CJ17" s="41"/>
      <c r="CL17" s="714"/>
      <c r="CM17" s="32"/>
      <c r="CN17" s="67"/>
      <c r="CO17" s="68"/>
      <c r="CP17" s="68"/>
      <c r="CQ17" s="68"/>
      <c r="CR17" s="97"/>
      <c r="CS17" s="97"/>
      <c r="CT17" s="97"/>
      <c r="CU17" s="97"/>
      <c r="CV17" s="97"/>
      <c r="CW17" s="68"/>
      <c r="CX17" s="68"/>
      <c r="CY17" s="68"/>
      <c r="CZ17" s="68"/>
      <c r="DA17" s="68"/>
      <c r="DB17" s="68"/>
      <c r="DC17" s="68"/>
      <c r="DD17" s="68"/>
      <c r="DE17" s="68"/>
      <c r="DF17" s="68"/>
      <c r="DG17" s="68"/>
      <c r="DH17" s="68"/>
      <c r="DI17" s="68"/>
      <c r="DJ17" s="68"/>
      <c r="DK17" s="68"/>
      <c r="DL17" s="68"/>
      <c r="DM17" s="68"/>
      <c r="DN17" s="68"/>
      <c r="DO17" s="68"/>
      <c r="DP17" s="68"/>
      <c r="DQ17" s="68"/>
      <c r="DR17" s="68"/>
      <c r="DS17" s="68"/>
      <c r="DT17" s="68"/>
      <c r="DU17" s="68"/>
      <c r="DV17" s="68"/>
      <c r="DW17" s="68"/>
      <c r="DX17" s="68"/>
      <c r="DY17" s="68"/>
      <c r="DZ17" s="41"/>
      <c r="EE17" s="68"/>
      <c r="EF17" s="68"/>
      <c r="EG17" s="68"/>
      <c r="EM17" s="68"/>
      <c r="EN17" s="68"/>
      <c r="EO17" s="68"/>
      <c r="EP17" s="68"/>
      <c r="EQ17" s="68"/>
      <c r="ER17" s="68"/>
      <c r="ES17" s="68"/>
      <c r="ET17" s="68"/>
      <c r="EU17" s="68"/>
      <c r="EV17" s="68"/>
      <c r="EW17" s="68"/>
      <c r="EX17" s="68"/>
      <c r="EY17" s="68"/>
      <c r="EZ17" s="68"/>
      <c r="FA17" s="68"/>
      <c r="FB17" s="126">
        <f>'Crops; pasture DISCOUNTED'!IE23</f>
        <v>2.0399462965546102</v>
      </c>
      <c r="FC17" s="126">
        <f>'Crops; pasture DISCOUNTED'!IH23</f>
        <v>2.1464646464646462</v>
      </c>
      <c r="FD17" s="126">
        <f>'Crops; pasture DISCOUNTED'!IK23</f>
        <v>1.063608647450111</v>
      </c>
      <c r="FE17" s="126"/>
      <c r="FF17" s="126"/>
      <c r="FG17" s="126"/>
      <c r="FH17" s="126"/>
      <c r="FI17" s="126"/>
      <c r="FJ17" s="126"/>
      <c r="FK17" s="126"/>
      <c r="FL17" s="126"/>
      <c r="FM17" s="126"/>
      <c r="FN17" s="126"/>
      <c r="FO17" s="126"/>
      <c r="FP17" s="126"/>
      <c r="FQ17" s="126"/>
      <c r="FR17" s="126"/>
      <c r="FS17" s="126"/>
      <c r="FV17" s="60"/>
      <c r="FY17" s="68"/>
      <c r="FZ17" s="60"/>
      <c r="GF17" s="68"/>
      <c r="GG17" s="126"/>
      <c r="GH17" s="126"/>
      <c r="GI17" s="126"/>
      <c r="GJ17" s="126"/>
      <c r="GK17" s="126"/>
      <c r="GL17" s="126"/>
      <c r="GM17" s="126"/>
      <c r="GN17" s="126"/>
      <c r="GO17" s="126"/>
      <c r="GP17" s="126"/>
      <c r="GQ17" s="126"/>
      <c r="GR17" s="126"/>
      <c r="GS17" s="126"/>
      <c r="GT17" s="126"/>
      <c r="GU17" s="126">
        <f>'Crops; pasture DISCOUNTED'!IR23</f>
        <v>0.23970175407803801</v>
      </c>
      <c r="GV17" s="126">
        <f>'Crops; pasture DISCOUNTED'!IW23</f>
        <v>0.26585319393939394</v>
      </c>
      <c r="GW17" s="126">
        <f>'Crops; pasture DISCOUNTED'!JD23</f>
        <v>0</v>
      </c>
      <c r="GX17" s="126"/>
      <c r="GY17" s="123"/>
      <c r="GZ17" s="123"/>
      <c r="HA17" s="123"/>
      <c r="HB17" s="123"/>
      <c r="HC17" s="123"/>
      <c r="HD17" s="123"/>
      <c r="HE17" s="123"/>
      <c r="HF17" s="123"/>
      <c r="HG17" s="123"/>
      <c r="HH17" s="123"/>
      <c r="HI17" s="123"/>
      <c r="HJ17" s="123"/>
      <c r="HK17" s="123"/>
      <c r="HL17" s="123"/>
      <c r="HM17" s="123"/>
      <c r="HN17" s="123"/>
      <c r="HO17" s="123"/>
      <c r="HP17" s="60"/>
      <c r="HQ17" s="123"/>
      <c r="HR17" s="60"/>
      <c r="HS17" s="68"/>
      <c r="HT17" s="68"/>
      <c r="HU17" s="68"/>
      <c r="HV17" s="68"/>
      <c r="HW17" s="68"/>
      <c r="HX17" s="68"/>
      <c r="HY17" s="68"/>
      <c r="HZ17" s="68"/>
      <c r="IA17" s="68"/>
      <c r="IB17" s="68"/>
      <c r="IC17" s="68"/>
      <c r="ID17" s="68"/>
      <c r="IE17" s="68"/>
      <c r="IF17" s="68"/>
      <c r="IG17" s="68"/>
      <c r="IH17" s="68"/>
      <c r="II17" s="68"/>
      <c r="IJ17" s="68"/>
      <c r="IK17" s="68"/>
      <c r="IL17" s="68"/>
      <c r="IM17" s="68"/>
      <c r="IN17" s="68"/>
      <c r="IO17" s="97"/>
      <c r="IP17" s="97"/>
      <c r="IQ17" s="97"/>
      <c r="IR17" s="97"/>
      <c r="IS17" s="97"/>
      <c r="IT17" s="97"/>
      <c r="IU17" s="97"/>
      <c r="IV17" s="41"/>
      <c r="IW17" s="60"/>
      <c r="IX17" s="60"/>
      <c r="IY17" s="60"/>
      <c r="IZ17" s="60"/>
      <c r="JA17" s="60"/>
      <c r="JB17" s="60"/>
      <c r="JC17" s="60"/>
      <c r="JD17" s="60"/>
      <c r="JE17" s="60"/>
      <c r="JF17" s="60"/>
      <c r="JG17" s="60"/>
      <c r="JH17" s="60"/>
      <c r="JI17" s="60"/>
      <c r="JJ17" s="60"/>
      <c r="JK17" s="60"/>
      <c r="JL17" s="60"/>
      <c r="JM17" s="123"/>
      <c r="JN17" s="123"/>
      <c r="JO17" s="123"/>
      <c r="JP17" s="123"/>
      <c r="JQ17" s="60"/>
      <c r="JR17" s="60"/>
      <c r="JS17" s="60"/>
      <c r="JT17" s="60"/>
      <c r="JU17" s="60"/>
      <c r="JV17" s="60"/>
      <c r="JW17" s="60"/>
      <c r="JX17" s="60"/>
      <c r="JY17" s="60"/>
      <c r="JZ17" s="60"/>
      <c r="KA17" s="60"/>
      <c r="KB17" s="60"/>
      <c r="KC17" s="60"/>
      <c r="KD17" s="123"/>
      <c r="KE17" s="123"/>
      <c r="KF17" s="123"/>
      <c r="KG17" s="123"/>
      <c r="KH17" s="123"/>
      <c r="KI17" s="123"/>
      <c r="KJ17" s="123"/>
      <c r="KK17" s="123"/>
      <c r="KL17" s="123"/>
      <c r="KM17" s="123"/>
      <c r="KN17" s="123"/>
      <c r="KO17" s="123"/>
      <c r="KP17" s="123"/>
      <c r="KQ17" s="123"/>
      <c r="KR17" s="123"/>
      <c r="KS17" s="123"/>
      <c r="KT17" s="60"/>
      <c r="KU17" s="60"/>
      <c r="KV17" s="60"/>
      <c r="KW17" s="60"/>
      <c r="KX17" s="68"/>
      <c r="KY17" s="60"/>
      <c r="KZ17" s="60"/>
      <c r="LA17" s="60"/>
      <c r="LB17" s="60"/>
      <c r="LC17" s="68"/>
      <c r="LD17" s="68"/>
      <c r="LE17" s="68"/>
      <c r="LF17" s="68"/>
      <c r="LG17" s="68"/>
      <c r="LH17" s="68"/>
      <c r="LI17" s="68"/>
      <c r="LJ17" s="68"/>
      <c r="LK17" s="68"/>
      <c r="LL17" s="68"/>
      <c r="LM17" s="68"/>
      <c r="LN17" s="68"/>
      <c r="LO17" s="68"/>
      <c r="LP17" s="68"/>
      <c r="LQ17" s="68"/>
      <c r="LR17" s="68"/>
      <c r="LS17" s="68"/>
      <c r="LT17" s="68"/>
      <c r="LU17" s="68"/>
      <c r="LV17" s="68"/>
      <c r="LW17" s="68"/>
      <c r="LX17" s="60"/>
      <c r="LY17" s="60"/>
      <c r="LZ17" s="60"/>
      <c r="MA17" s="60"/>
      <c r="MB17" s="68"/>
      <c r="MC17" s="60"/>
      <c r="MD17" s="60"/>
      <c r="ME17" s="60"/>
      <c r="MF17" s="60"/>
      <c r="MG17" s="68"/>
      <c r="MH17" s="68"/>
      <c r="MI17" s="68"/>
      <c r="MJ17" s="68"/>
      <c r="MK17" s="68"/>
      <c r="ML17" s="68"/>
      <c r="MM17" s="68"/>
      <c r="MN17" s="68"/>
      <c r="MO17" s="68"/>
      <c r="MP17" s="68"/>
      <c r="MQ17" s="68"/>
      <c r="MR17" s="60"/>
      <c r="MS17" s="60"/>
      <c r="MT17" s="60"/>
      <c r="MU17" s="60"/>
      <c r="MV17" s="60"/>
      <c r="MW17" s="68"/>
      <c r="MX17" s="68"/>
      <c r="MY17" s="68"/>
      <c r="MZ17" s="68"/>
      <c r="NA17" s="68"/>
      <c r="NB17" s="68"/>
      <c r="NC17" s="68"/>
      <c r="ND17" s="68"/>
      <c r="NE17" s="68"/>
      <c r="NF17" s="68"/>
      <c r="NG17" s="68"/>
      <c r="NH17" s="68"/>
      <c r="NI17" s="68"/>
      <c r="NJ17" s="68"/>
      <c r="NK17" s="68"/>
      <c r="NL17" s="68"/>
      <c r="NM17" s="68"/>
      <c r="NN17" s="68"/>
      <c r="NO17" s="68"/>
      <c r="NP17" s="68"/>
      <c r="NQ17" s="68"/>
      <c r="NR17" s="60"/>
      <c r="NS17" s="60"/>
      <c r="NT17" s="631">
        <f>'Crops; pasture DISCOUNTED'!LI23</f>
        <v>0.88</v>
      </c>
      <c r="NU17" s="631"/>
      <c r="NV17" s="41">
        <f>'Crops; pasture DISCOUNTED'!LJ23</f>
        <v>16.015999999999998</v>
      </c>
      <c r="NW17" s="41">
        <f>'Crops; pasture DISCOUNTED'!LK23</f>
        <v>18.2</v>
      </c>
      <c r="NX17" s="41"/>
      <c r="NY17" s="41"/>
      <c r="NZ17" s="41"/>
      <c r="OA17" s="41">
        <f>'Crops; pasture DISCOUNTED'!LL23</f>
        <v>12.32</v>
      </c>
      <c r="OB17" s="41">
        <f>'Crops; pasture DISCOUNTED'!LM23</f>
        <v>14</v>
      </c>
      <c r="OC17" s="631">
        <f>'Crops; pasture DISCOUNTED'!LN23</f>
        <v>0.1056</v>
      </c>
      <c r="OD17" s="631">
        <f>'Crops; pasture DISCOUNTED'!LO23</f>
        <v>0.12</v>
      </c>
      <c r="OE17" s="631">
        <f>'Crops; pasture DISCOUNTED'!LP23</f>
        <v>1.7600000000000001E-2</v>
      </c>
      <c r="OF17" s="631">
        <f>'Crops; pasture DISCOUNTED'!LQ23</f>
        <v>0.02</v>
      </c>
      <c r="RU17" s="97"/>
      <c r="RV17" s="97"/>
      <c r="RW17" s="97"/>
      <c r="RX17" s="97"/>
      <c r="RY17" s="97"/>
      <c r="RZ17" s="97"/>
    </row>
    <row r="18" spans="1:494" s="4" customFormat="1" x14ac:dyDescent="0.25">
      <c r="B18" s="14"/>
      <c r="C18" s="14"/>
      <c r="D18" s="708"/>
      <c r="E18" s="102"/>
      <c r="F18" s="102"/>
      <c r="G18" s="102"/>
      <c r="H18" s="102"/>
      <c r="I18" s="102"/>
      <c r="J18" s="102"/>
      <c r="K18" s="102"/>
      <c r="L18" s="102"/>
      <c r="M18" s="102"/>
      <c r="N18" s="14"/>
      <c r="O18" s="14"/>
      <c r="P18" s="14"/>
      <c r="Q18" s="14"/>
      <c r="R18" s="14"/>
      <c r="S18" s="14"/>
      <c r="T18" s="14"/>
      <c r="U18" s="14"/>
      <c r="X18" s="60"/>
      <c r="AB18" s="126"/>
      <c r="AC18" s="126"/>
      <c r="AD18" s="126"/>
      <c r="AE18" s="126"/>
      <c r="AF18" s="126"/>
      <c r="AG18" s="126"/>
      <c r="AH18" s="126"/>
      <c r="AI18" s="126"/>
      <c r="AJ18" s="126"/>
      <c r="AK18" s="60"/>
      <c r="AL18" s="60"/>
      <c r="AM18" s="60"/>
      <c r="AN18" s="60"/>
      <c r="AO18" s="126"/>
      <c r="AP18" s="126"/>
      <c r="AQ18" s="126"/>
      <c r="AR18" s="126"/>
      <c r="AS18" s="126"/>
      <c r="AT18" s="126"/>
      <c r="AU18" s="126"/>
      <c r="AV18" s="126"/>
      <c r="AW18" s="126"/>
      <c r="AX18" s="126"/>
      <c r="AY18" s="126"/>
      <c r="AZ18" s="126"/>
      <c r="BA18" s="126"/>
      <c r="BB18" s="126"/>
      <c r="BC18" s="126"/>
      <c r="BD18" s="126"/>
      <c r="BE18" s="126"/>
      <c r="BF18" s="126"/>
      <c r="BG18" s="126"/>
      <c r="BH18" s="126"/>
      <c r="BI18" s="126"/>
      <c r="BJ18" s="126"/>
      <c r="BK18" s="126"/>
      <c r="BL18" s="126"/>
      <c r="BM18" s="126"/>
      <c r="BN18" s="126"/>
      <c r="BO18" s="126"/>
      <c r="BP18" s="60"/>
      <c r="BQ18" s="60"/>
      <c r="BR18" s="60"/>
      <c r="BS18" s="60"/>
      <c r="BT18" s="60"/>
      <c r="BU18" s="60"/>
      <c r="BV18" s="60"/>
      <c r="BW18" s="60"/>
      <c r="BX18" s="60"/>
      <c r="BY18" s="60"/>
      <c r="BZ18" s="60"/>
      <c r="CA18" s="60"/>
      <c r="CB18" s="60"/>
      <c r="CC18" s="60"/>
      <c r="CD18" s="60"/>
      <c r="CE18" s="60"/>
      <c r="CF18" s="60"/>
      <c r="CG18" s="60"/>
      <c r="CH18" s="60"/>
      <c r="CI18" s="60"/>
      <c r="CJ18" s="41"/>
      <c r="CL18" s="67"/>
      <c r="CO18" s="60"/>
      <c r="CP18" s="60"/>
      <c r="CQ18" s="60"/>
      <c r="CR18" s="97"/>
      <c r="CS18" s="97"/>
      <c r="CT18" s="97"/>
      <c r="CU18" s="97"/>
      <c r="CV18" s="97"/>
      <c r="CW18" s="60"/>
      <c r="CX18" s="60"/>
      <c r="CY18" s="60"/>
      <c r="CZ18" s="60"/>
      <c r="DA18" s="60"/>
      <c r="DB18" s="60"/>
      <c r="DC18" s="60"/>
      <c r="DD18" s="60"/>
      <c r="DE18" s="60"/>
      <c r="DF18" s="60"/>
      <c r="DG18" s="60"/>
      <c r="DH18" s="60"/>
      <c r="DI18" s="60"/>
      <c r="DJ18" s="60"/>
      <c r="DK18" s="60"/>
      <c r="DL18" s="60"/>
      <c r="DM18" s="60"/>
      <c r="DN18" s="60"/>
      <c r="DO18" s="60"/>
      <c r="DP18" s="60"/>
      <c r="DQ18" s="60"/>
      <c r="DR18" s="60"/>
      <c r="DS18" s="60"/>
      <c r="DT18" s="60"/>
      <c r="DU18" s="60"/>
      <c r="DV18" s="60"/>
      <c r="DW18" s="60"/>
      <c r="DX18" s="60"/>
      <c r="DY18" s="60"/>
      <c r="DZ18" s="41"/>
      <c r="EE18" s="60"/>
      <c r="EF18" s="60"/>
      <c r="EG18" s="60"/>
      <c r="EM18" s="60"/>
      <c r="EN18" s="60"/>
      <c r="EO18" s="60"/>
      <c r="EP18" s="60"/>
      <c r="EQ18" s="60"/>
      <c r="ER18" s="60"/>
      <c r="ES18" s="60"/>
      <c r="ET18" s="60"/>
      <c r="EU18" s="60"/>
      <c r="EV18" s="60"/>
      <c r="EW18" s="60"/>
      <c r="EX18" s="60"/>
      <c r="EY18" s="60"/>
      <c r="EZ18" s="60"/>
      <c r="FA18" s="60"/>
      <c r="FB18" s="60"/>
      <c r="FC18" s="60"/>
      <c r="FD18" s="60"/>
      <c r="FE18" s="60"/>
      <c r="FF18" s="60"/>
      <c r="FG18" s="60"/>
      <c r="FH18" s="60"/>
      <c r="FI18" s="60"/>
      <c r="FJ18" s="60"/>
      <c r="FK18" s="60"/>
      <c r="FL18" s="60"/>
      <c r="FM18" s="60"/>
      <c r="FN18" s="60"/>
      <c r="FO18" s="60"/>
      <c r="FP18" s="60"/>
      <c r="FQ18" s="60"/>
      <c r="FR18" s="60"/>
      <c r="FS18" s="60"/>
      <c r="FV18" s="60"/>
      <c r="FY18" s="60"/>
      <c r="FZ18" s="60"/>
      <c r="GF18" s="60"/>
      <c r="GG18" s="60"/>
      <c r="GH18" s="60"/>
      <c r="GI18" s="60"/>
      <c r="GJ18" s="60"/>
      <c r="GK18" s="60"/>
      <c r="GL18" s="60"/>
      <c r="GM18" s="60"/>
      <c r="GN18" s="60"/>
      <c r="GO18" s="60"/>
      <c r="GP18" s="60"/>
      <c r="GQ18" s="60"/>
      <c r="GR18" s="60"/>
      <c r="GS18" s="60"/>
      <c r="GT18" s="60"/>
      <c r="GU18" s="60"/>
      <c r="GV18" s="60"/>
      <c r="GW18" s="60"/>
      <c r="GX18" s="60"/>
      <c r="GY18" s="123"/>
      <c r="GZ18" s="123"/>
      <c r="HA18" s="123"/>
      <c r="HB18" s="123"/>
      <c r="HC18" s="123"/>
      <c r="HD18" s="123"/>
      <c r="HE18" s="123"/>
      <c r="HF18" s="123"/>
      <c r="HG18" s="123"/>
      <c r="HH18" s="123"/>
      <c r="HI18" s="123"/>
      <c r="HJ18" s="123"/>
      <c r="HK18" s="123"/>
      <c r="HL18" s="123"/>
      <c r="HM18" s="123"/>
      <c r="HN18" s="123"/>
      <c r="HO18" s="123"/>
      <c r="HP18" s="60"/>
      <c r="HQ18" s="123"/>
      <c r="HR18" s="60"/>
      <c r="HS18" s="60"/>
      <c r="HT18" s="60"/>
      <c r="HU18" s="60"/>
      <c r="HV18" s="60"/>
      <c r="HW18" s="60"/>
      <c r="HX18" s="60"/>
      <c r="HY18" s="60"/>
      <c r="HZ18" s="60"/>
      <c r="IA18" s="60"/>
      <c r="IB18" s="60"/>
      <c r="IC18" s="60"/>
      <c r="ID18" s="60"/>
      <c r="IE18" s="60"/>
      <c r="IF18" s="60"/>
      <c r="IG18" s="60"/>
      <c r="IH18" s="60"/>
      <c r="II18" s="60"/>
      <c r="IJ18" s="60"/>
      <c r="IK18" s="60"/>
      <c r="IL18" s="60"/>
      <c r="IM18" s="60"/>
      <c r="IN18" s="60"/>
      <c r="IO18" s="97"/>
      <c r="IP18" s="97"/>
      <c r="IQ18" s="97"/>
      <c r="IR18" s="97"/>
      <c r="IS18" s="97"/>
      <c r="IT18" s="97"/>
      <c r="IU18" s="97"/>
      <c r="IV18" s="41"/>
      <c r="IW18" s="60"/>
      <c r="IX18" s="60"/>
      <c r="IY18" s="60"/>
      <c r="IZ18" s="60"/>
      <c r="JA18" s="60"/>
      <c r="JB18" s="60"/>
      <c r="JC18" s="60"/>
      <c r="JD18" s="60"/>
      <c r="JE18" s="60"/>
      <c r="JF18" s="60"/>
      <c r="JG18" s="60"/>
      <c r="JH18" s="60"/>
      <c r="JI18" s="60"/>
      <c r="JJ18" s="60"/>
      <c r="JK18" s="60"/>
      <c r="JL18" s="60"/>
      <c r="JM18" s="123"/>
      <c r="JN18" s="123"/>
      <c r="JO18" s="123"/>
      <c r="JP18" s="123"/>
      <c r="JQ18" s="60"/>
      <c r="JR18" s="60"/>
      <c r="JS18" s="60"/>
      <c r="JT18" s="60"/>
      <c r="JU18" s="60"/>
      <c r="JV18" s="60"/>
      <c r="JW18" s="60"/>
      <c r="JX18" s="60"/>
      <c r="JY18" s="60"/>
      <c r="JZ18" s="60"/>
      <c r="KA18" s="60"/>
      <c r="KB18" s="60"/>
      <c r="KC18" s="60"/>
      <c r="KD18" s="123"/>
      <c r="KE18" s="123"/>
      <c r="KF18" s="123"/>
      <c r="KG18" s="123"/>
      <c r="KH18" s="123"/>
      <c r="KI18" s="123"/>
      <c r="KJ18" s="123"/>
      <c r="KK18" s="123"/>
      <c r="KL18" s="123"/>
      <c r="KM18" s="123"/>
      <c r="KN18" s="123"/>
      <c r="KO18" s="123"/>
      <c r="KP18" s="123"/>
      <c r="KQ18" s="123"/>
      <c r="KR18" s="123"/>
      <c r="KS18" s="123"/>
      <c r="KT18" s="60"/>
      <c r="KU18" s="60"/>
      <c r="KV18" s="60"/>
      <c r="KW18" s="60"/>
      <c r="KX18" s="60"/>
      <c r="KY18" s="60"/>
      <c r="KZ18" s="60"/>
      <c r="LA18" s="60"/>
      <c r="LB18" s="60"/>
      <c r="LC18" s="60"/>
      <c r="LD18" s="60"/>
      <c r="LE18" s="60"/>
      <c r="LF18" s="60"/>
      <c r="LG18" s="60"/>
      <c r="LH18" s="60"/>
      <c r="LI18" s="60"/>
      <c r="LJ18" s="60"/>
      <c r="LK18" s="60"/>
      <c r="LL18" s="60"/>
      <c r="LM18" s="60"/>
      <c r="LN18" s="60"/>
      <c r="LO18" s="60"/>
      <c r="LP18" s="60"/>
      <c r="LQ18" s="60"/>
      <c r="LR18" s="60"/>
      <c r="LS18" s="60"/>
      <c r="LT18" s="60"/>
      <c r="LU18" s="60"/>
      <c r="LV18" s="60"/>
      <c r="LW18" s="60"/>
      <c r="LX18" s="60"/>
      <c r="LY18" s="60"/>
      <c r="LZ18" s="60"/>
      <c r="MA18" s="60"/>
      <c r="MB18" s="60"/>
      <c r="MC18" s="60"/>
      <c r="MD18" s="60"/>
      <c r="ME18" s="60"/>
      <c r="MF18" s="60"/>
      <c r="MG18" s="60"/>
      <c r="MH18" s="60"/>
      <c r="MI18" s="60"/>
      <c r="MJ18" s="60"/>
      <c r="MK18" s="60"/>
      <c r="ML18" s="60"/>
      <c r="MM18" s="60"/>
      <c r="MN18" s="60"/>
      <c r="MO18" s="60"/>
      <c r="MP18" s="60"/>
      <c r="MQ18" s="60"/>
      <c r="MR18" s="60"/>
      <c r="MS18" s="60"/>
      <c r="MT18" s="60"/>
      <c r="MU18" s="60"/>
      <c r="MV18" s="60"/>
      <c r="MW18" s="60"/>
      <c r="MX18" s="60"/>
      <c r="MY18" s="60"/>
      <c r="MZ18" s="60"/>
      <c r="NA18" s="60"/>
      <c r="NB18" s="60"/>
      <c r="NC18" s="60"/>
      <c r="ND18" s="60"/>
      <c r="NE18" s="60"/>
      <c r="NF18" s="60"/>
      <c r="NG18" s="60"/>
      <c r="NH18" s="60"/>
      <c r="NI18" s="60"/>
      <c r="NJ18" s="60"/>
      <c r="NK18" s="60"/>
      <c r="NL18" s="60"/>
      <c r="NM18" s="60"/>
      <c r="NN18" s="60"/>
      <c r="NO18" s="60"/>
      <c r="NP18" s="60"/>
      <c r="NQ18" s="60"/>
      <c r="NR18" s="60"/>
      <c r="NS18" s="60"/>
      <c r="RU18" s="97"/>
      <c r="RV18" s="97"/>
      <c r="RW18" s="97"/>
      <c r="RX18" s="97"/>
      <c r="RY18" s="97"/>
      <c r="RZ18" s="97"/>
    </row>
    <row r="19" spans="1:494" s="4" customFormat="1" ht="13.8" x14ac:dyDescent="0.3">
      <c r="A19" s="15" t="s">
        <v>76</v>
      </c>
      <c r="B19" s="14"/>
      <c r="C19" s="14"/>
      <c r="D19" s="708"/>
      <c r="E19" s="102"/>
      <c r="F19" s="102"/>
      <c r="G19" s="102"/>
      <c r="H19" s="102"/>
      <c r="I19" s="102"/>
      <c r="J19" s="102"/>
      <c r="K19" s="102"/>
      <c r="L19" s="102"/>
      <c r="M19" s="102"/>
      <c r="N19" s="14"/>
      <c r="O19" s="14"/>
      <c r="P19" s="14"/>
      <c r="Q19" s="14"/>
      <c r="R19" s="14"/>
      <c r="S19" s="14"/>
      <c r="T19" s="14"/>
      <c r="U19" s="14"/>
      <c r="X19" s="60"/>
      <c r="AB19" s="126"/>
      <c r="AC19" s="126"/>
      <c r="AD19" s="126"/>
      <c r="AE19" s="126"/>
      <c r="AF19" s="126"/>
      <c r="AG19" s="126"/>
      <c r="AH19" s="126"/>
      <c r="AI19" s="126"/>
      <c r="AJ19" s="126"/>
      <c r="AK19" s="60"/>
      <c r="AL19" s="60"/>
      <c r="AM19" s="60"/>
      <c r="AN19" s="60"/>
      <c r="AO19" s="126"/>
      <c r="AP19" s="126"/>
      <c r="AQ19" s="126"/>
      <c r="AR19" s="126"/>
      <c r="AS19" s="126"/>
      <c r="AT19" s="126"/>
      <c r="AU19" s="126"/>
      <c r="AV19" s="126"/>
      <c r="AW19" s="126"/>
      <c r="AX19" s="126"/>
      <c r="AY19" s="126"/>
      <c r="AZ19" s="126"/>
      <c r="BA19" s="126"/>
      <c r="BB19" s="126"/>
      <c r="BC19" s="126"/>
      <c r="BD19" s="126"/>
      <c r="BE19" s="126"/>
      <c r="BF19" s="126"/>
      <c r="BG19" s="126"/>
      <c r="BH19" s="126"/>
      <c r="BI19" s="126"/>
      <c r="BJ19" s="126"/>
      <c r="BK19" s="126"/>
      <c r="BL19" s="126"/>
      <c r="BM19" s="126"/>
      <c r="BN19" s="126"/>
      <c r="BO19" s="126"/>
      <c r="BP19" s="60"/>
      <c r="BQ19" s="60"/>
      <c r="BR19" s="60"/>
      <c r="BS19" s="60"/>
      <c r="BT19" s="60"/>
      <c r="BU19" s="60"/>
      <c r="BV19" s="60"/>
      <c r="BW19" s="60"/>
      <c r="BX19" s="60"/>
      <c r="BY19" s="60"/>
      <c r="BZ19" s="60"/>
      <c r="CA19" s="60"/>
      <c r="CB19" s="60"/>
      <c r="CC19" s="60"/>
      <c r="CD19" s="60"/>
      <c r="CE19" s="60"/>
      <c r="CF19" s="60"/>
      <c r="CG19" s="60"/>
      <c r="CH19" s="60"/>
      <c r="CI19" s="60"/>
      <c r="CJ19" s="41"/>
      <c r="CL19" s="67"/>
      <c r="CO19" s="60"/>
      <c r="CP19" s="60"/>
      <c r="CQ19" s="60"/>
      <c r="CR19" s="97"/>
      <c r="CS19" s="97"/>
      <c r="CT19" s="97"/>
      <c r="CU19" s="97"/>
      <c r="CV19" s="97"/>
      <c r="CW19" s="60"/>
      <c r="CX19" s="60"/>
      <c r="CY19" s="60"/>
      <c r="CZ19" s="60"/>
      <c r="DA19" s="60"/>
      <c r="DB19" s="60"/>
      <c r="DC19" s="60"/>
      <c r="DD19" s="60"/>
      <c r="DE19" s="60"/>
      <c r="DF19" s="60"/>
      <c r="DG19" s="60"/>
      <c r="DH19" s="60"/>
      <c r="DI19" s="60"/>
      <c r="DJ19" s="60"/>
      <c r="DK19" s="60"/>
      <c r="DL19" s="60"/>
      <c r="DM19" s="60"/>
      <c r="DN19" s="60"/>
      <c r="DO19" s="60"/>
      <c r="DP19" s="60"/>
      <c r="DQ19" s="60"/>
      <c r="DR19" s="60"/>
      <c r="DS19" s="60"/>
      <c r="DT19" s="60"/>
      <c r="DU19" s="60"/>
      <c r="DV19" s="60"/>
      <c r="DW19" s="60"/>
      <c r="DX19" s="60"/>
      <c r="DY19" s="60"/>
      <c r="DZ19" s="41"/>
      <c r="EE19" s="60"/>
      <c r="EF19" s="60"/>
      <c r="EG19" s="60"/>
      <c r="EM19" s="60"/>
      <c r="EN19" s="60"/>
      <c r="EO19" s="60"/>
      <c r="EP19" s="60"/>
      <c r="EQ19" s="60"/>
      <c r="ER19" s="60"/>
      <c r="ES19" s="60"/>
      <c r="ET19" s="60"/>
      <c r="EU19" s="60"/>
      <c r="EV19" s="60"/>
      <c r="EW19" s="60"/>
      <c r="EX19" s="60"/>
      <c r="EY19" s="60"/>
      <c r="EZ19" s="60"/>
      <c r="FA19" s="60"/>
      <c r="FB19" s="60"/>
      <c r="FC19" s="60"/>
      <c r="FD19" s="60"/>
      <c r="FE19" s="60"/>
      <c r="FF19" s="60"/>
      <c r="FG19" s="60"/>
      <c r="FH19" s="60"/>
      <c r="FI19" s="60"/>
      <c r="FJ19" s="60"/>
      <c r="FK19" s="60"/>
      <c r="FL19" s="60"/>
      <c r="FM19" s="60"/>
      <c r="FN19" s="60"/>
      <c r="FO19" s="60"/>
      <c r="FP19" s="60"/>
      <c r="FQ19" s="60"/>
      <c r="FR19" s="60"/>
      <c r="FS19" s="60"/>
      <c r="FV19" s="60"/>
      <c r="FY19" s="60"/>
      <c r="FZ19" s="60"/>
      <c r="GF19" s="60"/>
      <c r="GG19" s="60"/>
      <c r="GH19" s="60"/>
      <c r="GI19" s="60"/>
      <c r="GJ19" s="60"/>
      <c r="GK19" s="60"/>
      <c r="GL19" s="60"/>
      <c r="GM19" s="60"/>
      <c r="GN19" s="60"/>
      <c r="GO19" s="60"/>
      <c r="GP19" s="60"/>
      <c r="GQ19" s="60"/>
      <c r="GR19" s="60"/>
      <c r="GS19" s="60"/>
      <c r="GT19" s="60"/>
      <c r="GU19" s="60"/>
      <c r="GV19" s="60"/>
      <c r="GW19" s="60"/>
      <c r="GX19" s="60"/>
      <c r="GY19" s="123"/>
      <c r="GZ19" s="123"/>
      <c r="HA19" s="123"/>
      <c r="HB19" s="123"/>
      <c r="HC19" s="123"/>
      <c r="HD19" s="123"/>
      <c r="HE19" s="123"/>
      <c r="HF19" s="123"/>
      <c r="HG19" s="123"/>
      <c r="HH19" s="123"/>
      <c r="HI19" s="123"/>
      <c r="HJ19" s="123"/>
      <c r="HK19" s="123"/>
      <c r="HL19" s="123"/>
      <c r="HM19" s="123"/>
      <c r="HN19" s="123"/>
      <c r="HO19" s="123"/>
      <c r="HP19" s="60"/>
      <c r="HQ19" s="123"/>
      <c r="HR19" s="60"/>
      <c r="HS19" s="60"/>
      <c r="HT19" s="60"/>
      <c r="HU19" s="60"/>
      <c r="HV19" s="60"/>
      <c r="HW19" s="60"/>
      <c r="HX19" s="60"/>
      <c r="HY19" s="60"/>
      <c r="HZ19" s="60"/>
      <c r="IA19" s="60"/>
      <c r="IB19" s="60"/>
      <c r="IC19" s="60"/>
      <c r="ID19" s="60"/>
      <c r="IE19" s="60"/>
      <c r="IF19" s="60"/>
      <c r="IG19" s="60"/>
      <c r="IH19" s="60"/>
      <c r="II19" s="60"/>
      <c r="IJ19" s="60"/>
      <c r="IK19" s="60"/>
      <c r="IL19" s="60"/>
      <c r="IM19" s="60"/>
      <c r="IN19" s="60"/>
      <c r="IO19" s="97"/>
      <c r="IP19" s="97"/>
      <c r="IQ19" s="97"/>
      <c r="IR19" s="97"/>
      <c r="IS19" s="97"/>
      <c r="IT19" s="97"/>
      <c r="IU19" s="97"/>
      <c r="IV19" s="41"/>
      <c r="IW19" s="60"/>
      <c r="IX19" s="60"/>
      <c r="IY19" s="60"/>
      <c r="IZ19" s="60"/>
      <c r="JA19" s="60"/>
      <c r="JB19" s="60"/>
      <c r="JC19" s="60"/>
      <c r="JD19" s="60"/>
      <c r="JE19" s="60"/>
      <c r="JF19" s="60"/>
      <c r="JG19" s="60"/>
      <c r="JH19" s="60"/>
      <c r="JI19" s="60"/>
      <c r="JJ19" s="60"/>
      <c r="JK19" s="60"/>
      <c r="JL19" s="60"/>
      <c r="JM19" s="123"/>
      <c r="JN19" s="123"/>
      <c r="JO19" s="123"/>
      <c r="JP19" s="123"/>
      <c r="JQ19" s="60"/>
      <c r="JR19" s="60"/>
      <c r="JS19" s="60"/>
      <c r="JT19" s="60"/>
      <c r="JU19" s="60"/>
      <c r="JV19" s="60"/>
      <c r="JW19" s="60"/>
      <c r="JX19" s="60"/>
      <c r="JY19" s="60"/>
      <c r="JZ19" s="60"/>
      <c r="KA19" s="60"/>
      <c r="KB19" s="60"/>
      <c r="KC19" s="60"/>
      <c r="KD19" s="123"/>
      <c r="KE19" s="123"/>
      <c r="KF19" s="123"/>
      <c r="KG19" s="123"/>
      <c r="KH19" s="123"/>
      <c r="KI19" s="123"/>
      <c r="KJ19" s="123"/>
      <c r="KK19" s="123"/>
      <c r="KL19" s="123"/>
      <c r="KM19" s="123"/>
      <c r="KN19" s="123"/>
      <c r="KO19" s="123"/>
      <c r="KP19" s="123"/>
      <c r="KQ19" s="123"/>
      <c r="KR19" s="123"/>
      <c r="KS19" s="123"/>
      <c r="KT19" s="60"/>
      <c r="KU19" s="60"/>
      <c r="KV19" s="60"/>
      <c r="KW19" s="60"/>
      <c r="KX19" s="60"/>
      <c r="KY19" s="60"/>
      <c r="KZ19" s="60"/>
      <c r="LA19" s="60"/>
      <c r="LB19" s="60"/>
      <c r="LC19" s="60"/>
      <c r="LD19" s="60"/>
      <c r="LE19" s="60"/>
      <c r="LF19" s="60"/>
      <c r="LG19" s="60"/>
      <c r="LH19" s="60"/>
      <c r="LI19" s="60"/>
      <c r="LJ19" s="60"/>
      <c r="LK19" s="60"/>
      <c r="LL19" s="60"/>
      <c r="LM19" s="60"/>
      <c r="LN19" s="60"/>
      <c r="LO19" s="60"/>
      <c r="LP19" s="60"/>
      <c r="LQ19" s="60"/>
      <c r="LR19" s="60"/>
      <c r="LS19" s="60"/>
      <c r="LT19" s="60"/>
      <c r="LU19" s="60"/>
      <c r="LV19" s="60"/>
      <c r="LW19" s="60"/>
      <c r="LX19" s="60"/>
      <c r="LY19" s="60"/>
      <c r="LZ19" s="60"/>
      <c r="MA19" s="60"/>
      <c r="MB19" s="60"/>
      <c r="MC19" s="60"/>
      <c r="MD19" s="60"/>
      <c r="ME19" s="60"/>
      <c r="MF19" s="60"/>
      <c r="MG19" s="60"/>
      <c r="MH19" s="60"/>
      <c r="MI19" s="60"/>
      <c r="MJ19" s="60"/>
      <c r="MK19" s="60"/>
      <c r="ML19" s="60"/>
      <c r="MM19" s="60"/>
      <c r="MN19" s="60"/>
      <c r="MO19" s="60"/>
      <c r="MP19" s="60"/>
      <c r="MQ19" s="60"/>
      <c r="MR19" s="60"/>
      <c r="MS19" s="60"/>
      <c r="MT19" s="60"/>
      <c r="MU19" s="60"/>
      <c r="MV19" s="60"/>
      <c r="MW19" s="60"/>
      <c r="MX19" s="60"/>
      <c r="MY19" s="60"/>
      <c r="MZ19" s="60"/>
      <c r="NA19" s="60"/>
      <c r="NB19" s="60"/>
      <c r="NC19" s="60"/>
      <c r="ND19" s="60"/>
      <c r="NE19" s="60"/>
      <c r="NF19" s="60"/>
      <c r="NG19" s="60"/>
      <c r="NH19" s="60"/>
      <c r="NI19" s="60"/>
      <c r="NJ19" s="60"/>
      <c r="NK19" s="60"/>
      <c r="NL19" s="60"/>
      <c r="NM19" s="60"/>
      <c r="NN19" s="60"/>
      <c r="NO19" s="60"/>
      <c r="NP19" s="60"/>
      <c r="NQ19" s="60"/>
      <c r="NR19" s="60"/>
      <c r="NS19" s="60"/>
      <c r="RU19" s="97"/>
      <c r="RV19" s="97"/>
      <c r="RW19" s="97"/>
      <c r="RX19" s="97"/>
      <c r="RY19" s="97"/>
      <c r="RZ19" s="97"/>
    </row>
    <row r="20" spans="1:494" s="49" customFormat="1" ht="10.199999999999999" x14ac:dyDescent="0.2">
      <c r="A20" s="50" t="s">
        <v>252</v>
      </c>
      <c r="B20" s="50"/>
      <c r="C20" s="50"/>
      <c r="D20" s="710"/>
      <c r="E20" s="575"/>
      <c r="F20" s="575"/>
      <c r="G20" s="575"/>
      <c r="H20" s="575"/>
      <c r="I20" s="575"/>
      <c r="J20" s="575"/>
      <c r="K20" s="575"/>
      <c r="L20" s="575"/>
      <c r="M20" s="575"/>
      <c r="N20" s="625">
        <f>'Crops; pasture DISCOUNTED'!V33</f>
        <v>426.57960000000003</v>
      </c>
      <c r="O20" s="50"/>
      <c r="P20" s="634">
        <f>P21+P22</f>
        <v>398.70441880101322</v>
      </c>
      <c r="Q20" s="711">
        <f t="shared" ref="Q20:Q22" si="3">P20/N20</f>
        <v>0.9346542094394884</v>
      </c>
      <c r="R20" s="50"/>
      <c r="S20" s="50"/>
      <c r="T20" s="50"/>
      <c r="U20" s="50"/>
      <c r="X20" s="123"/>
      <c r="AB20" s="550"/>
      <c r="AC20" s="550"/>
      <c r="AD20" s="550"/>
      <c r="AE20" s="550"/>
      <c r="AF20" s="550"/>
      <c r="AG20" s="550"/>
      <c r="AH20" s="550"/>
      <c r="AI20" s="550"/>
      <c r="AJ20" s="550"/>
      <c r="AK20" s="123"/>
      <c r="AL20" s="123"/>
      <c r="AM20" s="123"/>
      <c r="AN20" s="123"/>
      <c r="AO20" s="550"/>
      <c r="AP20" s="550"/>
      <c r="AQ20" s="550"/>
      <c r="AR20" s="550"/>
      <c r="AS20" s="550"/>
      <c r="AT20" s="550"/>
      <c r="AU20" s="550"/>
      <c r="AV20" s="550"/>
      <c r="AW20" s="550"/>
      <c r="AX20" s="550"/>
      <c r="AY20" s="550"/>
      <c r="AZ20" s="550"/>
      <c r="BA20" s="550"/>
      <c r="BB20" s="550"/>
      <c r="BC20" s="550"/>
      <c r="BD20" s="550"/>
      <c r="BE20" s="550"/>
      <c r="BF20" s="550"/>
      <c r="BG20" s="550"/>
      <c r="BH20" s="550"/>
      <c r="BI20" s="550"/>
      <c r="BJ20" s="550"/>
      <c r="BK20" s="550"/>
      <c r="BL20" s="550"/>
      <c r="BM20" s="550"/>
      <c r="BN20" s="550"/>
      <c r="BO20" s="550"/>
      <c r="BP20" s="123"/>
      <c r="BQ20" s="123"/>
      <c r="BR20" s="123"/>
      <c r="BS20" s="123"/>
      <c r="BT20" s="123"/>
      <c r="BU20" s="123"/>
      <c r="BV20" s="123"/>
      <c r="BW20" s="123"/>
      <c r="BX20" s="123"/>
      <c r="BY20" s="123"/>
      <c r="BZ20" s="123"/>
      <c r="CA20" s="123"/>
      <c r="CB20" s="123"/>
      <c r="CC20" s="123"/>
      <c r="CD20" s="123"/>
      <c r="CE20" s="123"/>
      <c r="CF20" s="123"/>
      <c r="CG20" s="123"/>
      <c r="CH20" s="123"/>
      <c r="CI20" s="123"/>
      <c r="CJ20" s="715"/>
      <c r="CL20" s="152"/>
      <c r="CO20" s="123"/>
      <c r="CP20" s="123"/>
      <c r="CQ20" s="123"/>
      <c r="CR20" s="149"/>
      <c r="CS20" s="149"/>
      <c r="CT20" s="149"/>
      <c r="CU20" s="149"/>
      <c r="CV20" s="149"/>
      <c r="CW20" s="123"/>
      <c r="CX20" s="123"/>
      <c r="CY20" s="123"/>
      <c r="CZ20" s="123"/>
      <c r="DA20" s="123"/>
      <c r="DB20" s="123"/>
      <c r="DC20" s="123"/>
      <c r="DD20" s="123"/>
      <c r="DE20" s="123"/>
      <c r="DF20" s="123"/>
      <c r="DG20" s="123"/>
      <c r="DH20" s="123"/>
      <c r="DI20" s="123"/>
      <c r="DJ20" s="123"/>
      <c r="DK20" s="123"/>
      <c r="DL20" s="123"/>
      <c r="DM20" s="123"/>
      <c r="DN20" s="123"/>
      <c r="DO20" s="123"/>
      <c r="DP20" s="123"/>
      <c r="DQ20" s="123"/>
      <c r="DR20" s="123"/>
      <c r="DS20" s="123"/>
      <c r="DT20" s="123"/>
      <c r="DU20" s="123"/>
      <c r="DV20" s="123"/>
      <c r="DW20" s="123"/>
      <c r="DX20" s="123"/>
      <c r="DY20" s="123"/>
      <c r="DZ20" s="715"/>
      <c r="EE20" s="123"/>
      <c r="EF20" s="123"/>
      <c r="EG20" s="123"/>
      <c r="EM20" s="123"/>
      <c r="EN20" s="123"/>
      <c r="EO20" s="123"/>
      <c r="EP20" s="123"/>
      <c r="EQ20" s="123"/>
      <c r="ER20" s="123"/>
      <c r="ES20" s="123"/>
      <c r="ET20" s="123"/>
      <c r="EU20" s="123"/>
      <c r="EV20" s="123"/>
      <c r="EW20" s="123"/>
      <c r="EX20" s="123"/>
      <c r="EY20" s="123"/>
      <c r="EZ20" s="123"/>
      <c r="FA20" s="123"/>
      <c r="FB20" s="123"/>
      <c r="FC20" s="123"/>
      <c r="FD20" s="123"/>
      <c r="FE20" s="123"/>
      <c r="FF20" s="123"/>
      <c r="FG20" s="123"/>
      <c r="FH20" s="123"/>
      <c r="FI20" s="123"/>
      <c r="FJ20" s="123"/>
      <c r="FK20" s="123"/>
      <c r="FL20" s="123"/>
      <c r="FM20" s="123"/>
      <c r="FN20" s="123"/>
      <c r="FO20" s="123"/>
      <c r="FP20" s="123"/>
      <c r="FQ20" s="123"/>
      <c r="FR20" s="123"/>
      <c r="FS20" s="123"/>
      <c r="FV20" s="123"/>
      <c r="FY20" s="123"/>
      <c r="FZ20" s="123"/>
      <c r="GF20" s="123"/>
      <c r="GG20" s="123"/>
      <c r="GH20" s="123"/>
      <c r="GI20" s="123"/>
      <c r="GJ20" s="123"/>
      <c r="GK20" s="123"/>
      <c r="GL20" s="123"/>
      <c r="GM20" s="123"/>
      <c r="GN20" s="123"/>
      <c r="GO20" s="123"/>
      <c r="GP20" s="123"/>
      <c r="GQ20" s="123"/>
      <c r="GR20" s="123"/>
      <c r="GS20" s="123"/>
      <c r="GT20" s="123"/>
      <c r="GU20" s="123"/>
      <c r="GV20" s="123"/>
      <c r="GW20" s="123"/>
      <c r="GX20" s="123"/>
      <c r="GY20" s="123"/>
      <c r="GZ20" s="123"/>
      <c r="HA20" s="123"/>
      <c r="HB20" s="123"/>
      <c r="HC20" s="123"/>
      <c r="HD20" s="123"/>
      <c r="HE20" s="123"/>
      <c r="HF20" s="123"/>
      <c r="HG20" s="123"/>
      <c r="HH20" s="123"/>
      <c r="HI20" s="123"/>
      <c r="HJ20" s="123"/>
      <c r="HK20" s="123"/>
      <c r="HL20" s="123"/>
      <c r="HM20" s="123"/>
      <c r="HN20" s="123"/>
      <c r="HO20" s="123"/>
      <c r="HP20" s="123"/>
      <c r="HQ20" s="123"/>
      <c r="HR20" s="123"/>
      <c r="HS20" s="123"/>
      <c r="HT20" s="123"/>
      <c r="HU20" s="123"/>
      <c r="HV20" s="123"/>
      <c r="HW20" s="123"/>
      <c r="HX20" s="123"/>
      <c r="HY20" s="123"/>
      <c r="HZ20" s="123"/>
      <c r="IA20" s="123"/>
      <c r="IB20" s="123"/>
      <c r="IC20" s="123"/>
      <c r="ID20" s="123"/>
      <c r="IE20" s="123"/>
      <c r="IF20" s="123"/>
      <c r="IG20" s="123"/>
      <c r="IH20" s="123"/>
      <c r="II20" s="123"/>
      <c r="IJ20" s="123"/>
      <c r="IK20" s="123"/>
      <c r="IL20" s="123"/>
      <c r="IM20" s="123"/>
      <c r="IN20" s="123"/>
      <c r="IO20" s="595"/>
      <c r="IP20" s="595"/>
      <c r="IQ20" s="595"/>
      <c r="IR20" s="595"/>
      <c r="IS20" s="595"/>
      <c r="IT20" s="595"/>
      <c r="IU20" s="595"/>
      <c r="IV20" s="715"/>
      <c r="IW20" s="123"/>
      <c r="IX20" s="123"/>
      <c r="IY20" s="123"/>
      <c r="IZ20" s="123"/>
      <c r="JA20" s="123"/>
      <c r="JB20" s="123"/>
      <c r="JC20" s="123"/>
      <c r="JD20" s="123"/>
      <c r="JE20" s="123"/>
      <c r="JF20" s="123"/>
      <c r="JG20" s="123"/>
      <c r="JH20" s="123"/>
      <c r="JI20" s="123"/>
      <c r="JJ20" s="123"/>
      <c r="JK20" s="123"/>
      <c r="JL20" s="123"/>
      <c r="JM20" s="123"/>
      <c r="JN20" s="123"/>
      <c r="JO20" s="123"/>
      <c r="JP20" s="123"/>
      <c r="JQ20" s="123"/>
      <c r="JR20" s="123"/>
      <c r="JS20" s="123"/>
      <c r="JT20" s="123"/>
      <c r="JU20" s="123"/>
      <c r="JV20" s="123"/>
      <c r="JW20" s="123"/>
      <c r="JX20" s="123"/>
      <c r="JY20" s="123"/>
      <c r="JZ20" s="123"/>
      <c r="KA20" s="123"/>
      <c r="KB20" s="123"/>
      <c r="KC20" s="123"/>
      <c r="KD20" s="123"/>
      <c r="KE20" s="123"/>
      <c r="KF20" s="123"/>
      <c r="KG20" s="123"/>
      <c r="KH20" s="123"/>
      <c r="KI20" s="123"/>
      <c r="KJ20" s="123"/>
      <c r="KK20" s="123"/>
      <c r="KL20" s="123"/>
      <c r="KM20" s="123"/>
      <c r="KN20" s="123"/>
      <c r="KO20" s="123"/>
      <c r="KP20" s="123"/>
      <c r="KQ20" s="123"/>
      <c r="KR20" s="123"/>
      <c r="KS20" s="123"/>
      <c r="KT20" s="123"/>
      <c r="KU20" s="123"/>
      <c r="KV20" s="123"/>
      <c r="KW20" s="123"/>
      <c r="KX20" s="123"/>
      <c r="KY20" s="123"/>
      <c r="KZ20" s="123"/>
      <c r="LA20" s="123"/>
      <c r="LB20" s="123"/>
      <c r="LC20" s="123"/>
      <c r="LD20" s="123"/>
      <c r="LE20" s="123"/>
      <c r="LF20" s="123"/>
      <c r="LG20" s="123"/>
      <c r="LH20" s="123"/>
      <c r="LI20" s="123"/>
      <c r="LJ20" s="123"/>
      <c r="LK20" s="123"/>
      <c r="LL20" s="123"/>
      <c r="LM20" s="123"/>
      <c r="LN20" s="123"/>
      <c r="LO20" s="123"/>
      <c r="LP20" s="123"/>
      <c r="LQ20" s="123"/>
      <c r="LR20" s="123"/>
      <c r="LS20" s="123"/>
      <c r="LT20" s="123"/>
      <c r="LU20" s="123"/>
      <c r="LV20" s="123"/>
      <c r="LW20" s="123"/>
      <c r="LX20" s="123"/>
      <c r="LY20" s="123"/>
      <c r="LZ20" s="123"/>
      <c r="MA20" s="123"/>
      <c r="MB20" s="123"/>
      <c r="MC20" s="123"/>
      <c r="MD20" s="123"/>
      <c r="ME20" s="123"/>
      <c r="MF20" s="123"/>
      <c r="MG20" s="123"/>
      <c r="MH20" s="123"/>
      <c r="MI20" s="123"/>
      <c r="MJ20" s="123"/>
      <c r="MK20" s="123"/>
      <c r="ML20" s="123"/>
      <c r="MM20" s="123"/>
      <c r="MN20" s="123"/>
      <c r="MO20" s="123"/>
      <c r="MP20" s="123"/>
      <c r="MQ20" s="123"/>
      <c r="MR20" s="123"/>
      <c r="MS20" s="123"/>
      <c r="MT20" s="123"/>
      <c r="MU20" s="123"/>
      <c r="MV20" s="123"/>
      <c r="MW20" s="123"/>
      <c r="MX20" s="123"/>
      <c r="MY20" s="123"/>
      <c r="MZ20" s="123"/>
      <c r="NA20" s="123"/>
      <c r="NB20" s="123"/>
      <c r="NC20" s="123"/>
      <c r="ND20" s="123"/>
      <c r="NE20" s="123"/>
      <c r="NF20" s="123"/>
      <c r="NG20" s="123"/>
      <c r="NH20" s="123"/>
      <c r="NI20" s="123"/>
      <c r="NJ20" s="123"/>
      <c r="NK20" s="123"/>
      <c r="NL20" s="123"/>
      <c r="NM20" s="123"/>
      <c r="NN20" s="123"/>
      <c r="NO20" s="123"/>
      <c r="NP20" s="123"/>
      <c r="NQ20" s="123"/>
      <c r="NR20" s="123"/>
      <c r="NS20" s="123"/>
      <c r="RU20" s="149"/>
      <c r="RV20" s="149"/>
      <c r="RW20" s="149"/>
      <c r="RX20" s="149"/>
      <c r="RY20" s="149"/>
      <c r="RZ20" s="149"/>
    </row>
    <row r="21" spans="1:494" s="4" customFormat="1" x14ac:dyDescent="0.25">
      <c r="A21" s="14" t="s">
        <v>72</v>
      </c>
      <c r="B21" s="14"/>
      <c r="C21" s="14"/>
      <c r="D21" s="708"/>
      <c r="E21" s="102"/>
      <c r="F21" s="102"/>
      <c r="G21" s="102"/>
      <c r="H21" s="102"/>
      <c r="I21" s="102"/>
      <c r="J21" s="102"/>
      <c r="K21" s="102"/>
      <c r="L21" s="102"/>
      <c r="M21" s="102"/>
      <c r="N21" s="628">
        <f>'Crops; pasture DISCOUNTED'!V34</f>
        <v>365.07240000000002</v>
      </c>
      <c r="O21" s="67">
        <f t="shared" ref="O21:P22" si="4">R21+T21</f>
        <v>1261.1948171081297</v>
      </c>
      <c r="P21" s="67">
        <f t="shared" si="4"/>
        <v>340.52260061919503</v>
      </c>
      <c r="Q21" s="627">
        <f t="shared" si="3"/>
        <v>0.93275361440414295</v>
      </c>
      <c r="R21" s="674">
        <f>S21/NT21</f>
        <v>1037.037037037037</v>
      </c>
      <c r="S21" s="630">
        <f>W63/C63</f>
        <v>280</v>
      </c>
      <c r="T21" s="713">
        <f>U21/$NT21</f>
        <v>224.15778007109276</v>
      </c>
      <c r="U21" s="716">
        <f>W117/C117</f>
        <v>60.522600619195046</v>
      </c>
      <c r="X21" s="60"/>
      <c r="AB21" s="126">
        <f>'Crops; pasture DISCOUNTED'!R34</f>
        <v>0.54783653872492133</v>
      </c>
      <c r="AC21" s="126">
        <f>'Crops; pasture DISCOUNTED'!S34</f>
        <v>0.60125060125060115</v>
      </c>
      <c r="AD21" s="126">
        <f>'Crops; pasture DISCOUNTED'!T34</f>
        <v>0.48797150246425602</v>
      </c>
      <c r="AE21" s="126"/>
      <c r="AF21" s="126"/>
      <c r="AG21" s="126"/>
      <c r="AH21" s="126"/>
      <c r="AI21" s="126"/>
      <c r="AJ21" s="126"/>
      <c r="AK21" s="60"/>
      <c r="AL21" s="60"/>
      <c r="AM21" s="60"/>
      <c r="AN21" s="60"/>
      <c r="AO21" s="126"/>
      <c r="AP21" s="126"/>
      <c r="AQ21" s="126"/>
      <c r="AR21" s="126"/>
      <c r="AS21" s="126"/>
      <c r="AT21" s="126"/>
      <c r="AU21" s="126"/>
      <c r="AV21" s="126"/>
      <c r="AW21" s="126"/>
      <c r="AX21" s="126"/>
      <c r="AY21" s="126"/>
      <c r="AZ21" s="126"/>
      <c r="BA21" s="126"/>
      <c r="BB21" s="126"/>
      <c r="BC21" s="126"/>
      <c r="BD21" s="126"/>
      <c r="BE21" s="126"/>
      <c r="BF21" s="126"/>
      <c r="BG21" s="126"/>
      <c r="BH21" s="126"/>
      <c r="BI21" s="126"/>
      <c r="BJ21" s="126"/>
      <c r="BK21" s="126"/>
      <c r="BL21" s="126"/>
      <c r="BM21" s="126"/>
      <c r="BN21" s="126"/>
      <c r="BO21" s="126"/>
      <c r="BP21" s="126">
        <f>'Crops; pasture DISCOUNTED'!HG34</f>
        <v>0.18741662321602182</v>
      </c>
      <c r="BQ21" s="126">
        <f>'Crops; pasture DISCOUNTED'!HK34</f>
        <v>0.26576423333707144</v>
      </c>
      <c r="BR21" s="126">
        <f>'Crops; pasture DISCOUNTED'!HO34</f>
        <v>9.9606741341222271E-2</v>
      </c>
      <c r="BS21" s="126">
        <f>'Crops; pasture DISCOUNTED'!HS34</f>
        <v>0.20135337726896355</v>
      </c>
      <c r="BT21" s="126">
        <f>'Crops; pasture DISCOUNTED'!HW34</f>
        <v>0.26003567108602071</v>
      </c>
      <c r="BU21" s="126">
        <f>'Crops; pasture DISCOUNTED'!I34</f>
        <v>16.632000000000001</v>
      </c>
      <c r="BV21" s="126"/>
      <c r="BW21" s="126"/>
      <c r="BX21" s="126"/>
      <c r="BY21" s="126"/>
      <c r="BZ21" s="126"/>
      <c r="CA21" s="126"/>
      <c r="CB21" s="126"/>
      <c r="CC21" s="126"/>
      <c r="CD21" s="126"/>
      <c r="CE21" s="126"/>
      <c r="CF21" s="126"/>
      <c r="CG21" s="126"/>
      <c r="CH21" s="126"/>
      <c r="CI21" s="126"/>
      <c r="CJ21" s="41"/>
      <c r="CL21" s="714"/>
      <c r="CM21" s="32"/>
      <c r="CN21" s="67"/>
      <c r="CO21" s="68"/>
      <c r="CP21" s="68"/>
      <c r="CQ21" s="68"/>
      <c r="CR21" s="97"/>
      <c r="CS21" s="97"/>
      <c r="CT21" s="97"/>
      <c r="CU21" s="97"/>
      <c r="CV21" s="97"/>
      <c r="CW21" s="68"/>
      <c r="CX21" s="68"/>
      <c r="CY21" s="68"/>
      <c r="CZ21" s="68"/>
      <c r="DA21" s="68"/>
      <c r="DB21" s="68"/>
      <c r="DC21" s="68"/>
      <c r="DD21" s="68"/>
      <c r="DE21" s="68"/>
      <c r="DF21" s="68"/>
      <c r="DG21" s="68"/>
      <c r="DH21" s="68"/>
      <c r="DI21" s="68"/>
      <c r="DJ21" s="68"/>
      <c r="DK21" s="68"/>
      <c r="DL21" s="68"/>
      <c r="DM21" s="68"/>
      <c r="DN21" s="68"/>
      <c r="DO21" s="68"/>
      <c r="DP21" s="68"/>
      <c r="DQ21" s="68"/>
      <c r="DR21" s="68"/>
      <c r="DS21" s="68"/>
      <c r="DT21" s="68"/>
      <c r="DU21" s="68"/>
      <c r="DV21" s="68"/>
      <c r="DW21" s="68"/>
      <c r="DX21" s="68"/>
      <c r="DY21" s="68"/>
      <c r="DZ21" s="41"/>
      <c r="EE21" s="68"/>
      <c r="EF21" s="68"/>
      <c r="EG21" s="68"/>
      <c r="EM21" s="68"/>
      <c r="EN21" s="68"/>
      <c r="EO21" s="68"/>
      <c r="EP21" s="68"/>
      <c r="EQ21" s="68"/>
      <c r="ER21" s="68"/>
      <c r="ES21" s="68"/>
      <c r="ET21" s="68"/>
      <c r="EU21" s="68"/>
      <c r="EV21" s="68"/>
      <c r="EW21" s="68"/>
      <c r="EX21" s="68"/>
      <c r="EY21" s="68"/>
      <c r="EZ21" s="68"/>
      <c r="FA21" s="68"/>
      <c r="FB21" s="126">
        <f>'Crops; pasture DISCOUNTED'!IE34</f>
        <v>0.4036459617325221</v>
      </c>
      <c r="FC21" s="126">
        <f>'Crops; pasture DISCOUNTED'!IH34</f>
        <v>0.52128427128427124</v>
      </c>
      <c r="FD21" s="126">
        <f>'Crops; pasture DISCOUNTED'!IK34</f>
        <v>0.27180012687259064</v>
      </c>
      <c r="FE21" s="126"/>
      <c r="FF21" s="126"/>
      <c r="FG21" s="126"/>
      <c r="FH21" s="126"/>
      <c r="FI21" s="126"/>
      <c r="FJ21" s="126"/>
      <c r="FK21" s="126"/>
      <c r="FL21" s="126"/>
      <c r="FM21" s="126"/>
      <c r="FN21" s="126"/>
      <c r="FO21" s="126"/>
      <c r="FP21" s="126"/>
      <c r="FQ21" s="126"/>
      <c r="FR21" s="126"/>
      <c r="FS21" s="126"/>
      <c r="FV21" s="60"/>
      <c r="FY21" s="68"/>
      <c r="FZ21" s="60"/>
      <c r="GF21" s="68"/>
      <c r="GG21" s="126"/>
      <c r="GH21" s="126"/>
      <c r="GI21" s="126"/>
      <c r="GJ21" s="126"/>
      <c r="GK21" s="126"/>
      <c r="GL21" s="126"/>
      <c r="GM21" s="126"/>
      <c r="GN21" s="126"/>
      <c r="GO21" s="126"/>
      <c r="GP21" s="126"/>
      <c r="GQ21" s="126"/>
      <c r="GR21" s="126"/>
      <c r="GS21" s="126"/>
      <c r="GT21" s="126"/>
      <c r="GU21" s="126">
        <f>'Crops; pasture DISCOUNTED'!IR34</f>
        <v>6.6447676696370361E-2</v>
      </c>
      <c r="GV21" s="126">
        <f>'Crops; pasture DISCOUNTED'!IW34</f>
        <v>4.6872033999518989E-2</v>
      </c>
      <c r="GW21" s="126">
        <f>'Crops; pasture DISCOUNTED'!JD34</f>
        <v>8.8387527448397007E-2</v>
      </c>
      <c r="GX21" s="126"/>
      <c r="GY21" s="123"/>
      <c r="GZ21" s="123"/>
      <c r="HA21" s="123"/>
      <c r="HB21" s="123"/>
      <c r="HC21" s="123"/>
      <c r="HD21" s="123"/>
      <c r="HE21" s="123"/>
      <c r="HF21" s="123"/>
      <c r="HG21" s="123"/>
      <c r="HH21" s="123"/>
      <c r="HI21" s="123"/>
      <c r="HJ21" s="123"/>
      <c r="HK21" s="123"/>
      <c r="HL21" s="123"/>
      <c r="HM21" s="123"/>
      <c r="HN21" s="123"/>
      <c r="HO21" s="123"/>
      <c r="HP21" s="60"/>
      <c r="HQ21" s="123"/>
      <c r="HR21" s="60"/>
      <c r="HS21" s="68"/>
      <c r="HT21" s="68"/>
      <c r="HU21" s="68"/>
      <c r="HV21" s="68"/>
      <c r="HW21" s="68"/>
      <c r="HX21" s="68"/>
      <c r="HY21" s="68"/>
      <c r="HZ21" s="68"/>
      <c r="IA21" s="68"/>
      <c r="IB21" s="68"/>
      <c r="IC21" s="68"/>
      <c r="ID21" s="68"/>
      <c r="IE21" s="68"/>
      <c r="IF21" s="68"/>
      <c r="IG21" s="68"/>
      <c r="IH21" s="68"/>
      <c r="II21" s="68"/>
      <c r="IJ21" s="68"/>
      <c r="IK21" s="68"/>
      <c r="IL21" s="68"/>
      <c r="IM21" s="68"/>
      <c r="IN21" s="68"/>
      <c r="IO21" s="431"/>
      <c r="IP21" s="431"/>
      <c r="IQ21" s="431"/>
      <c r="IR21" s="431"/>
      <c r="IS21" s="431"/>
      <c r="IT21" s="431"/>
      <c r="IU21" s="431"/>
      <c r="IV21" s="41"/>
      <c r="IW21" s="60"/>
      <c r="IX21" s="60"/>
      <c r="IY21" s="60"/>
      <c r="IZ21" s="60"/>
      <c r="JA21" s="60"/>
      <c r="JB21" s="60"/>
      <c r="JC21" s="60"/>
      <c r="JD21" s="60"/>
      <c r="JE21" s="60"/>
      <c r="JF21" s="60"/>
      <c r="JG21" s="60"/>
      <c r="JH21" s="60"/>
      <c r="JI21" s="60"/>
      <c r="JJ21" s="60"/>
      <c r="JK21" s="60"/>
      <c r="JL21" s="60"/>
      <c r="JM21" s="123"/>
      <c r="JN21" s="123"/>
      <c r="JO21" s="123"/>
      <c r="JP21" s="123"/>
      <c r="JQ21" s="60"/>
      <c r="JR21" s="60"/>
      <c r="JS21" s="60"/>
      <c r="JT21" s="60"/>
      <c r="JU21" s="60"/>
      <c r="JV21" s="60"/>
      <c r="JW21" s="60"/>
      <c r="JX21" s="60"/>
      <c r="JY21" s="60"/>
      <c r="JZ21" s="60"/>
      <c r="KA21" s="60"/>
      <c r="KB21" s="60"/>
      <c r="KC21" s="60"/>
      <c r="KD21" s="123"/>
      <c r="KE21" s="123"/>
      <c r="KF21" s="123"/>
      <c r="KG21" s="123"/>
      <c r="KH21" s="123"/>
      <c r="KI21" s="123"/>
      <c r="KJ21" s="123"/>
      <c r="KK21" s="123"/>
      <c r="KL21" s="123"/>
      <c r="KM21" s="123"/>
      <c r="KN21" s="123"/>
      <c r="KO21" s="123"/>
      <c r="KP21" s="123"/>
      <c r="KQ21" s="123"/>
      <c r="KR21" s="123"/>
      <c r="KS21" s="123"/>
      <c r="KT21" s="60"/>
      <c r="KU21" s="60"/>
      <c r="KV21" s="60"/>
      <c r="KW21" s="60"/>
      <c r="KX21" s="68"/>
      <c r="KY21" s="60"/>
      <c r="KZ21" s="60"/>
      <c r="LA21" s="60"/>
      <c r="LB21" s="60"/>
      <c r="LC21" s="68"/>
      <c r="LD21" s="68"/>
      <c r="LE21" s="68"/>
      <c r="LF21" s="68"/>
      <c r="LG21" s="68"/>
      <c r="LH21" s="68"/>
      <c r="LI21" s="68"/>
      <c r="LJ21" s="68"/>
      <c r="LK21" s="68"/>
      <c r="LL21" s="68"/>
      <c r="LM21" s="68"/>
      <c r="LN21" s="68"/>
      <c r="LO21" s="68"/>
      <c r="LP21" s="68"/>
      <c r="LQ21" s="68"/>
      <c r="LR21" s="68"/>
      <c r="LS21" s="68"/>
      <c r="LT21" s="68"/>
      <c r="LU21" s="68"/>
      <c r="LV21" s="68"/>
      <c r="LW21" s="68"/>
      <c r="LX21" s="60"/>
      <c r="LY21" s="60"/>
      <c r="LZ21" s="60"/>
      <c r="MA21" s="60"/>
      <c r="MB21" s="68"/>
      <c r="MC21" s="60"/>
      <c r="MD21" s="60"/>
      <c r="ME21" s="60"/>
      <c r="MF21" s="60"/>
      <c r="MG21" s="68"/>
      <c r="MH21" s="68"/>
      <c r="MI21" s="68"/>
      <c r="MJ21" s="68"/>
      <c r="MK21" s="68"/>
      <c r="ML21" s="68"/>
      <c r="MM21" s="68"/>
      <c r="MN21" s="68"/>
      <c r="MO21" s="68"/>
      <c r="MP21" s="68"/>
      <c r="MQ21" s="68"/>
      <c r="MR21" s="60"/>
      <c r="MS21" s="60"/>
      <c r="MT21" s="60"/>
      <c r="MU21" s="60"/>
      <c r="MV21" s="60"/>
      <c r="MW21" s="68"/>
      <c r="MX21" s="68"/>
      <c r="MY21" s="68"/>
      <c r="MZ21" s="68"/>
      <c r="NA21" s="68"/>
      <c r="NB21" s="68"/>
      <c r="NC21" s="68"/>
      <c r="ND21" s="68"/>
      <c r="NE21" s="68"/>
      <c r="NF21" s="68"/>
      <c r="NG21" s="68"/>
      <c r="NH21" s="68"/>
      <c r="NI21" s="68"/>
      <c r="NJ21" s="68"/>
      <c r="NK21" s="68"/>
      <c r="NL21" s="68"/>
      <c r="NM21" s="68"/>
      <c r="NN21" s="68"/>
      <c r="NO21" s="68"/>
      <c r="NP21" s="68"/>
      <c r="NQ21" s="68"/>
      <c r="NR21" s="60"/>
      <c r="NS21" s="60"/>
      <c r="NT21" s="631">
        <f>'Crops; pasture DISCOUNTED'!LI34</f>
        <v>0.27</v>
      </c>
      <c r="NU21" s="631"/>
      <c r="NV21" s="41">
        <f>'Crops; pasture DISCOUNTED'!LJ34</f>
        <v>4.59</v>
      </c>
      <c r="NW21" s="41">
        <f>'Crops; pasture DISCOUNTED'!LK34</f>
        <v>17</v>
      </c>
      <c r="NX21" s="41"/>
      <c r="NY21" s="41"/>
      <c r="NZ21" s="41"/>
      <c r="OA21" s="41">
        <f>'Crops; pasture DISCOUNTED'!LL34</f>
        <v>1.5308999999999999</v>
      </c>
      <c r="OB21" s="41">
        <f>'Crops; pasture DISCOUNTED'!LM34</f>
        <v>5.669999999999999</v>
      </c>
      <c r="OC21" s="631">
        <f>'Crops; pasture DISCOUNTED'!LN34</f>
        <v>4.0499999999999998E-3</v>
      </c>
      <c r="OD21" s="631">
        <f>'Crops; pasture DISCOUNTED'!LO34</f>
        <v>1.4999999999999999E-2</v>
      </c>
      <c r="OE21" s="631">
        <f>'Crops; pasture DISCOUNTED'!LP34</f>
        <v>0</v>
      </c>
      <c r="OF21" s="631">
        <f>'Crops; pasture DISCOUNTED'!LQ34</f>
        <v>0</v>
      </c>
      <c r="RU21" s="97"/>
      <c r="RV21" s="97"/>
      <c r="RW21" s="97"/>
      <c r="RX21" s="97"/>
      <c r="RY21" s="97"/>
      <c r="RZ21" s="97"/>
    </row>
    <row r="22" spans="1:494" s="4" customFormat="1" x14ac:dyDescent="0.25">
      <c r="A22" s="14" t="s">
        <v>73</v>
      </c>
      <c r="B22" s="14"/>
      <c r="C22" s="14"/>
      <c r="D22" s="708"/>
      <c r="E22" s="102"/>
      <c r="F22" s="102"/>
      <c r="G22" s="102"/>
      <c r="H22" s="102"/>
      <c r="I22" s="102"/>
      <c r="J22" s="102"/>
      <c r="K22" s="102"/>
      <c r="L22" s="102"/>
      <c r="M22" s="102"/>
      <c r="N22" s="628">
        <f>'Crops; pasture DISCOUNTED'!V35</f>
        <v>61.507199999999997</v>
      </c>
      <c r="O22" s="67">
        <f t="shared" si="4"/>
        <v>242.42424242424244</v>
      </c>
      <c r="P22" s="67">
        <f t="shared" si="4"/>
        <v>58.18181818181818</v>
      </c>
      <c r="Q22" s="627">
        <f t="shared" si="3"/>
        <v>0.94593508047542696</v>
      </c>
      <c r="R22" s="674">
        <f>S22/NT22</f>
        <v>242.42424242424244</v>
      </c>
      <c r="S22" s="716">
        <f>W68/C68</f>
        <v>58.18181818181818</v>
      </c>
      <c r="X22" s="60"/>
      <c r="AB22" s="126">
        <f>'Crops; pasture DISCOUNTED'!R35</f>
        <v>0.89420425576192708</v>
      </c>
      <c r="AC22" s="126">
        <f>'Crops; pasture DISCOUNTED'!S35</f>
        <v>0.95785440613026829</v>
      </c>
      <c r="AD22" s="126">
        <f>'Crops; pasture DISCOUNTED'!T35</f>
        <v>0.73616018845700826</v>
      </c>
      <c r="AE22" s="126"/>
      <c r="AF22" s="126"/>
      <c r="AG22" s="126"/>
      <c r="AH22" s="126"/>
      <c r="AI22" s="126"/>
      <c r="AJ22" s="126"/>
      <c r="AK22" s="60"/>
      <c r="AL22" s="60"/>
      <c r="AM22" s="60"/>
      <c r="AN22" s="60"/>
      <c r="AO22" s="126"/>
      <c r="AP22" s="126"/>
      <c r="AQ22" s="126"/>
      <c r="AR22" s="126"/>
      <c r="AS22" s="126"/>
      <c r="AT22" s="126"/>
      <c r="AU22" s="126"/>
      <c r="AV22" s="126"/>
      <c r="AW22" s="126"/>
      <c r="AX22" s="126"/>
      <c r="AY22" s="126"/>
      <c r="AZ22" s="126"/>
      <c r="BA22" s="126"/>
      <c r="BB22" s="126"/>
      <c r="BC22" s="126"/>
      <c r="BD22" s="126"/>
      <c r="BE22" s="126"/>
      <c r="BF22" s="126"/>
      <c r="BG22" s="126"/>
      <c r="BH22" s="126"/>
      <c r="BI22" s="126"/>
      <c r="BJ22" s="126"/>
      <c r="BK22" s="126"/>
      <c r="BL22" s="126"/>
      <c r="BM22" s="126"/>
      <c r="BN22" s="126"/>
      <c r="BO22" s="126"/>
      <c r="BP22" s="126">
        <f>'Crops; pasture DISCOUNTED'!HG35</f>
        <v>0.19810156651222247</v>
      </c>
      <c r="BQ22" s="126">
        <f>'Crops; pasture DISCOUNTED'!HK35</f>
        <v>0.23091249982173007</v>
      </c>
      <c r="BR22" s="126">
        <f>'Crops; pasture DISCOUNTED'!HO35</f>
        <v>0.11663163561188226</v>
      </c>
      <c r="BS22" s="126">
        <f>'Crops; pasture DISCOUNTED'!HS35</f>
        <v>0.23251174417772202</v>
      </c>
      <c r="BT22" s="126">
        <f>'Crops; pasture DISCOUNTED'!HW35</f>
        <v>0.26566393391086307</v>
      </c>
      <c r="BU22" s="126">
        <f>'Crops; pasture DISCOUNTED'!I35</f>
        <v>10.44</v>
      </c>
      <c r="BV22" s="126"/>
      <c r="BW22" s="126"/>
      <c r="BX22" s="126"/>
      <c r="BY22" s="126"/>
      <c r="BZ22" s="126"/>
      <c r="CA22" s="126"/>
      <c r="CB22" s="126"/>
      <c r="CC22" s="126"/>
      <c r="CD22" s="126"/>
      <c r="CE22" s="126"/>
      <c r="CF22" s="126"/>
      <c r="CG22" s="126"/>
      <c r="CH22" s="126"/>
      <c r="CI22" s="126"/>
      <c r="CJ22" s="41"/>
      <c r="CL22" s="714"/>
      <c r="CM22" s="32"/>
      <c r="CN22" s="67"/>
      <c r="CO22" s="68"/>
      <c r="CP22" s="68"/>
      <c r="CQ22" s="68"/>
      <c r="CR22" s="97"/>
      <c r="CS22" s="97"/>
      <c r="CT22" s="97"/>
      <c r="CU22" s="97"/>
      <c r="CV22" s="97"/>
      <c r="CW22" s="68"/>
      <c r="CX22" s="68"/>
      <c r="CY22" s="68"/>
      <c r="CZ22" s="68"/>
      <c r="DA22" s="68"/>
      <c r="DB22" s="68"/>
      <c r="DC22" s="68"/>
      <c r="DD22" s="68"/>
      <c r="DE22" s="68"/>
      <c r="DF22" s="68"/>
      <c r="DG22" s="68"/>
      <c r="DH22" s="68"/>
      <c r="DI22" s="68"/>
      <c r="DJ22" s="68"/>
      <c r="DK22" s="68"/>
      <c r="DL22" s="68"/>
      <c r="DM22" s="68"/>
      <c r="DN22" s="68"/>
      <c r="DO22" s="68"/>
      <c r="DP22" s="68"/>
      <c r="DQ22" s="68"/>
      <c r="DR22" s="68"/>
      <c r="DS22" s="68"/>
      <c r="DT22" s="68"/>
      <c r="DU22" s="68"/>
      <c r="DV22" s="68"/>
      <c r="DW22" s="68"/>
      <c r="DX22" s="68"/>
      <c r="DY22" s="68"/>
      <c r="DZ22" s="41"/>
      <c r="EE22" s="68"/>
      <c r="EF22" s="68"/>
      <c r="EG22" s="68"/>
      <c r="EM22" s="68"/>
      <c r="EN22" s="68"/>
      <c r="EO22" s="68"/>
      <c r="EP22" s="68"/>
      <c r="EQ22" s="68"/>
      <c r="ER22" s="68"/>
      <c r="ES22" s="68"/>
      <c r="ET22" s="68"/>
      <c r="EU22" s="68"/>
      <c r="EV22" s="68"/>
      <c r="EW22" s="68"/>
      <c r="EX22" s="68"/>
      <c r="EY22" s="68"/>
      <c r="EZ22" s="68"/>
      <c r="FA22" s="68"/>
      <c r="FB22" s="126">
        <f>'Crops; pasture DISCOUNTED'!IE35</f>
        <v>0.46610803288070346</v>
      </c>
      <c r="FC22" s="126">
        <f>'Crops; pasture DISCOUNTED'!IH35</f>
        <v>0.53256704980842906</v>
      </c>
      <c r="FD22" s="126">
        <f>'Crops; pasture DISCOUNTED'!IK35</f>
        <v>0.30108951707891635</v>
      </c>
      <c r="FE22" s="126"/>
      <c r="FF22" s="126"/>
      <c r="FG22" s="126"/>
      <c r="FH22" s="126"/>
      <c r="FI22" s="126"/>
      <c r="FJ22" s="126"/>
      <c r="FK22" s="126"/>
      <c r="FL22" s="126"/>
      <c r="FM22" s="126"/>
      <c r="FN22" s="126"/>
      <c r="FO22" s="126"/>
      <c r="FP22" s="126"/>
      <c r="FQ22" s="126"/>
      <c r="FR22" s="126"/>
      <c r="FS22" s="126"/>
      <c r="FV22" s="60"/>
      <c r="FY22" s="68"/>
      <c r="FZ22" s="60"/>
      <c r="GF22" s="68"/>
      <c r="GG22" s="126"/>
      <c r="GH22" s="126"/>
      <c r="GI22" s="126"/>
      <c r="GJ22" s="126"/>
      <c r="GK22" s="126"/>
      <c r="GL22" s="126"/>
      <c r="GM22" s="126"/>
      <c r="GN22" s="126"/>
      <c r="GO22" s="126"/>
      <c r="GP22" s="126"/>
      <c r="GQ22" s="126"/>
      <c r="GR22" s="126"/>
      <c r="GS22" s="126"/>
      <c r="GT22" s="126"/>
      <c r="GU22" s="126">
        <f>'Crops; pasture DISCOUNTED'!IR35</f>
        <v>5.1830485731751745E-2</v>
      </c>
      <c r="GV22" s="126">
        <f>'Crops; pasture DISCOUNTED'!IW35</f>
        <v>6.443722796934867E-2</v>
      </c>
      <c r="GW22" s="126">
        <f>'Crops; pasture DISCOUNTED'!JD35</f>
        <v>2.0527797408716138E-2</v>
      </c>
      <c r="GX22" s="126"/>
      <c r="GY22" s="123"/>
      <c r="GZ22" s="123"/>
      <c r="HA22" s="123"/>
      <c r="HB22" s="123"/>
      <c r="HC22" s="123"/>
      <c r="HD22" s="123"/>
      <c r="HE22" s="123"/>
      <c r="HF22" s="123"/>
      <c r="HG22" s="123"/>
      <c r="HH22" s="123"/>
      <c r="HI22" s="123"/>
      <c r="HJ22" s="123"/>
      <c r="HK22" s="123"/>
      <c r="HL22" s="123"/>
      <c r="HM22" s="123"/>
      <c r="HN22" s="123"/>
      <c r="HO22" s="123"/>
      <c r="HP22" s="60"/>
      <c r="HQ22" s="123"/>
      <c r="HR22" s="60"/>
      <c r="HS22" s="68"/>
      <c r="HT22" s="68"/>
      <c r="HU22" s="68"/>
      <c r="HV22" s="68"/>
      <c r="HW22" s="68"/>
      <c r="HX22" s="68"/>
      <c r="HY22" s="68"/>
      <c r="HZ22" s="68"/>
      <c r="IA22" s="68"/>
      <c r="IB22" s="68"/>
      <c r="IC22" s="68"/>
      <c r="ID22" s="68"/>
      <c r="IE22" s="68"/>
      <c r="IF22" s="68"/>
      <c r="IG22" s="68"/>
      <c r="IH22" s="68"/>
      <c r="II22" s="68"/>
      <c r="IJ22" s="68"/>
      <c r="IK22" s="68"/>
      <c r="IL22" s="68"/>
      <c r="IM22" s="68"/>
      <c r="IN22" s="68"/>
      <c r="IO22" s="430"/>
      <c r="IP22" s="430"/>
      <c r="IQ22" s="430"/>
      <c r="IR22" s="430"/>
      <c r="IS22" s="430"/>
      <c r="IT22" s="430"/>
      <c r="IU22" s="430"/>
      <c r="IV22" s="41"/>
      <c r="IW22" s="60"/>
      <c r="IX22" s="60"/>
      <c r="IY22" s="60"/>
      <c r="IZ22" s="60"/>
      <c r="JA22" s="60"/>
      <c r="JB22" s="60"/>
      <c r="JC22" s="60"/>
      <c r="JD22" s="60"/>
      <c r="JE22" s="60"/>
      <c r="JF22" s="60"/>
      <c r="JG22" s="60"/>
      <c r="JH22" s="60"/>
      <c r="JI22" s="60"/>
      <c r="JJ22" s="60"/>
      <c r="JK22" s="60"/>
      <c r="JL22" s="60"/>
      <c r="JM22" s="123"/>
      <c r="JN22" s="123"/>
      <c r="JO22" s="123"/>
      <c r="JP22" s="123"/>
      <c r="JQ22" s="60"/>
      <c r="JR22" s="60"/>
      <c r="JS22" s="60"/>
      <c r="JT22" s="60"/>
      <c r="JU22" s="60"/>
      <c r="JV22" s="60"/>
      <c r="JW22" s="60"/>
      <c r="JX22" s="60"/>
      <c r="JY22" s="60"/>
      <c r="JZ22" s="60"/>
      <c r="KA22" s="60"/>
      <c r="KB22" s="60"/>
      <c r="KC22" s="60"/>
      <c r="KD22" s="123"/>
      <c r="KE22" s="123"/>
      <c r="KF22" s="123"/>
      <c r="KG22" s="123"/>
      <c r="KH22" s="123"/>
      <c r="KI22" s="123"/>
      <c r="KJ22" s="123"/>
      <c r="KK22" s="123"/>
      <c r="KL22" s="123"/>
      <c r="KM22" s="123"/>
      <c r="KN22" s="123"/>
      <c r="KO22" s="123"/>
      <c r="KP22" s="123"/>
      <c r="KQ22" s="123"/>
      <c r="KR22" s="123"/>
      <c r="KS22" s="123"/>
      <c r="KT22" s="60"/>
      <c r="KU22" s="60"/>
      <c r="KV22" s="60"/>
      <c r="KW22" s="60"/>
      <c r="KX22" s="68"/>
      <c r="KY22" s="60"/>
      <c r="KZ22" s="60"/>
      <c r="LA22" s="60"/>
      <c r="LB22" s="60"/>
      <c r="LC22" s="68"/>
      <c r="LD22" s="68"/>
      <c r="LE22" s="68"/>
      <c r="LF22" s="68"/>
      <c r="LG22" s="68"/>
      <c r="LH22" s="68"/>
      <c r="LI22" s="68"/>
      <c r="LJ22" s="68"/>
      <c r="LK22" s="68"/>
      <c r="LL22" s="68"/>
      <c r="LM22" s="68"/>
      <c r="LN22" s="68"/>
      <c r="LO22" s="68"/>
      <c r="LP22" s="68"/>
      <c r="LQ22" s="68"/>
      <c r="LR22" s="68"/>
      <c r="LS22" s="68"/>
      <c r="LT22" s="68"/>
      <c r="LU22" s="68"/>
      <c r="LV22" s="68"/>
      <c r="LW22" s="68"/>
      <c r="LX22" s="60"/>
      <c r="LY22" s="60"/>
      <c r="LZ22" s="60"/>
      <c r="MA22" s="60"/>
      <c r="MB22" s="68"/>
      <c r="MC22" s="60"/>
      <c r="MD22" s="60"/>
      <c r="ME22" s="60"/>
      <c r="MF22" s="60"/>
      <c r="MG22" s="68"/>
      <c r="MH22" s="68"/>
      <c r="MI22" s="68"/>
      <c r="MJ22" s="68"/>
      <c r="MK22" s="68"/>
      <c r="ML22" s="68"/>
      <c r="MM22" s="68"/>
      <c r="MN22" s="68"/>
      <c r="MO22" s="68"/>
      <c r="MP22" s="68"/>
      <c r="MQ22" s="68"/>
      <c r="MR22" s="60"/>
      <c r="MS22" s="60"/>
      <c r="MT22" s="60"/>
      <c r="MU22" s="60"/>
      <c r="MV22" s="60"/>
      <c r="MW22" s="68"/>
      <c r="MX22" s="68"/>
      <c r="MY22" s="68"/>
      <c r="MZ22" s="68"/>
      <c r="NA22" s="68"/>
      <c r="NB22" s="68"/>
      <c r="NC22" s="68"/>
      <c r="ND22" s="68"/>
      <c r="NE22" s="68"/>
      <c r="NF22" s="68"/>
      <c r="NG22" s="68"/>
      <c r="NH22" s="68"/>
      <c r="NI22" s="68"/>
      <c r="NJ22" s="68"/>
      <c r="NK22" s="68"/>
      <c r="NL22" s="68"/>
      <c r="NM22" s="68"/>
      <c r="NN22" s="68"/>
      <c r="NO22" s="68"/>
      <c r="NP22" s="68"/>
      <c r="NQ22" s="68"/>
      <c r="NR22" s="60"/>
      <c r="NS22" s="60"/>
      <c r="NT22" s="631">
        <f>'Crops; pasture DISCOUNTED'!LI35</f>
        <v>0.24</v>
      </c>
      <c r="NU22" s="631"/>
      <c r="NV22" s="41">
        <f>'Crops; pasture DISCOUNTED'!LJ35</f>
        <v>4.08</v>
      </c>
      <c r="NW22" s="41">
        <f>'Crops; pasture DISCOUNTED'!LK35</f>
        <v>17</v>
      </c>
      <c r="NX22" s="41"/>
      <c r="NY22" s="41"/>
      <c r="NZ22" s="41"/>
      <c r="OA22" s="41">
        <f>'Crops; pasture DISCOUNTED'!LL35</f>
        <v>2.1383999999999999</v>
      </c>
      <c r="OB22" s="41">
        <f>'Crops; pasture DISCOUNTED'!LM35</f>
        <v>8.91</v>
      </c>
      <c r="OC22" s="631">
        <f>'Crops; pasture DISCOUNTED'!LN35</f>
        <v>8.4000000000000012E-3</v>
      </c>
      <c r="OD22" s="631">
        <f>'Crops; pasture DISCOUNTED'!LO35</f>
        <v>3.5000000000000003E-2</v>
      </c>
      <c r="OE22" s="631">
        <f>'Crops; pasture DISCOUNTED'!LP35</f>
        <v>0</v>
      </c>
      <c r="OF22" s="631">
        <f>'Crops; pasture DISCOUNTED'!LQ35</f>
        <v>0</v>
      </c>
      <c r="RU22" s="97"/>
      <c r="RV22" s="97"/>
      <c r="RW22" s="97"/>
      <c r="RX22" s="97"/>
      <c r="RY22" s="97"/>
      <c r="RZ22" s="97"/>
    </row>
    <row r="23" spans="1:494" s="4" customFormat="1" x14ac:dyDescent="0.25">
      <c r="A23" s="14"/>
      <c r="B23" s="14"/>
      <c r="C23" s="14"/>
      <c r="D23" s="708"/>
      <c r="E23" s="102"/>
      <c r="F23" s="102"/>
      <c r="G23" s="102"/>
      <c r="H23" s="102"/>
      <c r="I23" s="102"/>
      <c r="J23" s="102"/>
      <c r="K23" s="102"/>
      <c r="L23" s="102"/>
      <c r="M23" s="102"/>
      <c r="N23" s="14"/>
      <c r="O23" s="14"/>
      <c r="P23" s="14"/>
      <c r="Q23" s="14"/>
      <c r="R23" s="14"/>
      <c r="S23" s="14"/>
      <c r="T23" s="14"/>
      <c r="U23" s="14"/>
      <c r="X23" s="60"/>
      <c r="AB23" s="126"/>
      <c r="AC23" s="126"/>
      <c r="AD23" s="126"/>
      <c r="AE23" s="126"/>
      <c r="AF23" s="126"/>
      <c r="AG23" s="126"/>
      <c r="AH23" s="126"/>
      <c r="AI23" s="126"/>
      <c r="AJ23" s="126"/>
      <c r="AK23" s="60"/>
      <c r="AL23" s="60"/>
      <c r="AM23" s="60"/>
      <c r="AN23" s="60"/>
      <c r="AO23" s="126"/>
      <c r="AP23" s="126"/>
      <c r="AQ23" s="126"/>
      <c r="AR23" s="126"/>
      <c r="AS23" s="126"/>
      <c r="AT23" s="126"/>
      <c r="AU23" s="126"/>
      <c r="AV23" s="126"/>
      <c r="AW23" s="126"/>
      <c r="AX23" s="126"/>
      <c r="AY23" s="126"/>
      <c r="AZ23" s="126"/>
      <c r="BA23" s="126"/>
      <c r="BB23" s="126"/>
      <c r="BC23" s="126"/>
      <c r="BD23" s="126"/>
      <c r="BE23" s="126"/>
      <c r="BF23" s="126"/>
      <c r="BG23" s="126"/>
      <c r="BH23" s="126"/>
      <c r="BI23" s="126"/>
      <c r="BJ23" s="126"/>
      <c r="BK23" s="126"/>
      <c r="BL23" s="126"/>
      <c r="BM23" s="126"/>
      <c r="BN23" s="126"/>
      <c r="BO23" s="126"/>
      <c r="BP23" s="60"/>
      <c r="BQ23" s="60"/>
      <c r="BR23" s="60"/>
      <c r="BS23" s="60"/>
      <c r="BT23" s="60"/>
      <c r="BU23" s="60"/>
      <c r="BV23" s="60"/>
      <c r="BW23" s="60"/>
      <c r="BX23" s="60"/>
      <c r="BY23" s="60"/>
      <c r="BZ23" s="60"/>
      <c r="CA23" s="60"/>
      <c r="CB23" s="60"/>
      <c r="CC23" s="60"/>
      <c r="CD23" s="60"/>
      <c r="CE23" s="60"/>
      <c r="CF23" s="60"/>
      <c r="CG23" s="60"/>
      <c r="CH23" s="60"/>
      <c r="CI23" s="60"/>
      <c r="CJ23" s="41"/>
      <c r="CL23" s="67"/>
      <c r="CO23" s="60"/>
      <c r="CP23" s="60"/>
      <c r="CQ23" s="60"/>
      <c r="CR23" s="97"/>
      <c r="CS23" s="97"/>
      <c r="CT23" s="97"/>
      <c r="CU23" s="97"/>
      <c r="CV23" s="97"/>
      <c r="CW23" s="60"/>
      <c r="CX23" s="60"/>
      <c r="CY23" s="60"/>
      <c r="CZ23" s="60"/>
      <c r="DA23" s="60"/>
      <c r="DB23" s="60"/>
      <c r="DC23" s="60"/>
      <c r="DD23" s="60"/>
      <c r="DE23" s="60"/>
      <c r="DF23" s="60"/>
      <c r="DG23" s="60"/>
      <c r="DH23" s="60"/>
      <c r="DI23" s="60"/>
      <c r="DJ23" s="60"/>
      <c r="DK23" s="60"/>
      <c r="DL23" s="60"/>
      <c r="DM23" s="60"/>
      <c r="DN23" s="60"/>
      <c r="DO23" s="60"/>
      <c r="DP23" s="60"/>
      <c r="DQ23" s="60"/>
      <c r="DR23" s="60"/>
      <c r="DS23" s="60"/>
      <c r="DT23" s="60"/>
      <c r="DU23" s="60"/>
      <c r="DV23" s="60"/>
      <c r="DW23" s="60"/>
      <c r="DX23" s="60"/>
      <c r="DY23" s="60"/>
      <c r="DZ23" s="41"/>
      <c r="EE23" s="60"/>
      <c r="EF23" s="60"/>
      <c r="EG23" s="60"/>
      <c r="EM23" s="60"/>
      <c r="EN23" s="60"/>
      <c r="EO23" s="60"/>
      <c r="EP23" s="60"/>
      <c r="EQ23" s="60"/>
      <c r="ER23" s="60"/>
      <c r="ES23" s="60"/>
      <c r="ET23" s="60"/>
      <c r="EU23" s="60"/>
      <c r="EV23" s="60"/>
      <c r="EW23" s="60"/>
      <c r="EX23" s="60"/>
      <c r="EY23" s="60"/>
      <c r="EZ23" s="60"/>
      <c r="FA23" s="60"/>
      <c r="FB23" s="60"/>
      <c r="FC23" s="60"/>
      <c r="FD23" s="60"/>
      <c r="FE23" s="60"/>
      <c r="FF23" s="60"/>
      <c r="FG23" s="60"/>
      <c r="FH23" s="60"/>
      <c r="FI23" s="60"/>
      <c r="FJ23" s="60"/>
      <c r="FK23" s="60"/>
      <c r="FL23" s="60"/>
      <c r="FM23" s="60"/>
      <c r="FN23" s="60"/>
      <c r="FO23" s="60"/>
      <c r="FP23" s="60"/>
      <c r="FQ23" s="60"/>
      <c r="FR23" s="60"/>
      <c r="FS23" s="60"/>
      <c r="FV23" s="60"/>
      <c r="FY23" s="60"/>
      <c r="FZ23" s="60"/>
      <c r="GF23" s="60"/>
      <c r="GG23" s="60"/>
      <c r="GH23" s="60"/>
      <c r="GI23" s="60"/>
      <c r="GJ23" s="60"/>
      <c r="GK23" s="60"/>
      <c r="GL23" s="60"/>
      <c r="GM23" s="60"/>
      <c r="GN23" s="60"/>
      <c r="GO23" s="60"/>
      <c r="GP23" s="60"/>
      <c r="GQ23" s="60"/>
      <c r="GR23" s="60"/>
      <c r="GS23" s="60"/>
      <c r="GT23" s="60"/>
      <c r="GU23" s="60"/>
      <c r="GV23" s="60"/>
      <c r="GW23" s="60"/>
      <c r="GX23" s="60"/>
      <c r="GY23" s="123"/>
      <c r="GZ23" s="123"/>
      <c r="HA23" s="123"/>
      <c r="HB23" s="123"/>
      <c r="HC23" s="123"/>
      <c r="HD23" s="123"/>
      <c r="HE23" s="123"/>
      <c r="HF23" s="123"/>
      <c r="HG23" s="123"/>
      <c r="HH23" s="123"/>
      <c r="HI23" s="123"/>
      <c r="HJ23" s="123"/>
      <c r="HK23" s="123"/>
      <c r="HL23" s="123"/>
      <c r="HM23" s="123"/>
      <c r="HN23" s="123"/>
      <c r="HO23" s="123"/>
      <c r="HP23" s="60"/>
      <c r="HQ23" s="123"/>
      <c r="HR23" s="60"/>
      <c r="HS23" s="60"/>
      <c r="HT23" s="60"/>
      <c r="HU23" s="60"/>
      <c r="HV23" s="60"/>
      <c r="HW23" s="60"/>
      <c r="HX23" s="60"/>
      <c r="HY23" s="60"/>
      <c r="HZ23" s="60"/>
      <c r="IA23" s="60"/>
      <c r="IB23" s="60"/>
      <c r="IC23" s="60"/>
      <c r="ID23" s="60"/>
      <c r="IE23" s="60"/>
      <c r="IF23" s="60"/>
      <c r="IG23" s="60"/>
      <c r="IH23" s="60"/>
      <c r="II23" s="60"/>
      <c r="IJ23" s="60"/>
      <c r="IK23" s="60"/>
      <c r="IL23" s="60"/>
      <c r="IM23" s="60"/>
      <c r="IN23" s="60"/>
      <c r="IO23" s="431"/>
      <c r="IP23" s="431"/>
      <c r="IQ23" s="431"/>
      <c r="IR23" s="431"/>
      <c r="IS23" s="431"/>
      <c r="IT23" s="431"/>
      <c r="IU23" s="431"/>
      <c r="IV23" s="41"/>
      <c r="IW23" s="60"/>
      <c r="IX23" s="60"/>
      <c r="IY23" s="60"/>
      <c r="IZ23" s="60"/>
      <c r="JA23" s="60"/>
      <c r="JB23" s="60"/>
      <c r="JC23" s="60"/>
      <c r="JD23" s="60"/>
      <c r="JE23" s="60"/>
      <c r="JF23" s="60"/>
      <c r="JG23" s="60"/>
      <c r="JH23" s="60"/>
      <c r="JI23" s="60"/>
      <c r="JJ23" s="60"/>
      <c r="JK23" s="60"/>
      <c r="JL23" s="60"/>
      <c r="JM23" s="123"/>
      <c r="JN23" s="123"/>
      <c r="JO23" s="123"/>
      <c r="JP23" s="123"/>
      <c r="JQ23" s="60"/>
      <c r="JR23" s="60"/>
      <c r="JS23" s="60"/>
      <c r="JT23" s="60"/>
      <c r="JU23" s="60"/>
      <c r="JV23" s="60"/>
      <c r="JW23" s="60"/>
      <c r="JX23" s="60"/>
      <c r="JY23" s="60"/>
      <c r="JZ23" s="60"/>
      <c r="KA23" s="60"/>
      <c r="KB23" s="60"/>
      <c r="KC23" s="60"/>
      <c r="KD23" s="123"/>
      <c r="KE23" s="123"/>
      <c r="KF23" s="123"/>
      <c r="KG23" s="123"/>
      <c r="KH23" s="123"/>
      <c r="KI23" s="123"/>
      <c r="KJ23" s="123"/>
      <c r="KK23" s="123"/>
      <c r="KL23" s="123"/>
      <c r="KM23" s="123"/>
      <c r="KN23" s="123"/>
      <c r="KO23" s="123"/>
      <c r="KP23" s="123"/>
      <c r="KQ23" s="123"/>
      <c r="KR23" s="123"/>
      <c r="KS23" s="123"/>
      <c r="KT23" s="60"/>
      <c r="KU23" s="60"/>
      <c r="KV23" s="60"/>
      <c r="KW23" s="60"/>
      <c r="KX23" s="60"/>
      <c r="KY23" s="60"/>
      <c r="KZ23" s="60"/>
      <c r="LA23" s="60"/>
      <c r="LB23" s="60"/>
      <c r="LC23" s="60"/>
      <c r="LD23" s="60"/>
      <c r="LE23" s="60"/>
      <c r="LF23" s="60"/>
      <c r="LG23" s="60"/>
      <c r="LH23" s="60"/>
      <c r="LI23" s="60"/>
      <c r="LJ23" s="60"/>
      <c r="LK23" s="60"/>
      <c r="LL23" s="60"/>
      <c r="LM23" s="60"/>
      <c r="LN23" s="60"/>
      <c r="LO23" s="60"/>
      <c r="LP23" s="60"/>
      <c r="LQ23" s="60"/>
      <c r="LR23" s="60"/>
      <c r="LS23" s="60"/>
      <c r="LT23" s="60"/>
      <c r="LU23" s="60"/>
      <c r="LV23" s="60"/>
      <c r="LW23" s="60"/>
      <c r="LX23" s="60"/>
      <c r="LY23" s="60"/>
      <c r="LZ23" s="60"/>
      <c r="MA23" s="60"/>
      <c r="MB23" s="60"/>
      <c r="MC23" s="60"/>
      <c r="MD23" s="60"/>
      <c r="ME23" s="60"/>
      <c r="MF23" s="60"/>
      <c r="MG23" s="60"/>
      <c r="MH23" s="60"/>
      <c r="MI23" s="60"/>
      <c r="MJ23" s="60"/>
      <c r="MK23" s="60"/>
      <c r="ML23" s="60"/>
      <c r="MM23" s="60"/>
      <c r="MN23" s="60"/>
      <c r="MO23" s="60"/>
      <c r="MP23" s="60"/>
      <c r="MQ23" s="60"/>
      <c r="MR23" s="60"/>
      <c r="MS23" s="60"/>
      <c r="MT23" s="60"/>
      <c r="MU23" s="60"/>
      <c r="MV23" s="60"/>
      <c r="MW23" s="60"/>
      <c r="MX23" s="60"/>
      <c r="MY23" s="60"/>
      <c r="MZ23" s="60"/>
      <c r="NA23" s="60"/>
      <c r="NB23" s="60"/>
      <c r="NC23" s="60"/>
      <c r="ND23" s="60"/>
      <c r="NE23" s="60"/>
      <c r="NF23" s="60"/>
      <c r="NG23" s="60"/>
      <c r="NH23" s="60"/>
      <c r="NI23" s="60"/>
      <c r="NJ23" s="60"/>
      <c r="NK23" s="60"/>
      <c r="NL23" s="60"/>
      <c r="NM23" s="60"/>
      <c r="NN23" s="60"/>
      <c r="NO23" s="60"/>
      <c r="NP23" s="60"/>
      <c r="NQ23" s="60"/>
      <c r="NR23" s="60"/>
      <c r="NS23" s="60"/>
      <c r="RU23" s="97"/>
      <c r="RV23" s="97"/>
      <c r="RW23" s="97"/>
      <c r="RX23" s="97"/>
      <c r="RY23" s="97"/>
      <c r="RZ23" s="97"/>
    </row>
    <row r="24" spans="1:494" s="4" customFormat="1" ht="13.8" x14ac:dyDescent="0.3">
      <c r="A24" s="15" t="s">
        <v>78</v>
      </c>
      <c r="B24" s="14"/>
      <c r="C24" s="14"/>
      <c r="D24" s="708"/>
      <c r="E24" s="102"/>
      <c r="F24" s="102"/>
      <c r="G24" s="102"/>
      <c r="H24" s="102"/>
      <c r="I24" s="102"/>
      <c r="J24" s="102"/>
      <c r="K24" s="102"/>
      <c r="L24" s="102"/>
      <c r="M24" s="102"/>
      <c r="N24" s="14"/>
      <c r="O24" s="630"/>
      <c r="P24" s="14"/>
      <c r="Q24" s="14"/>
      <c r="R24" s="14"/>
      <c r="S24" s="14"/>
      <c r="U24" s="14"/>
      <c r="X24" s="60"/>
      <c r="AB24" s="126"/>
      <c r="AC24" s="126"/>
      <c r="AD24" s="126"/>
      <c r="AE24" s="126"/>
      <c r="AF24" s="126"/>
      <c r="AG24" s="126"/>
      <c r="AH24" s="126"/>
      <c r="AI24" s="126"/>
      <c r="AJ24" s="126"/>
      <c r="AK24" s="60"/>
      <c r="AL24" s="60"/>
      <c r="AM24" s="60"/>
      <c r="AN24" s="60"/>
      <c r="AO24" s="126"/>
      <c r="AP24" s="126"/>
      <c r="AQ24" s="126"/>
      <c r="AR24" s="126"/>
      <c r="AS24" s="126"/>
      <c r="AT24" s="126"/>
      <c r="AU24" s="126"/>
      <c r="AV24" s="126"/>
      <c r="AW24" s="126"/>
      <c r="AX24" s="126"/>
      <c r="AY24" s="126"/>
      <c r="AZ24" s="126"/>
      <c r="BA24" s="126"/>
      <c r="BB24" s="126"/>
      <c r="BC24" s="126"/>
      <c r="BD24" s="126"/>
      <c r="BE24" s="126"/>
      <c r="BF24" s="126"/>
      <c r="BG24" s="126"/>
      <c r="BH24" s="126"/>
      <c r="BI24" s="126"/>
      <c r="BJ24" s="126"/>
      <c r="BK24" s="126"/>
      <c r="BL24" s="126"/>
      <c r="BM24" s="126"/>
      <c r="BN24" s="126"/>
      <c r="BO24" s="126"/>
      <c r="BP24" s="74"/>
      <c r="BQ24" s="74"/>
      <c r="BR24" s="74"/>
      <c r="BS24" s="74"/>
      <c r="BT24" s="74"/>
      <c r="BU24" s="74"/>
      <c r="BV24" s="74"/>
      <c r="BW24" s="74"/>
      <c r="BX24" s="74"/>
      <c r="BY24" s="74"/>
      <c r="BZ24" s="74"/>
      <c r="CA24" s="74"/>
      <c r="CB24" s="74"/>
      <c r="CC24" s="74"/>
      <c r="CD24" s="74"/>
      <c r="CE24" s="74"/>
      <c r="CF24" s="74"/>
      <c r="CG24" s="74"/>
      <c r="CH24" s="74"/>
      <c r="CI24" s="74"/>
      <c r="CJ24" s="41"/>
      <c r="CL24" s="55"/>
      <c r="CN24" s="37"/>
      <c r="CO24" s="74"/>
      <c r="CP24" s="74"/>
      <c r="CQ24" s="74"/>
      <c r="CR24" s="97"/>
      <c r="CS24" s="97"/>
      <c r="CT24" s="97"/>
      <c r="CU24" s="97"/>
      <c r="CV24" s="97"/>
      <c r="CW24" s="74"/>
      <c r="CX24" s="74"/>
      <c r="CY24" s="74"/>
      <c r="CZ24" s="74"/>
      <c r="DA24" s="74"/>
      <c r="DB24" s="74"/>
      <c r="DC24" s="74"/>
      <c r="DD24" s="74"/>
      <c r="DE24" s="74"/>
      <c r="DF24" s="74"/>
      <c r="DG24" s="74"/>
      <c r="DH24" s="74"/>
      <c r="DI24" s="74"/>
      <c r="DJ24" s="74"/>
      <c r="DK24" s="74"/>
      <c r="DL24" s="74"/>
      <c r="DM24" s="74"/>
      <c r="DN24" s="74"/>
      <c r="DO24" s="74"/>
      <c r="DP24" s="74"/>
      <c r="DQ24" s="74"/>
      <c r="DR24" s="74"/>
      <c r="DS24" s="74"/>
      <c r="DT24" s="74"/>
      <c r="DU24" s="74"/>
      <c r="DV24" s="74"/>
      <c r="DW24" s="74"/>
      <c r="DX24" s="74"/>
      <c r="DY24" s="74"/>
      <c r="DZ24" s="41"/>
      <c r="EE24" s="74"/>
      <c r="EF24" s="74"/>
      <c r="EG24" s="74"/>
      <c r="EM24" s="74"/>
      <c r="EN24" s="74"/>
      <c r="EO24" s="74"/>
      <c r="EP24" s="74"/>
      <c r="EQ24" s="74"/>
      <c r="ER24" s="74"/>
      <c r="ES24" s="74"/>
      <c r="ET24" s="74"/>
      <c r="EU24" s="74"/>
      <c r="EV24" s="74"/>
      <c r="EW24" s="74"/>
      <c r="EX24" s="74"/>
      <c r="EY24" s="74"/>
      <c r="EZ24" s="74"/>
      <c r="FA24" s="74"/>
      <c r="FB24" s="74"/>
      <c r="FC24" s="74"/>
      <c r="FD24" s="74"/>
      <c r="FE24" s="74"/>
      <c r="FF24" s="74"/>
      <c r="FG24" s="74"/>
      <c r="FH24" s="74"/>
      <c r="FI24" s="74"/>
      <c r="FJ24" s="74"/>
      <c r="FK24" s="74"/>
      <c r="FL24" s="74"/>
      <c r="FM24" s="74"/>
      <c r="FN24" s="74"/>
      <c r="FO24" s="74"/>
      <c r="FP24" s="74"/>
      <c r="FQ24" s="74"/>
      <c r="FR24" s="74"/>
      <c r="FS24" s="74"/>
      <c r="FV24" s="60"/>
      <c r="FY24" s="74"/>
      <c r="FZ24" s="60"/>
      <c r="GF24" s="74"/>
      <c r="GG24" s="74"/>
      <c r="GH24" s="74"/>
      <c r="GI24" s="74"/>
      <c r="GJ24" s="74"/>
      <c r="GK24" s="74"/>
      <c r="GL24" s="74"/>
      <c r="GM24" s="74"/>
      <c r="GN24" s="74"/>
      <c r="GO24" s="74"/>
      <c r="GP24" s="74"/>
      <c r="GQ24" s="74"/>
      <c r="GR24" s="74"/>
      <c r="GS24" s="74"/>
      <c r="GT24" s="74"/>
      <c r="GU24" s="74"/>
      <c r="GV24" s="74"/>
      <c r="GW24" s="74"/>
      <c r="GX24" s="74"/>
      <c r="GY24" s="123"/>
      <c r="GZ24" s="123"/>
      <c r="HA24" s="123"/>
      <c r="HB24" s="123"/>
      <c r="HC24" s="123"/>
      <c r="HD24" s="123"/>
      <c r="HE24" s="123"/>
      <c r="HF24" s="123"/>
      <c r="HG24" s="123"/>
      <c r="HH24" s="123"/>
      <c r="HI24" s="123"/>
      <c r="HJ24" s="123"/>
      <c r="HK24" s="123"/>
      <c r="HL24" s="123"/>
      <c r="HM24" s="123"/>
      <c r="HN24" s="123"/>
      <c r="HO24" s="123"/>
      <c r="HP24" s="60"/>
      <c r="HQ24" s="123"/>
      <c r="HR24" s="60"/>
      <c r="HS24" s="74"/>
      <c r="HT24" s="74"/>
      <c r="HU24" s="74"/>
      <c r="HV24" s="74"/>
      <c r="HW24" s="74"/>
      <c r="HX24" s="74"/>
      <c r="HY24" s="74"/>
      <c r="HZ24" s="74"/>
      <c r="IA24" s="74"/>
      <c r="IB24" s="74"/>
      <c r="IC24" s="74"/>
      <c r="ID24" s="74"/>
      <c r="IE24" s="74"/>
      <c r="IF24" s="74"/>
      <c r="IG24" s="74"/>
      <c r="IH24" s="74"/>
      <c r="II24" s="74"/>
      <c r="IJ24" s="74"/>
      <c r="IK24" s="74"/>
      <c r="IL24" s="74"/>
      <c r="IM24" s="74"/>
      <c r="IN24" s="74"/>
      <c r="IO24" s="431"/>
      <c r="IP24" s="431"/>
      <c r="IQ24" s="431"/>
      <c r="IR24" s="431"/>
      <c r="IS24" s="431"/>
      <c r="IT24" s="431"/>
      <c r="IU24" s="431"/>
      <c r="IV24" s="41"/>
      <c r="IW24" s="60"/>
      <c r="IX24" s="60"/>
      <c r="IY24" s="60"/>
      <c r="IZ24" s="60"/>
      <c r="JA24" s="60"/>
      <c r="JB24" s="60"/>
      <c r="JC24" s="60"/>
      <c r="JD24" s="60"/>
      <c r="JE24" s="60"/>
      <c r="JF24" s="60"/>
      <c r="JG24" s="60"/>
      <c r="JH24" s="60"/>
      <c r="JI24" s="60"/>
      <c r="JJ24" s="60"/>
      <c r="JK24" s="60"/>
      <c r="JL24" s="60"/>
      <c r="JM24" s="123"/>
      <c r="JN24" s="123"/>
      <c r="JO24" s="123"/>
      <c r="JP24" s="123"/>
      <c r="JQ24" s="60"/>
      <c r="JR24" s="60"/>
      <c r="JS24" s="60"/>
      <c r="JT24" s="60"/>
      <c r="JU24" s="60"/>
      <c r="JV24" s="60"/>
      <c r="JW24" s="60"/>
      <c r="JX24" s="60"/>
      <c r="JY24" s="60"/>
      <c r="JZ24" s="60"/>
      <c r="KA24" s="60"/>
      <c r="KB24" s="60"/>
      <c r="KC24" s="60"/>
      <c r="KD24" s="123"/>
      <c r="KE24" s="123"/>
      <c r="KF24" s="123"/>
      <c r="KG24" s="123"/>
      <c r="KH24" s="123"/>
      <c r="KI24" s="123"/>
      <c r="KJ24" s="123"/>
      <c r="KK24" s="123"/>
      <c r="KL24" s="123"/>
      <c r="KM24" s="123"/>
      <c r="KN24" s="123"/>
      <c r="KO24" s="123"/>
      <c r="KP24" s="123"/>
      <c r="KQ24" s="123"/>
      <c r="KR24" s="123"/>
      <c r="KS24" s="123"/>
      <c r="KT24" s="60"/>
      <c r="KU24" s="60"/>
      <c r="KV24" s="60"/>
      <c r="KW24" s="60"/>
      <c r="KX24" s="74"/>
      <c r="KY24" s="60"/>
      <c r="KZ24" s="60"/>
      <c r="LA24" s="60"/>
      <c r="LB24" s="60"/>
      <c r="LC24" s="74"/>
      <c r="LD24" s="74"/>
      <c r="LE24" s="74"/>
      <c r="LF24" s="74"/>
      <c r="LG24" s="74"/>
      <c r="LH24" s="74"/>
      <c r="LI24" s="74"/>
      <c r="LJ24" s="74"/>
      <c r="LK24" s="74"/>
      <c r="LL24" s="74"/>
      <c r="LM24" s="74"/>
      <c r="LN24" s="74"/>
      <c r="LO24" s="74"/>
      <c r="LP24" s="74"/>
      <c r="LQ24" s="74"/>
      <c r="LR24" s="74"/>
      <c r="LS24" s="74"/>
      <c r="LT24" s="74"/>
      <c r="LU24" s="74"/>
      <c r="LV24" s="74"/>
      <c r="LW24" s="74"/>
      <c r="LX24" s="60"/>
      <c r="LY24" s="60"/>
      <c r="LZ24" s="60"/>
      <c r="MA24" s="60"/>
      <c r="MB24" s="74"/>
      <c r="MC24" s="60"/>
      <c r="MD24" s="60"/>
      <c r="ME24" s="60"/>
      <c r="MF24" s="60"/>
      <c r="MG24" s="74"/>
      <c r="MH24" s="74"/>
      <c r="MI24" s="74"/>
      <c r="MJ24" s="74"/>
      <c r="MK24" s="74"/>
      <c r="ML24" s="74"/>
      <c r="MM24" s="74"/>
      <c r="MN24" s="74"/>
      <c r="MO24" s="74"/>
      <c r="MP24" s="74"/>
      <c r="MQ24" s="74"/>
      <c r="MR24" s="60"/>
      <c r="MS24" s="60"/>
      <c r="MT24" s="60"/>
      <c r="MU24" s="60"/>
      <c r="MV24" s="60"/>
      <c r="MW24" s="74"/>
      <c r="MX24" s="74"/>
      <c r="MY24" s="74"/>
      <c r="MZ24" s="74"/>
      <c r="NA24" s="74"/>
      <c r="NB24" s="74"/>
      <c r="NC24" s="74"/>
      <c r="ND24" s="74"/>
      <c r="NE24" s="74"/>
      <c r="NF24" s="74"/>
      <c r="NG24" s="74"/>
      <c r="NH24" s="74"/>
      <c r="NI24" s="74"/>
      <c r="NJ24" s="74"/>
      <c r="NK24" s="74"/>
      <c r="NL24" s="74"/>
      <c r="NM24" s="74"/>
      <c r="NN24" s="74"/>
      <c r="NO24" s="74"/>
      <c r="NP24" s="74"/>
      <c r="NQ24" s="74"/>
      <c r="NR24" s="60"/>
      <c r="NS24" s="60"/>
      <c r="RU24" s="97"/>
      <c r="RV24" s="97"/>
      <c r="RW24" s="97"/>
      <c r="RX24" s="97"/>
      <c r="RY24" s="97"/>
      <c r="RZ24" s="97"/>
    </row>
    <row r="25" spans="1:494" s="49" customFormat="1" x14ac:dyDescent="0.25">
      <c r="A25" s="50" t="s">
        <v>253</v>
      </c>
      <c r="B25" s="50"/>
      <c r="C25" s="50"/>
      <c r="D25" s="710"/>
      <c r="E25" s="575"/>
      <c r="F25" s="575"/>
      <c r="G25" s="575"/>
      <c r="H25" s="575"/>
      <c r="I25" s="575"/>
      <c r="J25" s="575"/>
      <c r="K25" s="575"/>
      <c r="L25" s="575"/>
      <c r="M25" s="575"/>
      <c r="N25" s="625">
        <f>'Crops; pasture DISCOUNTED'!V37</f>
        <v>418.87862000000001</v>
      </c>
      <c r="O25" s="634"/>
      <c r="P25" s="634">
        <f>SUM(P26:P30)</f>
        <v>336.494555353902</v>
      </c>
      <c r="Q25" s="711">
        <f t="shared" ref="Q25:Q30" si="5">P25/N25</f>
        <v>0.80332234515550593</v>
      </c>
      <c r="R25" s="50"/>
      <c r="S25" s="50"/>
      <c r="T25" s="634">
        <f>SUM(T26:T30)</f>
        <v>437.76754985722874</v>
      </c>
      <c r="U25" s="50"/>
      <c r="X25" s="123"/>
      <c r="AB25" s="550"/>
      <c r="AC25" s="550"/>
      <c r="AD25" s="550"/>
      <c r="AE25" s="550"/>
      <c r="AF25" s="550"/>
      <c r="AG25" s="550"/>
      <c r="AH25" s="550"/>
      <c r="AI25" s="550"/>
      <c r="AJ25" s="550"/>
      <c r="AK25" s="123"/>
      <c r="AL25" s="123"/>
      <c r="AM25" s="123"/>
      <c r="AN25" s="123"/>
      <c r="AO25" s="550"/>
      <c r="AP25" s="550"/>
      <c r="AQ25" s="550"/>
      <c r="AR25" s="550"/>
      <c r="AS25" s="550"/>
      <c r="AT25" s="550"/>
      <c r="AU25" s="550"/>
      <c r="AV25" s="550"/>
      <c r="AW25" s="550"/>
      <c r="AX25" s="550"/>
      <c r="AY25" s="550"/>
      <c r="AZ25" s="550"/>
      <c r="BA25" s="550"/>
      <c r="BB25" s="550"/>
      <c r="BC25" s="550"/>
      <c r="BD25" s="550"/>
      <c r="BE25" s="550"/>
      <c r="BF25" s="550"/>
      <c r="BG25" s="550"/>
      <c r="BH25" s="550"/>
      <c r="BI25" s="550"/>
      <c r="BJ25" s="550"/>
      <c r="BK25" s="550"/>
      <c r="BL25" s="550"/>
      <c r="BM25" s="550"/>
      <c r="BN25" s="550"/>
      <c r="BO25" s="550"/>
      <c r="BP25" s="133"/>
      <c r="BQ25" s="133"/>
      <c r="BR25" s="133"/>
      <c r="BS25" s="133"/>
      <c r="BT25" s="133"/>
      <c r="BU25" s="133"/>
      <c r="BV25" s="133"/>
      <c r="BW25" s="133"/>
      <c r="BX25" s="133"/>
      <c r="BY25" s="133"/>
      <c r="BZ25" s="133"/>
      <c r="CA25" s="133"/>
      <c r="CB25" s="133"/>
      <c r="CC25" s="133"/>
      <c r="CD25" s="133"/>
      <c r="CE25" s="133"/>
      <c r="CF25" s="133"/>
      <c r="CG25" s="133"/>
      <c r="CH25" s="133"/>
      <c r="CI25" s="133"/>
      <c r="CJ25" s="715"/>
      <c r="CL25" s="689"/>
      <c r="CN25" s="54"/>
      <c r="CO25" s="133"/>
      <c r="CP25" s="133"/>
      <c r="CQ25" s="133"/>
      <c r="CR25" s="149"/>
      <c r="CS25" s="149"/>
      <c r="CT25" s="149"/>
      <c r="CU25" s="149"/>
      <c r="CV25" s="149"/>
      <c r="CW25" s="133"/>
      <c r="CX25" s="133"/>
      <c r="CY25" s="133"/>
      <c r="CZ25" s="133"/>
      <c r="DA25" s="133"/>
      <c r="DB25" s="133"/>
      <c r="DC25" s="133"/>
      <c r="DD25" s="133"/>
      <c r="DE25" s="133"/>
      <c r="DF25" s="133"/>
      <c r="DG25" s="133"/>
      <c r="DH25" s="133"/>
      <c r="DI25" s="133"/>
      <c r="DJ25" s="133"/>
      <c r="DK25" s="133"/>
      <c r="DL25" s="133"/>
      <c r="DM25" s="133"/>
      <c r="DN25" s="133"/>
      <c r="DO25" s="133"/>
      <c r="DP25" s="133"/>
      <c r="DQ25" s="133"/>
      <c r="DR25" s="133"/>
      <c r="DS25" s="133"/>
      <c r="DT25" s="133"/>
      <c r="DU25" s="133"/>
      <c r="DV25" s="133"/>
      <c r="DW25" s="133"/>
      <c r="DX25" s="133"/>
      <c r="DY25" s="133"/>
      <c r="DZ25" s="715"/>
      <c r="EE25" s="133"/>
      <c r="EF25" s="133"/>
      <c r="EG25" s="133"/>
      <c r="EM25" s="133"/>
      <c r="EN25" s="133"/>
      <c r="EO25" s="133"/>
      <c r="EP25" s="133"/>
      <c r="EQ25" s="133"/>
      <c r="ER25" s="133"/>
      <c r="ES25" s="133"/>
      <c r="ET25" s="133"/>
      <c r="EU25" s="133"/>
      <c r="EV25" s="133"/>
      <c r="EW25" s="133"/>
      <c r="EX25" s="133"/>
      <c r="EY25" s="133"/>
      <c r="EZ25" s="133"/>
      <c r="FA25" s="133"/>
      <c r="FB25" s="133"/>
      <c r="FC25" s="133"/>
      <c r="FD25" s="133"/>
      <c r="FE25" s="133"/>
      <c r="FF25" s="133"/>
      <c r="FG25" s="133"/>
      <c r="FH25" s="133"/>
      <c r="FI25" s="133"/>
      <c r="FJ25" s="133"/>
      <c r="FK25" s="133"/>
      <c r="FL25" s="133"/>
      <c r="FM25" s="133"/>
      <c r="FN25" s="133"/>
      <c r="FO25" s="133"/>
      <c r="FP25" s="133"/>
      <c r="FQ25" s="133"/>
      <c r="FR25" s="133"/>
      <c r="FS25" s="133"/>
      <c r="FV25" s="123"/>
      <c r="FY25" s="133"/>
      <c r="FZ25" s="123"/>
      <c r="GF25" s="133"/>
      <c r="GG25" s="133"/>
      <c r="GH25" s="133"/>
      <c r="GI25" s="133"/>
      <c r="GJ25" s="133"/>
      <c r="GK25" s="133"/>
      <c r="GL25" s="133"/>
      <c r="GM25" s="133"/>
      <c r="GN25" s="133"/>
      <c r="GO25" s="133"/>
      <c r="GP25" s="133"/>
      <c r="GQ25" s="133"/>
      <c r="GR25" s="133"/>
      <c r="GS25" s="133"/>
      <c r="GT25" s="133"/>
      <c r="GU25" s="133"/>
      <c r="GV25" s="133"/>
      <c r="GW25" s="133"/>
      <c r="GX25" s="133"/>
      <c r="GY25" s="123"/>
      <c r="GZ25" s="123"/>
      <c r="HA25" s="123"/>
      <c r="HB25" s="123"/>
      <c r="HC25" s="123"/>
      <c r="HD25" s="123"/>
      <c r="HE25" s="123"/>
      <c r="HF25" s="123"/>
      <c r="HG25" s="123"/>
      <c r="HH25" s="123"/>
      <c r="HI25" s="123"/>
      <c r="HJ25" s="123"/>
      <c r="HK25" s="123"/>
      <c r="HL25" s="123"/>
      <c r="HM25" s="123"/>
      <c r="HN25" s="123"/>
      <c r="HO25" s="123"/>
      <c r="HP25" s="123"/>
      <c r="HQ25" s="123"/>
      <c r="HR25" s="123"/>
      <c r="HS25" s="133"/>
      <c r="HT25" s="133"/>
      <c r="HU25" s="133"/>
      <c r="HV25" s="133"/>
      <c r="HW25" s="133"/>
      <c r="HX25" s="133"/>
      <c r="HY25" s="133"/>
      <c r="HZ25" s="133"/>
      <c r="IA25" s="133"/>
      <c r="IB25" s="133"/>
      <c r="IC25" s="133"/>
      <c r="ID25" s="133"/>
      <c r="IE25" s="133"/>
      <c r="IF25" s="133"/>
      <c r="IG25" s="133"/>
      <c r="IH25" s="133"/>
      <c r="II25" s="133"/>
      <c r="IJ25" s="133"/>
      <c r="IK25" s="133"/>
      <c r="IL25" s="133"/>
      <c r="IM25" s="133"/>
      <c r="IN25" s="133"/>
      <c r="IO25" s="431"/>
      <c r="IP25" s="431"/>
      <c r="IQ25" s="431"/>
      <c r="IR25" s="431"/>
      <c r="IS25" s="431"/>
      <c r="IT25" s="431"/>
      <c r="IU25" s="431"/>
      <c r="IV25" s="715"/>
      <c r="IW25" s="123"/>
      <c r="IX25" s="123"/>
      <c r="IY25" s="123"/>
      <c r="IZ25" s="123"/>
      <c r="JA25" s="123"/>
      <c r="JB25" s="123"/>
      <c r="JC25" s="123"/>
      <c r="JD25" s="123"/>
      <c r="JE25" s="123"/>
      <c r="JF25" s="123"/>
      <c r="JG25" s="123"/>
      <c r="JH25" s="123"/>
      <c r="JI25" s="123"/>
      <c r="JJ25" s="123"/>
      <c r="JK25" s="123"/>
      <c r="JL25" s="123"/>
      <c r="JM25" s="123"/>
      <c r="JN25" s="123"/>
      <c r="JO25" s="123"/>
      <c r="JP25" s="123"/>
      <c r="JQ25" s="123"/>
      <c r="JR25" s="123"/>
      <c r="JS25" s="123"/>
      <c r="JT25" s="123"/>
      <c r="JU25" s="123"/>
      <c r="JV25" s="123"/>
      <c r="JW25" s="123"/>
      <c r="JX25" s="123"/>
      <c r="JY25" s="123"/>
      <c r="JZ25" s="123"/>
      <c r="KA25" s="123"/>
      <c r="KB25" s="123"/>
      <c r="KC25" s="123"/>
      <c r="KD25" s="123"/>
      <c r="KE25" s="123"/>
      <c r="KF25" s="123"/>
      <c r="KG25" s="123"/>
      <c r="KH25" s="123"/>
      <c r="KI25" s="123"/>
      <c r="KJ25" s="123"/>
      <c r="KK25" s="123"/>
      <c r="KL25" s="123"/>
      <c r="KM25" s="123"/>
      <c r="KN25" s="123"/>
      <c r="KO25" s="123"/>
      <c r="KP25" s="123"/>
      <c r="KQ25" s="123"/>
      <c r="KR25" s="123"/>
      <c r="KS25" s="123"/>
      <c r="KT25" s="123"/>
      <c r="KU25" s="123"/>
      <c r="KV25" s="123"/>
      <c r="KW25" s="123"/>
      <c r="KX25" s="133"/>
      <c r="KY25" s="123"/>
      <c r="KZ25" s="123"/>
      <c r="LA25" s="123"/>
      <c r="LB25" s="123"/>
      <c r="LC25" s="133"/>
      <c r="LD25" s="133"/>
      <c r="LE25" s="133"/>
      <c r="LF25" s="133"/>
      <c r="LG25" s="133"/>
      <c r="LH25" s="133"/>
      <c r="LI25" s="133"/>
      <c r="LJ25" s="133"/>
      <c r="LK25" s="133"/>
      <c r="LL25" s="133"/>
      <c r="LM25" s="133"/>
      <c r="LN25" s="133"/>
      <c r="LO25" s="133"/>
      <c r="LP25" s="133"/>
      <c r="LQ25" s="133"/>
      <c r="LR25" s="133"/>
      <c r="LS25" s="133"/>
      <c r="LT25" s="133"/>
      <c r="LU25" s="133"/>
      <c r="LV25" s="133"/>
      <c r="LW25" s="133"/>
      <c r="LX25" s="123"/>
      <c r="LY25" s="123"/>
      <c r="LZ25" s="123"/>
      <c r="MA25" s="123"/>
      <c r="MB25" s="133"/>
      <c r="MC25" s="123"/>
      <c r="MD25" s="123"/>
      <c r="ME25" s="123"/>
      <c r="MF25" s="123"/>
      <c r="MG25" s="133"/>
      <c r="MH25" s="133"/>
      <c r="MI25" s="133"/>
      <c r="MJ25" s="133"/>
      <c r="MK25" s="133"/>
      <c r="ML25" s="133"/>
      <c r="MM25" s="133"/>
      <c r="MN25" s="133"/>
      <c r="MO25" s="133"/>
      <c r="MP25" s="133"/>
      <c r="MQ25" s="133"/>
      <c r="MR25" s="123"/>
      <c r="MS25" s="123"/>
      <c r="MT25" s="123"/>
      <c r="MU25" s="123"/>
      <c r="MV25" s="123"/>
      <c r="MW25" s="133"/>
      <c r="MX25" s="133"/>
      <c r="MY25" s="133"/>
      <c r="MZ25" s="133"/>
      <c r="NA25" s="133"/>
      <c r="NB25" s="133"/>
      <c r="NC25" s="133"/>
      <c r="ND25" s="133"/>
      <c r="NE25" s="133"/>
      <c r="NF25" s="133"/>
      <c r="NG25" s="133"/>
      <c r="NH25" s="133"/>
      <c r="NI25" s="133"/>
      <c r="NJ25" s="133"/>
      <c r="NK25" s="133"/>
      <c r="NL25" s="133"/>
      <c r="NM25" s="133"/>
      <c r="NN25" s="133"/>
      <c r="NO25" s="133"/>
      <c r="NP25" s="133"/>
      <c r="NQ25" s="133"/>
      <c r="NR25" s="123"/>
      <c r="NS25" s="123"/>
      <c r="RU25" s="149"/>
      <c r="RV25" s="149"/>
      <c r="RW25" s="149"/>
      <c r="RX25" s="149"/>
      <c r="RY25" s="149"/>
      <c r="RZ25" s="149"/>
    </row>
    <row r="26" spans="1:494" s="4" customFormat="1" x14ac:dyDescent="0.25">
      <c r="A26" s="14" t="s">
        <v>77</v>
      </c>
      <c r="B26" s="14"/>
      <c r="C26" s="14"/>
      <c r="D26" s="708"/>
      <c r="E26" s="102"/>
      <c r="F26" s="102"/>
      <c r="G26" s="102"/>
      <c r="H26" s="102"/>
      <c r="I26" s="102"/>
      <c r="J26" s="102"/>
      <c r="K26" s="102"/>
      <c r="L26" s="102"/>
      <c r="M26" s="102"/>
      <c r="N26" s="628">
        <f>'Crops; pasture DISCOUNTED'!V38</f>
        <v>194.63989999999998</v>
      </c>
      <c r="O26" s="67">
        <f t="shared" ref="O26:P30" si="6">R26+T26</f>
        <v>187.91208791208791</v>
      </c>
      <c r="P26" s="67">
        <f t="shared" si="6"/>
        <v>171</v>
      </c>
      <c r="Q26" s="627">
        <f t="shared" si="5"/>
        <v>0.87854545753465763</v>
      </c>
      <c r="R26" s="627"/>
      <c r="S26" s="627"/>
      <c r="T26" s="630">
        <f>U26/NT26</f>
        <v>187.91208791208791</v>
      </c>
      <c r="U26" s="14">
        <f>W79/C79</f>
        <v>171</v>
      </c>
      <c r="X26" s="60"/>
      <c r="AB26" s="126">
        <f>'Crops; pasture DISCOUNTED'!R38</f>
        <v>4.593097304304</v>
      </c>
      <c r="AC26" s="126">
        <f>'Crops; pasture DISCOUNTED'!S38</f>
        <v>4.6172315079878103</v>
      </c>
      <c r="AD26" s="126">
        <f>'Crops; pasture DISCOUNTED'!T38</f>
        <v>4.1625041625041623</v>
      </c>
      <c r="AE26" s="126"/>
      <c r="AF26" s="126"/>
      <c r="AG26" s="126"/>
      <c r="AH26" s="126"/>
      <c r="AI26" s="126"/>
      <c r="AJ26" s="126"/>
      <c r="AK26" s="60"/>
      <c r="AL26" s="60"/>
      <c r="AM26" s="60"/>
      <c r="AN26" s="60"/>
      <c r="AO26" s="126"/>
      <c r="AP26" s="126"/>
      <c r="AQ26" s="126"/>
      <c r="AR26" s="126"/>
      <c r="AS26" s="126"/>
      <c r="AT26" s="126"/>
      <c r="AU26" s="126"/>
      <c r="AV26" s="126"/>
      <c r="AW26" s="126"/>
      <c r="AX26" s="126"/>
      <c r="AY26" s="126"/>
      <c r="AZ26" s="126"/>
      <c r="BA26" s="126"/>
      <c r="BB26" s="126"/>
      <c r="BC26" s="126"/>
      <c r="BD26" s="126"/>
      <c r="BE26" s="126"/>
      <c r="BF26" s="126"/>
      <c r="BG26" s="126"/>
      <c r="BH26" s="126"/>
      <c r="BI26" s="126"/>
      <c r="BJ26" s="126"/>
      <c r="BK26" s="126"/>
      <c r="BL26" s="126"/>
      <c r="BM26" s="126"/>
      <c r="BN26" s="126"/>
      <c r="BO26" s="126"/>
      <c r="BP26" s="126">
        <f>'Crops; pasture DISCOUNTED'!HG38</f>
        <v>1.7045153723483117</v>
      </c>
      <c r="BQ26" s="126">
        <f>'Crops; pasture DISCOUNTED'!HK38</f>
        <v>1.7207796879425616</v>
      </c>
      <c r="BR26" s="126">
        <f>'Crops; pasture DISCOUNTED'!HO38</f>
        <v>1.4143337345903708</v>
      </c>
      <c r="BS26" s="126">
        <f>'Crops; pasture DISCOUNTED'!HS38</f>
        <v>1.5884842400818155</v>
      </c>
      <c r="BT26" s="126">
        <f>'Crops; pasture DISCOUNTED'!HW38</f>
        <v>1.6053610995675243</v>
      </c>
      <c r="BU26" s="126">
        <f>'Crops; pasture DISCOUNTED'!I38</f>
        <v>2.1657999999999999</v>
      </c>
      <c r="BV26" s="126"/>
      <c r="BW26" s="126"/>
      <c r="BX26" s="126"/>
      <c r="BY26" s="126"/>
      <c r="BZ26" s="126"/>
      <c r="CA26" s="126"/>
      <c r="CB26" s="126"/>
      <c r="CC26" s="126"/>
      <c r="CD26" s="126"/>
      <c r="CE26" s="126"/>
      <c r="CF26" s="126"/>
      <c r="CG26" s="126"/>
      <c r="CH26" s="126"/>
      <c r="CI26" s="126"/>
      <c r="CJ26" s="41"/>
      <c r="CL26" s="714"/>
      <c r="CM26" s="32"/>
      <c r="CN26" s="67"/>
      <c r="CO26" s="68"/>
      <c r="CP26" s="68"/>
      <c r="CQ26" s="68"/>
      <c r="CR26" s="97"/>
      <c r="CS26" s="97"/>
      <c r="CT26" s="97"/>
      <c r="CU26" s="97"/>
      <c r="CV26" s="97"/>
      <c r="CW26" s="68"/>
      <c r="CX26" s="68"/>
      <c r="CY26" s="68"/>
      <c r="CZ26" s="68"/>
      <c r="DA26" s="68"/>
      <c r="DB26" s="68"/>
      <c r="DC26" s="68"/>
      <c r="DD26" s="68"/>
      <c r="DE26" s="68"/>
      <c r="DF26" s="68"/>
      <c r="DG26" s="68"/>
      <c r="DH26" s="68"/>
      <c r="DI26" s="68"/>
      <c r="DJ26" s="68"/>
      <c r="DK26" s="68"/>
      <c r="DL26" s="68"/>
      <c r="DM26" s="68"/>
      <c r="DN26" s="68"/>
      <c r="DO26" s="68"/>
      <c r="DP26" s="68"/>
      <c r="DQ26" s="68"/>
      <c r="DR26" s="68"/>
      <c r="DS26" s="68"/>
      <c r="DT26" s="68"/>
      <c r="DU26" s="68"/>
      <c r="DV26" s="68"/>
      <c r="DW26" s="68"/>
      <c r="DX26" s="68"/>
      <c r="DY26" s="68"/>
      <c r="DZ26" s="41"/>
      <c r="EE26" s="68"/>
      <c r="EF26" s="68"/>
      <c r="EG26" s="68"/>
      <c r="EM26" s="68"/>
      <c r="EN26" s="68"/>
      <c r="EO26" s="68"/>
      <c r="EP26" s="68"/>
      <c r="EQ26" s="68"/>
      <c r="ER26" s="68"/>
      <c r="ES26" s="68"/>
      <c r="ET26" s="68"/>
      <c r="EU26" s="68"/>
      <c r="EV26" s="68"/>
      <c r="EW26" s="68"/>
      <c r="EX26" s="68"/>
      <c r="EY26" s="68"/>
      <c r="EZ26" s="68"/>
      <c r="FA26" s="68"/>
      <c r="FB26" s="126">
        <f>'Crops; pasture DISCOUNTED'!IE38</f>
        <v>3.1843779204572136</v>
      </c>
      <c r="FC26" s="126">
        <f>'Crops; pasture DISCOUNTED'!IH38</f>
        <v>3.2182103610675039</v>
      </c>
      <c r="FD26" s="126">
        <f>'Crops; pasture DISCOUNTED'!IK38</f>
        <v>2.5807525807525806</v>
      </c>
      <c r="FE26" s="126"/>
      <c r="FF26" s="126"/>
      <c r="FG26" s="126"/>
      <c r="FH26" s="126"/>
      <c r="FI26" s="126"/>
      <c r="FJ26" s="126"/>
      <c r="FK26" s="126"/>
      <c r="FL26" s="126"/>
      <c r="FM26" s="126"/>
      <c r="FN26" s="126"/>
      <c r="FO26" s="126"/>
      <c r="FP26" s="126"/>
      <c r="FQ26" s="126"/>
      <c r="FR26" s="126"/>
      <c r="FS26" s="126"/>
      <c r="FV26" s="60"/>
      <c r="FY26" s="68"/>
      <c r="FZ26" s="60"/>
      <c r="GF26" s="68"/>
      <c r="GG26" s="126"/>
      <c r="GH26" s="126"/>
      <c r="GI26" s="126"/>
      <c r="GJ26" s="126"/>
      <c r="GK26" s="126"/>
      <c r="GL26" s="126"/>
      <c r="GM26" s="126"/>
      <c r="GN26" s="126"/>
      <c r="GO26" s="126"/>
      <c r="GP26" s="126"/>
      <c r="GQ26" s="126"/>
      <c r="GR26" s="126"/>
      <c r="GS26" s="126"/>
      <c r="GT26" s="126"/>
      <c r="GU26" s="126">
        <f>'Crops; pasture DISCOUNTED'!IR38</f>
        <v>0.18231504820092898</v>
      </c>
      <c r="GV26" s="126">
        <f>'Crops; pasture DISCOUNTED'!IW38</f>
        <v>0.18069602421276199</v>
      </c>
      <c r="GW26" s="126">
        <f>'Crops; pasture DISCOUNTED'!JD38</f>
        <v>0.21120104895104894</v>
      </c>
      <c r="GX26" s="126"/>
      <c r="GY26" s="123"/>
      <c r="GZ26" s="123"/>
      <c r="HA26" s="123"/>
      <c r="HB26" s="123"/>
      <c r="HC26" s="123"/>
      <c r="HD26" s="123"/>
      <c r="HE26" s="123"/>
      <c r="HF26" s="123"/>
      <c r="HG26" s="123"/>
      <c r="HH26" s="123"/>
      <c r="HI26" s="123"/>
      <c r="HJ26" s="123"/>
      <c r="HK26" s="123"/>
      <c r="HL26" s="123"/>
      <c r="HM26" s="123"/>
      <c r="HN26" s="123"/>
      <c r="HO26" s="123"/>
      <c r="HP26" s="60"/>
      <c r="HQ26" s="123"/>
      <c r="HR26" s="60"/>
      <c r="HS26" s="68"/>
      <c r="HT26" s="68"/>
      <c r="HU26" s="68"/>
      <c r="HV26" s="68"/>
      <c r="HW26" s="68"/>
      <c r="HX26" s="68"/>
      <c r="HY26" s="68"/>
      <c r="HZ26" s="68"/>
      <c r="IA26" s="68"/>
      <c r="IB26" s="68"/>
      <c r="IC26" s="68"/>
      <c r="ID26" s="68"/>
      <c r="IE26" s="68"/>
      <c r="IF26" s="68"/>
      <c r="IG26" s="68"/>
      <c r="IH26" s="68"/>
      <c r="II26" s="68"/>
      <c r="IJ26" s="68"/>
      <c r="IK26" s="68"/>
      <c r="IL26" s="68"/>
      <c r="IM26" s="68"/>
      <c r="IN26" s="68"/>
      <c r="IO26" s="431"/>
      <c r="IP26" s="431"/>
      <c r="IQ26" s="431"/>
      <c r="IR26" s="431"/>
      <c r="IS26" s="431"/>
      <c r="IT26" s="431"/>
      <c r="IU26" s="431"/>
      <c r="IV26" s="41"/>
      <c r="IW26" s="60"/>
      <c r="IX26" s="60"/>
      <c r="IY26" s="60"/>
      <c r="IZ26" s="60"/>
      <c r="JA26" s="60"/>
      <c r="JB26" s="60"/>
      <c r="JC26" s="60"/>
      <c r="JD26" s="60"/>
      <c r="JE26" s="60"/>
      <c r="JF26" s="60"/>
      <c r="JG26" s="60"/>
      <c r="JH26" s="60"/>
      <c r="JI26" s="60"/>
      <c r="JJ26" s="60"/>
      <c r="JK26" s="60"/>
      <c r="JL26" s="60"/>
      <c r="JM26" s="123"/>
      <c r="JN26" s="123"/>
      <c r="JO26" s="123"/>
      <c r="JP26" s="123"/>
      <c r="JQ26" s="60"/>
      <c r="JR26" s="60"/>
      <c r="JS26" s="60"/>
      <c r="JT26" s="60"/>
      <c r="JU26" s="60"/>
      <c r="JV26" s="60"/>
      <c r="JW26" s="60"/>
      <c r="JX26" s="60"/>
      <c r="JY26" s="60"/>
      <c r="JZ26" s="60"/>
      <c r="KA26" s="60"/>
      <c r="KB26" s="60"/>
      <c r="KC26" s="60"/>
      <c r="KD26" s="123"/>
      <c r="KE26" s="123"/>
      <c r="KF26" s="123"/>
      <c r="KG26" s="123"/>
      <c r="KH26" s="123"/>
      <c r="KI26" s="123"/>
      <c r="KJ26" s="123"/>
      <c r="KK26" s="123"/>
      <c r="KL26" s="123"/>
      <c r="KM26" s="123"/>
      <c r="KN26" s="123"/>
      <c r="KO26" s="123"/>
      <c r="KP26" s="123"/>
      <c r="KQ26" s="123"/>
      <c r="KR26" s="123"/>
      <c r="KS26" s="123"/>
      <c r="KT26" s="60"/>
      <c r="KU26" s="60"/>
      <c r="KV26" s="60"/>
      <c r="KW26" s="60"/>
      <c r="KX26" s="68"/>
      <c r="KY26" s="60"/>
      <c r="KZ26" s="60"/>
      <c r="LA26" s="60"/>
      <c r="LB26" s="60"/>
      <c r="LC26" s="68"/>
      <c r="LD26" s="68"/>
      <c r="LE26" s="68"/>
      <c r="LF26" s="68"/>
      <c r="LG26" s="68"/>
      <c r="LH26" s="68"/>
      <c r="LI26" s="68"/>
      <c r="LJ26" s="68"/>
      <c r="LK26" s="68"/>
      <c r="LL26" s="68"/>
      <c r="LM26" s="68"/>
      <c r="LN26" s="68"/>
      <c r="LO26" s="68"/>
      <c r="LP26" s="68"/>
      <c r="LQ26" s="68"/>
      <c r="LR26" s="68"/>
      <c r="LS26" s="68"/>
      <c r="LT26" s="68"/>
      <c r="LU26" s="68"/>
      <c r="LV26" s="68"/>
      <c r="LW26" s="68"/>
      <c r="LX26" s="60"/>
      <c r="LY26" s="60"/>
      <c r="LZ26" s="60"/>
      <c r="MA26" s="60"/>
      <c r="MB26" s="68"/>
      <c r="MC26" s="60"/>
      <c r="MD26" s="60"/>
      <c r="ME26" s="60"/>
      <c r="MF26" s="60"/>
      <c r="MG26" s="68"/>
      <c r="MH26" s="68"/>
      <c r="MI26" s="68"/>
      <c r="MJ26" s="68"/>
      <c r="MK26" s="68"/>
      <c r="ML26" s="68"/>
      <c r="MM26" s="68"/>
      <c r="MN26" s="68"/>
      <c r="MO26" s="68"/>
      <c r="MP26" s="68"/>
      <c r="MQ26" s="68"/>
      <c r="MR26" s="60"/>
      <c r="MS26" s="60"/>
      <c r="MT26" s="60"/>
      <c r="MU26" s="60"/>
      <c r="MV26" s="60"/>
      <c r="MW26" s="68"/>
      <c r="MX26" s="68"/>
      <c r="MY26" s="68"/>
      <c r="MZ26" s="68"/>
      <c r="NA26" s="68"/>
      <c r="NB26" s="68"/>
      <c r="NC26" s="68"/>
      <c r="ND26" s="68"/>
      <c r="NE26" s="68"/>
      <c r="NF26" s="68"/>
      <c r="NG26" s="68"/>
      <c r="NH26" s="68"/>
      <c r="NI26" s="68"/>
      <c r="NJ26" s="68"/>
      <c r="NK26" s="68"/>
      <c r="NL26" s="68"/>
      <c r="NM26" s="68"/>
      <c r="NN26" s="68"/>
      <c r="NO26" s="68"/>
      <c r="NP26" s="68"/>
      <c r="NQ26" s="68"/>
      <c r="NR26" s="60"/>
      <c r="NS26" s="60"/>
      <c r="NT26" s="631">
        <f>'Crops; pasture DISCOUNTED'!LI38</f>
        <v>0.91</v>
      </c>
      <c r="NU26" s="631"/>
      <c r="NV26" s="41">
        <f>'Crops; pasture DISCOUNTED'!LJ38</f>
        <v>21.385000000000002</v>
      </c>
      <c r="NW26" s="41">
        <f>'Crops; pasture DISCOUNTED'!LK38</f>
        <v>23.5</v>
      </c>
      <c r="NX26" s="41"/>
      <c r="NY26" s="41"/>
      <c r="NZ26" s="41"/>
      <c r="OA26" s="41">
        <f>'Crops; pasture DISCOUNTED'!LL38</f>
        <v>17.29</v>
      </c>
      <c r="OB26" s="41">
        <f>'Crops; pasture DISCOUNTED'!LM38</f>
        <v>19</v>
      </c>
      <c r="OC26" s="631">
        <f>'Crops; pasture DISCOUNTED'!LN38</f>
        <v>0.36400000000000005</v>
      </c>
      <c r="OD26" s="631">
        <f>'Crops; pasture DISCOUNTED'!LO38</f>
        <v>0.4</v>
      </c>
      <c r="OE26" s="631">
        <f>'Crops; pasture DISCOUNTED'!LP38</f>
        <v>0.19109999999999999</v>
      </c>
      <c r="OF26" s="631">
        <f>'Crops; pasture DISCOUNTED'!LQ38</f>
        <v>0.21</v>
      </c>
      <c r="RU26" s="97"/>
      <c r="RV26" s="97"/>
      <c r="RW26" s="97"/>
      <c r="RX26" s="97"/>
      <c r="RY26" s="97"/>
      <c r="RZ26" s="97"/>
    </row>
    <row r="27" spans="1:494" s="4" customFormat="1" x14ac:dyDescent="0.25">
      <c r="A27" s="14" t="s">
        <v>134</v>
      </c>
      <c r="B27" s="14"/>
      <c r="C27" s="14"/>
      <c r="D27" s="708"/>
      <c r="E27" s="102"/>
      <c r="F27" s="102"/>
      <c r="G27" s="102"/>
      <c r="H27" s="102"/>
      <c r="I27" s="102"/>
      <c r="J27" s="102"/>
      <c r="K27" s="102"/>
      <c r="L27" s="102"/>
      <c r="M27" s="102"/>
      <c r="N27" s="628">
        <f>'Crops; pasture DISCOUNTED'!V39</f>
        <v>93.381600000000006</v>
      </c>
      <c r="O27" s="67">
        <f t="shared" si="6"/>
        <v>160.93117408906883</v>
      </c>
      <c r="P27" s="67">
        <f t="shared" si="6"/>
        <v>83.684210526315795</v>
      </c>
      <c r="Q27" s="627">
        <f t="shared" si="5"/>
        <v>0.89615310217768585</v>
      </c>
      <c r="R27" s="14"/>
      <c r="S27" s="14"/>
      <c r="T27" s="630">
        <f>U27/NT27</f>
        <v>160.93117408906883</v>
      </c>
      <c r="U27" s="630">
        <f>W83/C83</f>
        <v>83.684210526315795</v>
      </c>
      <c r="X27" s="60"/>
      <c r="AB27" s="126">
        <f>'Crops; pasture DISCOUNTED'!R39</f>
        <v>1.3171759747102214</v>
      </c>
      <c r="AC27" s="126">
        <f>'Crops; pasture DISCOUNTED'!S39</f>
        <v>1.3171759747102214</v>
      </c>
      <c r="AD27" s="126">
        <f>'Crops; pasture DISCOUNTED'!T39</f>
        <v>1.6869095816464235</v>
      </c>
      <c r="AE27" s="126"/>
      <c r="AF27" s="126"/>
      <c r="AG27" s="126"/>
      <c r="AH27" s="126"/>
      <c r="AI27" s="126"/>
      <c r="AJ27" s="126"/>
      <c r="AK27" s="60"/>
      <c r="AL27" s="60"/>
      <c r="AM27" s="60"/>
      <c r="AN27" s="60"/>
      <c r="AO27" s="126"/>
      <c r="AP27" s="126"/>
      <c r="AQ27" s="126"/>
      <c r="AR27" s="126"/>
      <c r="AS27" s="126"/>
      <c r="AT27" s="126"/>
      <c r="AU27" s="126"/>
      <c r="AV27" s="126"/>
      <c r="AW27" s="126"/>
      <c r="AX27" s="126"/>
      <c r="AY27" s="126"/>
      <c r="AZ27" s="126"/>
      <c r="BA27" s="126"/>
      <c r="BB27" s="126"/>
      <c r="BC27" s="126"/>
      <c r="BD27" s="126"/>
      <c r="BE27" s="126"/>
      <c r="BF27" s="126"/>
      <c r="BG27" s="126"/>
      <c r="BH27" s="126"/>
      <c r="BI27" s="126"/>
      <c r="BJ27" s="126"/>
      <c r="BK27" s="126"/>
      <c r="BL27" s="126"/>
      <c r="BM27" s="126"/>
      <c r="BN27" s="126"/>
      <c r="BO27" s="126"/>
      <c r="BP27" s="126">
        <f>'Crops; pasture DISCOUNTED'!HG39</f>
        <v>0.85914479232852958</v>
      </c>
      <c r="BQ27" s="126">
        <f>'Crops; pasture DISCOUNTED'!HK39</f>
        <v>0.85914479232852958</v>
      </c>
      <c r="BR27" s="126">
        <f>'Crops; pasture DISCOUNTED'!HO39</f>
        <v>0.38840658104611264</v>
      </c>
      <c r="BS27" s="126">
        <f>'Crops; pasture DISCOUNTED'!HS39</f>
        <v>0.67019669024711714</v>
      </c>
      <c r="BT27" s="126">
        <f>'Crops; pasture DISCOUNTED'!HW39</f>
        <v>0.67019669024711714</v>
      </c>
      <c r="BU27" s="126">
        <f>'Crops; pasture DISCOUNTED'!I39</f>
        <v>7.5919999999999996</v>
      </c>
      <c r="BV27" s="126"/>
      <c r="BW27" s="126"/>
      <c r="BX27" s="126"/>
      <c r="BY27" s="126"/>
      <c r="BZ27" s="126"/>
      <c r="CA27" s="126"/>
      <c r="CB27" s="126"/>
      <c r="CC27" s="126"/>
      <c r="CD27" s="126"/>
      <c r="CE27" s="126"/>
      <c r="CF27" s="126"/>
      <c r="CG27" s="126"/>
      <c r="CH27" s="126"/>
      <c r="CI27" s="126"/>
      <c r="CJ27" s="41"/>
      <c r="CL27" s="714"/>
      <c r="CM27" s="32"/>
      <c r="CN27" s="67"/>
      <c r="CO27" s="68"/>
      <c r="CP27" s="68"/>
      <c r="CQ27" s="68"/>
      <c r="CR27" s="97"/>
      <c r="CS27" s="97"/>
      <c r="CT27" s="97"/>
      <c r="CU27" s="97"/>
      <c r="CV27" s="97"/>
      <c r="CW27" s="68"/>
      <c r="CX27" s="68"/>
      <c r="CY27" s="68"/>
      <c r="CZ27" s="68"/>
      <c r="DA27" s="68"/>
      <c r="DB27" s="68"/>
      <c r="DC27" s="68"/>
      <c r="DD27" s="68"/>
      <c r="DE27" s="68"/>
      <c r="DF27" s="68"/>
      <c r="DG27" s="68"/>
      <c r="DH27" s="68"/>
      <c r="DI27" s="68"/>
      <c r="DJ27" s="68"/>
      <c r="DK27" s="68"/>
      <c r="DL27" s="68"/>
      <c r="DM27" s="68"/>
      <c r="DN27" s="68"/>
      <c r="DO27" s="68"/>
      <c r="DP27" s="68"/>
      <c r="DQ27" s="68"/>
      <c r="DR27" s="68"/>
      <c r="DS27" s="68"/>
      <c r="DT27" s="68"/>
      <c r="DU27" s="68"/>
      <c r="DV27" s="68"/>
      <c r="DW27" s="68"/>
      <c r="DX27" s="68"/>
      <c r="DY27" s="68"/>
      <c r="DZ27" s="41"/>
      <c r="EE27" s="68"/>
      <c r="EF27" s="68"/>
      <c r="EG27" s="68"/>
      <c r="EM27" s="68"/>
      <c r="EN27" s="68"/>
      <c r="EO27" s="68"/>
      <c r="EP27" s="68"/>
      <c r="EQ27" s="68"/>
      <c r="ER27" s="68"/>
      <c r="ES27" s="68"/>
      <c r="ET27" s="68"/>
      <c r="EU27" s="68"/>
      <c r="EV27" s="68"/>
      <c r="EW27" s="68"/>
      <c r="EX27" s="68"/>
      <c r="EY27" s="68"/>
      <c r="EZ27" s="68"/>
      <c r="FA27" s="68"/>
      <c r="FB27" s="126">
        <f>'Crops; pasture DISCOUNTED'!IE39</f>
        <v>1.3435194942044257</v>
      </c>
      <c r="FC27" s="126">
        <f>'Crops; pasture DISCOUNTED'!IH39</f>
        <v>1.3435194942044257</v>
      </c>
      <c r="FD27" s="126">
        <f>'Crops; pasture DISCOUNTED'!IK39</f>
        <v>1.3157894736842104</v>
      </c>
      <c r="FE27" s="126"/>
      <c r="FF27" s="126"/>
      <c r="FG27" s="126"/>
      <c r="FH27" s="126"/>
      <c r="FI27" s="126"/>
      <c r="FJ27" s="126"/>
      <c r="FK27" s="126"/>
      <c r="FL27" s="126"/>
      <c r="FM27" s="126"/>
      <c r="FN27" s="126"/>
      <c r="FO27" s="126"/>
      <c r="FP27" s="126"/>
      <c r="FQ27" s="126"/>
      <c r="FR27" s="126"/>
      <c r="FS27" s="126"/>
      <c r="FV27" s="60"/>
      <c r="FY27" s="68"/>
      <c r="FZ27" s="60"/>
      <c r="GF27" s="68"/>
      <c r="GG27" s="126"/>
      <c r="GH27" s="126"/>
      <c r="GI27" s="126"/>
      <c r="GJ27" s="126"/>
      <c r="GK27" s="126"/>
      <c r="GL27" s="126"/>
      <c r="GM27" s="126"/>
      <c r="GN27" s="126"/>
      <c r="GO27" s="126"/>
      <c r="GP27" s="126"/>
      <c r="GQ27" s="126"/>
      <c r="GR27" s="126"/>
      <c r="GS27" s="126"/>
      <c r="GT27" s="126"/>
      <c r="GU27" s="126">
        <f>'Crops; pasture DISCOUNTED'!IR39</f>
        <v>1.029674731296101</v>
      </c>
      <c r="GV27" s="126">
        <f>'Crops; pasture DISCOUNTED'!IW39</f>
        <v>1.029674731296101</v>
      </c>
      <c r="GW27" s="126">
        <f>'Crops; pasture DISCOUNTED'!JD39</f>
        <v>0</v>
      </c>
      <c r="GX27" s="126"/>
      <c r="GY27" s="123"/>
      <c r="GZ27" s="123"/>
      <c r="HA27" s="123"/>
      <c r="HB27" s="123"/>
      <c r="HC27" s="123"/>
      <c r="HD27" s="123"/>
      <c r="HE27" s="123"/>
      <c r="HF27" s="123"/>
      <c r="HG27" s="123"/>
      <c r="HH27" s="123"/>
      <c r="HI27" s="123"/>
      <c r="HJ27" s="123"/>
      <c r="HK27" s="123"/>
      <c r="HL27" s="123"/>
      <c r="HM27" s="123"/>
      <c r="HN27" s="123"/>
      <c r="HO27" s="123"/>
      <c r="HP27" s="60"/>
      <c r="HQ27" s="123"/>
      <c r="HR27" s="60"/>
      <c r="HS27" s="68"/>
      <c r="HT27" s="68"/>
      <c r="HU27" s="68"/>
      <c r="HV27" s="68"/>
      <c r="HW27" s="68"/>
      <c r="HX27" s="68"/>
      <c r="HY27" s="68"/>
      <c r="HZ27" s="68"/>
      <c r="IA27" s="68"/>
      <c r="IB27" s="68"/>
      <c r="IC27" s="68"/>
      <c r="ID27" s="68"/>
      <c r="IE27" s="68"/>
      <c r="IF27" s="68"/>
      <c r="IG27" s="68"/>
      <c r="IH27" s="68"/>
      <c r="II27" s="68"/>
      <c r="IJ27" s="68"/>
      <c r="IK27" s="68"/>
      <c r="IL27" s="68"/>
      <c r="IM27" s="68"/>
      <c r="IN27" s="68"/>
      <c r="IO27" s="97"/>
      <c r="IP27" s="97"/>
      <c r="IQ27" s="97"/>
      <c r="IR27" s="97"/>
      <c r="IS27" s="97"/>
      <c r="IT27" s="97"/>
      <c r="IU27" s="97"/>
      <c r="IV27" s="41"/>
      <c r="IW27" s="60"/>
      <c r="IX27" s="60"/>
      <c r="IY27" s="60"/>
      <c r="IZ27" s="60"/>
      <c r="JA27" s="60"/>
      <c r="JB27" s="60"/>
      <c r="JC27" s="60"/>
      <c r="JD27" s="60"/>
      <c r="JE27" s="60"/>
      <c r="JF27" s="60"/>
      <c r="JG27" s="60"/>
      <c r="JH27" s="60"/>
      <c r="JI27" s="60"/>
      <c r="JJ27" s="60"/>
      <c r="JK27" s="60"/>
      <c r="JL27" s="60"/>
      <c r="JM27" s="123"/>
      <c r="JN27" s="123"/>
      <c r="JO27" s="123"/>
      <c r="JP27" s="123"/>
      <c r="JQ27" s="60"/>
      <c r="JR27" s="60"/>
      <c r="JS27" s="60"/>
      <c r="JT27" s="60"/>
      <c r="JU27" s="60"/>
      <c r="JV27" s="60"/>
      <c r="JW27" s="60"/>
      <c r="JX27" s="60"/>
      <c r="JY27" s="60"/>
      <c r="JZ27" s="60"/>
      <c r="KA27" s="60"/>
      <c r="KB27" s="60"/>
      <c r="KC27" s="60"/>
      <c r="KD27" s="123"/>
      <c r="KE27" s="123"/>
      <c r="KF27" s="123"/>
      <c r="KG27" s="123"/>
      <c r="KH27" s="123"/>
      <c r="KI27" s="123"/>
      <c r="KJ27" s="123"/>
      <c r="KK27" s="123"/>
      <c r="KL27" s="123"/>
      <c r="KM27" s="123"/>
      <c r="KN27" s="123"/>
      <c r="KO27" s="123"/>
      <c r="KP27" s="123"/>
      <c r="KQ27" s="123"/>
      <c r="KR27" s="123"/>
      <c r="KS27" s="123"/>
      <c r="KT27" s="60"/>
      <c r="KU27" s="60"/>
      <c r="KV27" s="60"/>
      <c r="KW27" s="60"/>
      <c r="KX27" s="68"/>
      <c r="KY27" s="60"/>
      <c r="KZ27" s="60"/>
      <c r="LA27" s="60"/>
      <c r="LB27" s="60"/>
      <c r="LC27" s="68"/>
      <c r="LD27" s="68"/>
      <c r="LE27" s="68"/>
      <c r="LF27" s="68"/>
      <c r="LG27" s="68"/>
      <c r="LH27" s="68"/>
      <c r="LI27" s="68"/>
      <c r="LJ27" s="68"/>
      <c r="LK27" s="68"/>
      <c r="LL27" s="68"/>
      <c r="LM27" s="68"/>
      <c r="LN27" s="68"/>
      <c r="LO27" s="68"/>
      <c r="LP27" s="68"/>
      <c r="LQ27" s="68"/>
      <c r="LR27" s="68"/>
      <c r="LS27" s="68"/>
      <c r="LT27" s="68"/>
      <c r="LU27" s="68"/>
      <c r="LV27" s="68"/>
      <c r="LW27" s="68"/>
      <c r="LX27" s="60"/>
      <c r="LY27" s="60"/>
      <c r="LZ27" s="60"/>
      <c r="MA27" s="60"/>
      <c r="MB27" s="68"/>
      <c r="MC27" s="60"/>
      <c r="MD27" s="60"/>
      <c r="ME27" s="60"/>
      <c r="MF27" s="60"/>
      <c r="MG27" s="68"/>
      <c r="MH27" s="68"/>
      <c r="MI27" s="68"/>
      <c r="MJ27" s="68"/>
      <c r="MK27" s="68"/>
      <c r="ML27" s="68"/>
      <c r="MM27" s="68"/>
      <c r="MN27" s="68"/>
      <c r="MO27" s="68"/>
      <c r="MP27" s="68"/>
      <c r="MQ27" s="68"/>
      <c r="MR27" s="60"/>
      <c r="MS27" s="60"/>
      <c r="MT27" s="60"/>
      <c r="MU27" s="60"/>
      <c r="MV27" s="60"/>
      <c r="MW27" s="68"/>
      <c r="MX27" s="68"/>
      <c r="MY27" s="68"/>
      <c r="MZ27" s="68"/>
      <c r="NA27" s="68"/>
      <c r="NB27" s="68"/>
      <c r="NC27" s="68"/>
      <c r="ND27" s="68"/>
      <c r="NE27" s="68"/>
      <c r="NF27" s="68"/>
      <c r="NG27" s="68"/>
      <c r="NH27" s="68"/>
      <c r="NI27" s="68"/>
      <c r="NJ27" s="68"/>
      <c r="NK27" s="68"/>
      <c r="NL27" s="68"/>
      <c r="NM27" s="68"/>
      <c r="NN27" s="68"/>
      <c r="NO27" s="68"/>
      <c r="NP27" s="68"/>
      <c r="NQ27" s="68"/>
      <c r="NR27" s="60"/>
      <c r="NS27" s="60"/>
      <c r="NT27" s="631">
        <f>'Crops; pasture DISCOUNTED'!LI39</f>
        <v>0.52</v>
      </c>
      <c r="NU27" s="631"/>
      <c r="NV27" s="41">
        <f>'Crops; pasture DISCOUNTED'!LJ39</f>
        <v>14.3</v>
      </c>
      <c r="NW27" s="41">
        <f>'Crops; pasture DISCOUNTED'!LK39</f>
        <v>27.5</v>
      </c>
      <c r="NX27" s="41"/>
      <c r="NY27" s="41"/>
      <c r="NZ27" s="41"/>
      <c r="OA27" s="41"/>
      <c r="OB27" s="41"/>
      <c r="OC27" s="717">
        <f>'Crops; pasture DISCOUNTED'!LN39</f>
        <v>1.8200000000000001E-2</v>
      </c>
      <c r="OD27" s="717">
        <f>'Crops; pasture DISCOUNTED'!LO39</f>
        <v>3.5000000000000003E-2</v>
      </c>
      <c r="OE27" s="631">
        <f>'Crops; pasture DISCOUNTED'!LP39</f>
        <v>0.26</v>
      </c>
      <c r="OF27" s="631">
        <f>'Crops; pasture DISCOUNTED'!LQ39</f>
        <v>0.5</v>
      </c>
      <c r="RU27" s="97"/>
      <c r="RV27" s="97"/>
      <c r="RW27" s="97"/>
      <c r="RX27" s="97"/>
      <c r="RY27" s="97"/>
      <c r="RZ27" s="97"/>
    </row>
    <row r="28" spans="1:494" s="4" customFormat="1" x14ac:dyDescent="0.25">
      <c r="A28" s="14" t="s">
        <v>80</v>
      </c>
      <c r="B28" s="14"/>
      <c r="C28" s="14"/>
      <c r="D28" s="708"/>
      <c r="E28" s="102"/>
      <c r="F28" s="102"/>
      <c r="G28" s="102"/>
      <c r="H28" s="102"/>
      <c r="I28" s="102"/>
      <c r="J28" s="102"/>
      <c r="K28" s="102"/>
      <c r="L28" s="102"/>
      <c r="M28" s="102"/>
      <c r="N28" s="628">
        <f>'Crops; pasture DISCOUNTED'!V40</f>
        <v>44.856439999999999</v>
      </c>
      <c r="O28" s="67">
        <f t="shared" si="6"/>
        <v>41.501976284584977</v>
      </c>
      <c r="P28" s="67">
        <f t="shared" si="6"/>
        <v>38.18181818181818</v>
      </c>
      <c r="Q28" s="627">
        <f t="shared" si="5"/>
        <v>0.8512003668106114</v>
      </c>
      <c r="R28" s="14"/>
      <c r="S28" s="14"/>
      <c r="T28" s="630">
        <f>U28/NT28</f>
        <v>41.501976284584977</v>
      </c>
      <c r="U28" s="630">
        <f>W89/C89</f>
        <v>38.18181818181818</v>
      </c>
      <c r="X28" s="60"/>
      <c r="AB28" s="126">
        <f>'Crops; pasture DISCOUNTED'!R40</f>
        <v>6.0860826226958711</v>
      </c>
      <c r="AC28" s="126">
        <f>'Crops; pasture DISCOUNTED'!S40</f>
        <v>6.0052846504924329</v>
      </c>
      <c r="AD28" s="126">
        <f>'Crops; pasture DISCOUNTED'!T40</f>
        <v>6.587615283267457</v>
      </c>
      <c r="AE28" s="126"/>
      <c r="AF28" s="126"/>
      <c r="AG28" s="126"/>
      <c r="AH28" s="126"/>
      <c r="AI28" s="126"/>
      <c r="AJ28" s="126"/>
      <c r="AK28" s="60"/>
      <c r="AL28" s="60"/>
      <c r="AM28" s="60"/>
      <c r="AN28" s="60"/>
      <c r="AO28" s="126"/>
      <c r="AP28" s="126"/>
      <c r="AQ28" s="126"/>
      <c r="AR28" s="126"/>
      <c r="AS28" s="126"/>
      <c r="AT28" s="126"/>
      <c r="AU28" s="126"/>
      <c r="AV28" s="126"/>
      <c r="AW28" s="126"/>
      <c r="AX28" s="126"/>
      <c r="AY28" s="126"/>
      <c r="AZ28" s="126"/>
      <c r="BA28" s="126"/>
      <c r="BB28" s="126"/>
      <c r="BC28" s="126"/>
      <c r="BD28" s="126"/>
      <c r="BE28" s="126"/>
      <c r="BF28" s="126"/>
      <c r="BG28" s="126"/>
      <c r="BH28" s="126"/>
      <c r="BI28" s="126"/>
      <c r="BJ28" s="126"/>
      <c r="BK28" s="126"/>
      <c r="BL28" s="126"/>
      <c r="BM28" s="126"/>
      <c r="BN28" s="126"/>
      <c r="BO28" s="126"/>
      <c r="BP28" s="126">
        <f>'Crops; pasture DISCOUNTED'!HG40</f>
        <v>1.5444722353745073</v>
      </c>
      <c r="BQ28" s="126">
        <f>'Crops; pasture DISCOUNTED'!HK40</f>
        <v>1.5733962354320234</v>
      </c>
      <c r="BR28" s="126">
        <f>'Crops; pasture DISCOUNTED'!HO40</f>
        <v>1.3649339337610245</v>
      </c>
      <c r="BS28" s="126">
        <f>'Crops; pasture DISCOUNTED'!HS40</f>
        <v>1.4829834132381492</v>
      </c>
      <c r="BT28" s="126">
        <f>'Crops; pasture DISCOUNTED'!HW40</f>
        <v>1.5307800877560336</v>
      </c>
      <c r="BU28" s="126">
        <f>'Crops; pasture DISCOUNTED'!I40</f>
        <v>1.6652</v>
      </c>
      <c r="BV28" s="126"/>
      <c r="BW28" s="126"/>
      <c r="BX28" s="126"/>
      <c r="BY28" s="126"/>
      <c r="BZ28" s="126"/>
      <c r="CA28" s="126"/>
      <c r="CB28" s="126"/>
      <c r="CC28" s="126"/>
      <c r="CD28" s="126"/>
      <c r="CE28" s="126"/>
      <c r="CF28" s="126"/>
      <c r="CG28" s="126"/>
      <c r="CH28" s="126"/>
      <c r="CI28" s="126"/>
      <c r="CJ28" s="41"/>
      <c r="CL28" s="714"/>
      <c r="CM28" s="32"/>
      <c r="CN28" s="67"/>
      <c r="CO28" s="68"/>
      <c r="CP28" s="68"/>
      <c r="CQ28" s="68"/>
      <c r="CR28" s="97"/>
      <c r="CS28" s="97"/>
      <c r="CT28" s="97"/>
      <c r="CU28" s="97"/>
      <c r="CV28" s="97"/>
      <c r="CW28" s="68"/>
      <c r="CX28" s="68"/>
      <c r="CY28" s="68"/>
      <c r="CZ28" s="68"/>
      <c r="DA28" s="68"/>
      <c r="DB28" s="68"/>
      <c r="DC28" s="68"/>
      <c r="DD28" s="68"/>
      <c r="DE28" s="68"/>
      <c r="DF28" s="68"/>
      <c r="DG28" s="68"/>
      <c r="DH28" s="68"/>
      <c r="DI28" s="68"/>
      <c r="DJ28" s="68"/>
      <c r="DK28" s="68"/>
      <c r="DL28" s="68"/>
      <c r="DM28" s="68"/>
      <c r="DN28" s="68"/>
      <c r="DO28" s="68"/>
      <c r="DP28" s="68"/>
      <c r="DQ28" s="68"/>
      <c r="DR28" s="68"/>
      <c r="DS28" s="68"/>
      <c r="DT28" s="68"/>
      <c r="DU28" s="68"/>
      <c r="DV28" s="68"/>
      <c r="DW28" s="68"/>
      <c r="DX28" s="68"/>
      <c r="DY28" s="68"/>
      <c r="DZ28" s="41"/>
      <c r="EE28" s="68"/>
      <c r="EF28" s="68"/>
      <c r="EG28" s="68"/>
      <c r="EM28" s="68"/>
      <c r="EN28" s="68"/>
      <c r="EO28" s="68"/>
      <c r="EP28" s="68"/>
      <c r="EQ28" s="68"/>
      <c r="ER28" s="68"/>
      <c r="ES28" s="68"/>
      <c r="ET28" s="68"/>
      <c r="EU28" s="68"/>
      <c r="EV28" s="68"/>
      <c r="EW28" s="68"/>
      <c r="EX28" s="68"/>
      <c r="EY28" s="68"/>
      <c r="EZ28" s="68"/>
      <c r="FA28" s="68"/>
      <c r="FB28" s="126">
        <f>'Crops; pasture DISCOUNTED'!IE40</f>
        <v>2.9728841611148815</v>
      </c>
      <c r="FC28" s="126">
        <f>'Crops; pasture DISCOUNTED'!IH40</f>
        <v>3.0687004564016336</v>
      </c>
      <c r="FD28" s="126">
        <f>'Crops; pasture DISCOUNTED'!IK40</f>
        <v>2.3781291172595518</v>
      </c>
      <c r="FE28" s="126"/>
      <c r="FF28" s="126"/>
      <c r="FG28" s="126"/>
      <c r="FH28" s="126"/>
      <c r="FI28" s="126"/>
      <c r="FJ28" s="126"/>
      <c r="FK28" s="126"/>
      <c r="FL28" s="126"/>
      <c r="FM28" s="126"/>
      <c r="FN28" s="126"/>
      <c r="FO28" s="126"/>
      <c r="FP28" s="126"/>
      <c r="FQ28" s="126"/>
      <c r="FR28" s="126"/>
      <c r="FS28" s="126"/>
      <c r="FV28" s="60"/>
      <c r="FY28" s="68"/>
      <c r="FZ28" s="60"/>
      <c r="GF28" s="68"/>
      <c r="GG28" s="126"/>
      <c r="GH28" s="126"/>
      <c r="GI28" s="126"/>
      <c r="GJ28" s="126"/>
      <c r="GK28" s="126"/>
      <c r="GL28" s="126"/>
      <c r="GM28" s="126"/>
      <c r="GN28" s="126"/>
      <c r="GO28" s="126"/>
      <c r="GP28" s="126"/>
      <c r="GQ28" s="126"/>
      <c r="GR28" s="126"/>
      <c r="GS28" s="126"/>
      <c r="GT28" s="126"/>
      <c r="GU28" s="126">
        <f>'Crops; pasture DISCOUNTED'!IR40</f>
        <v>0.66349974151421753</v>
      </c>
      <c r="GV28" s="126">
        <f>'Crops; pasture DISCOUNTED'!IW40</f>
        <v>0.75649465387941395</v>
      </c>
      <c r="GW28" s="126">
        <f>'Crops; pasture DISCOUNTED'!JD40</f>
        <v>8.6257707509881404E-2</v>
      </c>
      <c r="GX28" s="126"/>
      <c r="GY28" s="123"/>
      <c r="GZ28" s="123"/>
      <c r="HA28" s="123"/>
      <c r="HB28" s="123"/>
      <c r="HC28" s="123"/>
      <c r="HD28" s="123"/>
      <c r="HE28" s="123"/>
      <c r="HF28" s="123"/>
      <c r="HG28" s="123"/>
      <c r="HH28" s="123"/>
      <c r="HI28" s="123"/>
      <c r="HJ28" s="123"/>
      <c r="HK28" s="123"/>
      <c r="HL28" s="123"/>
      <c r="HM28" s="123"/>
      <c r="HN28" s="123"/>
      <c r="HO28" s="123"/>
      <c r="HP28" s="60"/>
      <c r="HQ28" s="123"/>
      <c r="HR28" s="60"/>
      <c r="HS28" s="68"/>
      <c r="HT28" s="68"/>
      <c r="HU28" s="68"/>
      <c r="HV28" s="68"/>
      <c r="HW28" s="68"/>
      <c r="HX28" s="68"/>
      <c r="HY28" s="68"/>
      <c r="HZ28" s="68"/>
      <c r="IA28" s="68"/>
      <c r="IB28" s="68"/>
      <c r="IC28" s="68"/>
      <c r="ID28" s="68"/>
      <c r="IE28" s="68"/>
      <c r="IF28" s="68"/>
      <c r="IG28" s="68"/>
      <c r="IH28" s="68"/>
      <c r="II28" s="68"/>
      <c r="IJ28" s="68"/>
      <c r="IK28" s="68"/>
      <c r="IL28" s="68"/>
      <c r="IM28" s="68"/>
      <c r="IN28" s="68"/>
      <c r="IO28" s="595"/>
      <c r="IP28" s="595"/>
      <c r="IQ28" s="595"/>
      <c r="IR28" s="595"/>
      <c r="IS28" s="595"/>
      <c r="IT28" s="595"/>
      <c r="IU28" s="595"/>
      <c r="IV28" s="41"/>
      <c r="IW28" s="60"/>
      <c r="IX28" s="60"/>
      <c r="IY28" s="60"/>
      <c r="IZ28" s="60"/>
      <c r="JA28" s="60"/>
      <c r="JB28" s="60"/>
      <c r="JC28" s="60"/>
      <c r="JD28" s="60"/>
      <c r="JE28" s="60"/>
      <c r="JF28" s="60"/>
      <c r="JG28" s="60"/>
      <c r="JH28" s="60"/>
      <c r="JI28" s="60"/>
      <c r="JJ28" s="60"/>
      <c r="JK28" s="60"/>
      <c r="JL28" s="60"/>
      <c r="JM28" s="123"/>
      <c r="JN28" s="123"/>
      <c r="JO28" s="123"/>
      <c r="JP28" s="123"/>
      <c r="JQ28" s="60"/>
      <c r="JR28" s="60"/>
      <c r="JS28" s="60"/>
      <c r="JT28" s="60"/>
      <c r="JU28" s="60"/>
      <c r="JV28" s="60"/>
      <c r="JW28" s="60"/>
      <c r="JX28" s="60"/>
      <c r="JY28" s="60"/>
      <c r="JZ28" s="60"/>
      <c r="KA28" s="60"/>
      <c r="KB28" s="60"/>
      <c r="KC28" s="60"/>
      <c r="KD28" s="123"/>
      <c r="KE28" s="123"/>
      <c r="KF28" s="123"/>
      <c r="KG28" s="123"/>
      <c r="KH28" s="123"/>
      <c r="KI28" s="123"/>
      <c r="KJ28" s="123"/>
      <c r="KK28" s="123"/>
      <c r="KL28" s="123"/>
      <c r="KM28" s="123"/>
      <c r="KN28" s="123"/>
      <c r="KO28" s="123"/>
      <c r="KP28" s="123"/>
      <c r="KQ28" s="123"/>
      <c r="KR28" s="123"/>
      <c r="KS28" s="123"/>
      <c r="KT28" s="60"/>
      <c r="KU28" s="60"/>
      <c r="KV28" s="60"/>
      <c r="KW28" s="60"/>
      <c r="KX28" s="68"/>
      <c r="KY28" s="60"/>
      <c r="KZ28" s="60"/>
      <c r="LA28" s="60"/>
      <c r="LB28" s="60"/>
      <c r="LC28" s="68"/>
      <c r="LD28" s="68"/>
      <c r="LE28" s="68"/>
      <c r="LF28" s="68"/>
      <c r="LG28" s="68"/>
      <c r="LH28" s="68"/>
      <c r="LI28" s="68"/>
      <c r="LJ28" s="68"/>
      <c r="LK28" s="68"/>
      <c r="LL28" s="68"/>
      <c r="LM28" s="68"/>
      <c r="LN28" s="68"/>
      <c r="LO28" s="68"/>
      <c r="LP28" s="68"/>
      <c r="LQ28" s="68"/>
      <c r="LR28" s="68"/>
      <c r="LS28" s="68"/>
      <c r="LT28" s="68"/>
      <c r="LU28" s="68"/>
      <c r="LV28" s="68"/>
      <c r="LW28" s="68"/>
      <c r="LX28" s="60"/>
      <c r="LY28" s="60"/>
      <c r="LZ28" s="60"/>
      <c r="MA28" s="60"/>
      <c r="MB28" s="68"/>
      <c r="MC28" s="60"/>
      <c r="MD28" s="60"/>
      <c r="ME28" s="60"/>
      <c r="MF28" s="60"/>
      <c r="MG28" s="68"/>
      <c r="MH28" s="68"/>
      <c r="MI28" s="68"/>
      <c r="MJ28" s="68"/>
      <c r="MK28" s="68"/>
      <c r="ML28" s="68"/>
      <c r="MM28" s="68"/>
      <c r="MN28" s="68"/>
      <c r="MO28" s="68"/>
      <c r="MP28" s="68"/>
      <c r="MQ28" s="68"/>
      <c r="MR28" s="60"/>
      <c r="MS28" s="60"/>
      <c r="MT28" s="60"/>
      <c r="MU28" s="60"/>
      <c r="MV28" s="60"/>
      <c r="MW28" s="68"/>
      <c r="MX28" s="68"/>
      <c r="MY28" s="68"/>
      <c r="MZ28" s="68"/>
      <c r="NA28" s="68"/>
      <c r="NB28" s="68"/>
      <c r="NC28" s="68"/>
      <c r="ND28" s="68"/>
      <c r="NE28" s="68"/>
      <c r="NF28" s="68"/>
      <c r="NG28" s="68"/>
      <c r="NH28" s="68"/>
      <c r="NI28" s="68"/>
      <c r="NJ28" s="68"/>
      <c r="NK28" s="68"/>
      <c r="NL28" s="68"/>
      <c r="NM28" s="68"/>
      <c r="NN28" s="68"/>
      <c r="NO28" s="68"/>
      <c r="NP28" s="68"/>
      <c r="NQ28" s="68"/>
      <c r="NR28" s="60"/>
      <c r="NS28" s="60"/>
      <c r="NT28" s="631">
        <f>'Crops; pasture DISCOUNTED'!LI40</f>
        <v>0.92</v>
      </c>
      <c r="NU28" s="631"/>
      <c r="NV28" s="41">
        <f>'Crops; pasture DISCOUNTED'!LJ40</f>
        <v>25.576000000000001</v>
      </c>
      <c r="NW28" s="41">
        <f>'Crops; pasture DISCOUNTED'!LK40</f>
        <v>27.8</v>
      </c>
      <c r="NX28" s="41"/>
      <c r="NY28" s="41"/>
      <c r="NZ28" s="41"/>
      <c r="OA28" s="41">
        <f>'Crops; pasture DISCOUNTED'!LL40</f>
        <v>18.400000000000002</v>
      </c>
      <c r="OB28" s="41">
        <f>'Crops; pasture DISCOUNTED'!LM40</f>
        <v>20</v>
      </c>
      <c r="OC28" s="631">
        <f>'Crops; pasture DISCOUNTED'!LN40</f>
        <v>0.21160000000000001</v>
      </c>
      <c r="OD28" s="631">
        <f>'Crops; pasture DISCOUNTED'!LO40</f>
        <v>0.23</v>
      </c>
      <c r="OE28" s="631">
        <f>'Crops; pasture DISCOUNTED'!LP40</f>
        <v>0.41400000000000003</v>
      </c>
      <c r="OF28" s="631">
        <f>'Crops; pasture DISCOUNTED'!LQ40</f>
        <v>0.45</v>
      </c>
      <c r="RU28" s="97"/>
      <c r="RV28" s="97"/>
      <c r="RW28" s="97"/>
      <c r="RX28" s="97"/>
      <c r="RY28" s="97"/>
      <c r="RZ28" s="97"/>
    </row>
    <row r="29" spans="1:494" s="4" customFormat="1" x14ac:dyDescent="0.25">
      <c r="A29" s="14" t="s">
        <v>136</v>
      </c>
      <c r="B29" s="14"/>
      <c r="C29" s="14"/>
      <c r="D29" s="708"/>
      <c r="E29" s="102"/>
      <c r="F29" s="102"/>
      <c r="G29" s="102"/>
      <c r="H29" s="102"/>
      <c r="I29" s="102"/>
      <c r="J29" s="102"/>
      <c r="K29" s="102"/>
      <c r="L29" s="102"/>
      <c r="M29" s="102"/>
      <c r="N29" s="628">
        <f>'Crops; pasture DISCOUNTED'!V41</f>
        <v>27.06916</v>
      </c>
      <c r="O29" s="67">
        <f t="shared" si="6"/>
        <v>26.432806324110668</v>
      </c>
      <c r="P29" s="67">
        <f t="shared" si="6"/>
        <v>24.318181818181817</v>
      </c>
      <c r="Q29" s="627">
        <f t="shared" si="5"/>
        <v>0.89837223682529554</v>
      </c>
      <c r="R29" s="14"/>
      <c r="S29" s="14"/>
      <c r="T29" s="630">
        <f>U29/NT29</f>
        <v>26.432806324110668</v>
      </c>
      <c r="U29" s="630">
        <f>W93/C93</f>
        <v>24.318181818181817</v>
      </c>
      <c r="X29" s="60"/>
      <c r="AB29" s="126">
        <f>'Crops; pasture DISCOUNTED'!R41</f>
        <v>8.3859270106645347</v>
      </c>
      <c r="AC29" s="126">
        <f>'Crops; pasture DISCOUNTED'!S41</f>
        <v>8.4260195483653515</v>
      </c>
      <c r="AD29" s="126">
        <f>'Crops; pasture DISCOUNTED'!T41</f>
        <v>7.601094557616296</v>
      </c>
      <c r="AE29" s="126"/>
      <c r="AF29" s="126"/>
      <c r="AG29" s="126"/>
      <c r="AH29" s="126"/>
      <c r="AI29" s="126"/>
      <c r="AJ29" s="126"/>
      <c r="AK29" s="60"/>
      <c r="AL29" s="60"/>
      <c r="AM29" s="60"/>
      <c r="AN29" s="60"/>
      <c r="AO29" s="126"/>
      <c r="AP29" s="126"/>
      <c r="AQ29" s="126"/>
      <c r="AR29" s="126"/>
      <c r="AS29" s="126"/>
      <c r="AT29" s="126"/>
      <c r="AU29" s="126"/>
      <c r="AV29" s="126"/>
      <c r="AW29" s="126"/>
      <c r="AX29" s="126"/>
      <c r="AY29" s="126"/>
      <c r="AZ29" s="126"/>
      <c r="BA29" s="126"/>
      <c r="BB29" s="126"/>
      <c r="BC29" s="126"/>
      <c r="BD29" s="126"/>
      <c r="BE29" s="126"/>
      <c r="BF29" s="126"/>
      <c r="BG29" s="126"/>
      <c r="BH29" s="126"/>
      <c r="BI29" s="126"/>
      <c r="BJ29" s="126"/>
      <c r="BK29" s="126"/>
      <c r="BL29" s="126"/>
      <c r="BM29" s="126"/>
      <c r="BN29" s="126"/>
      <c r="BO29" s="126"/>
      <c r="BP29" s="126">
        <f>'Crops; pasture DISCOUNTED'!HG41</f>
        <v>1.4064123858214324</v>
      </c>
      <c r="BQ29" s="126">
        <f>'Crops; pasture DISCOUNTED'!HK41</f>
        <v>1.4471304531170477</v>
      </c>
      <c r="BR29" s="126">
        <f>'Crops; pasture DISCOUNTED'!HO41</f>
        <v>0.60933486288005878</v>
      </c>
      <c r="BS29" s="126">
        <f>'Crops; pasture DISCOUNTED'!HS41</f>
        <v>2.1207570927082888</v>
      </c>
      <c r="BT29" s="126">
        <f>'Crops; pasture DISCOUNTED'!HW41</f>
        <v>2.1688547623001337</v>
      </c>
      <c r="BU29" s="126">
        <f>'Crops; pasture DISCOUNTED'!I41</f>
        <v>1.1868000000000001</v>
      </c>
      <c r="BV29" s="126"/>
      <c r="BW29" s="126"/>
      <c r="BX29" s="126"/>
      <c r="BY29" s="126"/>
      <c r="BZ29" s="126"/>
      <c r="CA29" s="126"/>
      <c r="CB29" s="126"/>
      <c r="CC29" s="126"/>
      <c r="CD29" s="126"/>
      <c r="CE29" s="126"/>
      <c r="CF29" s="126"/>
      <c r="CG29" s="126"/>
      <c r="CH29" s="126"/>
      <c r="CI29" s="126"/>
      <c r="CJ29" s="41"/>
      <c r="CL29" s="714"/>
      <c r="CM29" s="32"/>
      <c r="CN29" s="67"/>
      <c r="CO29" s="68"/>
      <c r="CP29" s="68"/>
      <c r="CQ29" s="68"/>
      <c r="CR29" s="97"/>
      <c r="CS29" s="97"/>
      <c r="CT29" s="97"/>
      <c r="CU29" s="97"/>
      <c r="CV29" s="97"/>
      <c r="CW29" s="68"/>
      <c r="CX29" s="68"/>
      <c r="CY29" s="68"/>
      <c r="CZ29" s="68"/>
      <c r="DA29" s="68"/>
      <c r="DB29" s="68"/>
      <c r="DC29" s="68"/>
      <c r="DD29" s="68"/>
      <c r="DE29" s="68"/>
      <c r="DF29" s="68"/>
      <c r="DG29" s="68"/>
      <c r="DH29" s="68"/>
      <c r="DI29" s="68"/>
      <c r="DJ29" s="68"/>
      <c r="DK29" s="68"/>
      <c r="DL29" s="68"/>
      <c r="DM29" s="68"/>
      <c r="DN29" s="68"/>
      <c r="DO29" s="68"/>
      <c r="DP29" s="68"/>
      <c r="DQ29" s="68"/>
      <c r="DR29" s="68"/>
      <c r="DS29" s="68"/>
      <c r="DT29" s="68"/>
      <c r="DU29" s="68"/>
      <c r="DV29" s="68"/>
      <c r="DW29" s="68"/>
      <c r="DX29" s="68"/>
      <c r="DY29" s="68"/>
      <c r="DZ29" s="41"/>
      <c r="EE29" s="68"/>
      <c r="EF29" s="68"/>
      <c r="EG29" s="68"/>
      <c r="EM29" s="68"/>
      <c r="EN29" s="68"/>
      <c r="EO29" s="68"/>
      <c r="EP29" s="68"/>
      <c r="EQ29" s="68"/>
      <c r="ER29" s="68"/>
      <c r="ES29" s="68"/>
      <c r="ET29" s="68"/>
      <c r="EU29" s="68"/>
      <c r="EV29" s="68"/>
      <c r="EW29" s="68"/>
      <c r="EX29" s="68"/>
      <c r="EY29" s="68"/>
      <c r="EZ29" s="68"/>
      <c r="FA29" s="68"/>
      <c r="FB29" s="126">
        <f>'Crops; pasture DISCOUNTED'!IE41</f>
        <v>4.2514063975387479</v>
      </c>
      <c r="FC29" s="126">
        <f>'Crops; pasture DISCOUNTED'!IH41</f>
        <v>4.3478260869565215</v>
      </c>
      <c r="FD29" s="126">
        <f>'Crops; pasture DISCOUNTED'!IK41</f>
        <v>2.3639404074186681</v>
      </c>
      <c r="FE29" s="126"/>
      <c r="FF29" s="126"/>
      <c r="FG29" s="126"/>
      <c r="FH29" s="126"/>
      <c r="FI29" s="126"/>
      <c r="FJ29" s="126"/>
      <c r="FK29" s="126"/>
      <c r="FL29" s="126"/>
      <c r="FM29" s="126"/>
      <c r="FN29" s="126"/>
      <c r="FO29" s="126"/>
      <c r="FP29" s="126"/>
      <c r="FQ29" s="126"/>
      <c r="FR29" s="126"/>
      <c r="FS29" s="126"/>
      <c r="FV29" s="60"/>
      <c r="FY29" s="68"/>
      <c r="FZ29" s="60"/>
      <c r="GF29" s="68"/>
      <c r="GG29" s="126"/>
      <c r="GH29" s="126"/>
      <c r="GI29" s="126"/>
      <c r="GJ29" s="126"/>
      <c r="GK29" s="126"/>
      <c r="GL29" s="126"/>
      <c r="GM29" s="126"/>
      <c r="GN29" s="126"/>
      <c r="GO29" s="126"/>
      <c r="GP29" s="126"/>
      <c r="GQ29" s="126"/>
      <c r="GR29" s="126"/>
      <c r="GS29" s="126"/>
      <c r="GT29" s="126"/>
      <c r="GU29" s="126">
        <f>'Crops; pasture DISCOUNTED'!IR41</f>
        <v>0.16449658446135751</v>
      </c>
      <c r="GV29" s="126">
        <f>'Crops; pasture DISCOUNTED'!IW41</f>
        <v>0.1728997608190091</v>
      </c>
      <c r="GW29" s="126">
        <f>'Crops; pasture DISCOUNTED'!JD41</f>
        <v>0</v>
      </c>
      <c r="GX29" s="126"/>
      <c r="GY29" s="123"/>
      <c r="GZ29" s="123"/>
      <c r="HA29" s="123"/>
      <c r="HB29" s="123"/>
      <c r="HC29" s="123"/>
      <c r="HD29" s="123"/>
      <c r="HE29" s="123"/>
      <c r="HF29" s="123"/>
      <c r="HG29" s="123"/>
      <c r="HH29" s="123"/>
      <c r="HI29" s="123"/>
      <c r="HJ29" s="123"/>
      <c r="HK29" s="123"/>
      <c r="HL29" s="123"/>
      <c r="HM29" s="123"/>
      <c r="HN29" s="123"/>
      <c r="HO29" s="123"/>
      <c r="HP29" s="60"/>
      <c r="HQ29" s="123"/>
      <c r="HR29" s="60"/>
      <c r="HS29" s="68"/>
      <c r="HT29" s="68"/>
      <c r="HU29" s="68"/>
      <c r="HV29" s="68"/>
      <c r="HW29" s="68"/>
      <c r="HX29" s="68"/>
      <c r="HY29" s="68"/>
      <c r="HZ29" s="68"/>
      <c r="IA29" s="68"/>
      <c r="IB29" s="68"/>
      <c r="IC29" s="68"/>
      <c r="ID29" s="68"/>
      <c r="IE29" s="68"/>
      <c r="IF29" s="68"/>
      <c r="IG29" s="68"/>
      <c r="IH29" s="68"/>
      <c r="II29" s="68"/>
      <c r="IJ29" s="68"/>
      <c r="IK29" s="68"/>
      <c r="IL29" s="68"/>
      <c r="IM29" s="68"/>
      <c r="IN29" s="68"/>
      <c r="IO29" s="431"/>
      <c r="IP29" s="431"/>
      <c r="IQ29" s="431"/>
      <c r="IR29" s="431"/>
      <c r="IS29" s="431"/>
      <c r="IT29" s="431"/>
      <c r="IU29" s="431"/>
      <c r="IV29" s="41"/>
      <c r="IW29" s="60"/>
      <c r="IX29" s="60"/>
      <c r="IY29" s="60"/>
      <c r="IZ29" s="60"/>
      <c r="JA29" s="60"/>
      <c r="JB29" s="60"/>
      <c r="JC29" s="60"/>
      <c r="JD29" s="60"/>
      <c r="JE29" s="60"/>
      <c r="JF29" s="60"/>
      <c r="JG29" s="60"/>
      <c r="JH29" s="60"/>
      <c r="JI29" s="60"/>
      <c r="JJ29" s="60"/>
      <c r="JK29" s="60"/>
      <c r="JL29" s="60"/>
      <c r="JM29" s="123"/>
      <c r="JN29" s="123"/>
      <c r="JO29" s="123"/>
      <c r="JP29" s="123"/>
      <c r="JQ29" s="60"/>
      <c r="JR29" s="60"/>
      <c r="JS29" s="60"/>
      <c r="JT29" s="60"/>
      <c r="JU29" s="60"/>
      <c r="JV29" s="60"/>
      <c r="JW29" s="60"/>
      <c r="JX29" s="60"/>
      <c r="JY29" s="60"/>
      <c r="JZ29" s="60"/>
      <c r="KA29" s="60"/>
      <c r="KB29" s="60"/>
      <c r="KC29" s="60"/>
      <c r="KD29" s="123"/>
      <c r="KE29" s="123"/>
      <c r="KF29" s="123"/>
      <c r="KG29" s="123"/>
      <c r="KH29" s="123"/>
      <c r="KI29" s="123"/>
      <c r="KJ29" s="123"/>
      <c r="KK29" s="123"/>
      <c r="KL29" s="123"/>
      <c r="KM29" s="123"/>
      <c r="KN29" s="123"/>
      <c r="KO29" s="123"/>
      <c r="KP29" s="123"/>
      <c r="KQ29" s="123"/>
      <c r="KR29" s="123"/>
      <c r="KS29" s="123"/>
      <c r="KT29" s="60"/>
      <c r="KU29" s="60"/>
      <c r="KV29" s="60"/>
      <c r="KW29" s="60"/>
      <c r="KX29" s="68"/>
      <c r="KY29" s="60"/>
      <c r="KZ29" s="60"/>
      <c r="LA29" s="60"/>
      <c r="LB29" s="60"/>
      <c r="LC29" s="68"/>
      <c r="LD29" s="68"/>
      <c r="LE29" s="68"/>
      <c r="LF29" s="68"/>
      <c r="LG29" s="68"/>
      <c r="LH29" s="68"/>
      <c r="LI29" s="68"/>
      <c r="LJ29" s="68"/>
      <c r="LK29" s="68"/>
      <c r="LL29" s="68"/>
      <c r="LM29" s="68"/>
      <c r="LN29" s="68"/>
      <c r="LO29" s="68"/>
      <c r="LP29" s="68"/>
      <c r="LQ29" s="68"/>
      <c r="LR29" s="68"/>
      <c r="LS29" s="68"/>
      <c r="LT29" s="68"/>
      <c r="LU29" s="68"/>
      <c r="LV29" s="68"/>
      <c r="LW29" s="68"/>
      <c r="LX29" s="60"/>
      <c r="LY29" s="60"/>
      <c r="LZ29" s="60"/>
      <c r="MA29" s="60"/>
      <c r="MB29" s="68"/>
      <c r="MC29" s="60"/>
      <c r="MD29" s="60"/>
      <c r="ME29" s="60"/>
      <c r="MF29" s="60"/>
      <c r="MG29" s="68"/>
      <c r="MH29" s="68"/>
      <c r="MI29" s="68"/>
      <c r="MJ29" s="68"/>
      <c r="MK29" s="68"/>
      <c r="ML29" s="68"/>
      <c r="MM29" s="68"/>
      <c r="MN29" s="68"/>
      <c r="MO29" s="68"/>
      <c r="MP29" s="68"/>
      <c r="MQ29" s="68"/>
      <c r="MR29" s="60"/>
      <c r="MS29" s="60"/>
      <c r="MT29" s="60"/>
      <c r="MU29" s="60"/>
      <c r="MV29" s="60"/>
      <c r="MW29" s="68"/>
      <c r="MX29" s="68"/>
      <c r="MY29" s="68"/>
      <c r="MZ29" s="68"/>
      <c r="NA29" s="68"/>
      <c r="NB29" s="68"/>
      <c r="NC29" s="68"/>
      <c r="ND29" s="68"/>
      <c r="NE29" s="68"/>
      <c r="NF29" s="68"/>
      <c r="NG29" s="68"/>
      <c r="NH29" s="68"/>
      <c r="NI29" s="68"/>
      <c r="NJ29" s="68"/>
      <c r="NK29" s="68"/>
      <c r="NL29" s="68"/>
      <c r="NM29" s="68"/>
      <c r="NN29" s="68"/>
      <c r="NO29" s="68"/>
      <c r="NP29" s="68"/>
      <c r="NQ29" s="68"/>
      <c r="NR29" s="60"/>
      <c r="NS29" s="60"/>
      <c r="NT29" s="631">
        <f>'Crops; pasture DISCOUNTED'!LI41</f>
        <v>0.92</v>
      </c>
      <c r="NU29" s="631"/>
      <c r="NV29" s="41">
        <f>'Crops; pasture DISCOUNTED'!LJ41</f>
        <v>26.404</v>
      </c>
      <c r="NW29" s="41">
        <f>'Crops; pasture DISCOUNTED'!LK41</f>
        <v>28.7</v>
      </c>
      <c r="NX29" s="41"/>
      <c r="NY29" s="41"/>
      <c r="NZ29" s="41"/>
      <c r="OA29" s="41">
        <f>'Crops; pasture DISCOUNTED'!LL41</f>
        <v>23.736000000000001</v>
      </c>
      <c r="OB29" s="41">
        <f>'Crops; pasture DISCOUNTED'!LM41</f>
        <v>25.8</v>
      </c>
      <c r="OC29" s="631">
        <f>'Crops; pasture DISCOUNTED'!LN41</f>
        <v>0.2024</v>
      </c>
      <c r="OD29" s="631">
        <f>'Crops; pasture DISCOUNTED'!LO41</f>
        <v>0.22</v>
      </c>
      <c r="OE29" s="631">
        <f>'Crops; pasture DISCOUNTED'!LP41</f>
        <v>0.41400000000000003</v>
      </c>
      <c r="OF29" s="631">
        <f>'Crops; pasture DISCOUNTED'!LQ41</f>
        <v>0.45</v>
      </c>
      <c r="RU29" s="97"/>
      <c r="RV29" s="97"/>
      <c r="RW29" s="97"/>
      <c r="RX29" s="97"/>
      <c r="RY29" s="97"/>
      <c r="RZ29" s="97"/>
    </row>
    <row r="30" spans="1:494" s="4" customFormat="1" x14ac:dyDescent="0.25">
      <c r="A30" s="14" t="s">
        <v>135</v>
      </c>
      <c r="B30" s="14"/>
      <c r="C30" s="14"/>
      <c r="D30" s="708"/>
      <c r="E30" s="102"/>
      <c r="F30" s="102"/>
      <c r="G30" s="102"/>
      <c r="H30" s="102"/>
      <c r="I30" s="102"/>
      <c r="J30" s="102"/>
      <c r="K30" s="102"/>
      <c r="L30" s="102"/>
      <c r="M30" s="102"/>
      <c r="N30" s="628">
        <f>'Crops; pasture DISCOUNTED'!V42</f>
        <v>33.125520000000002</v>
      </c>
      <c r="O30" s="67">
        <f t="shared" si="6"/>
        <v>20.989505247376311</v>
      </c>
      <c r="P30" s="67">
        <f t="shared" si="6"/>
        <v>19.310344827586206</v>
      </c>
      <c r="Q30" s="627">
        <f t="shared" si="5"/>
        <v>0.58294465498462233</v>
      </c>
      <c r="R30" s="14"/>
      <c r="S30" s="14"/>
      <c r="T30" s="630">
        <f>U30/NT30</f>
        <v>20.989505247376311</v>
      </c>
      <c r="U30" s="630">
        <f>W97/C97</f>
        <v>19.310344827586206</v>
      </c>
      <c r="X30" s="60"/>
      <c r="AB30" s="126">
        <f>'Crops; pasture DISCOUNTED'!R42</f>
        <v>6.8225344085164545</v>
      </c>
      <c r="AC30" s="126">
        <f>'Crops; pasture DISCOUNTED'!S42</f>
        <v>7.8764965343415243</v>
      </c>
      <c r="AD30" s="126">
        <f>'Crops; pasture DISCOUNTED'!T42</f>
        <v>3.8273116962645437</v>
      </c>
      <c r="AE30" s="126"/>
      <c r="AF30" s="126"/>
      <c r="AG30" s="126"/>
      <c r="AH30" s="126"/>
      <c r="AI30" s="126"/>
      <c r="AJ30" s="126"/>
      <c r="AK30" s="60"/>
      <c r="AL30" s="60"/>
      <c r="AM30" s="60"/>
      <c r="AN30" s="60"/>
      <c r="AO30" s="126"/>
      <c r="AP30" s="126"/>
      <c r="AQ30" s="126"/>
      <c r="AR30" s="126"/>
      <c r="AS30" s="126"/>
      <c r="AT30" s="126"/>
      <c r="AU30" s="126"/>
      <c r="AV30" s="126"/>
      <c r="AW30" s="126"/>
      <c r="AX30" s="126"/>
      <c r="AY30" s="126"/>
      <c r="AZ30" s="126"/>
      <c r="BA30" s="126"/>
      <c r="BB30" s="126"/>
      <c r="BC30" s="126"/>
      <c r="BD30" s="126"/>
      <c r="BE30" s="126"/>
      <c r="BF30" s="126"/>
      <c r="BG30" s="126"/>
      <c r="BH30" s="126"/>
      <c r="BI30" s="126"/>
      <c r="BJ30" s="126"/>
      <c r="BK30" s="126"/>
      <c r="BL30" s="126"/>
      <c r="BM30" s="126"/>
      <c r="BN30" s="126"/>
      <c r="BO30" s="126"/>
      <c r="BP30" s="126">
        <f>'Crops; pasture DISCOUNTED'!HG42</f>
        <v>1.6558878745987624</v>
      </c>
      <c r="BQ30" s="126">
        <f>'Crops; pasture DISCOUNTED'!HK42</f>
        <v>1.9302331402663957</v>
      </c>
      <c r="BR30" s="126">
        <f>'Crops; pasture DISCOUNTED'!HO42</f>
        <v>0.87623445955482848</v>
      </c>
      <c r="BS30" s="126">
        <f>'Crops; pasture DISCOUNTED'!HS42</f>
        <v>2.0186865980382258</v>
      </c>
      <c r="BT30" s="126">
        <f>'Crops; pasture DISCOUNTED'!HW42</f>
        <v>2.3810253368729728</v>
      </c>
      <c r="BU30" s="126">
        <f>'Crops; pasture DISCOUNTED'!I42</f>
        <v>1.2696000000000001</v>
      </c>
      <c r="BV30" s="126"/>
      <c r="BW30" s="126"/>
      <c r="BX30" s="126"/>
      <c r="BY30" s="126"/>
      <c r="BZ30" s="126"/>
      <c r="CA30" s="126"/>
      <c r="CB30" s="126"/>
      <c r="CC30" s="126"/>
      <c r="CD30" s="126"/>
      <c r="CE30" s="126"/>
      <c r="CF30" s="126"/>
      <c r="CG30" s="126"/>
      <c r="CH30" s="126"/>
      <c r="CI30" s="126"/>
      <c r="CJ30" s="41"/>
      <c r="CL30" s="714"/>
      <c r="CM30" s="32"/>
      <c r="CN30" s="67"/>
      <c r="CO30" s="68"/>
      <c r="CP30" s="68"/>
      <c r="CQ30" s="68"/>
      <c r="CR30" s="97"/>
      <c r="CS30" s="97"/>
      <c r="CT30" s="97"/>
      <c r="CU30" s="97"/>
      <c r="CV30" s="97"/>
      <c r="CW30" s="68"/>
      <c r="CX30" s="68"/>
      <c r="CY30" s="68"/>
      <c r="CZ30" s="68"/>
      <c r="DA30" s="68"/>
      <c r="DB30" s="68"/>
      <c r="DC30" s="68"/>
      <c r="DD30" s="68"/>
      <c r="DE30" s="68"/>
      <c r="DF30" s="68"/>
      <c r="DG30" s="68"/>
      <c r="DH30" s="68"/>
      <c r="DI30" s="68"/>
      <c r="DJ30" s="68"/>
      <c r="DK30" s="68"/>
      <c r="DL30" s="68"/>
      <c r="DM30" s="68"/>
      <c r="DN30" s="68"/>
      <c r="DO30" s="68"/>
      <c r="DP30" s="68"/>
      <c r="DQ30" s="68"/>
      <c r="DR30" s="68"/>
      <c r="DS30" s="68"/>
      <c r="DT30" s="68"/>
      <c r="DU30" s="68"/>
      <c r="DV30" s="68"/>
      <c r="DW30" s="68"/>
      <c r="DX30" s="68"/>
      <c r="DY30" s="68"/>
      <c r="DZ30" s="41"/>
      <c r="EE30" s="68"/>
      <c r="EF30" s="68"/>
      <c r="EG30" s="68"/>
      <c r="EM30" s="68"/>
      <c r="EN30" s="68"/>
      <c r="EO30" s="68"/>
      <c r="EP30" s="68"/>
      <c r="EQ30" s="68"/>
      <c r="ER30" s="68"/>
      <c r="ES30" s="68"/>
      <c r="ET30" s="68"/>
      <c r="EU30" s="68"/>
      <c r="EV30" s="68"/>
      <c r="EW30" s="68"/>
      <c r="EX30" s="68"/>
      <c r="EY30" s="68"/>
      <c r="EZ30" s="68"/>
      <c r="FA30" s="68"/>
      <c r="FB30" s="126">
        <f>'Crops; pasture DISCOUNTED'!IE42</f>
        <v>4.0467893032320692</v>
      </c>
      <c r="FC30" s="126">
        <f>'Crops; pasture DISCOUNTED'!IH42</f>
        <v>4.7731568998109637</v>
      </c>
      <c r="FD30" s="126">
        <f>'Crops; pasture DISCOUNTED'!IK42</f>
        <v>1.9825474586650336</v>
      </c>
      <c r="FE30" s="126"/>
      <c r="FF30" s="126"/>
      <c r="FG30" s="126"/>
      <c r="FH30" s="126"/>
      <c r="FI30" s="126"/>
      <c r="FJ30" s="126"/>
      <c r="FK30" s="126"/>
      <c r="FL30" s="126"/>
      <c r="FM30" s="126"/>
      <c r="FN30" s="126"/>
      <c r="FO30" s="126"/>
      <c r="FP30" s="126"/>
      <c r="FQ30" s="126"/>
      <c r="FR30" s="126"/>
      <c r="FS30" s="126"/>
      <c r="FV30" s="60"/>
      <c r="FY30" s="68"/>
      <c r="FZ30" s="60"/>
      <c r="GF30" s="68"/>
      <c r="GG30" s="126"/>
      <c r="GH30" s="126"/>
      <c r="GI30" s="126"/>
      <c r="GJ30" s="126"/>
      <c r="GK30" s="126"/>
      <c r="GL30" s="126"/>
      <c r="GM30" s="126"/>
      <c r="GN30" s="126"/>
      <c r="GO30" s="126"/>
      <c r="GP30" s="126"/>
      <c r="GQ30" s="126"/>
      <c r="GR30" s="126"/>
      <c r="GS30" s="126"/>
      <c r="GT30" s="126"/>
      <c r="GU30" s="126">
        <f>'Crops; pasture DISCOUNTED'!IR42</f>
        <v>0.41224612926831039</v>
      </c>
      <c r="GV30" s="126">
        <f>'Crops; pasture DISCOUNTED'!IW42</f>
        <v>0.46840122873345935</v>
      </c>
      <c r="GW30" s="126">
        <f>'Crops; pasture DISCOUNTED'!JD42</f>
        <v>0.25266067054500918</v>
      </c>
      <c r="GX30" s="126"/>
      <c r="GY30" s="123"/>
      <c r="GZ30" s="123"/>
      <c r="HA30" s="123"/>
      <c r="HB30" s="123"/>
      <c r="HC30" s="123"/>
      <c r="HD30" s="123"/>
      <c r="HE30" s="123"/>
      <c r="HF30" s="123"/>
      <c r="HG30" s="123"/>
      <c r="HH30" s="123"/>
      <c r="HI30" s="123"/>
      <c r="HJ30" s="123"/>
      <c r="HK30" s="123"/>
      <c r="HL30" s="123"/>
      <c r="HM30" s="123"/>
      <c r="HN30" s="123"/>
      <c r="HO30" s="123"/>
      <c r="HP30" s="60"/>
      <c r="HQ30" s="123"/>
      <c r="HR30" s="60"/>
      <c r="HS30" s="68"/>
      <c r="HT30" s="68"/>
      <c r="HU30" s="68"/>
      <c r="HV30" s="68"/>
      <c r="HW30" s="68"/>
      <c r="HX30" s="68"/>
      <c r="HY30" s="68"/>
      <c r="HZ30" s="68"/>
      <c r="IA30" s="68"/>
      <c r="IB30" s="68"/>
      <c r="IC30" s="68"/>
      <c r="ID30" s="68"/>
      <c r="IE30" s="68"/>
      <c r="IF30" s="68"/>
      <c r="IG30" s="68"/>
      <c r="IH30" s="68"/>
      <c r="II30" s="68"/>
      <c r="IJ30" s="68"/>
      <c r="IK30" s="68"/>
      <c r="IL30" s="68"/>
      <c r="IM30" s="68"/>
      <c r="IN30" s="68"/>
      <c r="IO30" s="431"/>
      <c r="IP30" s="431"/>
      <c r="IQ30" s="431"/>
      <c r="IR30" s="431"/>
      <c r="IS30" s="431"/>
      <c r="IT30" s="431"/>
      <c r="IU30" s="431"/>
      <c r="IV30" s="41"/>
      <c r="IW30" s="60"/>
      <c r="IX30" s="60"/>
      <c r="IY30" s="60"/>
      <c r="IZ30" s="60"/>
      <c r="JA30" s="60"/>
      <c r="JB30" s="60"/>
      <c r="JC30" s="60"/>
      <c r="JD30" s="60"/>
      <c r="JE30" s="60"/>
      <c r="JF30" s="60"/>
      <c r="JG30" s="60"/>
      <c r="JH30" s="60"/>
      <c r="JI30" s="60"/>
      <c r="JJ30" s="60"/>
      <c r="JK30" s="60"/>
      <c r="JL30" s="60"/>
      <c r="JM30" s="123"/>
      <c r="JN30" s="123"/>
      <c r="JO30" s="123"/>
      <c r="JP30" s="123"/>
      <c r="JQ30" s="60"/>
      <c r="JR30" s="60"/>
      <c r="JS30" s="60"/>
      <c r="JT30" s="60"/>
      <c r="JU30" s="60"/>
      <c r="JV30" s="60"/>
      <c r="JW30" s="60"/>
      <c r="JX30" s="60"/>
      <c r="JY30" s="60"/>
      <c r="JZ30" s="60"/>
      <c r="KA30" s="60"/>
      <c r="KB30" s="60"/>
      <c r="KC30" s="60"/>
      <c r="KD30" s="123"/>
      <c r="KE30" s="123"/>
      <c r="KF30" s="123"/>
      <c r="KG30" s="123"/>
      <c r="KH30" s="123"/>
      <c r="KI30" s="123"/>
      <c r="KJ30" s="123"/>
      <c r="KK30" s="123"/>
      <c r="KL30" s="123"/>
      <c r="KM30" s="123"/>
      <c r="KN30" s="123"/>
      <c r="KO30" s="123"/>
      <c r="KP30" s="123"/>
      <c r="KQ30" s="123"/>
      <c r="KR30" s="123"/>
      <c r="KS30" s="123"/>
      <c r="KT30" s="60"/>
      <c r="KU30" s="60"/>
      <c r="KV30" s="60"/>
      <c r="KW30" s="60"/>
      <c r="KX30" s="68"/>
      <c r="KY30" s="60"/>
      <c r="KZ30" s="60"/>
      <c r="LA30" s="60"/>
      <c r="LB30" s="60"/>
      <c r="LC30" s="68"/>
      <c r="LD30" s="68"/>
      <c r="LE30" s="68"/>
      <c r="LF30" s="68"/>
      <c r="LG30" s="68"/>
      <c r="LH30" s="68"/>
      <c r="LI30" s="68"/>
      <c r="LJ30" s="68"/>
      <c r="LK30" s="68"/>
      <c r="LL30" s="68"/>
      <c r="LM30" s="68"/>
      <c r="LN30" s="68"/>
      <c r="LO30" s="68"/>
      <c r="LP30" s="68"/>
      <c r="LQ30" s="68"/>
      <c r="LR30" s="68"/>
      <c r="LS30" s="68"/>
      <c r="LT30" s="68"/>
      <c r="LU30" s="68"/>
      <c r="LV30" s="68"/>
      <c r="LW30" s="68"/>
      <c r="LX30" s="60"/>
      <c r="LY30" s="60"/>
      <c r="LZ30" s="60"/>
      <c r="MA30" s="60"/>
      <c r="MB30" s="68"/>
      <c r="MC30" s="60"/>
      <c r="MD30" s="60"/>
      <c r="ME30" s="60"/>
      <c r="MF30" s="60"/>
      <c r="MG30" s="68"/>
      <c r="MH30" s="68"/>
      <c r="MI30" s="68"/>
      <c r="MJ30" s="68"/>
      <c r="MK30" s="68"/>
      <c r="ML30" s="68"/>
      <c r="MM30" s="68"/>
      <c r="MN30" s="68"/>
      <c r="MO30" s="68"/>
      <c r="MP30" s="68"/>
      <c r="MQ30" s="68"/>
      <c r="MR30" s="60"/>
      <c r="MS30" s="60"/>
      <c r="MT30" s="60"/>
      <c r="MU30" s="60"/>
      <c r="MV30" s="60"/>
      <c r="MW30" s="68"/>
      <c r="MX30" s="68"/>
      <c r="MY30" s="68"/>
      <c r="MZ30" s="68"/>
      <c r="NA30" s="68"/>
      <c r="NB30" s="68"/>
      <c r="NC30" s="68"/>
      <c r="ND30" s="68"/>
      <c r="NE30" s="68"/>
      <c r="NF30" s="68"/>
      <c r="NG30" s="68"/>
      <c r="NH30" s="68"/>
      <c r="NI30" s="68"/>
      <c r="NJ30" s="68"/>
      <c r="NK30" s="68"/>
      <c r="NL30" s="68"/>
      <c r="NM30" s="68"/>
      <c r="NN30" s="68"/>
      <c r="NO30" s="68"/>
      <c r="NP30" s="68"/>
      <c r="NQ30" s="68"/>
      <c r="NR30" s="60"/>
      <c r="NS30" s="60"/>
      <c r="NT30" s="631">
        <f>'Crops; pasture DISCOUNTED'!LI42</f>
        <v>0.92</v>
      </c>
      <c r="NU30" s="631"/>
      <c r="NV30" s="41">
        <f>'Crops; pasture DISCOUNTED'!LJ42</f>
        <v>23.92</v>
      </c>
      <c r="NW30" s="41">
        <f>'Crops; pasture DISCOUNTED'!LK42</f>
        <v>26</v>
      </c>
      <c r="NX30" s="41"/>
      <c r="NY30" s="41"/>
      <c r="NZ30" s="41"/>
      <c r="OA30" s="41">
        <f>'Crops; pasture DISCOUNTED'!LL42</f>
        <v>15.64</v>
      </c>
      <c r="OB30" s="41">
        <f>'Crops; pasture DISCOUNTED'!LM42</f>
        <v>17</v>
      </c>
      <c r="OC30" s="631">
        <f>'Crops; pasture DISCOUNTED'!LN42</f>
        <v>0.17480000000000001</v>
      </c>
      <c r="OD30" s="631">
        <f>'Crops; pasture DISCOUNTED'!LO42</f>
        <v>0.19</v>
      </c>
      <c r="OE30" s="631">
        <f>'Crops; pasture DISCOUNTED'!LP42</f>
        <v>0.32200000000000001</v>
      </c>
      <c r="OF30" s="631">
        <f>'Crops; pasture DISCOUNTED'!LQ42</f>
        <v>0.35</v>
      </c>
      <c r="RU30" s="97"/>
      <c r="RV30" s="97"/>
      <c r="RW30" s="97"/>
      <c r="RX30" s="97"/>
      <c r="RY30" s="97"/>
      <c r="RZ30" s="97"/>
    </row>
    <row r="31" spans="1:494" s="4" customFormat="1" x14ac:dyDescent="0.25">
      <c r="A31" s="14"/>
      <c r="B31" s="14"/>
      <c r="C31" s="14"/>
      <c r="D31" s="708"/>
      <c r="E31" s="102"/>
      <c r="F31" s="102"/>
      <c r="G31" s="102"/>
      <c r="H31" s="102"/>
      <c r="I31" s="102"/>
      <c r="J31" s="102"/>
      <c r="K31" s="102"/>
      <c r="L31" s="102"/>
      <c r="M31" s="102"/>
      <c r="N31" s="628"/>
      <c r="O31" s="67"/>
      <c r="P31" s="67"/>
      <c r="Q31" s="627"/>
      <c r="R31" s="14"/>
      <c r="S31" s="14"/>
      <c r="T31" s="630"/>
      <c r="U31" s="630"/>
      <c r="X31" s="60"/>
      <c r="AB31" s="126"/>
      <c r="AC31" s="126"/>
      <c r="AD31" s="126"/>
      <c r="AE31" s="126"/>
      <c r="AF31" s="126"/>
      <c r="AG31" s="126"/>
      <c r="AH31" s="126"/>
      <c r="AI31" s="126"/>
      <c r="AJ31" s="126"/>
      <c r="AK31" s="60"/>
      <c r="AL31" s="60"/>
      <c r="AM31" s="60"/>
      <c r="AN31" s="60"/>
      <c r="AO31" s="126"/>
      <c r="AP31" s="126"/>
      <c r="AQ31" s="126"/>
      <c r="AR31" s="126"/>
      <c r="AS31" s="126"/>
      <c r="AT31" s="126"/>
      <c r="AU31" s="126"/>
      <c r="AV31" s="126"/>
      <c r="AW31" s="126"/>
      <c r="AX31" s="126"/>
      <c r="AY31" s="126"/>
      <c r="AZ31" s="126"/>
      <c r="BA31" s="126"/>
      <c r="BB31" s="126"/>
      <c r="BC31" s="126"/>
      <c r="BD31" s="126"/>
      <c r="BE31" s="126"/>
      <c r="BF31" s="126"/>
      <c r="BG31" s="126"/>
      <c r="BH31" s="126"/>
      <c r="BI31" s="126"/>
      <c r="BJ31" s="126"/>
      <c r="BK31" s="126"/>
      <c r="BL31" s="126"/>
      <c r="BM31" s="126"/>
      <c r="BN31" s="126"/>
      <c r="BO31" s="126"/>
      <c r="BP31" s="126"/>
      <c r="BQ31" s="126"/>
      <c r="BR31" s="126"/>
      <c r="BS31" s="126"/>
      <c r="BT31" s="126"/>
      <c r="BU31" s="126"/>
      <c r="BV31" s="126"/>
      <c r="BW31" s="126"/>
      <c r="BX31" s="126"/>
      <c r="BY31" s="126"/>
      <c r="BZ31" s="126"/>
      <c r="CA31" s="126"/>
      <c r="CB31" s="126"/>
      <c r="CC31" s="126"/>
      <c r="CD31" s="126"/>
      <c r="CE31" s="126"/>
      <c r="CF31" s="126"/>
      <c r="CG31" s="126"/>
      <c r="CH31" s="126"/>
      <c r="CI31" s="126"/>
      <c r="CJ31" s="41"/>
      <c r="CL31" s="714"/>
      <c r="CM31" s="32"/>
      <c r="CN31" s="67"/>
      <c r="CO31" s="68"/>
      <c r="CP31" s="68"/>
      <c r="CQ31" s="68"/>
      <c r="CR31" s="97"/>
      <c r="CS31" s="97"/>
      <c r="CT31" s="97"/>
      <c r="CU31" s="97"/>
      <c r="CV31" s="97"/>
      <c r="CW31" s="68"/>
      <c r="CX31" s="68"/>
      <c r="CY31" s="68"/>
      <c r="CZ31" s="68"/>
      <c r="DA31" s="68"/>
      <c r="DB31" s="68"/>
      <c r="DC31" s="68"/>
      <c r="DD31" s="68"/>
      <c r="DE31" s="68"/>
      <c r="DF31" s="68"/>
      <c r="DG31" s="68"/>
      <c r="DH31" s="68"/>
      <c r="DI31" s="68"/>
      <c r="DJ31" s="68"/>
      <c r="DK31" s="68"/>
      <c r="DL31" s="68"/>
      <c r="DM31" s="68"/>
      <c r="DN31" s="68"/>
      <c r="DO31" s="68"/>
      <c r="DP31" s="68"/>
      <c r="DQ31" s="68"/>
      <c r="DR31" s="68"/>
      <c r="DS31" s="68"/>
      <c r="DT31" s="68"/>
      <c r="DU31" s="68"/>
      <c r="DV31" s="68"/>
      <c r="DW31" s="68"/>
      <c r="DX31" s="68"/>
      <c r="DY31" s="68"/>
      <c r="DZ31" s="41"/>
      <c r="EE31" s="68"/>
      <c r="EF31" s="68"/>
      <c r="EG31" s="68"/>
      <c r="EM31" s="68"/>
      <c r="EN31" s="68"/>
      <c r="EO31" s="68"/>
      <c r="EP31" s="68"/>
      <c r="EQ31" s="68"/>
      <c r="ER31" s="68"/>
      <c r="ES31" s="68"/>
      <c r="ET31" s="68"/>
      <c r="EU31" s="68"/>
      <c r="EV31" s="68"/>
      <c r="EW31" s="68"/>
      <c r="EX31" s="68"/>
      <c r="EY31" s="68"/>
      <c r="EZ31" s="68"/>
      <c r="FA31" s="68"/>
      <c r="FB31" s="126"/>
      <c r="FC31" s="126"/>
      <c r="FD31" s="126"/>
      <c r="FE31" s="126"/>
      <c r="FF31" s="126"/>
      <c r="FG31" s="126"/>
      <c r="FH31" s="126"/>
      <c r="FI31" s="126"/>
      <c r="FJ31" s="126"/>
      <c r="FK31" s="126"/>
      <c r="FL31" s="126"/>
      <c r="FM31" s="126"/>
      <c r="FN31" s="126"/>
      <c r="FO31" s="126"/>
      <c r="FP31" s="126"/>
      <c r="FQ31" s="126"/>
      <c r="FR31" s="126"/>
      <c r="FS31" s="126"/>
      <c r="FV31" s="60"/>
      <c r="FY31" s="68"/>
      <c r="FZ31" s="60"/>
      <c r="GF31" s="68"/>
      <c r="GG31" s="126"/>
      <c r="GH31" s="126"/>
      <c r="GI31" s="126"/>
      <c r="GJ31" s="126"/>
      <c r="GK31" s="126"/>
      <c r="GL31" s="126"/>
      <c r="GM31" s="126"/>
      <c r="GN31" s="126"/>
      <c r="GO31" s="126"/>
      <c r="GP31" s="126"/>
      <c r="GQ31" s="126"/>
      <c r="GR31" s="126"/>
      <c r="GS31" s="126"/>
      <c r="GT31" s="126"/>
      <c r="GU31" s="126"/>
      <c r="GV31" s="126"/>
      <c r="GW31" s="126"/>
      <c r="GX31" s="126"/>
      <c r="GY31" s="123"/>
      <c r="GZ31" s="123"/>
      <c r="HA31" s="123"/>
      <c r="HB31" s="123"/>
      <c r="HC31" s="123"/>
      <c r="HD31" s="123"/>
      <c r="HE31" s="123"/>
      <c r="HF31" s="123"/>
      <c r="HG31" s="123"/>
      <c r="HH31" s="123"/>
      <c r="HI31" s="123"/>
      <c r="HJ31" s="123"/>
      <c r="HK31" s="123"/>
      <c r="HL31" s="123"/>
      <c r="HM31" s="123"/>
      <c r="HN31" s="123"/>
      <c r="HO31" s="123"/>
      <c r="HP31" s="60"/>
      <c r="HQ31" s="123"/>
      <c r="HR31" s="60"/>
      <c r="HS31" s="68"/>
      <c r="HT31" s="68"/>
      <c r="HU31" s="68"/>
      <c r="HV31" s="68"/>
      <c r="HW31" s="68"/>
      <c r="HX31" s="68"/>
      <c r="HY31" s="68"/>
      <c r="HZ31" s="68"/>
      <c r="IA31" s="68"/>
      <c r="IB31" s="68"/>
      <c r="IC31" s="68"/>
      <c r="ID31" s="68"/>
      <c r="IE31" s="68"/>
      <c r="IF31" s="68"/>
      <c r="IG31" s="68"/>
      <c r="IH31" s="68"/>
      <c r="II31" s="68"/>
      <c r="IJ31" s="68"/>
      <c r="IK31" s="68"/>
      <c r="IL31" s="68"/>
      <c r="IM31" s="68"/>
      <c r="IN31" s="68"/>
      <c r="IO31" s="431"/>
      <c r="IP31" s="431"/>
      <c r="IQ31" s="431"/>
      <c r="IR31" s="431"/>
      <c r="IS31" s="431"/>
      <c r="IT31" s="431"/>
      <c r="IU31" s="431"/>
      <c r="IV31" s="41"/>
      <c r="IW31" s="60"/>
      <c r="IX31" s="60"/>
      <c r="IY31" s="60"/>
      <c r="IZ31" s="60"/>
      <c r="JA31" s="60"/>
      <c r="JB31" s="60"/>
      <c r="JC31" s="60"/>
      <c r="JD31" s="60"/>
      <c r="JE31" s="60"/>
      <c r="JF31" s="60"/>
      <c r="JG31" s="60"/>
      <c r="JH31" s="60"/>
      <c r="JI31" s="60"/>
      <c r="JJ31" s="60"/>
      <c r="JK31" s="60"/>
      <c r="JL31" s="60"/>
      <c r="JM31" s="123"/>
      <c r="JN31" s="123"/>
      <c r="JO31" s="123"/>
      <c r="JP31" s="123"/>
      <c r="JQ31" s="60"/>
      <c r="JR31" s="60"/>
      <c r="JS31" s="60"/>
      <c r="JT31" s="60"/>
      <c r="JU31" s="60"/>
      <c r="JV31" s="60"/>
      <c r="JW31" s="60"/>
      <c r="JX31" s="60"/>
      <c r="JY31" s="60"/>
      <c r="JZ31" s="60"/>
      <c r="KA31" s="60"/>
      <c r="KB31" s="60"/>
      <c r="KC31" s="60"/>
      <c r="KD31" s="123"/>
      <c r="KE31" s="123"/>
      <c r="KF31" s="123"/>
      <c r="KG31" s="123"/>
      <c r="KH31" s="123"/>
      <c r="KI31" s="123"/>
      <c r="KJ31" s="123"/>
      <c r="KK31" s="123"/>
      <c r="KL31" s="123"/>
      <c r="KM31" s="123"/>
      <c r="KN31" s="123"/>
      <c r="KO31" s="123"/>
      <c r="KP31" s="123"/>
      <c r="KQ31" s="123"/>
      <c r="KR31" s="123"/>
      <c r="KS31" s="123"/>
      <c r="KT31" s="60"/>
      <c r="KU31" s="60"/>
      <c r="KV31" s="60"/>
      <c r="KW31" s="60"/>
      <c r="KX31" s="68"/>
      <c r="KY31" s="60"/>
      <c r="KZ31" s="60"/>
      <c r="LA31" s="60"/>
      <c r="LB31" s="60"/>
      <c r="LC31" s="68"/>
      <c r="LD31" s="68"/>
      <c r="LE31" s="68"/>
      <c r="LF31" s="68"/>
      <c r="LG31" s="68"/>
      <c r="LH31" s="68"/>
      <c r="LI31" s="68"/>
      <c r="LJ31" s="68"/>
      <c r="LK31" s="68"/>
      <c r="LL31" s="68"/>
      <c r="LM31" s="68"/>
      <c r="LN31" s="68"/>
      <c r="LO31" s="68"/>
      <c r="LP31" s="68"/>
      <c r="LQ31" s="68"/>
      <c r="LR31" s="68"/>
      <c r="LS31" s="68"/>
      <c r="LT31" s="68"/>
      <c r="LU31" s="68"/>
      <c r="LV31" s="68"/>
      <c r="LW31" s="68"/>
      <c r="LX31" s="60"/>
      <c r="LY31" s="60"/>
      <c r="LZ31" s="60"/>
      <c r="MA31" s="60"/>
      <c r="MB31" s="68"/>
      <c r="MC31" s="60"/>
      <c r="MD31" s="60"/>
      <c r="ME31" s="60"/>
      <c r="MF31" s="60"/>
      <c r="MG31" s="68"/>
      <c r="MH31" s="68"/>
      <c r="MI31" s="68"/>
      <c r="MJ31" s="68"/>
      <c r="MK31" s="68"/>
      <c r="ML31" s="68"/>
      <c r="MM31" s="68"/>
      <c r="MN31" s="68"/>
      <c r="MO31" s="68"/>
      <c r="MP31" s="68"/>
      <c r="MQ31" s="68"/>
      <c r="MR31" s="60"/>
      <c r="MS31" s="60"/>
      <c r="MT31" s="60"/>
      <c r="MU31" s="60"/>
      <c r="MV31" s="60"/>
      <c r="MW31" s="68"/>
      <c r="MX31" s="68"/>
      <c r="MY31" s="68"/>
      <c r="MZ31" s="68"/>
      <c r="NA31" s="68"/>
      <c r="NB31" s="68"/>
      <c r="NC31" s="68"/>
      <c r="ND31" s="68"/>
      <c r="NE31" s="68"/>
      <c r="NF31" s="68"/>
      <c r="NG31" s="68"/>
      <c r="NH31" s="68"/>
      <c r="NI31" s="68"/>
      <c r="NJ31" s="68"/>
      <c r="NK31" s="68"/>
      <c r="NL31" s="68"/>
      <c r="NM31" s="68"/>
      <c r="NN31" s="68"/>
      <c r="NO31" s="68"/>
      <c r="NP31" s="68"/>
      <c r="NQ31" s="68"/>
      <c r="NR31" s="60"/>
      <c r="NS31" s="60"/>
      <c r="NT31" s="631"/>
      <c r="NU31" s="631"/>
      <c r="NV31" s="41"/>
      <c r="NW31" s="41"/>
      <c r="NX31" s="41"/>
      <c r="NY31" s="41"/>
      <c r="NZ31" s="41"/>
      <c r="OA31" s="41"/>
      <c r="OB31" s="41"/>
      <c r="OC31" s="631"/>
      <c r="OD31" s="631"/>
      <c r="OE31" s="631"/>
      <c r="OF31" s="631"/>
      <c r="RU31" s="97"/>
      <c r="RV31" s="97"/>
      <c r="RW31" s="97"/>
      <c r="RX31" s="97"/>
      <c r="RY31" s="97"/>
      <c r="RZ31" s="97"/>
    </row>
    <row r="32" spans="1:494" s="4" customFormat="1" ht="13.8" x14ac:dyDescent="0.3">
      <c r="A32" s="15" t="s">
        <v>86</v>
      </c>
      <c r="B32" s="14"/>
      <c r="C32" s="14"/>
      <c r="D32" s="708"/>
      <c r="E32" s="102"/>
      <c r="F32" s="102"/>
      <c r="G32" s="102"/>
      <c r="H32" s="102"/>
      <c r="I32" s="102"/>
      <c r="J32" s="102"/>
      <c r="K32" s="102"/>
      <c r="L32" s="102"/>
      <c r="M32" s="102"/>
      <c r="N32" s="14"/>
      <c r="O32" s="14"/>
      <c r="P32" s="14"/>
      <c r="Q32" s="14"/>
      <c r="R32" s="14"/>
      <c r="S32" s="14"/>
      <c r="T32" s="14"/>
      <c r="U32" s="14"/>
      <c r="X32" s="60"/>
      <c r="AH32" s="60"/>
      <c r="AI32" s="60"/>
      <c r="AJ32" s="60"/>
      <c r="AZ32" s="60"/>
      <c r="BA32" s="60"/>
      <c r="BB32" s="60"/>
      <c r="BC32" s="60"/>
      <c r="BD32" s="60"/>
      <c r="BE32" s="60"/>
      <c r="BF32" s="60"/>
      <c r="BG32" s="60"/>
      <c r="BH32" s="60"/>
      <c r="BI32" s="60"/>
      <c r="CM32" s="14"/>
      <c r="CO32" s="60"/>
      <c r="CP32" s="60"/>
      <c r="CQ32" s="60"/>
      <c r="CR32" s="580"/>
      <c r="CS32" s="580"/>
      <c r="CT32" s="580"/>
      <c r="CU32" s="580"/>
      <c r="CV32" s="580"/>
      <c r="CW32" s="60"/>
      <c r="CX32" s="60"/>
      <c r="CY32" s="60"/>
      <c r="CZ32" s="60"/>
      <c r="DA32" s="60"/>
      <c r="DB32" s="60"/>
      <c r="DC32" s="60"/>
      <c r="DD32" s="60"/>
      <c r="DE32" s="60"/>
      <c r="DF32" s="60"/>
      <c r="DG32" s="60"/>
      <c r="DH32" s="60"/>
      <c r="DI32" s="60"/>
      <c r="DJ32" s="60"/>
      <c r="DK32" s="60"/>
      <c r="DL32" s="60"/>
      <c r="DM32" s="60"/>
      <c r="DN32" s="60"/>
      <c r="DO32" s="60"/>
      <c r="DP32" s="60"/>
      <c r="DQ32" s="60"/>
      <c r="DR32" s="60"/>
      <c r="DS32" s="60"/>
      <c r="DT32" s="60"/>
      <c r="DU32" s="60"/>
      <c r="DV32" s="60"/>
      <c r="DW32" s="60"/>
      <c r="DX32" s="60"/>
      <c r="DY32" s="60"/>
      <c r="EE32" s="60"/>
      <c r="EF32" s="60"/>
      <c r="EG32" s="60"/>
      <c r="EM32" s="60"/>
      <c r="EN32" s="60"/>
      <c r="EO32" s="60"/>
      <c r="EP32" s="60"/>
      <c r="EQ32" s="60"/>
      <c r="ER32" s="60"/>
      <c r="ES32" s="60"/>
      <c r="ET32" s="60"/>
      <c r="EU32" s="60"/>
      <c r="EV32" s="60"/>
      <c r="EW32" s="60"/>
      <c r="EX32" s="60"/>
      <c r="EY32" s="60"/>
      <c r="EZ32" s="60"/>
      <c r="FA32" s="60"/>
      <c r="FV32" s="60"/>
      <c r="FY32" s="60"/>
      <c r="FZ32" s="60"/>
      <c r="GF32" s="60"/>
      <c r="GY32" s="123"/>
      <c r="GZ32" s="123"/>
      <c r="HA32" s="123"/>
      <c r="HB32" s="123"/>
      <c r="HC32" s="123"/>
      <c r="HD32" s="123"/>
      <c r="HE32" s="123"/>
      <c r="HF32" s="123"/>
      <c r="HG32" s="123"/>
      <c r="HH32" s="123"/>
      <c r="HI32" s="123"/>
      <c r="HJ32" s="123"/>
      <c r="HK32" s="123"/>
      <c r="HL32" s="123"/>
      <c r="HM32" s="123"/>
      <c r="HN32" s="123"/>
      <c r="HO32" s="123"/>
      <c r="HP32" s="60"/>
      <c r="HQ32" s="123"/>
      <c r="HR32" s="60"/>
      <c r="HS32" s="60"/>
      <c r="HT32" s="60"/>
      <c r="HU32" s="60"/>
      <c r="HV32" s="60"/>
      <c r="HW32" s="60"/>
      <c r="HX32" s="60"/>
      <c r="HY32" s="60"/>
      <c r="HZ32" s="60"/>
      <c r="IA32" s="60"/>
      <c r="IB32" s="60"/>
      <c r="IC32" s="60"/>
      <c r="ID32" s="60"/>
      <c r="IE32" s="60"/>
      <c r="IF32" s="60"/>
      <c r="IG32" s="60"/>
      <c r="IH32" s="60"/>
      <c r="II32" s="60"/>
      <c r="IJ32" s="60"/>
      <c r="IK32" s="60"/>
      <c r="IL32" s="60"/>
      <c r="IM32" s="60"/>
      <c r="IN32" s="60"/>
      <c r="IO32" s="431"/>
      <c r="IP32" s="431"/>
      <c r="IQ32" s="431"/>
      <c r="IR32" s="431"/>
      <c r="IS32" s="431"/>
      <c r="IT32" s="431"/>
      <c r="IU32" s="431"/>
      <c r="IW32" s="60"/>
      <c r="IX32" s="60"/>
      <c r="IY32" s="60"/>
      <c r="IZ32" s="60"/>
      <c r="JA32" s="60"/>
      <c r="JB32" s="60"/>
      <c r="JC32" s="60"/>
      <c r="JD32" s="60"/>
      <c r="JE32" s="60"/>
      <c r="JF32" s="60"/>
      <c r="JG32" s="60"/>
      <c r="JH32" s="60"/>
      <c r="JI32" s="60"/>
      <c r="JJ32" s="60"/>
      <c r="JK32" s="60"/>
      <c r="JL32" s="60"/>
      <c r="JM32" s="123"/>
      <c r="JN32" s="123"/>
      <c r="JO32" s="123"/>
      <c r="JP32" s="123"/>
      <c r="JQ32" s="60"/>
      <c r="JR32" s="60"/>
      <c r="JS32" s="60"/>
      <c r="JT32" s="60"/>
      <c r="JU32" s="60"/>
      <c r="JV32" s="60"/>
      <c r="JW32" s="60"/>
      <c r="JX32" s="60"/>
      <c r="JY32" s="60"/>
      <c r="JZ32" s="60"/>
      <c r="KA32" s="60"/>
      <c r="KB32" s="60"/>
      <c r="KC32" s="60"/>
      <c r="KD32" s="123"/>
      <c r="KE32" s="123"/>
      <c r="KF32" s="123"/>
      <c r="KG32" s="123"/>
      <c r="KH32" s="123"/>
      <c r="KI32" s="123"/>
      <c r="KJ32" s="123"/>
      <c r="KK32" s="123"/>
      <c r="KL32" s="123"/>
      <c r="KM32" s="123"/>
      <c r="KN32" s="123"/>
      <c r="KO32" s="123"/>
      <c r="KP32" s="123"/>
      <c r="KQ32" s="123"/>
      <c r="KR32" s="123"/>
      <c r="KS32" s="123"/>
      <c r="KT32" s="60"/>
      <c r="KU32" s="60"/>
      <c r="KV32" s="60"/>
      <c r="KW32" s="60"/>
      <c r="KX32" s="60"/>
      <c r="KY32" s="60"/>
      <c r="KZ32" s="60"/>
      <c r="LA32" s="60"/>
      <c r="LB32" s="60"/>
      <c r="LC32" s="60"/>
      <c r="LD32" s="60"/>
      <c r="LE32" s="60"/>
      <c r="LF32" s="60"/>
      <c r="LG32" s="60"/>
      <c r="LH32" s="60"/>
      <c r="LI32" s="60"/>
      <c r="LJ32" s="60"/>
      <c r="LK32" s="60"/>
      <c r="LL32" s="60"/>
      <c r="LM32" s="60"/>
      <c r="LN32" s="60"/>
      <c r="LO32" s="60"/>
      <c r="LP32" s="60"/>
      <c r="LQ32" s="60"/>
      <c r="LR32" s="60"/>
      <c r="LS32" s="60"/>
      <c r="LT32" s="60"/>
      <c r="LU32" s="60"/>
      <c r="LV32" s="60"/>
      <c r="LW32" s="60"/>
      <c r="LX32" s="60"/>
      <c r="LY32" s="60"/>
      <c r="LZ32" s="60"/>
      <c r="MA32" s="60"/>
      <c r="MB32" s="60"/>
      <c r="MC32" s="60"/>
      <c r="MD32" s="60"/>
      <c r="ME32" s="60"/>
      <c r="MF32" s="60"/>
      <c r="MG32" s="60"/>
      <c r="MH32" s="60"/>
      <c r="MI32" s="60"/>
      <c r="MJ32" s="60"/>
      <c r="MK32" s="60"/>
      <c r="ML32" s="60"/>
      <c r="MM32" s="60"/>
      <c r="MN32" s="60"/>
      <c r="MO32" s="60"/>
      <c r="MP32" s="60"/>
      <c r="MQ32" s="60"/>
      <c r="MR32" s="60"/>
      <c r="MS32" s="60"/>
      <c r="MT32" s="60"/>
      <c r="MU32" s="60"/>
      <c r="MV32" s="60"/>
      <c r="MW32" s="60"/>
      <c r="MX32" s="60"/>
      <c r="MY32" s="60"/>
      <c r="MZ32" s="60"/>
      <c r="NA32" s="60"/>
      <c r="NB32" s="60"/>
      <c r="NC32" s="60"/>
      <c r="ND32" s="60"/>
      <c r="NE32" s="60"/>
      <c r="NF32" s="60"/>
      <c r="NG32" s="60"/>
      <c r="NH32" s="60"/>
      <c r="NI32" s="60"/>
      <c r="NJ32" s="60"/>
      <c r="NK32" s="60"/>
      <c r="NL32" s="60"/>
      <c r="NM32" s="60"/>
      <c r="NN32" s="60"/>
      <c r="NO32" s="60"/>
      <c r="NP32" s="60"/>
      <c r="NQ32" s="60"/>
      <c r="NR32" s="60"/>
      <c r="NS32" s="60"/>
      <c r="NT32" s="718"/>
      <c r="NU32" s="718"/>
      <c r="NV32" s="718"/>
      <c r="NW32" s="718"/>
      <c r="NX32" s="718"/>
      <c r="NY32" s="718"/>
      <c r="NZ32" s="718"/>
      <c r="RU32" s="97"/>
      <c r="RV32" s="97"/>
      <c r="RW32" s="97"/>
      <c r="RX32" s="97"/>
      <c r="RY32" s="97"/>
      <c r="RZ32" s="97"/>
    </row>
    <row r="33" spans="1:494" s="4" customFormat="1" x14ac:dyDescent="0.25">
      <c r="A33" s="14" t="s">
        <v>386</v>
      </c>
      <c r="B33" s="14"/>
      <c r="C33" s="14"/>
      <c r="D33" s="708"/>
      <c r="E33" s="102"/>
      <c r="F33" s="102"/>
      <c r="G33" s="102"/>
      <c r="H33" s="102"/>
      <c r="I33" s="102"/>
      <c r="J33" s="102"/>
      <c r="K33" s="102"/>
      <c r="L33" s="102"/>
      <c r="M33" s="102"/>
      <c r="N33" s="628"/>
      <c r="O33" s="14"/>
      <c r="P33" s="14"/>
      <c r="Q33" s="14"/>
      <c r="R33" s="14"/>
      <c r="S33" s="14"/>
      <c r="T33" s="14"/>
      <c r="U33" s="14"/>
      <c r="X33" s="60"/>
      <c r="AB33" s="126">
        <f>'Crops; pasture DISCOUNTED'!R62</f>
        <v>2.4310392867093897</v>
      </c>
      <c r="AC33" s="126">
        <f>'Crops; pasture DISCOUNTED'!S62</f>
        <v>2.7027027027027026</v>
      </c>
      <c r="AD33" s="126">
        <f>'Crops; pasture DISCOUNTED'!T62</f>
        <v>1.3513513513513513</v>
      </c>
      <c r="AE33" s="126"/>
      <c r="AF33" s="126"/>
      <c r="AH33" s="60"/>
      <c r="AI33" s="60"/>
      <c r="AJ33" s="60"/>
      <c r="AZ33" s="60"/>
      <c r="BA33" s="60"/>
      <c r="BB33" s="60"/>
      <c r="BC33" s="60"/>
      <c r="BD33" s="60"/>
      <c r="BE33" s="60"/>
      <c r="BF33" s="60"/>
      <c r="BG33" s="60"/>
      <c r="BH33" s="60"/>
      <c r="BI33" s="60"/>
      <c r="BP33" s="126">
        <f>'Crops; pasture DISCOUNTED'!HG62</f>
        <v>0.43399841210341755</v>
      </c>
      <c r="BQ33" s="126">
        <f>'Crops; pasture DISCOUNTED'!HK62</f>
        <v>0.50677196901360966</v>
      </c>
      <c r="BR33" s="126">
        <f>'Crops; pasture DISCOUNTED'!HO62</f>
        <v>0.144770173101372</v>
      </c>
      <c r="BS33" s="126">
        <f>'Crops; pasture DISCOUNTED'!HS62</f>
        <v>0.62857719714287408</v>
      </c>
      <c r="BT33" s="126">
        <f>'Crops; pasture DISCOUNTED'!HW62</f>
        <v>0.72533537374869861</v>
      </c>
      <c r="BU33" s="126">
        <f>'Crops; pasture DISCOUNTED'!I62</f>
        <v>3.7</v>
      </c>
      <c r="BV33" s="126"/>
      <c r="BW33" s="126"/>
      <c r="BX33" s="126"/>
      <c r="BY33" s="126"/>
      <c r="BZ33" s="126"/>
      <c r="CA33" s="126"/>
      <c r="CB33" s="126"/>
      <c r="CC33" s="126"/>
      <c r="CD33" s="126"/>
      <c r="CE33" s="126"/>
      <c r="CF33" s="126"/>
      <c r="CG33" s="126"/>
      <c r="CH33" s="126"/>
      <c r="CI33" s="126"/>
      <c r="CM33" s="14"/>
      <c r="CO33" s="60"/>
      <c r="CP33" s="60"/>
      <c r="CQ33" s="60"/>
      <c r="CR33" s="580"/>
      <c r="CS33" s="580"/>
      <c r="CT33" s="580"/>
      <c r="CU33" s="580"/>
      <c r="CV33" s="580"/>
      <c r="CW33" s="60"/>
      <c r="CX33" s="60"/>
      <c r="CY33" s="60"/>
      <c r="CZ33" s="60"/>
      <c r="DA33" s="60"/>
      <c r="DB33" s="60"/>
      <c r="DC33" s="60"/>
      <c r="DD33" s="60"/>
      <c r="DE33" s="60"/>
      <c r="DF33" s="60"/>
      <c r="DG33" s="60"/>
      <c r="DH33" s="60"/>
      <c r="DI33" s="60"/>
      <c r="DJ33" s="60"/>
      <c r="DK33" s="60"/>
      <c r="DL33" s="60"/>
      <c r="DM33" s="60"/>
      <c r="DN33" s="60"/>
      <c r="DO33" s="60"/>
      <c r="DP33" s="60"/>
      <c r="DQ33" s="60"/>
      <c r="DR33" s="60"/>
      <c r="DS33" s="60"/>
      <c r="DT33" s="60"/>
      <c r="DU33" s="60"/>
      <c r="DV33" s="60"/>
      <c r="DW33" s="60"/>
      <c r="DX33" s="60"/>
      <c r="DY33" s="60"/>
      <c r="EE33" s="60"/>
      <c r="EF33" s="60"/>
      <c r="EG33" s="60"/>
      <c r="EM33" s="60"/>
      <c r="EN33" s="60"/>
      <c r="EO33" s="60"/>
      <c r="EP33" s="60"/>
      <c r="EQ33" s="60"/>
      <c r="ER33" s="60"/>
      <c r="ES33" s="60"/>
      <c r="ET33" s="60"/>
      <c r="EU33" s="60"/>
      <c r="EV33" s="60"/>
      <c r="EW33" s="60"/>
      <c r="EX33" s="60"/>
      <c r="EY33" s="60"/>
      <c r="EZ33" s="60"/>
      <c r="FA33" s="60"/>
      <c r="FB33" s="126">
        <f>'Crops; pasture DISCOUNTED'!IE62</f>
        <v>1.2600863750348286</v>
      </c>
      <c r="FC33" s="126">
        <f>'Crops; pasture DISCOUNTED'!IH62</f>
        <v>1.4540540540540539</v>
      </c>
      <c r="FD33" s="126">
        <f>'Crops; pasture DISCOUNTED'!IK62</f>
        <v>0.48918918918918919</v>
      </c>
      <c r="FE33" s="126"/>
      <c r="FF33" s="126"/>
      <c r="FG33" s="126"/>
      <c r="FH33" s="126"/>
      <c r="FI33" s="126"/>
      <c r="FJ33" s="126"/>
      <c r="FK33" s="126"/>
      <c r="FL33" s="126"/>
      <c r="FM33" s="126"/>
      <c r="FN33" s="126"/>
      <c r="FO33" s="126"/>
      <c r="FP33" s="126"/>
      <c r="FQ33" s="126"/>
      <c r="FR33" s="126"/>
      <c r="FV33" s="60"/>
      <c r="FY33" s="60"/>
      <c r="FZ33" s="60"/>
      <c r="GF33" s="60"/>
      <c r="GG33" s="126"/>
      <c r="GH33" s="126"/>
      <c r="GI33" s="126"/>
      <c r="GJ33" s="126"/>
      <c r="GK33" s="126"/>
      <c r="GL33" s="126"/>
      <c r="GM33" s="126"/>
      <c r="GN33" s="126"/>
      <c r="GO33" s="126"/>
      <c r="GP33" s="126"/>
      <c r="GQ33" s="126"/>
      <c r="GR33" s="126"/>
      <c r="GS33" s="126"/>
      <c r="GT33" s="126"/>
      <c r="GU33" s="126">
        <f>'Crops; pasture DISCOUNTED'!IR62</f>
        <v>0.20931951861521317</v>
      </c>
      <c r="GV33" s="126">
        <f>'Crops; pasture DISCOUNTED'!IW62</f>
        <v>0.25374875729729729</v>
      </c>
      <c r="GW33" s="126">
        <f>'Crops; pasture DISCOUNTED'!JD62</f>
        <v>3.2741775135135133E-2</v>
      </c>
      <c r="GX33" s="126"/>
      <c r="GY33" s="60"/>
      <c r="GZ33" s="60"/>
      <c r="HA33" s="60"/>
      <c r="HB33" s="60"/>
      <c r="HC33" s="60"/>
      <c r="HD33" s="60"/>
      <c r="HE33" s="60"/>
      <c r="HF33" s="60"/>
      <c r="HG33" s="60"/>
      <c r="HH33" s="60"/>
      <c r="HI33" s="60"/>
      <c r="HJ33" s="60"/>
      <c r="HK33" s="60"/>
      <c r="HL33" s="60"/>
      <c r="HM33" s="60"/>
      <c r="HN33" s="60"/>
      <c r="HO33" s="60"/>
      <c r="HP33" s="60"/>
      <c r="HQ33" s="60"/>
      <c r="HR33" s="60"/>
      <c r="HS33" s="60"/>
      <c r="HT33" s="60"/>
      <c r="HU33" s="60"/>
      <c r="HV33" s="60"/>
      <c r="HW33" s="60"/>
      <c r="HX33" s="60"/>
      <c r="HY33" s="60"/>
      <c r="HZ33" s="60"/>
      <c r="IA33" s="60"/>
      <c r="IB33" s="60"/>
      <c r="IC33" s="60"/>
      <c r="ID33" s="60"/>
      <c r="IE33" s="60"/>
      <c r="IF33" s="60"/>
      <c r="IG33" s="60"/>
      <c r="IH33" s="60"/>
      <c r="II33" s="60"/>
      <c r="IJ33" s="60"/>
      <c r="IK33" s="60"/>
      <c r="IL33" s="60"/>
      <c r="IM33" s="60"/>
      <c r="IN33" s="60"/>
      <c r="IO33" s="97"/>
      <c r="IP33" s="97"/>
      <c r="IQ33" s="97"/>
      <c r="IR33" s="97"/>
      <c r="IS33" s="97"/>
      <c r="IT33" s="97"/>
      <c r="IU33" s="97"/>
      <c r="IW33" s="60"/>
      <c r="IX33" s="60"/>
      <c r="IY33" s="60"/>
      <c r="IZ33" s="60"/>
      <c r="JA33" s="60"/>
      <c r="JB33" s="60"/>
      <c r="JC33" s="60"/>
      <c r="JD33" s="60"/>
      <c r="JE33" s="60"/>
      <c r="JF33" s="60"/>
      <c r="JG33" s="60"/>
      <c r="JH33" s="60"/>
      <c r="JI33" s="60"/>
      <c r="JJ33" s="60"/>
      <c r="JK33" s="60"/>
      <c r="JL33" s="60"/>
      <c r="JM33" s="60"/>
      <c r="JN33" s="60"/>
      <c r="JO33" s="60"/>
      <c r="JP33" s="123"/>
      <c r="JQ33" s="60"/>
      <c r="JR33" s="60"/>
      <c r="JS33" s="60"/>
      <c r="JT33" s="60"/>
      <c r="JU33" s="60"/>
      <c r="JV33" s="60"/>
      <c r="JW33" s="60"/>
      <c r="JX33" s="60"/>
      <c r="JY33" s="60"/>
      <c r="JZ33" s="60"/>
      <c r="KA33" s="60"/>
      <c r="KB33" s="60"/>
      <c r="KC33" s="60"/>
      <c r="KD33" s="60"/>
      <c r="KE33" s="60"/>
      <c r="KF33" s="60"/>
      <c r="KG33" s="60"/>
      <c r="KH33" s="60"/>
      <c r="KI33" s="60"/>
      <c r="KJ33" s="60"/>
      <c r="KK33" s="60"/>
      <c r="KL33" s="60"/>
      <c r="KM33" s="60"/>
      <c r="KN33" s="60"/>
      <c r="KO33" s="60"/>
      <c r="KP33" s="60"/>
      <c r="KQ33" s="60"/>
      <c r="KR33" s="60"/>
      <c r="KS33" s="60"/>
      <c r="KT33" s="60"/>
      <c r="KU33" s="60"/>
      <c r="KV33" s="60"/>
      <c r="KW33" s="60"/>
      <c r="KX33" s="60"/>
      <c r="KY33" s="60"/>
      <c r="KZ33" s="60"/>
      <c r="LA33" s="60"/>
      <c r="LB33" s="60"/>
      <c r="LC33" s="60"/>
      <c r="LD33" s="60"/>
      <c r="LE33" s="60"/>
      <c r="LF33" s="60"/>
      <c r="LG33" s="60"/>
      <c r="LH33" s="60"/>
      <c r="LI33" s="60"/>
      <c r="LJ33" s="60"/>
      <c r="LK33" s="60"/>
      <c r="LL33" s="60"/>
      <c r="LM33" s="60"/>
      <c r="LN33" s="60"/>
      <c r="LO33" s="60"/>
      <c r="LP33" s="60"/>
      <c r="LQ33" s="60"/>
      <c r="LR33" s="60"/>
      <c r="LS33" s="60"/>
      <c r="LT33" s="60"/>
      <c r="LU33" s="60"/>
      <c r="LV33" s="60"/>
      <c r="LW33" s="60"/>
      <c r="LX33" s="60"/>
      <c r="LY33" s="60"/>
      <c r="LZ33" s="60"/>
      <c r="MA33" s="60"/>
      <c r="MB33" s="60"/>
      <c r="MC33" s="60"/>
      <c r="MD33" s="60"/>
      <c r="ME33" s="60"/>
      <c r="MF33" s="60"/>
      <c r="MG33" s="60"/>
      <c r="MH33" s="60"/>
      <c r="MI33" s="60"/>
      <c r="MJ33" s="60"/>
      <c r="MK33" s="60"/>
      <c r="ML33" s="60"/>
      <c r="MM33" s="60"/>
      <c r="MN33" s="60"/>
      <c r="MO33" s="60"/>
      <c r="MP33" s="60"/>
      <c r="MQ33" s="60"/>
      <c r="MR33" s="60"/>
      <c r="MS33" s="60"/>
      <c r="MT33" s="60"/>
      <c r="MU33" s="60"/>
      <c r="MV33" s="60"/>
      <c r="MW33" s="60"/>
      <c r="MX33" s="60"/>
      <c r="MY33" s="60"/>
      <c r="MZ33" s="60"/>
      <c r="NA33" s="60"/>
      <c r="NB33" s="60"/>
      <c r="NC33" s="60"/>
      <c r="ND33" s="60"/>
      <c r="NE33" s="60"/>
      <c r="NF33" s="60"/>
      <c r="NG33" s="60"/>
      <c r="NH33" s="60"/>
      <c r="NI33" s="60"/>
      <c r="NJ33" s="60"/>
      <c r="NK33" s="60"/>
      <c r="NL33" s="60"/>
      <c r="NM33" s="60"/>
      <c r="NN33" s="60"/>
      <c r="NO33" s="60"/>
      <c r="NP33" s="60"/>
      <c r="NQ33" s="60"/>
      <c r="NR33" s="60"/>
      <c r="NS33" s="60"/>
      <c r="NT33" s="631">
        <f>'Crops; pasture DISCOUNTED'!LI62</f>
        <v>0.25</v>
      </c>
      <c r="NU33" s="631"/>
      <c r="NV33" s="41">
        <f>'Crops; pasture DISCOUNTED'!LJ62</f>
        <v>4.5</v>
      </c>
      <c r="NW33" s="41">
        <f>'Crops; pasture DISCOUNTED'!LK62</f>
        <v>18</v>
      </c>
      <c r="NX33" s="41"/>
      <c r="NY33" s="41"/>
      <c r="NZ33" s="41"/>
      <c r="OA33" s="41"/>
      <c r="OB33" s="41"/>
      <c r="OC33" s="631">
        <f>'Crops; pasture DISCOUNTED'!LN62</f>
        <v>0</v>
      </c>
      <c r="OD33" s="631">
        <f>'Crops; pasture DISCOUNTED'!LO62</f>
        <v>0.125</v>
      </c>
      <c r="OE33" s="631">
        <f>'Crops; pasture DISCOUNTED'!LP62</f>
        <v>0</v>
      </c>
      <c r="OF33" s="631">
        <f>'Crops; pasture DISCOUNTED'!LQ62</f>
        <v>0</v>
      </c>
      <c r="RU33" s="97"/>
      <c r="RV33" s="97"/>
      <c r="RW33" s="97"/>
      <c r="RX33" s="97"/>
      <c r="RY33" s="97"/>
      <c r="RZ33" s="97"/>
    </row>
    <row r="34" spans="1:494" s="4" customFormat="1" x14ac:dyDescent="0.25">
      <c r="A34" s="16"/>
      <c r="B34" s="14"/>
      <c r="C34" s="14"/>
      <c r="D34" s="708"/>
      <c r="E34" s="102"/>
      <c r="F34" s="102"/>
      <c r="G34" s="102"/>
      <c r="H34" s="102"/>
      <c r="I34" s="102"/>
      <c r="J34" s="102"/>
      <c r="K34" s="102"/>
      <c r="L34" s="102"/>
      <c r="M34" s="102"/>
      <c r="N34" s="14"/>
      <c r="O34" s="14"/>
      <c r="P34" s="14"/>
      <c r="Q34" s="14"/>
      <c r="R34" s="14"/>
      <c r="S34" s="14"/>
      <c r="T34" s="14"/>
      <c r="U34" s="14"/>
      <c r="X34" s="60"/>
      <c r="AH34" s="60"/>
      <c r="AI34" s="60"/>
      <c r="AJ34" s="60"/>
      <c r="AZ34" s="60"/>
      <c r="BA34" s="60"/>
      <c r="BB34" s="60"/>
      <c r="BC34" s="60"/>
      <c r="BD34" s="60"/>
      <c r="BE34" s="60"/>
      <c r="BF34" s="60"/>
      <c r="BG34" s="60"/>
      <c r="BH34" s="60"/>
      <c r="BI34" s="60"/>
      <c r="CM34" s="14"/>
      <c r="CO34" s="60"/>
      <c r="CP34" s="60"/>
      <c r="CQ34" s="60"/>
      <c r="CR34" s="580"/>
      <c r="CS34" s="580"/>
      <c r="CT34" s="580"/>
      <c r="CU34" s="580"/>
      <c r="CV34" s="580"/>
      <c r="CW34" s="60"/>
      <c r="CX34" s="60"/>
      <c r="CY34" s="60"/>
      <c r="CZ34" s="60"/>
      <c r="DA34" s="60"/>
      <c r="DB34" s="60"/>
      <c r="DC34" s="60"/>
      <c r="DD34" s="60"/>
      <c r="DE34" s="60"/>
      <c r="DF34" s="60"/>
      <c r="DG34" s="60"/>
      <c r="DH34" s="60"/>
      <c r="DI34" s="60"/>
      <c r="DJ34" s="60"/>
      <c r="DK34" s="60"/>
      <c r="DL34" s="60"/>
      <c r="DM34" s="60"/>
      <c r="DN34" s="60"/>
      <c r="DO34" s="60"/>
      <c r="DP34" s="60"/>
      <c r="DQ34" s="60"/>
      <c r="DR34" s="60"/>
      <c r="DS34" s="60"/>
      <c r="DT34" s="60"/>
      <c r="DU34" s="60"/>
      <c r="DV34" s="60"/>
      <c r="DW34" s="60"/>
      <c r="DX34" s="60"/>
      <c r="DY34" s="60"/>
      <c r="EE34" s="60"/>
      <c r="EF34" s="60"/>
      <c r="EG34" s="60"/>
      <c r="EM34" s="60"/>
      <c r="EN34" s="60"/>
      <c r="EO34" s="60"/>
      <c r="EP34" s="60"/>
      <c r="EQ34" s="60"/>
      <c r="ER34" s="60"/>
      <c r="ES34" s="60"/>
      <c r="ET34" s="60"/>
      <c r="EU34" s="60"/>
      <c r="EV34" s="60"/>
      <c r="EW34" s="60"/>
      <c r="EX34" s="60"/>
      <c r="EY34" s="60"/>
      <c r="EZ34" s="60"/>
      <c r="FA34" s="60"/>
      <c r="FV34" s="60"/>
      <c r="FY34" s="60"/>
      <c r="FZ34" s="60"/>
      <c r="GF34" s="60"/>
      <c r="GY34" s="60"/>
      <c r="GZ34" s="60"/>
      <c r="HA34" s="60"/>
      <c r="HB34" s="60"/>
      <c r="HC34" s="60"/>
      <c r="HD34" s="60"/>
      <c r="HE34" s="60"/>
      <c r="HF34" s="60"/>
      <c r="HG34" s="60"/>
      <c r="HH34" s="60"/>
      <c r="HI34" s="60"/>
      <c r="HJ34" s="60"/>
      <c r="HK34" s="60"/>
      <c r="HL34" s="60"/>
      <c r="HM34" s="60"/>
      <c r="HN34" s="60"/>
      <c r="HO34" s="60"/>
      <c r="HP34" s="60"/>
      <c r="HQ34" s="60"/>
      <c r="HR34" s="60"/>
      <c r="HS34" s="60"/>
      <c r="HT34" s="60"/>
      <c r="HU34" s="60"/>
      <c r="HV34" s="60"/>
      <c r="HW34" s="60"/>
      <c r="HX34" s="60"/>
      <c r="HY34" s="60"/>
      <c r="HZ34" s="60"/>
      <c r="IA34" s="60"/>
      <c r="IB34" s="60"/>
      <c r="IC34" s="60"/>
      <c r="ID34" s="60"/>
      <c r="IE34" s="60"/>
      <c r="IF34" s="60"/>
      <c r="IG34" s="60"/>
      <c r="IH34" s="60"/>
      <c r="II34" s="60"/>
      <c r="IJ34" s="60"/>
      <c r="IK34" s="60"/>
      <c r="IL34" s="60"/>
      <c r="IM34" s="60"/>
      <c r="IN34" s="60"/>
      <c r="IO34" s="595"/>
      <c r="IP34" s="595"/>
      <c r="IQ34" s="595"/>
      <c r="IR34" s="595"/>
      <c r="IS34" s="595"/>
      <c r="IT34" s="595"/>
      <c r="IU34" s="595"/>
      <c r="IW34" s="60"/>
      <c r="IX34" s="60"/>
      <c r="IY34" s="60"/>
      <c r="IZ34" s="60"/>
      <c r="JA34" s="60"/>
      <c r="JB34" s="60"/>
      <c r="JC34" s="60"/>
      <c r="JD34" s="60"/>
      <c r="JE34" s="60"/>
      <c r="JF34" s="60"/>
      <c r="JG34" s="60"/>
      <c r="JH34" s="60"/>
      <c r="JI34" s="60"/>
      <c r="JJ34" s="60"/>
      <c r="JK34" s="60"/>
      <c r="JL34" s="60"/>
      <c r="JM34" s="60"/>
      <c r="JN34" s="60"/>
      <c r="JO34" s="60"/>
      <c r="JP34" s="123"/>
      <c r="JQ34" s="60"/>
      <c r="JR34" s="60"/>
      <c r="JS34" s="60"/>
      <c r="JT34" s="60"/>
      <c r="JU34" s="60"/>
      <c r="JV34" s="60"/>
      <c r="JW34" s="60"/>
      <c r="JX34" s="60"/>
      <c r="JY34" s="60"/>
      <c r="JZ34" s="60"/>
      <c r="KA34" s="60"/>
      <c r="KB34" s="60"/>
      <c r="KC34" s="60"/>
      <c r="KD34" s="60"/>
      <c r="KE34" s="60"/>
      <c r="KF34" s="60"/>
      <c r="KG34" s="60"/>
      <c r="KH34" s="60"/>
      <c r="KI34" s="60"/>
      <c r="KJ34" s="60"/>
      <c r="KK34" s="60"/>
      <c r="KL34" s="60"/>
      <c r="KM34" s="60"/>
      <c r="KN34" s="60"/>
      <c r="KO34" s="60"/>
      <c r="KP34" s="60"/>
      <c r="KQ34" s="60"/>
      <c r="KR34" s="60"/>
      <c r="KS34" s="60"/>
      <c r="KT34" s="60"/>
      <c r="KU34" s="60"/>
      <c r="KV34" s="60"/>
      <c r="KW34" s="60"/>
      <c r="KX34" s="60"/>
      <c r="KY34" s="60"/>
      <c r="KZ34" s="60"/>
      <c r="LA34" s="60"/>
      <c r="LB34" s="60"/>
      <c r="LC34" s="60"/>
      <c r="LD34" s="60"/>
      <c r="LE34" s="60"/>
      <c r="LF34" s="60"/>
      <c r="LG34" s="60"/>
      <c r="LH34" s="60"/>
      <c r="LI34" s="60"/>
      <c r="LJ34" s="60"/>
      <c r="LK34" s="60"/>
      <c r="LL34" s="60"/>
      <c r="LM34" s="60"/>
      <c r="LN34" s="60"/>
      <c r="LO34" s="60"/>
      <c r="LP34" s="60"/>
      <c r="LQ34" s="60"/>
      <c r="LR34" s="60"/>
      <c r="LS34" s="60"/>
      <c r="LT34" s="60"/>
      <c r="LU34" s="60"/>
      <c r="LV34" s="60"/>
      <c r="LW34" s="60"/>
      <c r="LX34" s="60"/>
      <c r="LY34" s="60"/>
      <c r="LZ34" s="60"/>
      <c r="MA34" s="60"/>
      <c r="MB34" s="60"/>
      <c r="MC34" s="60"/>
      <c r="MD34" s="60"/>
      <c r="ME34" s="60"/>
      <c r="MF34" s="60"/>
      <c r="MG34" s="60"/>
      <c r="MH34" s="60"/>
      <c r="MI34" s="60"/>
      <c r="MJ34" s="60"/>
      <c r="MK34" s="60"/>
      <c r="ML34" s="60"/>
      <c r="MM34" s="60"/>
      <c r="MN34" s="60"/>
      <c r="MO34" s="60"/>
      <c r="MP34" s="60"/>
      <c r="MQ34" s="60"/>
      <c r="MR34" s="60"/>
      <c r="MS34" s="60"/>
      <c r="MT34" s="60"/>
      <c r="MU34" s="60"/>
      <c r="MV34" s="60"/>
      <c r="MW34" s="60"/>
      <c r="MX34" s="60"/>
      <c r="MY34" s="60"/>
      <c r="MZ34" s="60"/>
      <c r="NA34" s="60"/>
      <c r="NB34" s="60"/>
      <c r="NC34" s="60"/>
      <c r="ND34" s="60"/>
      <c r="NE34" s="60"/>
      <c r="NF34" s="60"/>
      <c r="NG34" s="60"/>
      <c r="NH34" s="60"/>
      <c r="NI34" s="60"/>
      <c r="NJ34" s="60"/>
      <c r="NK34" s="60"/>
      <c r="NL34" s="60"/>
      <c r="NM34" s="60"/>
      <c r="NN34" s="60"/>
      <c r="NO34" s="60"/>
      <c r="NP34" s="60"/>
      <c r="NQ34" s="60"/>
      <c r="NR34" s="60"/>
      <c r="NS34" s="60"/>
      <c r="NT34" s="718"/>
      <c r="NU34" s="718"/>
      <c r="NV34" s="718"/>
      <c r="NW34" s="718"/>
      <c r="NX34" s="718"/>
      <c r="NY34" s="718"/>
      <c r="NZ34" s="718"/>
      <c r="RU34" s="97"/>
      <c r="RV34" s="97"/>
      <c r="RW34" s="97"/>
      <c r="RX34" s="97"/>
      <c r="RY34" s="97"/>
      <c r="RZ34" s="97"/>
    </row>
    <row r="35" spans="1:494" s="4" customFormat="1" ht="13.8" x14ac:dyDescent="0.3">
      <c r="A35" s="15" t="s">
        <v>309</v>
      </c>
      <c r="B35" s="14"/>
      <c r="C35" s="14"/>
      <c r="D35" s="708"/>
      <c r="E35" s="102"/>
      <c r="F35" s="102"/>
      <c r="G35" s="102"/>
      <c r="H35" s="102"/>
      <c r="I35" s="102"/>
      <c r="J35" s="102"/>
      <c r="K35" s="102"/>
      <c r="L35" s="102"/>
      <c r="M35" s="102"/>
      <c r="N35" s="14"/>
      <c r="O35" s="14"/>
      <c r="P35" s="14"/>
      <c r="Q35" s="14"/>
      <c r="R35" s="14"/>
      <c r="S35" s="14"/>
      <c r="T35" s="14"/>
      <c r="U35" s="14"/>
      <c r="X35" s="60"/>
      <c r="AH35" s="60"/>
      <c r="AI35" s="60"/>
      <c r="AJ35" s="60"/>
      <c r="AZ35" s="60"/>
      <c r="BA35" s="60"/>
      <c r="BB35" s="60"/>
      <c r="BC35" s="60"/>
      <c r="BD35" s="60"/>
      <c r="BE35" s="60"/>
      <c r="BF35" s="60"/>
      <c r="BG35" s="60"/>
      <c r="BH35" s="60"/>
      <c r="BI35" s="60"/>
      <c r="CM35" s="14"/>
      <c r="CO35" s="60"/>
      <c r="CP35" s="60"/>
      <c r="CQ35" s="60"/>
      <c r="CR35" s="580"/>
      <c r="CS35" s="580"/>
      <c r="CT35" s="580"/>
      <c r="CU35" s="580"/>
      <c r="CV35" s="580"/>
      <c r="CW35" s="60"/>
      <c r="CX35" s="60"/>
      <c r="CY35" s="60"/>
      <c r="CZ35" s="60"/>
      <c r="DA35" s="60"/>
      <c r="DB35" s="60"/>
      <c r="DC35" s="60"/>
      <c r="DD35" s="60"/>
      <c r="DE35" s="60"/>
      <c r="DF35" s="60"/>
      <c r="DG35" s="60"/>
      <c r="DH35" s="60"/>
      <c r="DI35" s="60"/>
      <c r="DJ35" s="60"/>
      <c r="DK35" s="60"/>
      <c r="DL35" s="60"/>
      <c r="DM35" s="60"/>
      <c r="DN35" s="60"/>
      <c r="DO35" s="60"/>
      <c r="DP35" s="60"/>
      <c r="DQ35" s="60"/>
      <c r="DR35" s="60"/>
      <c r="DS35" s="60"/>
      <c r="DT35" s="60"/>
      <c r="DU35" s="60"/>
      <c r="DV35" s="60"/>
      <c r="DW35" s="60"/>
      <c r="DX35" s="60"/>
      <c r="DY35" s="60"/>
      <c r="EE35" s="60"/>
      <c r="EF35" s="60"/>
      <c r="EG35" s="60"/>
      <c r="EM35" s="60"/>
      <c r="EN35" s="60"/>
      <c r="EO35" s="60"/>
      <c r="EP35" s="60"/>
      <c r="EQ35" s="60"/>
      <c r="ER35" s="60"/>
      <c r="ES35" s="60"/>
      <c r="ET35" s="60"/>
      <c r="EU35" s="60"/>
      <c r="EV35" s="60"/>
      <c r="EW35" s="60"/>
      <c r="EX35" s="60"/>
      <c r="EY35" s="60"/>
      <c r="EZ35" s="60"/>
      <c r="FA35" s="60"/>
      <c r="FV35" s="60"/>
      <c r="FY35" s="60"/>
      <c r="FZ35" s="60"/>
      <c r="GF35" s="60"/>
      <c r="GY35" s="123"/>
      <c r="GZ35" s="123"/>
      <c r="HA35" s="123"/>
      <c r="HB35" s="123"/>
      <c r="HC35" s="123"/>
      <c r="HD35" s="123"/>
      <c r="HE35" s="123"/>
      <c r="HF35" s="123"/>
      <c r="HG35" s="123"/>
      <c r="HH35" s="123"/>
      <c r="HI35" s="123"/>
      <c r="HJ35" s="123"/>
      <c r="HK35" s="123"/>
      <c r="HL35" s="123"/>
      <c r="HM35" s="123"/>
      <c r="HN35" s="123"/>
      <c r="HO35" s="123"/>
      <c r="HP35" s="60"/>
      <c r="HQ35" s="123"/>
      <c r="HR35" s="60"/>
      <c r="HS35" s="60"/>
      <c r="HT35" s="60"/>
      <c r="HU35" s="60"/>
      <c r="HV35" s="60"/>
      <c r="HW35" s="60"/>
      <c r="HX35" s="60"/>
      <c r="HY35" s="60"/>
      <c r="HZ35" s="60"/>
      <c r="IA35" s="60"/>
      <c r="IB35" s="60"/>
      <c r="IC35" s="60"/>
      <c r="ID35" s="60"/>
      <c r="IE35" s="60"/>
      <c r="IF35" s="60"/>
      <c r="IG35" s="60"/>
      <c r="IH35" s="60"/>
      <c r="II35" s="60"/>
      <c r="IJ35" s="60"/>
      <c r="IK35" s="60"/>
      <c r="IL35" s="60"/>
      <c r="IM35" s="60"/>
      <c r="IN35" s="60"/>
      <c r="IO35" s="431"/>
      <c r="IP35" s="431"/>
      <c r="IQ35" s="431"/>
      <c r="IR35" s="431"/>
      <c r="IS35" s="431"/>
      <c r="IT35" s="431"/>
      <c r="IU35" s="431"/>
      <c r="IW35" s="60"/>
      <c r="IX35" s="60"/>
      <c r="IY35" s="60"/>
      <c r="IZ35" s="60"/>
      <c r="JA35" s="60"/>
      <c r="JB35" s="60"/>
      <c r="JC35" s="60"/>
      <c r="JD35" s="60"/>
      <c r="JE35" s="60"/>
      <c r="JF35" s="60"/>
      <c r="JG35" s="60"/>
      <c r="JH35" s="60"/>
      <c r="JI35" s="60"/>
      <c r="JJ35" s="60"/>
      <c r="JK35" s="60"/>
      <c r="JL35" s="60"/>
      <c r="JM35" s="123"/>
      <c r="JN35" s="123"/>
      <c r="JO35" s="123"/>
      <c r="JP35" s="123"/>
      <c r="JQ35" s="60"/>
      <c r="JR35" s="60"/>
      <c r="JS35" s="60"/>
      <c r="JT35" s="60"/>
      <c r="JU35" s="60"/>
      <c r="JV35" s="60"/>
      <c r="JW35" s="60"/>
      <c r="JX35" s="60"/>
      <c r="JY35" s="60"/>
      <c r="JZ35" s="60"/>
      <c r="KA35" s="60"/>
      <c r="KB35" s="60"/>
      <c r="KC35" s="60"/>
      <c r="KD35" s="123"/>
      <c r="KE35" s="123"/>
      <c r="KF35" s="123"/>
      <c r="KG35" s="123"/>
      <c r="KH35" s="123"/>
      <c r="KI35" s="123"/>
      <c r="KJ35" s="123"/>
      <c r="KK35" s="123"/>
      <c r="KL35" s="123"/>
      <c r="KM35" s="123"/>
      <c r="KN35" s="123"/>
      <c r="KO35" s="123"/>
      <c r="KP35" s="123"/>
      <c r="KQ35" s="123"/>
      <c r="KR35" s="123"/>
      <c r="KS35" s="123"/>
      <c r="KT35" s="60"/>
      <c r="KU35" s="60"/>
      <c r="KV35" s="60"/>
      <c r="KW35" s="60"/>
      <c r="KX35" s="60"/>
      <c r="KY35" s="60"/>
      <c r="KZ35" s="60"/>
      <c r="LA35" s="60"/>
      <c r="LB35" s="60"/>
      <c r="LC35" s="60"/>
      <c r="LD35" s="60"/>
      <c r="LE35" s="60"/>
      <c r="LF35" s="60"/>
      <c r="LG35" s="60"/>
      <c r="LH35" s="60"/>
      <c r="LI35" s="60"/>
      <c r="LJ35" s="60"/>
      <c r="LK35" s="60"/>
      <c r="LL35" s="60"/>
      <c r="LM35" s="60"/>
      <c r="LN35" s="60"/>
      <c r="LO35" s="60"/>
      <c r="LP35" s="60"/>
      <c r="LQ35" s="60"/>
      <c r="LR35" s="60"/>
      <c r="LS35" s="60"/>
      <c r="LT35" s="60"/>
      <c r="LU35" s="60"/>
      <c r="LV35" s="60"/>
      <c r="LW35" s="60"/>
      <c r="LX35" s="60"/>
      <c r="LY35" s="60"/>
      <c r="LZ35" s="60"/>
      <c r="MA35" s="60"/>
      <c r="MB35" s="60"/>
      <c r="MC35" s="60"/>
      <c r="MD35" s="60"/>
      <c r="ME35" s="60"/>
      <c r="MF35" s="60"/>
      <c r="MG35" s="60"/>
      <c r="MH35" s="60"/>
      <c r="MI35" s="60"/>
      <c r="MJ35" s="60"/>
      <c r="MK35" s="60"/>
      <c r="ML35" s="60"/>
      <c r="MM35" s="60"/>
      <c r="MN35" s="60"/>
      <c r="MO35" s="60"/>
      <c r="MP35" s="60"/>
      <c r="MQ35" s="60"/>
      <c r="MR35" s="60"/>
      <c r="MS35" s="60"/>
      <c r="MT35" s="60"/>
      <c r="MU35" s="60"/>
      <c r="MV35" s="60"/>
      <c r="MW35" s="60"/>
      <c r="MX35" s="60"/>
      <c r="MY35" s="60"/>
      <c r="MZ35" s="60"/>
      <c r="NA35" s="60"/>
      <c r="NB35" s="60"/>
      <c r="NC35" s="60"/>
      <c r="ND35" s="60"/>
      <c r="NE35" s="60"/>
      <c r="NF35" s="60"/>
      <c r="NG35" s="60"/>
      <c r="NH35" s="60"/>
      <c r="NI35" s="60"/>
      <c r="NJ35" s="60"/>
      <c r="NK35" s="60"/>
      <c r="NL35" s="60"/>
      <c r="NM35" s="60"/>
      <c r="NN35" s="60"/>
      <c r="NO35" s="60"/>
      <c r="NP35" s="60"/>
      <c r="NQ35" s="60"/>
      <c r="NR35" s="60"/>
      <c r="NS35" s="60"/>
      <c r="NT35" s="718"/>
      <c r="NU35" s="718"/>
      <c r="NV35" s="718"/>
      <c r="NW35" s="718"/>
      <c r="NX35" s="718"/>
      <c r="NY35" s="718"/>
      <c r="NZ35" s="718"/>
      <c r="RU35" s="97"/>
      <c r="RV35" s="97"/>
      <c r="RW35" s="97"/>
      <c r="RX35" s="97"/>
      <c r="RY35" s="97"/>
      <c r="RZ35" s="97"/>
    </row>
    <row r="36" spans="1:494" s="4" customFormat="1" x14ac:dyDescent="0.25">
      <c r="A36" s="14" t="s">
        <v>347</v>
      </c>
      <c r="B36" s="14"/>
      <c r="C36" s="14"/>
      <c r="D36" s="708"/>
      <c r="E36" s="102"/>
      <c r="F36" s="102"/>
      <c r="G36" s="102"/>
      <c r="H36" s="102"/>
      <c r="I36" s="102"/>
      <c r="J36" s="102"/>
      <c r="K36" s="102"/>
      <c r="L36" s="102"/>
      <c r="M36" s="102"/>
      <c r="N36" s="628">
        <f>'Crops; pasture DISCOUNTED'!V69</f>
        <v>64.296959999999999</v>
      </c>
      <c r="O36" s="67">
        <f t="shared" ref="O36:P36" si="7">R36+T36</f>
        <v>71.280071280071283</v>
      </c>
      <c r="P36" s="67">
        <f t="shared" si="7"/>
        <v>64.86486486486487</v>
      </c>
      <c r="Q36" s="719">
        <f t="shared" ref="Q36" si="8">P36/N36</f>
        <v>1.0088325305716612</v>
      </c>
      <c r="R36" s="14"/>
      <c r="S36" s="14"/>
      <c r="T36" s="630">
        <f>U36/NT36</f>
        <v>71.280071280071283</v>
      </c>
      <c r="U36" s="630">
        <f>W153/C153</f>
        <v>64.86486486486487</v>
      </c>
      <c r="X36" s="60"/>
      <c r="AB36" s="41">
        <f>'Crops; pasture DISCOUNTED'!R69</f>
        <v>5.2568581780538297</v>
      </c>
      <c r="AC36" s="41">
        <f>'Crops; pasture DISCOUNTED'!S69</f>
        <v>7.5786282682834409</v>
      </c>
      <c r="AD36" s="41">
        <f>'Crops; pasture DISCOUNTED'!T69</f>
        <v>3.8968124074507058</v>
      </c>
      <c r="AE36" s="41"/>
      <c r="AF36" s="41"/>
      <c r="AH36" s="60"/>
      <c r="AI36" s="60"/>
      <c r="AJ36" s="60"/>
      <c r="AZ36" s="60"/>
      <c r="BA36" s="60"/>
      <c r="BB36" s="60"/>
      <c r="BC36" s="60"/>
      <c r="BD36" s="60"/>
      <c r="BE36" s="60"/>
      <c r="BF36" s="60"/>
      <c r="BG36" s="60"/>
      <c r="BH36" s="60"/>
      <c r="BI36" s="60"/>
      <c r="BP36" s="126">
        <f>'Crops; pasture DISCOUNTED'!HG69</f>
        <v>0.83262836698098275</v>
      </c>
      <c r="BQ36" s="126">
        <f>'Crops; pasture DISCOUNTED'!HK69</f>
        <v>1.5609857237656541</v>
      </c>
      <c r="BR36" s="126">
        <f>'Crops; pasture DISCOUNTED'!HO69</f>
        <v>0.40597141815074833</v>
      </c>
      <c r="BS36" s="126">
        <f>'Crops; pasture DISCOUNTED'!HS69</f>
        <v>1.1788461742804779</v>
      </c>
      <c r="BT36" s="126">
        <f>'Crops; pasture DISCOUNTED'!HW69</f>
        <v>2.2720787706915306</v>
      </c>
      <c r="BU36" s="126">
        <f>'Crops; pasture DISCOUNTED'!I69</f>
        <v>1.3194999999999999</v>
      </c>
      <c r="BV36" s="126"/>
      <c r="BW36" s="126"/>
      <c r="BX36" s="126"/>
      <c r="BY36" s="126"/>
      <c r="BZ36" s="126"/>
      <c r="CA36" s="126"/>
      <c r="CB36" s="126"/>
      <c r="CC36" s="126"/>
      <c r="CD36" s="126"/>
      <c r="CE36" s="126"/>
      <c r="CF36" s="126"/>
      <c r="CG36" s="126"/>
      <c r="CH36" s="126"/>
      <c r="CI36" s="126"/>
      <c r="CM36" s="14"/>
      <c r="CO36" s="60"/>
      <c r="CP36" s="60"/>
      <c r="CQ36" s="60"/>
      <c r="CR36" s="580"/>
      <c r="CS36" s="580"/>
      <c r="CT36" s="580"/>
      <c r="CU36" s="580"/>
      <c r="CV36" s="580"/>
      <c r="CW36" s="60"/>
      <c r="CX36" s="60"/>
      <c r="CY36" s="60"/>
      <c r="CZ36" s="60"/>
      <c r="DA36" s="60"/>
      <c r="DB36" s="60"/>
      <c r="DC36" s="60"/>
      <c r="DD36" s="60"/>
      <c r="DE36" s="60"/>
      <c r="DF36" s="60"/>
      <c r="DG36" s="60"/>
      <c r="DH36" s="60"/>
      <c r="DI36" s="60"/>
      <c r="DJ36" s="60"/>
      <c r="DK36" s="60"/>
      <c r="DL36" s="60"/>
      <c r="DM36" s="60"/>
      <c r="DN36" s="60"/>
      <c r="DO36" s="60"/>
      <c r="DP36" s="60"/>
      <c r="DQ36" s="60"/>
      <c r="DR36" s="60"/>
      <c r="DS36" s="60"/>
      <c r="DT36" s="60"/>
      <c r="DU36" s="60"/>
      <c r="DV36" s="60"/>
      <c r="DW36" s="60"/>
      <c r="DX36" s="60"/>
      <c r="DY36" s="60"/>
      <c r="EE36" s="60"/>
      <c r="EF36" s="60"/>
      <c r="EG36" s="60"/>
      <c r="EM36" s="60"/>
      <c r="EN36" s="60"/>
      <c r="EO36" s="60"/>
      <c r="EP36" s="60"/>
      <c r="EQ36" s="60"/>
      <c r="ER36" s="60"/>
      <c r="ES36" s="60"/>
      <c r="ET36" s="60"/>
      <c r="EU36" s="60"/>
      <c r="EV36" s="60"/>
      <c r="EW36" s="60"/>
      <c r="EX36" s="60"/>
      <c r="EY36" s="60"/>
      <c r="EZ36" s="60"/>
      <c r="FA36" s="60"/>
      <c r="FB36" s="126">
        <f>'Crops; pasture DISCOUNTED'!IE69</f>
        <v>2.3631910435578916</v>
      </c>
      <c r="FC36" s="126">
        <f>'Crops; pasture DISCOUNTED'!IH69</f>
        <v>4.554755589238348</v>
      </c>
      <c r="FD36" s="126">
        <f>'Crops; pasture DISCOUNTED'!IK69</f>
        <v>1.0794170368638454</v>
      </c>
      <c r="FE36" s="126"/>
      <c r="FF36" s="126"/>
      <c r="FG36" s="126"/>
      <c r="FH36" s="126"/>
      <c r="FI36" s="126"/>
      <c r="FJ36" s="126"/>
      <c r="FK36" s="126"/>
      <c r="FL36" s="126"/>
      <c r="FM36" s="126"/>
      <c r="FN36" s="126"/>
      <c r="FO36" s="126"/>
      <c r="FP36" s="126"/>
      <c r="FQ36" s="126"/>
      <c r="FR36" s="126"/>
      <c r="FS36" s="126"/>
      <c r="FV36" s="60"/>
      <c r="FY36" s="60"/>
      <c r="FZ36" s="60"/>
      <c r="GF36" s="60"/>
      <c r="GG36" s="126"/>
      <c r="GH36" s="126"/>
      <c r="GI36" s="126"/>
      <c r="GJ36" s="126"/>
      <c r="GK36" s="126"/>
      <c r="GL36" s="126"/>
      <c r="GM36" s="126"/>
      <c r="GN36" s="126"/>
      <c r="GO36" s="126"/>
      <c r="GP36" s="126"/>
      <c r="GQ36" s="126"/>
      <c r="GR36" s="126"/>
      <c r="GS36" s="126"/>
      <c r="GT36" s="126"/>
      <c r="GU36" s="126">
        <f>'Crops; pasture DISCOUNTED'!IR69</f>
        <v>9.2676617370401351E-2</v>
      </c>
      <c r="GV36" s="126">
        <f>'Crops; pasture DISCOUNTED'!IW69</f>
        <v>0.18192891246684353</v>
      </c>
      <c r="GW36" s="126">
        <f>'Crops; pasture DISCOUNTED'!JD69</f>
        <v>4.0394435351882162E-2</v>
      </c>
      <c r="GX36" s="126"/>
      <c r="GY36" s="123"/>
      <c r="GZ36" s="123"/>
      <c r="HA36" s="123"/>
      <c r="HB36" s="123"/>
      <c r="HC36" s="123"/>
      <c r="HD36" s="123"/>
      <c r="HE36" s="123"/>
      <c r="HF36" s="123"/>
      <c r="HG36" s="123"/>
      <c r="HH36" s="123"/>
      <c r="HI36" s="123"/>
      <c r="HJ36" s="123"/>
      <c r="HK36" s="123"/>
      <c r="HL36" s="123"/>
      <c r="HM36" s="123"/>
      <c r="HN36" s="123"/>
      <c r="HO36" s="123"/>
      <c r="HP36" s="60"/>
      <c r="HQ36" s="123"/>
      <c r="HR36" s="60"/>
      <c r="HS36" s="60"/>
      <c r="HT36" s="60"/>
      <c r="HU36" s="60"/>
      <c r="HV36" s="60"/>
      <c r="HW36" s="60"/>
      <c r="HX36" s="60"/>
      <c r="HY36" s="60"/>
      <c r="HZ36" s="60"/>
      <c r="IA36" s="60"/>
      <c r="IB36" s="60"/>
      <c r="IC36" s="60"/>
      <c r="ID36" s="60"/>
      <c r="IE36" s="60"/>
      <c r="IF36" s="60"/>
      <c r="IG36" s="60"/>
      <c r="IH36" s="60"/>
      <c r="II36" s="60"/>
      <c r="IJ36" s="60"/>
      <c r="IK36" s="60"/>
      <c r="IL36" s="60"/>
      <c r="IM36" s="60"/>
      <c r="IN36" s="60"/>
      <c r="IO36" s="431"/>
      <c r="IP36" s="431"/>
      <c r="IQ36" s="431"/>
      <c r="IR36" s="431"/>
      <c r="IS36" s="431"/>
      <c r="IT36" s="431"/>
      <c r="IU36" s="431"/>
      <c r="IW36" s="60"/>
      <c r="IX36" s="60"/>
      <c r="IY36" s="60"/>
      <c r="IZ36" s="60"/>
      <c r="JA36" s="60"/>
      <c r="JB36" s="60"/>
      <c r="JC36" s="60"/>
      <c r="JD36" s="60"/>
      <c r="JE36" s="60"/>
      <c r="JF36" s="60"/>
      <c r="JG36" s="60"/>
      <c r="JH36" s="60"/>
      <c r="JI36" s="60"/>
      <c r="JJ36" s="60"/>
      <c r="JK36" s="60"/>
      <c r="JL36" s="60"/>
      <c r="JM36" s="123"/>
      <c r="JN36" s="123"/>
      <c r="JO36" s="123"/>
      <c r="JP36" s="123"/>
      <c r="JQ36" s="60"/>
      <c r="JR36" s="60"/>
      <c r="JS36" s="60"/>
      <c r="JT36" s="60"/>
      <c r="JU36" s="60"/>
      <c r="JV36" s="60"/>
      <c r="JW36" s="60"/>
      <c r="JX36" s="60"/>
      <c r="JY36" s="60"/>
      <c r="JZ36" s="60"/>
      <c r="KA36" s="60"/>
      <c r="KB36" s="60"/>
      <c r="KC36" s="60"/>
      <c r="KD36" s="123"/>
      <c r="KE36" s="123"/>
      <c r="KF36" s="123"/>
      <c r="KG36" s="123"/>
      <c r="KH36" s="123"/>
      <c r="KI36" s="123"/>
      <c r="KJ36" s="123"/>
      <c r="KK36" s="123"/>
      <c r="KL36" s="123"/>
      <c r="KM36" s="123"/>
      <c r="KN36" s="123"/>
      <c r="KO36" s="123"/>
      <c r="KP36" s="123"/>
      <c r="KQ36" s="123"/>
      <c r="KR36" s="123"/>
      <c r="KS36" s="123"/>
      <c r="KT36" s="60"/>
      <c r="KU36" s="60"/>
      <c r="KV36" s="60"/>
      <c r="KW36" s="60"/>
      <c r="KX36" s="60"/>
      <c r="KY36" s="60"/>
      <c r="KZ36" s="60"/>
      <c r="LA36" s="60"/>
      <c r="LB36" s="60"/>
      <c r="LC36" s="60"/>
      <c r="LD36" s="60"/>
      <c r="LE36" s="60"/>
      <c r="LF36" s="60"/>
      <c r="LG36" s="60"/>
      <c r="LH36" s="60"/>
      <c r="LI36" s="60"/>
      <c r="LJ36" s="60"/>
      <c r="LK36" s="60"/>
      <c r="LL36" s="60"/>
      <c r="LM36" s="60"/>
      <c r="LN36" s="60"/>
      <c r="LO36" s="60"/>
      <c r="LP36" s="60"/>
      <c r="LQ36" s="60"/>
      <c r="LR36" s="60"/>
      <c r="LS36" s="60"/>
      <c r="LT36" s="60"/>
      <c r="LU36" s="60"/>
      <c r="LV36" s="60"/>
      <c r="LW36" s="60"/>
      <c r="LX36" s="60"/>
      <c r="LY36" s="60"/>
      <c r="LZ36" s="60"/>
      <c r="MA36" s="60"/>
      <c r="MB36" s="60"/>
      <c r="MC36" s="60"/>
      <c r="MD36" s="60"/>
      <c r="ME36" s="60"/>
      <c r="MF36" s="60"/>
      <c r="MG36" s="60"/>
      <c r="MH36" s="60"/>
      <c r="MI36" s="60"/>
      <c r="MJ36" s="60"/>
      <c r="MK36" s="60"/>
      <c r="ML36" s="60"/>
      <c r="MM36" s="60"/>
      <c r="MN36" s="60"/>
      <c r="MO36" s="60"/>
      <c r="MP36" s="60"/>
      <c r="MQ36" s="60"/>
      <c r="MR36" s="60"/>
      <c r="MS36" s="60"/>
      <c r="MT36" s="60"/>
      <c r="MU36" s="60"/>
      <c r="MV36" s="60"/>
      <c r="MW36" s="60"/>
      <c r="MX36" s="60"/>
      <c r="MY36" s="60"/>
      <c r="MZ36" s="60"/>
      <c r="NA36" s="60"/>
      <c r="NB36" s="60"/>
      <c r="NC36" s="60"/>
      <c r="ND36" s="60"/>
      <c r="NE36" s="60"/>
      <c r="NF36" s="60"/>
      <c r="NG36" s="60"/>
      <c r="NH36" s="60"/>
      <c r="NI36" s="60"/>
      <c r="NJ36" s="60"/>
      <c r="NK36" s="60"/>
      <c r="NL36" s="60"/>
      <c r="NM36" s="60"/>
      <c r="NN36" s="60"/>
      <c r="NO36" s="60"/>
      <c r="NP36" s="60"/>
      <c r="NQ36" s="60"/>
      <c r="NR36" s="60"/>
      <c r="NS36" s="60"/>
      <c r="NT36" s="631">
        <f>'Crops; pasture DISCOUNTED'!LI69</f>
        <v>0.91</v>
      </c>
      <c r="NU36" s="631"/>
      <c r="NV36" s="41">
        <f>'Crops; pasture DISCOUNTED'!LJ69</f>
        <v>18.928000000000001</v>
      </c>
      <c r="NW36" s="41">
        <f>'Crops; pasture DISCOUNTED'!LK69</f>
        <v>20.8</v>
      </c>
      <c r="NX36" s="718"/>
      <c r="NY36" s="718"/>
      <c r="NZ36" s="718"/>
      <c r="OC36" s="720">
        <f>'Crops; pasture DISCOUNTED'!LN69</f>
        <v>0.13650000000000001</v>
      </c>
      <c r="OD36" s="720">
        <f>'Crops; pasture DISCOUNTED'!LO69</f>
        <v>0.15</v>
      </c>
      <c r="OE36" s="720">
        <f>'Crops; pasture DISCOUNTED'!LP69</f>
        <v>0.10920000000000001</v>
      </c>
      <c r="OF36" s="720">
        <f>'Crops; pasture DISCOUNTED'!LQ69</f>
        <v>0.12</v>
      </c>
      <c r="RU36" s="97"/>
      <c r="RV36" s="97"/>
      <c r="RW36" s="97"/>
      <c r="RX36" s="97"/>
      <c r="RY36" s="97"/>
      <c r="RZ36" s="97"/>
    </row>
    <row r="37" spans="1:494" s="4" customFormat="1" x14ac:dyDescent="0.25">
      <c r="A37" s="14"/>
      <c r="B37" s="102"/>
      <c r="C37" s="14"/>
      <c r="D37" s="708"/>
      <c r="E37" s="102"/>
      <c r="F37" s="102"/>
      <c r="G37" s="102"/>
      <c r="H37" s="102"/>
      <c r="I37" s="102"/>
      <c r="J37" s="102"/>
      <c r="K37" s="102"/>
      <c r="L37" s="102"/>
      <c r="M37" s="102"/>
      <c r="N37" s="14"/>
      <c r="O37" s="14"/>
      <c r="P37" s="14"/>
      <c r="Q37" s="14"/>
      <c r="R37" s="14"/>
      <c r="S37" s="14"/>
      <c r="T37" s="14"/>
      <c r="U37" s="14"/>
      <c r="X37" s="60"/>
      <c r="AH37" s="60"/>
      <c r="AI37" s="60"/>
      <c r="AJ37" s="60"/>
      <c r="AZ37" s="60"/>
      <c r="BA37" s="60"/>
      <c r="BB37" s="60"/>
      <c r="BC37" s="60"/>
      <c r="BD37" s="60"/>
      <c r="BE37" s="60"/>
      <c r="BF37" s="60"/>
      <c r="BG37" s="60"/>
      <c r="BH37" s="60"/>
      <c r="BI37" s="60"/>
      <c r="CM37" s="14"/>
      <c r="CO37" s="60"/>
      <c r="CP37" s="60"/>
      <c r="CQ37" s="60"/>
      <c r="CR37" s="580"/>
      <c r="CS37" s="580"/>
      <c r="CT37" s="580"/>
      <c r="CU37" s="580"/>
      <c r="CV37" s="580"/>
      <c r="CW37" s="60"/>
      <c r="CX37" s="60"/>
      <c r="CY37" s="60"/>
      <c r="CZ37" s="60"/>
      <c r="DA37" s="60"/>
      <c r="DB37" s="60"/>
      <c r="DC37" s="60"/>
      <c r="DD37" s="60"/>
      <c r="DE37" s="60"/>
      <c r="DF37" s="60"/>
      <c r="DG37" s="60"/>
      <c r="DH37" s="60"/>
      <c r="DI37" s="60"/>
      <c r="DJ37" s="60"/>
      <c r="DK37" s="60"/>
      <c r="DL37" s="60"/>
      <c r="DM37" s="60"/>
      <c r="DN37" s="60"/>
      <c r="DO37" s="60"/>
      <c r="DP37" s="60"/>
      <c r="DQ37" s="60"/>
      <c r="DR37" s="60"/>
      <c r="DS37" s="60"/>
      <c r="DT37" s="60"/>
      <c r="DU37" s="60"/>
      <c r="DV37" s="60"/>
      <c r="DW37" s="60"/>
      <c r="DX37" s="60"/>
      <c r="DY37" s="60"/>
      <c r="EE37" s="60"/>
      <c r="EF37" s="60"/>
      <c r="EG37" s="60"/>
      <c r="EM37" s="60"/>
      <c r="EN37" s="60"/>
      <c r="EO37" s="60"/>
      <c r="EP37" s="60"/>
      <c r="EQ37" s="60"/>
      <c r="ER37" s="60"/>
      <c r="ES37" s="60"/>
      <c r="ET37" s="60"/>
      <c r="EU37" s="60"/>
      <c r="EV37" s="60"/>
      <c r="EW37" s="60"/>
      <c r="EX37" s="60"/>
      <c r="EY37" s="60"/>
      <c r="EZ37" s="60"/>
      <c r="FA37" s="60"/>
      <c r="FV37" s="60"/>
      <c r="FY37" s="60"/>
      <c r="FZ37" s="60"/>
      <c r="GF37" s="60"/>
      <c r="GY37" s="123"/>
      <c r="GZ37" s="123"/>
      <c r="HA37" s="123"/>
      <c r="HB37" s="123"/>
      <c r="HC37" s="123"/>
      <c r="HD37" s="123"/>
      <c r="HE37" s="123"/>
      <c r="HF37" s="123"/>
      <c r="HG37" s="123"/>
      <c r="HH37" s="123"/>
      <c r="HI37" s="123"/>
      <c r="HJ37" s="123"/>
      <c r="HK37" s="123"/>
      <c r="HL37" s="123"/>
      <c r="HM37" s="123"/>
      <c r="HN37" s="123"/>
      <c r="HO37" s="123"/>
      <c r="HP37" s="60"/>
      <c r="HQ37" s="123"/>
      <c r="HR37" s="60"/>
      <c r="HS37" s="60"/>
      <c r="HT37" s="60"/>
      <c r="HU37" s="60"/>
      <c r="HV37" s="60"/>
      <c r="HW37" s="60"/>
      <c r="HX37" s="60"/>
      <c r="HY37" s="60"/>
      <c r="HZ37" s="60"/>
      <c r="IA37" s="60"/>
      <c r="IB37" s="60"/>
      <c r="IC37" s="60"/>
      <c r="ID37" s="60"/>
      <c r="IE37" s="60"/>
      <c r="IF37" s="60"/>
      <c r="IG37" s="60"/>
      <c r="IH37" s="60"/>
      <c r="II37" s="60"/>
      <c r="IJ37" s="60"/>
      <c r="IK37" s="60"/>
      <c r="IL37" s="60"/>
      <c r="IM37" s="60"/>
      <c r="IN37" s="60"/>
      <c r="IO37" s="97"/>
      <c r="IP37" s="97"/>
      <c r="IQ37" s="97"/>
      <c r="IR37" s="97"/>
      <c r="IS37" s="97"/>
      <c r="IT37" s="97"/>
      <c r="IU37" s="97"/>
      <c r="IW37" s="60"/>
      <c r="IX37" s="60"/>
      <c r="IY37" s="60"/>
      <c r="IZ37" s="60"/>
      <c r="JA37" s="60"/>
      <c r="JB37" s="60"/>
      <c r="JC37" s="60"/>
      <c r="JD37" s="60"/>
      <c r="JE37" s="60"/>
      <c r="JF37" s="60"/>
      <c r="JG37" s="60"/>
      <c r="JH37" s="60"/>
      <c r="JI37" s="60"/>
      <c r="JJ37" s="60"/>
      <c r="JK37" s="60"/>
      <c r="JL37" s="60"/>
      <c r="JM37" s="123"/>
      <c r="JN37" s="123"/>
      <c r="JO37" s="123"/>
      <c r="JP37" s="123"/>
      <c r="JQ37" s="60"/>
      <c r="JR37" s="60"/>
      <c r="JS37" s="60"/>
      <c r="JT37" s="60"/>
      <c r="JU37" s="60"/>
      <c r="JV37" s="60"/>
      <c r="JW37" s="60"/>
      <c r="JX37" s="60"/>
      <c r="JY37" s="60"/>
      <c r="JZ37" s="60"/>
      <c r="KA37" s="60"/>
      <c r="KB37" s="60"/>
      <c r="KC37" s="60"/>
      <c r="KD37" s="123"/>
      <c r="KE37" s="123"/>
      <c r="KF37" s="123"/>
      <c r="KG37" s="123"/>
      <c r="KH37" s="123"/>
      <c r="KI37" s="123"/>
      <c r="KJ37" s="123"/>
      <c r="KK37" s="123"/>
      <c r="KL37" s="123"/>
      <c r="KM37" s="123"/>
      <c r="KN37" s="123"/>
      <c r="KO37" s="123"/>
      <c r="KP37" s="123"/>
      <c r="KQ37" s="123"/>
      <c r="KR37" s="123"/>
      <c r="KS37" s="123"/>
      <c r="KT37" s="60"/>
      <c r="KU37" s="60"/>
      <c r="KV37" s="60"/>
      <c r="KW37" s="60"/>
      <c r="KX37" s="60"/>
      <c r="KY37" s="60"/>
      <c r="KZ37" s="60"/>
      <c r="LA37" s="60"/>
      <c r="LB37" s="60"/>
      <c r="LC37" s="60"/>
      <c r="LD37" s="60"/>
      <c r="LE37" s="60"/>
      <c r="LF37" s="60"/>
      <c r="LG37" s="60"/>
      <c r="LH37" s="60"/>
      <c r="LI37" s="60"/>
      <c r="LJ37" s="60"/>
      <c r="LK37" s="60"/>
      <c r="LL37" s="60"/>
      <c r="LM37" s="60"/>
      <c r="LN37" s="60"/>
      <c r="LO37" s="60"/>
      <c r="LP37" s="60"/>
      <c r="LQ37" s="60"/>
      <c r="LR37" s="60"/>
      <c r="LS37" s="60"/>
      <c r="LT37" s="60"/>
      <c r="LU37" s="60"/>
      <c r="LV37" s="60"/>
      <c r="LW37" s="60"/>
      <c r="LX37" s="60"/>
      <c r="LY37" s="60"/>
      <c r="LZ37" s="60"/>
      <c r="MA37" s="60"/>
      <c r="MB37" s="60"/>
      <c r="MC37" s="60"/>
      <c r="MD37" s="60"/>
      <c r="ME37" s="60"/>
      <c r="MF37" s="60"/>
      <c r="MG37" s="60"/>
      <c r="MH37" s="60"/>
      <c r="MI37" s="60"/>
      <c r="MJ37" s="60"/>
      <c r="MK37" s="60"/>
      <c r="ML37" s="60"/>
      <c r="MM37" s="60"/>
      <c r="MN37" s="60"/>
      <c r="MO37" s="60"/>
      <c r="MP37" s="60"/>
      <c r="MQ37" s="60"/>
      <c r="MR37" s="60"/>
      <c r="MS37" s="60"/>
      <c r="MT37" s="60"/>
      <c r="MU37" s="60"/>
      <c r="MV37" s="60"/>
      <c r="MW37" s="60"/>
      <c r="MX37" s="60"/>
      <c r="MY37" s="60"/>
      <c r="MZ37" s="60"/>
      <c r="NA37" s="60"/>
      <c r="NB37" s="60"/>
      <c r="NC37" s="60"/>
      <c r="ND37" s="60"/>
      <c r="NE37" s="60"/>
      <c r="NF37" s="60"/>
      <c r="NG37" s="60"/>
      <c r="NH37" s="60"/>
      <c r="NI37" s="60"/>
      <c r="NJ37" s="60"/>
      <c r="NK37" s="60"/>
      <c r="NL37" s="60"/>
      <c r="NM37" s="60"/>
      <c r="NN37" s="60"/>
      <c r="NO37" s="60"/>
      <c r="NP37" s="60"/>
      <c r="NQ37" s="60"/>
      <c r="NR37" s="60"/>
      <c r="NS37" s="60"/>
      <c r="NT37" s="718"/>
      <c r="NU37" s="718"/>
      <c r="NV37" s="718"/>
      <c r="NW37" s="718"/>
      <c r="NX37" s="718"/>
      <c r="NY37" s="718"/>
      <c r="NZ37" s="718"/>
      <c r="RU37" s="97"/>
      <c r="RV37" s="97"/>
      <c r="RW37" s="97"/>
      <c r="RX37" s="97"/>
      <c r="RY37" s="97"/>
      <c r="RZ37" s="97"/>
    </row>
    <row r="38" spans="1:494" s="4" customFormat="1" ht="14.4" x14ac:dyDescent="0.3">
      <c r="A38" s="13" t="s">
        <v>298</v>
      </c>
      <c r="B38" s="102"/>
      <c r="C38" s="14"/>
      <c r="D38" s="708"/>
      <c r="E38" s="102"/>
      <c r="F38" s="102"/>
      <c r="G38" s="102"/>
      <c r="H38" s="102"/>
      <c r="I38" s="102"/>
      <c r="J38" s="102"/>
      <c r="K38" s="102"/>
      <c r="L38" s="102"/>
      <c r="M38" s="102"/>
      <c r="N38" s="14"/>
      <c r="O38" s="14"/>
      <c r="P38" s="14"/>
      <c r="Q38" s="14"/>
      <c r="R38" s="14"/>
      <c r="S38" s="14"/>
      <c r="T38" s="14"/>
      <c r="U38" s="14"/>
      <c r="X38" s="60"/>
      <c r="AH38" s="60"/>
      <c r="AI38" s="60"/>
      <c r="AJ38" s="60"/>
      <c r="AZ38" s="60"/>
      <c r="BA38" s="60"/>
      <c r="BB38" s="60"/>
      <c r="BC38" s="60"/>
      <c r="BD38" s="60"/>
      <c r="BE38" s="60"/>
      <c r="BF38" s="60"/>
      <c r="BG38" s="60"/>
      <c r="BH38" s="60"/>
      <c r="BI38" s="60"/>
      <c r="CO38" s="60"/>
      <c r="CP38" s="60"/>
      <c r="CQ38" s="60"/>
      <c r="CR38" s="97"/>
      <c r="CS38" s="97"/>
      <c r="CT38" s="97"/>
      <c r="CU38" s="97"/>
      <c r="CV38" s="97"/>
      <c r="CW38" s="60"/>
      <c r="CX38" s="60"/>
      <c r="CY38" s="60"/>
      <c r="CZ38" s="60"/>
      <c r="DA38" s="60"/>
      <c r="DB38" s="60"/>
      <c r="DC38" s="60"/>
      <c r="DD38" s="60"/>
      <c r="DE38" s="60"/>
      <c r="DF38" s="60"/>
      <c r="DG38" s="60"/>
      <c r="DH38" s="60"/>
      <c r="DI38" s="60"/>
      <c r="DJ38" s="60"/>
      <c r="DK38" s="60"/>
      <c r="DL38" s="60"/>
      <c r="DM38" s="60"/>
      <c r="DN38" s="60"/>
      <c r="DO38" s="60"/>
      <c r="DP38" s="60"/>
      <c r="DQ38" s="60"/>
      <c r="DR38" s="60"/>
      <c r="DS38" s="60"/>
      <c r="DT38" s="60"/>
      <c r="DU38" s="60"/>
      <c r="DV38" s="60"/>
      <c r="DW38" s="60"/>
      <c r="DX38" s="60"/>
      <c r="DY38" s="60"/>
      <c r="EE38" s="60"/>
      <c r="EF38" s="60"/>
      <c r="EG38" s="60"/>
      <c r="EM38" s="60"/>
      <c r="EN38" s="60"/>
      <c r="EO38" s="60"/>
      <c r="EP38" s="60"/>
      <c r="EQ38" s="60"/>
      <c r="ER38" s="60"/>
      <c r="ES38" s="60"/>
      <c r="ET38" s="60"/>
      <c r="EU38" s="60"/>
      <c r="EV38" s="60"/>
      <c r="EW38" s="60"/>
      <c r="EX38" s="60"/>
      <c r="EY38" s="60"/>
      <c r="EZ38" s="60"/>
      <c r="FA38" s="60"/>
      <c r="FV38" s="60"/>
      <c r="FY38" s="60"/>
      <c r="FZ38" s="60"/>
      <c r="GF38" s="60"/>
      <c r="GY38" s="123"/>
      <c r="GZ38" s="123"/>
      <c r="HA38" s="123"/>
      <c r="HB38" s="123"/>
      <c r="HC38" s="123"/>
      <c r="HD38" s="123"/>
      <c r="HE38" s="123"/>
      <c r="HF38" s="123"/>
      <c r="HG38" s="123"/>
      <c r="HH38" s="123"/>
      <c r="HI38" s="123"/>
      <c r="HJ38" s="123"/>
      <c r="HK38" s="123"/>
      <c r="HL38" s="123"/>
      <c r="HM38" s="123"/>
      <c r="HN38" s="123"/>
      <c r="HO38" s="123"/>
      <c r="HP38" s="60"/>
      <c r="HQ38" s="123"/>
      <c r="HR38" s="60"/>
      <c r="HS38" s="60"/>
      <c r="HT38" s="60"/>
      <c r="HU38" s="60"/>
      <c r="HV38" s="60"/>
      <c r="HW38" s="60"/>
      <c r="HX38" s="60"/>
      <c r="HY38" s="60"/>
      <c r="HZ38" s="60"/>
      <c r="IA38" s="60"/>
      <c r="IB38" s="60"/>
      <c r="IC38" s="60"/>
      <c r="ID38" s="60"/>
      <c r="IE38" s="60"/>
      <c r="IF38" s="60"/>
      <c r="IG38" s="60"/>
      <c r="IH38" s="60"/>
      <c r="II38" s="60"/>
      <c r="IJ38" s="60"/>
      <c r="IK38" s="60"/>
      <c r="IL38" s="60"/>
      <c r="IM38" s="60"/>
      <c r="IN38" s="60"/>
      <c r="IO38" s="721"/>
      <c r="IP38" s="595"/>
      <c r="IQ38" s="595"/>
      <c r="IR38" s="595"/>
      <c r="IS38" s="595"/>
      <c r="IT38" s="595"/>
      <c r="IU38" s="595"/>
      <c r="IW38" s="60"/>
      <c r="IX38" s="60"/>
      <c r="IY38" s="60"/>
      <c r="IZ38" s="60"/>
      <c r="JA38" s="60"/>
      <c r="JB38" s="60"/>
      <c r="JC38" s="60"/>
      <c r="JD38" s="60"/>
      <c r="JE38" s="60"/>
      <c r="JF38" s="60"/>
      <c r="JG38" s="60"/>
      <c r="JH38" s="60"/>
      <c r="JI38" s="60"/>
      <c r="JJ38" s="60"/>
      <c r="JK38" s="60"/>
      <c r="JL38" s="60"/>
      <c r="JM38" s="123"/>
      <c r="JN38" s="123"/>
      <c r="JO38" s="123"/>
      <c r="JP38" s="123"/>
      <c r="JQ38" s="60"/>
      <c r="JR38" s="60"/>
      <c r="JS38" s="60"/>
      <c r="JT38" s="60"/>
      <c r="JU38" s="60"/>
      <c r="JV38" s="60"/>
      <c r="JW38" s="60"/>
      <c r="JX38" s="60"/>
      <c r="JY38" s="60"/>
      <c r="JZ38" s="60"/>
      <c r="KA38" s="60"/>
      <c r="KB38" s="60"/>
      <c r="KC38" s="60"/>
      <c r="KD38" s="123"/>
      <c r="KE38" s="123"/>
      <c r="KF38" s="123"/>
      <c r="KG38" s="123"/>
      <c r="KH38" s="123"/>
      <c r="KI38" s="123"/>
      <c r="KJ38" s="123"/>
      <c r="KK38" s="123"/>
      <c r="KL38" s="123"/>
      <c r="KM38" s="123"/>
      <c r="KN38" s="123"/>
      <c r="KO38" s="123"/>
      <c r="KP38" s="123"/>
      <c r="KQ38" s="123"/>
      <c r="KR38" s="123"/>
      <c r="KS38" s="123"/>
      <c r="KT38" s="60"/>
      <c r="KU38" s="60"/>
      <c r="KV38" s="60"/>
      <c r="KW38" s="60"/>
      <c r="KX38" s="60"/>
      <c r="KY38" s="60"/>
      <c r="KZ38" s="60"/>
      <c r="LA38" s="60"/>
      <c r="LB38" s="60"/>
      <c r="LC38" s="60"/>
      <c r="LD38" s="60"/>
      <c r="LE38" s="60"/>
      <c r="LF38" s="60"/>
      <c r="LG38" s="60"/>
      <c r="LH38" s="60"/>
      <c r="LI38" s="60"/>
      <c r="LJ38" s="60"/>
      <c r="LK38" s="60"/>
      <c r="LL38" s="60"/>
      <c r="LM38" s="60"/>
      <c r="LN38" s="60"/>
      <c r="LO38" s="60"/>
      <c r="LP38" s="60"/>
      <c r="LQ38" s="60"/>
      <c r="LR38" s="60"/>
      <c r="LS38" s="60"/>
      <c r="LT38" s="60"/>
      <c r="LU38" s="60"/>
      <c r="LV38" s="60"/>
      <c r="LW38" s="60"/>
      <c r="LX38" s="60"/>
      <c r="LY38" s="60"/>
      <c r="LZ38" s="60"/>
      <c r="MA38" s="60"/>
      <c r="MB38" s="60"/>
      <c r="MC38" s="60"/>
      <c r="MD38" s="60"/>
      <c r="ME38" s="60"/>
      <c r="MF38" s="60"/>
      <c r="MG38" s="60"/>
      <c r="MH38" s="60"/>
      <c r="MI38" s="60"/>
      <c r="MJ38" s="60"/>
      <c r="MK38" s="60"/>
      <c r="ML38" s="60"/>
      <c r="MM38" s="60"/>
      <c r="MN38" s="60"/>
      <c r="MO38" s="60"/>
      <c r="MP38" s="60"/>
      <c r="MQ38" s="60"/>
      <c r="MR38" s="60"/>
      <c r="MS38" s="60"/>
      <c r="MT38" s="60"/>
      <c r="MU38" s="60"/>
      <c r="MV38" s="60"/>
      <c r="MW38" s="60"/>
      <c r="MX38" s="60"/>
      <c r="MY38" s="60"/>
      <c r="MZ38" s="60"/>
      <c r="NA38" s="60"/>
      <c r="NB38" s="60"/>
      <c r="NC38" s="60"/>
      <c r="ND38" s="60"/>
      <c r="NE38" s="60"/>
      <c r="NF38" s="60"/>
      <c r="NG38" s="60"/>
      <c r="NH38" s="60"/>
      <c r="NI38" s="60"/>
      <c r="NJ38" s="60"/>
      <c r="NK38" s="60"/>
      <c r="NL38" s="60"/>
      <c r="NM38" s="60"/>
      <c r="NN38" s="60"/>
      <c r="NO38" s="60"/>
      <c r="NP38" s="60"/>
      <c r="NQ38" s="60"/>
      <c r="NR38" s="60"/>
      <c r="NS38" s="60"/>
      <c r="RU38" s="97"/>
      <c r="RV38" s="97"/>
      <c r="RW38" s="97"/>
      <c r="RX38" s="97"/>
      <c r="RY38" s="97"/>
      <c r="RZ38" s="97"/>
    </row>
    <row r="39" spans="1:494" x14ac:dyDescent="0.25">
      <c r="B39" s="74"/>
      <c r="IO39" s="431"/>
      <c r="IP39" s="431"/>
      <c r="IQ39" s="431"/>
      <c r="IR39" s="431"/>
      <c r="IS39" s="431"/>
      <c r="IT39" s="431"/>
      <c r="IU39" s="431"/>
    </row>
    <row r="40" spans="1:494" ht="13.8" x14ac:dyDescent="0.3">
      <c r="A40" s="44" t="s">
        <v>148</v>
      </c>
      <c r="B40" s="74"/>
      <c r="V40" s="73">
        <f>V49+V44+V54</f>
        <v>782.70546280770816</v>
      </c>
      <c r="W40" s="73">
        <f>W49+W44+W54</f>
        <v>681</v>
      </c>
      <c r="X40" s="73"/>
      <c r="Y40" s="73">
        <f>Y49+Y44+Y54</f>
        <v>12.354800000000001</v>
      </c>
      <c r="Z40" s="73">
        <f>Z49+Z44+Z54</f>
        <v>11.0505</v>
      </c>
      <c r="AA40" s="73">
        <f>AA49+AA44+AA54</f>
        <v>65.427999999999997</v>
      </c>
      <c r="AB40" s="73"/>
      <c r="IO40" s="430"/>
      <c r="IP40" s="430"/>
      <c r="IQ40" s="430"/>
      <c r="IR40" s="430"/>
      <c r="IS40" s="430"/>
      <c r="IT40" s="430"/>
      <c r="IU40" s="430"/>
    </row>
    <row r="41" spans="1:494" s="54" customFormat="1" x14ac:dyDescent="0.25">
      <c r="A41" s="54" t="s">
        <v>159</v>
      </c>
      <c r="B41" s="77">
        <f>V41/R13</f>
        <v>0.16074702881278605</v>
      </c>
      <c r="D41" s="131"/>
      <c r="E41" s="133"/>
      <c r="F41" s="133"/>
      <c r="G41" s="133"/>
      <c r="H41" s="133"/>
      <c r="I41" s="133"/>
      <c r="J41" s="133"/>
      <c r="K41" s="133"/>
      <c r="L41" s="133"/>
      <c r="M41" s="133"/>
      <c r="V41" s="688">
        <f>V50+V45+V55</f>
        <v>150.18923162816662</v>
      </c>
      <c r="W41" s="474">
        <f>W50+W45+W55</f>
        <v>135.29285714285714</v>
      </c>
      <c r="X41" s="474"/>
      <c r="Y41" s="179">
        <f>Y50+Y45+Y55</f>
        <v>2.5759464285714282</v>
      </c>
      <c r="Z41" s="474"/>
      <c r="AA41" s="474">
        <f>AA50+AA45+AA55</f>
        <v>23.898114285714286</v>
      </c>
      <c r="AB41" s="474"/>
      <c r="AH41" s="133"/>
      <c r="AI41" s="133"/>
      <c r="AJ41" s="133"/>
      <c r="AZ41" s="133"/>
      <c r="BA41" s="133"/>
      <c r="BB41" s="133"/>
      <c r="BC41" s="133"/>
      <c r="BD41" s="133"/>
      <c r="BE41" s="133"/>
      <c r="BF41" s="133"/>
      <c r="BG41" s="133"/>
      <c r="BH41" s="133"/>
      <c r="BI41" s="133"/>
      <c r="CO41" s="133"/>
      <c r="CP41" s="133"/>
      <c r="CQ41" s="133"/>
      <c r="CR41" s="179"/>
      <c r="CS41" s="179"/>
      <c r="CT41" s="179"/>
      <c r="CU41" s="179"/>
      <c r="CV41" s="179"/>
      <c r="CW41" s="133"/>
      <c r="CX41" s="133"/>
      <c r="CY41" s="133"/>
      <c r="CZ41" s="133"/>
      <c r="DA41" s="133"/>
      <c r="DB41" s="133"/>
      <c r="DC41" s="133"/>
      <c r="DD41" s="133"/>
      <c r="DE41" s="133"/>
      <c r="DF41" s="133"/>
      <c r="DG41" s="133"/>
      <c r="DH41" s="133"/>
      <c r="DI41" s="133"/>
      <c r="DJ41" s="133"/>
      <c r="DK41" s="133"/>
      <c r="DL41" s="133"/>
      <c r="DM41" s="133"/>
      <c r="DN41" s="133"/>
      <c r="DO41" s="133"/>
      <c r="DP41" s="133"/>
      <c r="DQ41" s="133"/>
      <c r="DR41" s="133"/>
      <c r="DS41" s="133"/>
      <c r="DT41" s="133"/>
      <c r="DU41" s="133"/>
      <c r="DV41" s="133"/>
      <c r="DW41" s="133"/>
      <c r="DX41" s="133"/>
      <c r="DY41" s="133"/>
      <c r="EE41" s="133"/>
      <c r="EF41" s="133"/>
      <c r="EG41" s="133"/>
      <c r="EM41" s="133"/>
      <c r="EN41" s="133"/>
      <c r="EO41" s="133"/>
      <c r="EP41" s="133"/>
      <c r="EQ41" s="133"/>
      <c r="ER41" s="133"/>
      <c r="ES41" s="133"/>
      <c r="ET41" s="133"/>
      <c r="EU41" s="133"/>
      <c r="EV41" s="133"/>
      <c r="EW41" s="133"/>
      <c r="EX41" s="133"/>
      <c r="EY41" s="133"/>
      <c r="EZ41" s="133"/>
      <c r="FA41" s="133"/>
      <c r="FV41" s="133"/>
      <c r="FY41" s="133"/>
      <c r="FZ41" s="133"/>
      <c r="GF41" s="133"/>
      <c r="GY41" s="133"/>
      <c r="GZ41" s="133"/>
      <c r="HA41" s="133"/>
      <c r="HB41" s="133"/>
      <c r="HC41" s="133"/>
      <c r="HD41" s="133"/>
      <c r="HE41" s="133"/>
      <c r="HF41" s="133"/>
      <c r="HG41" s="133"/>
      <c r="HH41" s="133"/>
      <c r="HI41" s="133"/>
      <c r="HJ41" s="133"/>
      <c r="HK41" s="133"/>
      <c r="HL41" s="133"/>
      <c r="HM41" s="133"/>
      <c r="HN41" s="133"/>
      <c r="HO41" s="133"/>
      <c r="HP41" s="133"/>
      <c r="HQ41" s="133"/>
      <c r="HR41" s="133"/>
      <c r="HS41" s="133"/>
      <c r="HT41" s="133"/>
      <c r="HU41" s="133"/>
      <c r="HV41" s="133"/>
      <c r="HW41" s="133"/>
      <c r="HX41" s="133"/>
      <c r="HY41" s="133"/>
      <c r="HZ41" s="133"/>
      <c r="IA41" s="133"/>
      <c r="IB41" s="133"/>
      <c r="IC41" s="133"/>
      <c r="ID41" s="133"/>
      <c r="IE41" s="133"/>
      <c r="IF41" s="133"/>
      <c r="IG41" s="133"/>
      <c r="IH41" s="133"/>
      <c r="II41" s="133"/>
      <c r="IJ41" s="133"/>
      <c r="IK41" s="133"/>
      <c r="IL41" s="133"/>
      <c r="IM41" s="133"/>
      <c r="IN41" s="133"/>
      <c r="IO41" s="431"/>
      <c r="IP41" s="431"/>
      <c r="IQ41" s="431"/>
      <c r="IR41" s="431"/>
      <c r="IS41" s="431"/>
      <c r="IT41" s="431"/>
      <c r="IU41" s="431"/>
      <c r="IW41" s="133"/>
      <c r="IX41" s="133"/>
      <c r="IY41" s="133"/>
      <c r="IZ41" s="133"/>
      <c r="JA41" s="133"/>
      <c r="JB41" s="133"/>
      <c r="JC41" s="133"/>
      <c r="JD41" s="133"/>
      <c r="JE41" s="133"/>
      <c r="JF41" s="133"/>
      <c r="JG41" s="133"/>
      <c r="JH41" s="133"/>
      <c r="JI41" s="133"/>
      <c r="JJ41" s="133"/>
      <c r="JK41" s="133"/>
      <c r="JL41" s="133"/>
      <c r="JM41" s="133"/>
      <c r="JN41" s="133"/>
      <c r="JO41" s="133"/>
      <c r="JP41" s="133"/>
      <c r="JQ41" s="133"/>
      <c r="JR41" s="133"/>
      <c r="JS41" s="133"/>
      <c r="JT41" s="133"/>
      <c r="JU41" s="133"/>
      <c r="JV41" s="133"/>
      <c r="JW41" s="133"/>
      <c r="JX41" s="133"/>
      <c r="JY41" s="133"/>
      <c r="JZ41" s="133"/>
      <c r="KA41" s="133"/>
      <c r="KB41" s="133"/>
      <c r="KC41" s="133"/>
      <c r="KD41" s="133"/>
      <c r="KE41" s="133"/>
      <c r="KF41" s="133"/>
      <c r="KG41" s="133"/>
      <c r="KH41" s="133"/>
      <c r="KI41" s="133"/>
      <c r="KJ41" s="133"/>
      <c r="KK41" s="133"/>
      <c r="KL41" s="133"/>
      <c r="KM41" s="133"/>
      <c r="KN41" s="133"/>
      <c r="KO41" s="133"/>
      <c r="KP41" s="133"/>
      <c r="KQ41" s="133"/>
      <c r="KR41" s="133"/>
      <c r="KS41" s="133"/>
      <c r="KT41" s="133"/>
      <c r="KU41" s="133"/>
      <c r="KV41" s="133"/>
      <c r="KW41" s="133"/>
      <c r="KX41" s="133"/>
      <c r="KY41" s="133"/>
      <c r="KZ41" s="133"/>
      <c r="LA41" s="133"/>
      <c r="LB41" s="133"/>
      <c r="LC41" s="133"/>
      <c r="LD41" s="133"/>
      <c r="LE41" s="133"/>
      <c r="LF41" s="133"/>
      <c r="LG41" s="133"/>
      <c r="LH41" s="133"/>
      <c r="LI41" s="133"/>
      <c r="LJ41" s="133"/>
      <c r="LK41" s="133"/>
      <c r="LL41" s="133"/>
      <c r="LM41" s="133"/>
      <c r="LN41" s="133"/>
      <c r="LO41" s="133"/>
      <c r="LP41" s="133"/>
      <c r="LQ41" s="133"/>
      <c r="LR41" s="133"/>
      <c r="LS41" s="133"/>
      <c r="LT41" s="133"/>
      <c r="LU41" s="133"/>
      <c r="LV41" s="133"/>
      <c r="LW41" s="133"/>
      <c r="LX41" s="133"/>
      <c r="LY41" s="133"/>
      <c r="LZ41" s="133"/>
      <c r="MA41" s="133"/>
      <c r="MB41" s="133"/>
      <c r="MC41" s="133"/>
      <c r="MD41" s="133"/>
      <c r="ME41" s="133"/>
      <c r="MF41" s="133"/>
      <c r="MG41" s="133"/>
      <c r="MH41" s="133"/>
      <c r="MI41" s="133"/>
      <c r="MJ41" s="133"/>
      <c r="MK41" s="133"/>
      <c r="ML41" s="133"/>
      <c r="MM41" s="133"/>
      <c r="MN41" s="133"/>
      <c r="MO41" s="133"/>
      <c r="MP41" s="133"/>
      <c r="MQ41" s="133"/>
      <c r="MR41" s="133"/>
      <c r="MS41" s="133"/>
      <c r="MT41" s="133"/>
      <c r="MU41" s="133"/>
      <c r="MV41" s="133"/>
      <c r="MW41" s="133"/>
      <c r="MX41" s="133"/>
      <c r="MY41" s="133"/>
      <c r="MZ41" s="133"/>
      <c r="NA41" s="133"/>
      <c r="NB41" s="133"/>
      <c r="NC41" s="133"/>
      <c r="ND41" s="133"/>
      <c r="NE41" s="133"/>
      <c r="NF41" s="133"/>
      <c r="NG41" s="133"/>
      <c r="NH41" s="133"/>
      <c r="NI41" s="133"/>
      <c r="NJ41" s="133"/>
      <c r="NK41" s="133"/>
      <c r="NL41" s="133"/>
      <c r="NM41" s="133"/>
      <c r="NN41" s="133"/>
      <c r="NO41" s="133"/>
      <c r="NP41" s="133"/>
      <c r="NQ41" s="133"/>
      <c r="NR41" s="133"/>
      <c r="NS41" s="133"/>
      <c r="OD41" s="57">
        <f>AA41/W41</f>
        <v>0.17663988173802861</v>
      </c>
      <c r="RU41" s="179"/>
      <c r="RV41" s="179"/>
      <c r="RW41" s="179"/>
      <c r="RX41" s="179"/>
      <c r="RY41" s="179"/>
      <c r="RZ41" s="179"/>
    </row>
    <row r="42" spans="1:494" ht="13.8" x14ac:dyDescent="0.3">
      <c r="A42" s="44"/>
      <c r="B42" s="74"/>
      <c r="IO42" s="431"/>
      <c r="IP42" s="431"/>
      <c r="IQ42" s="431"/>
      <c r="IR42" s="431"/>
      <c r="IS42" s="431"/>
      <c r="IT42" s="431"/>
      <c r="IU42" s="431"/>
    </row>
    <row r="43" spans="1:494" ht="13.8" x14ac:dyDescent="0.3">
      <c r="A43" s="44" t="s">
        <v>226</v>
      </c>
      <c r="B43" s="74"/>
      <c r="CK43" s="74"/>
      <c r="IO43" s="68">
        <f>IP43+IQ43+IR43+IS43+IT43+IU43</f>
        <v>48.541580136931813</v>
      </c>
      <c r="IP43" s="97">
        <f>JS43*$W44</f>
        <v>26.008817290113633</v>
      </c>
      <c r="IQ43" s="97">
        <f>JU43*$W44</f>
        <v>22.532762846818184</v>
      </c>
      <c r="IR43" s="97">
        <f>JX43*$W44</f>
        <v>0</v>
      </c>
      <c r="IS43" s="97">
        <f>KB43*$W44</f>
        <v>0</v>
      </c>
      <c r="IT43" s="97">
        <f>KF43*$W44</f>
        <v>0</v>
      </c>
      <c r="IU43" s="97">
        <f>KH43*$W44</f>
        <v>0</v>
      </c>
      <c r="JK43" s="115">
        <f>JM43+JN43+JO43</f>
        <v>0.65596729914772722</v>
      </c>
      <c r="JM43" s="179">
        <f>JS43+KB43</f>
        <v>0.35147050392045448</v>
      </c>
      <c r="JN43" s="179">
        <f>JU43+KF43</f>
        <v>0.30449679522727274</v>
      </c>
      <c r="JO43" s="179">
        <f>JX43+KH43</f>
        <v>0</v>
      </c>
      <c r="JQ43" s="127">
        <f>JS43+JU43+JX43</f>
        <v>0.65596729914772722</v>
      </c>
      <c r="JS43" s="172">
        <f>'Crops; pasture DISCOUNTED'!KF20/$C44</f>
        <v>0.35147050392045448</v>
      </c>
      <c r="JU43" s="172">
        <f>'Crops; pasture DISCOUNTED'!KD20/$C44</f>
        <v>0.30449679522727274</v>
      </c>
      <c r="KD43" s="74"/>
      <c r="KE43" s="74"/>
      <c r="KF43" s="74"/>
      <c r="KG43" s="74"/>
      <c r="KH43" s="74"/>
      <c r="KI43" s="74"/>
      <c r="OB43" s="26"/>
    </row>
    <row r="44" spans="1:494" x14ac:dyDescent="0.25">
      <c r="A44" s="37" t="s">
        <v>164</v>
      </c>
      <c r="B44" s="53">
        <f>C44*NT14/NT44</f>
        <v>0.80919540229885067</v>
      </c>
      <c r="C44" s="90">
        <v>0.8</v>
      </c>
      <c r="D44" s="722">
        <f>C44*NW44/NW14</f>
        <v>0.77021276595744692</v>
      </c>
      <c r="E44" s="104"/>
      <c r="F44" s="104"/>
      <c r="G44" s="104"/>
      <c r="H44" s="104"/>
      <c r="I44" s="104"/>
      <c r="J44" s="104"/>
      <c r="K44" s="104"/>
      <c r="L44" s="104"/>
      <c r="M44" s="104"/>
      <c r="N44" s="69"/>
      <c r="V44" s="55">
        <f>W44/NT44</f>
        <v>85.05747126436782</v>
      </c>
      <c r="W44" s="112">
        <v>74</v>
      </c>
      <c r="X44" s="295"/>
      <c r="Y44" s="26">
        <f>W44*NW44/10^3</f>
        <v>1.3394000000000001</v>
      </c>
      <c r="Z44" s="26">
        <f>W44*OB44/10^3</f>
        <v>1.1839999999999999</v>
      </c>
      <c r="AA44" s="26">
        <f>W44*OD44</f>
        <v>6.4379999999999997</v>
      </c>
      <c r="AB44" s="26"/>
      <c r="AE44" s="115">
        <f>AB$14*$AN44/$C44</f>
        <v>2.0706337058761668</v>
      </c>
      <c r="AF44" s="115"/>
      <c r="AG44" s="115">
        <f>AC$14*$AN44/$C44</f>
        <v>2.3037125888785046</v>
      </c>
      <c r="AH44" s="115"/>
      <c r="AI44" s="115">
        <f>AD$14*$AN44/$C44</f>
        <v>1.3563107867022195</v>
      </c>
      <c r="AJ44" s="115"/>
      <c r="AK44" s="722">
        <f>Y44/(Y44+Y45+Y46)</f>
        <v>0.76387423507069008</v>
      </c>
      <c r="AL44" s="164">
        <v>0.5</v>
      </c>
      <c r="AM44" s="104">
        <f>V44*AL44/(V44*AL44+V45*AL45+V46*AL46)</f>
        <v>0.85750791051047448</v>
      </c>
      <c r="AN44" s="40">
        <f>AK44</f>
        <v>0.76387423507069008</v>
      </c>
      <c r="AO44" s="115"/>
      <c r="AP44" s="115"/>
      <c r="AQ44" s="115"/>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c r="BT44" s="115"/>
      <c r="BU44" s="115"/>
      <c r="BV44" s="26">
        <f>BW44*$NT44</f>
        <v>0.51524670244271897</v>
      </c>
      <c r="BW44" s="115">
        <f>BP$14*$AN44/$C44</f>
        <v>0.59223758901461954</v>
      </c>
      <c r="BX44" s="677">
        <f>10^3*BW44/$OB44</f>
        <v>37.01484931341372</v>
      </c>
      <c r="BY44" s="143">
        <f>BW44/$OD44</f>
        <v>6.8073286093634433</v>
      </c>
      <c r="BZ44" s="335"/>
      <c r="CA44" s="127"/>
      <c r="CB44" s="127"/>
      <c r="CC44" s="127"/>
      <c r="CD44" s="115"/>
      <c r="CE44" s="115"/>
      <c r="CF44" s="115"/>
      <c r="CG44" s="115"/>
      <c r="CH44" s="115"/>
      <c r="CI44" s="127"/>
      <c r="CJ44" s="26">
        <f>CK44*$NT44</f>
        <v>0.60006612315342089</v>
      </c>
      <c r="CK44" s="115">
        <f>BQ$14*$AN44/$C44</f>
        <v>0.68973117603841483</v>
      </c>
      <c r="CL44" s="677">
        <f>10^3*CK44/$OB44</f>
        <v>43.108198502400924</v>
      </c>
      <c r="CM44" s="143">
        <f>CK44/$OD44</f>
        <v>7.9279445521656884</v>
      </c>
      <c r="CN44" s="335"/>
      <c r="CO44" s="127"/>
      <c r="CP44" s="127"/>
      <c r="CQ44" s="127"/>
      <c r="CW44" s="127"/>
      <c r="CX44" s="26">
        <f>CY44*$NT44</f>
        <v>0.25529841616187238</v>
      </c>
      <c r="CY44" s="115">
        <f>BR$14*$AN44/$C44</f>
        <v>0.29344645535847397</v>
      </c>
      <c r="CZ44" s="677">
        <f>10^3*CY44/$OB44</f>
        <v>18.340403459904621</v>
      </c>
      <c r="DA44" s="143">
        <f>CY44/$OD44</f>
        <v>3.3729477627410804</v>
      </c>
      <c r="DB44" s="335"/>
      <c r="DC44" s="127"/>
      <c r="DD44" s="127"/>
      <c r="DE44" s="127"/>
      <c r="DF44" s="115"/>
      <c r="DG44" s="115"/>
      <c r="DH44" s="115"/>
      <c r="DI44" s="115"/>
      <c r="DJ44" s="115"/>
      <c r="DK44" s="127"/>
      <c r="DL44" s="26">
        <f>DM44*$NT44</f>
        <v>0.59656920964273963</v>
      </c>
      <c r="DM44" s="115">
        <f>BS$14*$AN44/$C44</f>
        <v>0.68571173522153983</v>
      </c>
      <c r="DN44" s="677">
        <f>10^3*DM44/$OB44</f>
        <v>42.856983451346238</v>
      </c>
      <c r="DO44" s="143">
        <f>DM44/$OD44</f>
        <v>7.8817440830062058</v>
      </c>
      <c r="DP44" s="37"/>
      <c r="DQ44" s="127"/>
      <c r="DR44" s="127"/>
      <c r="DS44" s="127"/>
      <c r="DT44" s="37"/>
      <c r="DU44" s="37"/>
      <c r="DV44" s="37"/>
      <c r="DW44" s="37"/>
      <c r="DX44" s="37"/>
      <c r="DY44" s="127"/>
      <c r="DZ44" s="26">
        <f>EA44*$NT44</f>
        <v>0.69384957249769985</v>
      </c>
      <c r="EA44" s="115">
        <f>BT$14*$AN44/$C44</f>
        <v>0.79752824425022972</v>
      </c>
      <c r="EB44" s="677">
        <f>10^3*EA44/$OB44</f>
        <v>49.845515265639357</v>
      </c>
      <c r="EC44" s="143">
        <f>EA44/$OD44</f>
        <v>9.1669913132210326</v>
      </c>
      <c r="EE44" s="127"/>
      <c r="EF44" s="127"/>
      <c r="EG44" s="127"/>
      <c r="EM44" s="127"/>
      <c r="EN44" s="26">
        <f>EO44*$NT44</f>
        <v>3.443140198354083</v>
      </c>
      <c r="EO44" s="115">
        <f>BU$14*$AN44/$C44</f>
        <v>3.9576324119012449</v>
      </c>
      <c r="EP44" s="677">
        <f>10^3*EO44/$OB44</f>
        <v>247.3520257438278</v>
      </c>
      <c r="EQ44" s="143">
        <f>EO44/$OD44</f>
        <v>45.490027723002818</v>
      </c>
      <c r="ER44" s="37"/>
      <c r="ES44" s="127"/>
      <c r="ET44" s="127"/>
      <c r="EU44" s="127"/>
      <c r="EV44" s="37"/>
      <c r="EW44" s="37"/>
      <c r="EX44" s="37"/>
      <c r="EY44" s="37"/>
      <c r="EZ44" s="37"/>
      <c r="FA44" s="127"/>
      <c r="FE44" s="26">
        <f>FF44*$NT44</f>
        <v>1.1959210996724186</v>
      </c>
      <c r="FF44" s="115">
        <f>FB$14*$AN44/$C44</f>
        <v>1.3746219536464581</v>
      </c>
      <c r="FG44" s="562">
        <f>10^3*FF44/$OB44</f>
        <v>85.913872102903639</v>
      </c>
      <c r="FH44" s="115">
        <f>FF44/$OD44</f>
        <v>15.800252340763887</v>
      </c>
      <c r="FI44" s="335"/>
      <c r="FJ44" s="335"/>
      <c r="FK44" s="127"/>
      <c r="FL44" s="26"/>
      <c r="FR44" s="127"/>
      <c r="FS44" s="26">
        <f>FT44*$NT44</f>
        <v>1.3909355869130635</v>
      </c>
      <c r="FT44" s="115">
        <f>FC$14*$AN44/$C44</f>
        <v>1.5987765366816822</v>
      </c>
      <c r="FU44" s="562">
        <f>10^3*FT44/$OB44</f>
        <v>99.923533542605142</v>
      </c>
      <c r="FV44" s="115">
        <f>FT44/$OD44</f>
        <v>18.376741800938877</v>
      </c>
      <c r="FW44" s="335"/>
      <c r="FX44" s="335"/>
      <c r="FY44" s="127"/>
      <c r="FZ44" s="26"/>
      <c r="GF44" s="127"/>
      <c r="GG44" s="26">
        <f>GH44*$NT44</f>
        <v>0.59825512490648203</v>
      </c>
      <c r="GH44" s="115">
        <f>FD$14*$AN44/$C44</f>
        <v>0.68764956885802531</v>
      </c>
      <c r="GI44" s="562">
        <f>10^3*GH44/$OB44</f>
        <v>42.978098053626582</v>
      </c>
      <c r="GJ44" s="115">
        <f>GH44/$OD44</f>
        <v>7.9040180328508658</v>
      </c>
      <c r="GK44" s="335"/>
      <c r="GL44" s="335"/>
      <c r="GM44" s="127"/>
      <c r="GN44" s="26"/>
      <c r="GT44" s="127"/>
      <c r="GU44" s="127"/>
      <c r="GV44" s="127"/>
      <c r="GW44" s="127"/>
      <c r="GX44" s="127"/>
      <c r="GY44" s="26">
        <f>GZ44*$NT44</f>
        <v>0.1047888626988603</v>
      </c>
      <c r="GZ44" s="127">
        <f>$AN44*GU$14/C44</f>
        <v>0.12044696861937966</v>
      </c>
      <c r="HA44" s="673">
        <f>10^3*GZ44/$OB44</f>
        <v>7.5279355387112288</v>
      </c>
      <c r="HB44" s="115">
        <f>GZ44/$OD44</f>
        <v>1.3844479151652835</v>
      </c>
      <c r="HD44" s="74"/>
      <c r="HE44" s="127"/>
      <c r="HF44" s="127"/>
      <c r="HG44" s="127"/>
      <c r="HH44" s="127"/>
      <c r="HI44" s="127"/>
      <c r="HJ44" s="127"/>
      <c r="HK44" s="127"/>
      <c r="HL44" s="127"/>
      <c r="HM44" s="115">
        <f>HN44*$NT44</f>
        <v>0.12880422612653222</v>
      </c>
      <c r="HN44" s="127">
        <f>$AN44*GV$14/C44</f>
        <v>0.14805083462819796</v>
      </c>
      <c r="HO44" s="73">
        <f>10^3*HN44/$OB44</f>
        <v>9.2531771642623717</v>
      </c>
      <c r="HS44" s="127"/>
      <c r="HT44" s="127"/>
      <c r="HU44" s="127"/>
      <c r="HV44" s="127"/>
      <c r="HW44" s="127"/>
      <c r="HX44" s="127"/>
      <c r="HY44" s="127"/>
      <c r="HZ44" s="127"/>
      <c r="IA44" s="115">
        <f>IB44*$NT44</f>
        <v>3.1188353344669892E-2</v>
      </c>
      <c r="IB44" s="127">
        <f>$AN44*GW$14/C44</f>
        <v>3.5848682005367692E-2</v>
      </c>
      <c r="IC44" s="73">
        <f>10^3*IB44/$OB44</f>
        <v>2.2405426253354808</v>
      </c>
      <c r="IE44" s="133"/>
      <c r="IG44" s="127"/>
      <c r="IH44" s="127"/>
      <c r="II44" s="127"/>
      <c r="IJ44" s="127"/>
      <c r="IK44" s="127"/>
      <c r="IL44" s="127"/>
      <c r="IM44" s="127"/>
      <c r="IN44" s="127"/>
      <c r="IO44" s="431"/>
      <c r="IP44" s="431"/>
      <c r="IQ44" s="431"/>
      <c r="IR44" s="431"/>
      <c r="IS44" s="431"/>
      <c r="IT44" s="431"/>
      <c r="IU44" s="431"/>
      <c r="IV44" s="335">
        <f>IW44*$NT44</f>
        <v>0.43593657141503528</v>
      </c>
      <c r="IW44" s="127">
        <f>AN44*JK43</f>
        <v>0.50107651886785665</v>
      </c>
      <c r="IX44" s="673">
        <f>10^3*IW44/OB44</f>
        <v>31.31728242924104</v>
      </c>
      <c r="IY44" s="115">
        <f>IW44/$OD44</f>
        <v>5.759500216871916</v>
      </c>
      <c r="IZ44" s="73"/>
      <c r="JA44" s="115"/>
      <c r="JB44" s="127">
        <f>$IW44*JM43/$JK43</f>
        <v>0.26847926233214714</v>
      </c>
      <c r="JC44" s="127">
        <f>$IW44*JN43/$JK43</f>
        <v>0.23259725653570953</v>
      </c>
      <c r="JD44" s="127">
        <f>$IW44*JO43/$JK43</f>
        <v>0</v>
      </c>
      <c r="JS44" s="723"/>
      <c r="JT44" s="133"/>
      <c r="JU44" s="723"/>
      <c r="KJ44" s="115">
        <f>BW44*44/12+$IW44+$GZ44</f>
        <v>2.7930613138741744</v>
      </c>
      <c r="KK44" s="74"/>
      <c r="KL44" s="677">
        <f>10^3*KJ44/$OB44</f>
        <v>174.56633211713591</v>
      </c>
      <c r="KM44" s="74"/>
      <c r="KN44" s="73"/>
      <c r="KO44" s="115"/>
      <c r="KP44" s="115"/>
      <c r="KQ44" s="115"/>
      <c r="KR44" s="115"/>
      <c r="KS44" s="73"/>
      <c r="KT44" s="115">
        <f>CK44*44/12+$IW44+$HN44</f>
        <v>3.1781416656369088</v>
      </c>
      <c r="KV44" s="677">
        <f>10^3*KT44/$OB44</f>
        <v>198.6338541023068</v>
      </c>
      <c r="KX44" s="73"/>
      <c r="KY44" s="115"/>
      <c r="KZ44" s="115"/>
      <c r="LA44" s="115"/>
      <c r="LB44" s="115"/>
      <c r="LC44" s="73"/>
      <c r="LD44" s="115">
        <f>CY44*44/12+$IW44+$IB44</f>
        <v>1.6128955371876288</v>
      </c>
      <c r="LF44" s="677">
        <f>10^3*LD44/$OB44</f>
        <v>100.8059710742268</v>
      </c>
      <c r="LH44" s="73"/>
      <c r="LI44" s="115"/>
      <c r="LJ44" s="115"/>
      <c r="LK44" s="115"/>
      <c r="LL44" s="115"/>
      <c r="LM44" s="73"/>
      <c r="LN44" s="115">
        <f>DM44*44/12+$IW44+$GZ44</f>
        <v>3.1357998499662156</v>
      </c>
      <c r="LP44" s="677">
        <f>10^3*LN44/$OB44</f>
        <v>195.98749062288849</v>
      </c>
      <c r="LR44" s="73"/>
      <c r="LW44" s="73"/>
      <c r="LX44" s="115">
        <f>EA44*44/12+$IW44+$HN44</f>
        <v>3.5733975824135635</v>
      </c>
      <c r="LZ44" s="677">
        <f>10^3*LX44/$OB44</f>
        <v>223.33734890084773</v>
      </c>
      <c r="MB44" s="73"/>
      <c r="MG44" s="73"/>
      <c r="MH44" s="115">
        <f>EO44*44/12+$IW44+$IB44</f>
        <v>15.048244044511121</v>
      </c>
      <c r="MJ44" s="677">
        <f>10^3*MH44/$OB44</f>
        <v>940.51525278194504</v>
      </c>
      <c r="ML44" s="127"/>
      <c r="MM44" s="127"/>
      <c r="MN44" s="127"/>
      <c r="MO44" s="127"/>
      <c r="MP44" s="127"/>
      <c r="MQ44" s="127"/>
      <c r="MW44" s="127"/>
      <c r="MX44" s="127"/>
      <c r="MY44" s="127"/>
      <c r="MZ44" s="127"/>
      <c r="NA44" s="127"/>
      <c r="NB44" s="127"/>
      <c r="NC44" s="127"/>
      <c r="ND44" s="127"/>
      <c r="NE44" s="127"/>
      <c r="NF44" s="127"/>
      <c r="NG44" s="127"/>
      <c r="NH44" s="127"/>
      <c r="NI44" s="127"/>
      <c r="NJ44" s="127"/>
      <c r="NK44" s="127"/>
      <c r="NL44" s="127"/>
      <c r="NM44" s="127"/>
      <c r="NN44" s="127"/>
      <c r="NO44" s="127"/>
      <c r="NP44" s="127"/>
      <c r="NQ44" s="127"/>
      <c r="NT44" s="31">
        <v>0.87</v>
      </c>
      <c r="NU44" s="31"/>
      <c r="NV44" s="32">
        <f>$NT44*NW44</f>
        <v>15.747000000000002</v>
      </c>
      <c r="NW44" s="9">
        <v>18.100000000000001</v>
      </c>
      <c r="NX44" s="9"/>
      <c r="NY44" s="9"/>
      <c r="NZ44" s="9"/>
      <c r="OA44" s="32">
        <f>$NT44*OB44</f>
        <v>13.92</v>
      </c>
      <c r="OB44" s="43">
        <v>16</v>
      </c>
      <c r="OC44" s="38">
        <f>$NT44*OD44</f>
        <v>7.5689999999999993E-2</v>
      </c>
      <c r="OD44" s="35">
        <v>8.6999999999999994E-2</v>
      </c>
      <c r="OE44" s="38">
        <f>$NT44*OF44</f>
        <v>8.6999999999999994E-3</v>
      </c>
      <c r="OF44" s="35">
        <v>0.01</v>
      </c>
    </row>
    <row r="45" spans="1:494" x14ac:dyDescent="0.25">
      <c r="A45" s="4" t="s">
        <v>165</v>
      </c>
      <c r="B45" s="53">
        <f>C45*NT14/NT45</f>
        <v>0.17599999999999996</v>
      </c>
      <c r="C45" s="40">
        <f>1-C44-C46</f>
        <v>0.17999999999999997</v>
      </c>
      <c r="D45" s="722">
        <f>C45*NW45/NW14</f>
        <v>0.19627659574468082</v>
      </c>
      <c r="E45" s="104"/>
      <c r="F45" s="104"/>
      <c r="G45" s="104"/>
      <c r="H45" s="104"/>
      <c r="I45" s="104"/>
      <c r="J45" s="104"/>
      <c r="K45" s="104"/>
      <c r="L45" s="104"/>
      <c r="M45" s="104"/>
      <c r="N45" s="69"/>
      <c r="V45" s="55">
        <f>W45/NT45</f>
        <v>18.499999999999993</v>
      </c>
      <c r="W45" s="55">
        <f>C45/C44*W44</f>
        <v>16.649999999999995</v>
      </c>
      <c r="X45" s="73"/>
      <c r="Y45" s="26">
        <f>W45*NW45/10^3</f>
        <v>0.34132499999999988</v>
      </c>
      <c r="Z45" s="26"/>
      <c r="AA45" s="26">
        <f>W45*OD45</f>
        <v>2.597399999999999</v>
      </c>
      <c r="AB45" s="26"/>
      <c r="AE45" s="115">
        <f>AB$14*$AN45/$C45</f>
        <v>2.3451928712962098</v>
      </c>
      <c r="AF45" s="115"/>
      <c r="AG45" s="115">
        <f>AC$14*$AN45/$C45</f>
        <v>2.609177241547477</v>
      </c>
      <c r="AH45" s="115"/>
      <c r="AI45" s="115">
        <f>AD$14*$AN45/$C45</f>
        <v>1.5361531009610767</v>
      </c>
      <c r="AJ45" s="115"/>
      <c r="AK45" s="722">
        <f>Y45/(Y44+Y45+Y46)</f>
        <v>0.19466132095378763</v>
      </c>
      <c r="AL45" s="164">
        <v>0.27500000000000002</v>
      </c>
      <c r="AM45" s="104">
        <f>V45*AL45/(V44*AL44+V45*AL45+V46*AL46)</f>
        <v>0.10257938379481547</v>
      </c>
      <c r="AN45" s="40">
        <f t="shared" ref="AN45:AN46" si="9">AK45</f>
        <v>0.19466132095378763</v>
      </c>
      <c r="AO45" s="115"/>
      <c r="AP45" s="115"/>
      <c r="AQ45" s="115"/>
      <c r="AR45" s="115"/>
      <c r="AS45" s="115"/>
      <c r="AT45" s="115"/>
      <c r="AU45" s="115"/>
      <c r="AV45" s="115"/>
      <c r="AW45" s="115"/>
      <c r="AX45" s="115"/>
      <c r="AY45" s="115"/>
      <c r="AZ45" s="115"/>
      <c r="BA45" s="115"/>
      <c r="BB45" s="115"/>
      <c r="BC45" s="115"/>
      <c r="BD45" s="115"/>
      <c r="BE45" s="115"/>
      <c r="BF45" s="115"/>
      <c r="BG45" s="115"/>
      <c r="BH45" s="115"/>
      <c r="BI45" s="115"/>
      <c r="BJ45" s="115"/>
      <c r="BK45" s="115"/>
      <c r="BL45" s="115"/>
      <c r="BM45" s="115"/>
      <c r="BN45" s="115"/>
      <c r="BO45" s="115"/>
      <c r="BP45" s="115"/>
      <c r="BQ45" s="115"/>
      <c r="BR45" s="115"/>
      <c r="BS45" s="115"/>
      <c r="BT45" s="115"/>
      <c r="BU45" s="115"/>
      <c r="BV45" s="26">
        <f>BW45*$NT45</f>
        <v>0.60368969708948783</v>
      </c>
      <c r="BW45" s="115">
        <f>BP$14*$AN45/$C45</f>
        <v>0.67076633009943087</v>
      </c>
      <c r="BX45" s="55"/>
      <c r="BY45" s="143">
        <f>BW45/$OD45</f>
        <v>4.2997841673040442</v>
      </c>
      <c r="BZ45" s="335"/>
      <c r="CA45" s="127"/>
      <c r="CB45" s="127"/>
      <c r="CC45" s="127"/>
      <c r="CD45" s="115"/>
      <c r="CE45" s="115"/>
      <c r="CF45" s="115"/>
      <c r="CG45" s="115"/>
      <c r="CH45" s="115"/>
      <c r="CI45" s="127"/>
      <c r="CJ45" s="26">
        <f>CK45*$NT45</f>
        <v>0.70306851922147806</v>
      </c>
      <c r="CK45" s="115">
        <f>BQ$14*$AN45/$C45</f>
        <v>0.78118724357942004</v>
      </c>
      <c r="CL45" s="55"/>
      <c r="CM45" s="143">
        <f>CK45/$OD45</f>
        <v>5.0076105357655134</v>
      </c>
      <c r="CN45" s="335"/>
      <c r="CO45" s="127"/>
      <c r="CP45" s="127"/>
      <c r="CQ45" s="127"/>
      <c r="CW45" s="127"/>
      <c r="CX45" s="26">
        <f>CY45*$NT45</f>
        <v>0.29912083432949416</v>
      </c>
      <c r="CY45" s="115">
        <f>BR$14*$AN45/$C45</f>
        <v>0.33235648258832684</v>
      </c>
      <c r="CZ45" s="55"/>
      <c r="DA45" s="143">
        <f>CY45/$OD45</f>
        <v>2.1304902730020951</v>
      </c>
      <c r="DB45" s="335"/>
      <c r="DC45" s="127"/>
      <c r="DD45" s="127"/>
      <c r="DE45" s="127"/>
      <c r="DF45" s="115"/>
      <c r="DG45" s="115"/>
      <c r="DH45" s="115"/>
      <c r="DI45" s="115"/>
      <c r="DJ45" s="115"/>
      <c r="DK45" s="127"/>
      <c r="DL45" s="26">
        <f>DM45*$NT45</f>
        <v>0.69897135441090641</v>
      </c>
      <c r="DM45" s="115">
        <f>BS$14*$AN45/$C45</f>
        <v>0.77663483823434043</v>
      </c>
      <c r="DN45" s="55"/>
      <c r="DO45" s="143">
        <f>DM45/$OD45</f>
        <v>4.9784284502201306</v>
      </c>
      <c r="DP45" s="37"/>
      <c r="DQ45" s="127"/>
      <c r="DR45" s="127"/>
      <c r="DS45" s="127"/>
      <c r="DT45" s="37"/>
      <c r="DU45" s="37"/>
      <c r="DV45" s="37"/>
      <c r="DW45" s="37"/>
      <c r="DX45" s="37"/>
      <c r="DY45" s="127"/>
      <c r="DZ45" s="26">
        <f>EA45*$NT45</f>
        <v>0.81295006112799639</v>
      </c>
      <c r="EA45" s="115">
        <f>BT$14*$AN45/$C45</f>
        <v>0.9032778456977737</v>
      </c>
      <c r="EB45" s="55"/>
      <c r="EC45" s="143">
        <f>EA45/$OD45</f>
        <v>5.7902426006267547</v>
      </c>
      <c r="EE45" s="127"/>
      <c r="EF45" s="127"/>
      <c r="EG45" s="127"/>
      <c r="EM45" s="127"/>
      <c r="EN45" s="26">
        <f>EO45*$NT45</f>
        <v>4.0341612154462956</v>
      </c>
      <c r="EO45" s="115">
        <f>BU$14*$AN45/$C45</f>
        <v>4.4824013504958842</v>
      </c>
      <c r="EP45" s="55"/>
      <c r="EQ45" s="143">
        <f>EO45/$OD45</f>
        <v>28.73334199035823</v>
      </c>
      <c r="ER45" s="37"/>
      <c r="ES45" s="127"/>
      <c r="ET45" s="127"/>
      <c r="EU45" s="127"/>
      <c r="EV45" s="37"/>
      <c r="EW45" s="37"/>
      <c r="EX45" s="37"/>
      <c r="EY45" s="37"/>
      <c r="EZ45" s="37"/>
      <c r="FA45" s="127"/>
      <c r="FE45" s="26">
        <f>FF45*$NT45</f>
        <v>1.4012030411479084</v>
      </c>
      <c r="FF45" s="115">
        <f>FB$14*$AN45/$C45</f>
        <v>1.5568922679421204</v>
      </c>
      <c r="FG45" s="55"/>
      <c r="FH45" s="115">
        <f>FF45/$OD45</f>
        <v>9.980078640654618</v>
      </c>
      <c r="FI45" s="335"/>
      <c r="FJ45" s="335"/>
      <c r="FK45" s="127"/>
      <c r="FL45" s="26"/>
      <c r="FR45" s="127"/>
      <c r="FS45" s="26">
        <f>FT45*$NT45</f>
        <v>1.6296921050705542</v>
      </c>
      <c r="FT45" s="115">
        <f>FC$14*$AN45/$C45</f>
        <v>1.8107690056339489</v>
      </c>
      <c r="FU45" s="55"/>
      <c r="FV45" s="115">
        <f>FT45/$OD45</f>
        <v>11.607493625858647</v>
      </c>
      <c r="FW45" s="335"/>
      <c r="FX45" s="335"/>
      <c r="FY45" s="127"/>
      <c r="FZ45" s="26"/>
      <c r="GF45" s="127"/>
      <c r="GG45" s="26">
        <f>GH45*$NT45</f>
        <v>0.70094665996853944</v>
      </c>
      <c r="GH45" s="115">
        <f>FD$14*$AN45/$C45</f>
        <v>0.77882962218726604</v>
      </c>
      <c r="GI45" s="55"/>
      <c r="GJ45" s="115">
        <f>GH45/$OD45</f>
        <v>4.9924975781235004</v>
      </c>
      <c r="GK45" s="335"/>
      <c r="GL45" s="335"/>
      <c r="GM45" s="127"/>
      <c r="GN45" s="26"/>
      <c r="GT45" s="127"/>
      <c r="GU45" s="127"/>
      <c r="GV45" s="127"/>
      <c r="GW45" s="127"/>
      <c r="GX45" s="127"/>
      <c r="GY45" s="26">
        <f>GZ45*$NT45</f>
        <v>0.12277605364793115</v>
      </c>
      <c r="GZ45" s="330">
        <f>$AN45*GU$14/C45</f>
        <v>0.13641783738659016</v>
      </c>
      <c r="HB45" s="115">
        <f>GZ45/$OD45</f>
        <v>0.87447331658070615</v>
      </c>
      <c r="HD45" s="74"/>
      <c r="HE45" s="127"/>
      <c r="HF45" s="127"/>
      <c r="HG45" s="127"/>
      <c r="HH45" s="127"/>
      <c r="HI45" s="127"/>
      <c r="HJ45" s="127"/>
      <c r="HK45" s="127"/>
      <c r="HL45" s="127"/>
      <c r="HM45" s="115">
        <f>HN45*$NT45</f>
        <v>0.15091369607128463</v>
      </c>
      <c r="HN45" s="127">
        <f>$AN45*GV$14/C45</f>
        <v>0.16768188452364957</v>
      </c>
      <c r="HP45" s="115">
        <f>HN45/$OD45</f>
        <v>1.0748838751515999</v>
      </c>
      <c r="HS45" s="127"/>
      <c r="HT45" s="127"/>
      <c r="HU45" s="127"/>
      <c r="HV45" s="127"/>
      <c r="HW45" s="127"/>
      <c r="HX45" s="127"/>
      <c r="HY45" s="127"/>
      <c r="HZ45" s="127"/>
      <c r="IA45" s="115">
        <f>IB45*$NT45</f>
        <v>3.6541888563482526E-2</v>
      </c>
      <c r="IB45" s="127">
        <f>$AN45*GW$14/C45</f>
        <v>4.0602098403869476E-2</v>
      </c>
      <c r="IC45" s="133"/>
      <c r="ID45" s="115">
        <f>IB45/$OD45</f>
        <v>0.26026986156326587</v>
      </c>
      <c r="IE45" s="133"/>
      <c r="IG45" s="127"/>
      <c r="IH45" s="127"/>
      <c r="II45" s="127"/>
      <c r="IJ45" s="127"/>
      <c r="IK45" s="127"/>
      <c r="IL45" s="127"/>
      <c r="IM45" s="127"/>
      <c r="IN45" s="127"/>
      <c r="IO45" s="97"/>
      <c r="IP45" s="97"/>
      <c r="IQ45" s="97"/>
      <c r="IR45" s="97"/>
      <c r="IS45" s="97"/>
      <c r="IT45" s="97"/>
      <c r="IU45" s="97"/>
      <c r="IV45" s="335">
        <f>IW45*$NT45</f>
        <v>0.51076584381833989</v>
      </c>
      <c r="IW45" s="330">
        <f>$AN45*JK43*$C44/$C45</f>
        <v>0.56751760424259989</v>
      </c>
      <c r="IX45" s="73"/>
      <c r="IY45" s="115">
        <f>IW45/$OD45</f>
        <v>3.6379333605294866</v>
      </c>
      <c r="IZ45" s="73"/>
      <c r="JA45" s="115"/>
      <c r="JB45" s="115">
        <f>$IW45*JM43/$JK43</f>
        <v>0.3040787225308848</v>
      </c>
      <c r="JC45" s="115">
        <f>$IW45*JN43/$JK43</f>
        <v>0.26343888171171509</v>
      </c>
      <c r="JD45" s="115">
        <f>$IW45*JO43/$JK43</f>
        <v>0</v>
      </c>
      <c r="KJ45" s="115">
        <f>BW45*44/12+$IW45+$GZ45</f>
        <v>3.1634119853271034</v>
      </c>
      <c r="KK45" s="74"/>
      <c r="KL45" s="74"/>
      <c r="KM45" s="143">
        <f>KJ45/$OD45</f>
        <v>20.278281957225023</v>
      </c>
      <c r="KN45" s="73"/>
      <c r="KO45" s="74"/>
      <c r="KP45" s="74"/>
      <c r="KQ45" s="74"/>
      <c r="KR45" s="74"/>
      <c r="KS45" s="73"/>
      <c r="KT45" s="115">
        <f>CK45*44/12+$IW45+$HN45</f>
        <v>3.5995527152241231</v>
      </c>
      <c r="KW45" s="143">
        <f>KT45/$OD45</f>
        <v>23.0740558668213</v>
      </c>
      <c r="KX45" s="73"/>
      <c r="LC45" s="73"/>
      <c r="LD45" s="115">
        <f>CY45*44/12+$IW45+$IB45</f>
        <v>1.8267601388036676</v>
      </c>
      <c r="LG45" s="143">
        <f>LD45/$OD45</f>
        <v>11.7100008897671</v>
      </c>
      <c r="LH45" s="73"/>
      <c r="LM45" s="73"/>
      <c r="LN45" s="115">
        <f>DM45*44/12+$IW45+$GZ45</f>
        <v>3.5515965151551048</v>
      </c>
      <c r="LQ45" s="143">
        <f>LN45/$OD45</f>
        <v>22.766644327917337</v>
      </c>
      <c r="LR45" s="73"/>
      <c r="LW45" s="73"/>
      <c r="LX45" s="115">
        <f>EA45*44/12+$IW45+$HN45</f>
        <v>4.0472182563247534</v>
      </c>
      <c r="MA45" s="143">
        <f>LX45/$OD45</f>
        <v>25.94370677131252</v>
      </c>
      <c r="MB45" s="127"/>
      <c r="MG45" s="127"/>
      <c r="MH45" s="115">
        <f>EO45*44/12+$IW45+$IB45</f>
        <v>17.043591321131377</v>
      </c>
      <c r="MK45" s="143">
        <f>MH45/$OD45</f>
        <v>109.25379052007293</v>
      </c>
      <c r="ML45" s="127"/>
      <c r="MM45" s="127"/>
      <c r="MN45" s="127"/>
      <c r="MO45" s="127"/>
      <c r="MP45" s="127"/>
      <c r="MQ45" s="127"/>
      <c r="MW45" s="127"/>
      <c r="MX45" s="127"/>
      <c r="MY45" s="127"/>
      <c r="MZ45" s="127"/>
      <c r="NA45" s="127"/>
      <c r="NB45" s="127"/>
      <c r="NC45" s="127"/>
      <c r="ND45" s="127"/>
      <c r="NE45" s="127"/>
      <c r="NF45" s="127"/>
      <c r="NG45" s="127"/>
      <c r="NH45" s="127"/>
      <c r="NI45" s="127"/>
      <c r="NJ45" s="127"/>
      <c r="NK45" s="127"/>
      <c r="NL45" s="127"/>
      <c r="NM45" s="127"/>
      <c r="NN45" s="127"/>
      <c r="NO45" s="127"/>
      <c r="NP45" s="127"/>
      <c r="NQ45" s="127"/>
      <c r="NT45" s="31">
        <v>0.9</v>
      </c>
      <c r="NU45" s="31"/>
      <c r="NV45" s="32">
        <f>$NT45*NW45</f>
        <v>18.45</v>
      </c>
      <c r="NW45" s="9">
        <v>20.5</v>
      </c>
      <c r="NX45" s="9"/>
      <c r="NY45" s="9"/>
      <c r="NZ45" s="9"/>
      <c r="OA45" s="32"/>
      <c r="OB45" s="43"/>
      <c r="OC45" s="38">
        <f>$NT45*OD45</f>
        <v>0.1404</v>
      </c>
      <c r="OD45" s="35">
        <v>0.156</v>
      </c>
      <c r="OE45" s="38">
        <f>$NT45*OF45</f>
        <v>5.8500000000000003E-2</v>
      </c>
      <c r="OF45" s="35">
        <v>6.5000000000000002E-2</v>
      </c>
    </row>
    <row r="46" spans="1:494" x14ac:dyDescent="0.25">
      <c r="A46" s="4" t="s">
        <v>166</v>
      </c>
      <c r="B46" s="468">
        <f>C46*NT14/NT46</f>
        <v>1.7600000000000001E-2</v>
      </c>
      <c r="C46" s="82">
        <v>0.02</v>
      </c>
      <c r="D46" s="722">
        <f>C46*NW46/NW14</f>
        <v>4.1808510638297866E-2</v>
      </c>
      <c r="E46" s="104"/>
      <c r="F46" s="104"/>
      <c r="G46" s="104"/>
      <c r="H46" s="104"/>
      <c r="I46" s="104"/>
      <c r="J46" s="104"/>
      <c r="K46" s="104"/>
      <c r="L46" s="104"/>
      <c r="M46" s="104"/>
      <c r="N46" s="69"/>
      <c r="V46" s="26">
        <f>W46/NT46</f>
        <v>1.8499999999999999</v>
      </c>
      <c r="W46" s="26">
        <f>C46/C44*W44</f>
        <v>1.8499999999999999</v>
      </c>
      <c r="X46" s="115"/>
      <c r="Y46" s="26">
        <f>W46*NW46/10^3</f>
        <v>7.2704999999999978E-2</v>
      </c>
      <c r="Z46" s="26">
        <f>W46*OB46/10^3</f>
        <v>6.8449999999999983E-2</v>
      </c>
      <c r="AA46" s="26">
        <f>W46*OD46</f>
        <v>0</v>
      </c>
      <c r="AB46" s="26"/>
      <c r="AE46" s="115">
        <f>AB$14*$AN46/$C46</f>
        <v>4.4959063337532266</v>
      </c>
      <c r="AF46" s="115"/>
      <c r="AG46" s="115">
        <f>AC$14*$AN46/$C46</f>
        <v>5.0019836874544357</v>
      </c>
      <c r="AH46" s="115"/>
      <c r="AI46" s="115">
        <f>AD$14*$AN46/$C46</f>
        <v>2.9449178959887989</v>
      </c>
      <c r="AJ46" s="115"/>
      <c r="AK46" s="52">
        <f>1-AK44-AK45</f>
        <v>4.1464443975522292E-2</v>
      </c>
      <c r="AL46" s="164">
        <v>1.07</v>
      </c>
      <c r="AM46" s="683">
        <f>V46*AL46/(V44*AL44+V45*AL45+V46*AL46)</f>
        <v>3.9912705694710032E-2</v>
      </c>
      <c r="AN46" s="40">
        <f t="shared" si="9"/>
        <v>4.1464443975522292E-2</v>
      </c>
      <c r="AO46" s="115"/>
      <c r="AP46" s="115"/>
      <c r="AQ46" s="115"/>
      <c r="AR46" s="115"/>
      <c r="AS46" s="115"/>
      <c r="AT46" s="115"/>
      <c r="AU46" s="115"/>
      <c r="AV46" s="115"/>
      <c r="AW46" s="115"/>
      <c r="AX46" s="115"/>
      <c r="AY46" s="115"/>
      <c r="AZ46" s="115"/>
      <c r="BA46" s="115"/>
      <c r="BB46" s="115"/>
      <c r="BC46" s="115"/>
      <c r="BD46" s="115"/>
      <c r="BE46" s="115"/>
      <c r="BF46" s="115"/>
      <c r="BG46" s="115"/>
      <c r="BH46" s="115"/>
      <c r="BI46" s="115"/>
      <c r="BJ46" s="115"/>
      <c r="BK46" s="115"/>
      <c r="BL46" s="115"/>
      <c r="BM46" s="115"/>
      <c r="BN46" s="115"/>
      <c r="BO46" s="115"/>
      <c r="BP46" s="115"/>
      <c r="BQ46" s="115"/>
      <c r="BR46" s="115"/>
      <c r="BS46" s="115"/>
      <c r="BT46" s="115"/>
      <c r="BU46" s="115"/>
      <c r="BV46" s="26">
        <f>BW46*$NT46</f>
        <v>1.2859081352637882</v>
      </c>
      <c r="BW46" s="115">
        <f>BP$14*$AN46/$C46</f>
        <v>1.2859081352637882</v>
      </c>
      <c r="BX46" s="55">
        <f>10^3*BW46/$OB46</f>
        <v>34.754273926048327</v>
      </c>
      <c r="BY46" s="26"/>
      <c r="BZ46" s="335"/>
      <c r="CA46" s="127"/>
      <c r="CB46" s="127"/>
      <c r="CC46" s="127"/>
      <c r="CD46" s="115"/>
      <c r="CE46" s="115"/>
      <c r="CF46" s="115"/>
      <c r="CG46" s="115"/>
      <c r="CH46" s="115"/>
      <c r="CI46" s="127"/>
      <c r="CJ46" s="26">
        <f>CK46*$NT46</f>
        <v>1.4975931059839627</v>
      </c>
      <c r="CK46" s="115">
        <f>BQ$14*$AN46/$C46</f>
        <v>1.4975931059839627</v>
      </c>
      <c r="CL46" s="55">
        <f>10^3*CK46/$OB46</f>
        <v>40.475489350917911</v>
      </c>
      <c r="CM46" s="26"/>
      <c r="CN46" s="335"/>
      <c r="CO46" s="127"/>
      <c r="CP46" s="127"/>
      <c r="CQ46" s="127"/>
      <c r="CW46" s="127"/>
      <c r="CX46" s="26">
        <f>CY46*$NT46</f>
        <v>0.63715169588884168</v>
      </c>
      <c r="CY46" s="115">
        <f>BR$14*$AN46/$C46</f>
        <v>0.63715169588884168</v>
      </c>
      <c r="CZ46" s="55">
        <f>10^3*CY46/$OB46</f>
        <v>17.22031610510383</v>
      </c>
      <c r="DA46" s="26"/>
      <c r="DB46" s="335"/>
      <c r="DC46" s="127"/>
      <c r="DD46" s="127"/>
      <c r="DE46" s="127"/>
      <c r="DF46" s="115"/>
      <c r="DG46" s="115"/>
      <c r="DH46" s="115"/>
      <c r="DI46" s="115"/>
      <c r="DJ46" s="115"/>
      <c r="DK46" s="127"/>
      <c r="DL46" s="26">
        <f>DM46*$NT46</f>
        <v>1.4888658118346152</v>
      </c>
      <c r="DM46" s="115">
        <f>BS$14*$AN46/$C46</f>
        <v>1.4888658118346152</v>
      </c>
      <c r="DN46" s="677">
        <f>10^3*DM46/$OB46</f>
        <v>40.239616536070685</v>
      </c>
      <c r="DO46" s="26"/>
      <c r="DP46" s="37"/>
      <c r="DQ46" s="127"/>
      <c r="DR46" s="127"/>
      <c r="DS46" s="127"/>
      <c r="DT46" s="37"/>
      <c r="DU46" s="37"/>
      <c r="DV46" s="37"/>
      <c r="DW46" s="37"/>
      <c r="DX46" s="37"/>
      <c r="DY46" s="127"/>
      <c r="DZ46" s="26">
        <f>EA46*$NT46</f>
        <v>1.7316497237035384</v>
      </c>
      <c r="EA46" s="115">
        <f>BT$14*$AN46/$C46</f>
        <v>1.7316497237035384</v>
      </c>
      <c r="EB46" s="677">
        <f>10^3*EA46/$OB46</f>
        <v>46.801343883879419</v>
      </c>
      <c r="EC46" s="26"/>
      <c r="EE46" s="127"/>
      <c r="EF46" s="127"/>
      <c r="EG46" s="127"/>
      <c r="EM46" s="127"/>
      <c r="EN46" s="26">
        <f>EO46*$NT46</f>
        <v>8.5930913694872384</v>
      </c>
      <c r="EO46" s="115">
        <f>BU$14*$AN46/$C46</f>
        <v>8.5930913694872384</v>
      </c>
      <c r="EP46" s="677">
        <f>10^3*EO46/$OB46</f>
        <v>232.24571268884426</v>
      </c>
      <c r="EQ46" s="26"/>
      <c r="ER46" s="37"/>
      <c r="ES46" s="127"/>
      <c r="ET46" s="127"/>
      <c r="EU46" s="127"/>
      <c r="EV46" s="37"/>
      <c r="EW46" s="37"/>
      <c r="EX46" s="37"/>
      <c r="EY46" s="37"/>
      <c r="EZ46" s="37"/>
      <c r="FA46" s="127"/>
      <c r="FE46" s="26">
        <f>FF46*$NT46</f>
        <v>2.9846763965914826</v>
      </c>
      <c r="FF46" s="115">
        <f>FB$14*$AN46/$C46</f>
        <v>2.9846763965914826</v>
      </c>
      <c r="FG46" s="55">
        <f>10^3*FF46/$OB46</f>
        <v>80.666929637607637</v>
      </c>
      <c r="FH46" s="115"/>
      <c r="FI46" s="335"/>
      <c r="FJ46" s="335"/>
      <c r="FK46" s="127"/>
      <c r="FL46" s="26"/>
      <c r="FR46" s="127"/>
      <c r="FS46" s="26">
        <f>FT46*$NT46</f>
        <v>3.4713766790933791</v>
      </c>
      <c r="FT46" s="115">
        <f>FC$14*$AN46/$C46</f>
        <v>3.4713766790933791</v>
      </c>
      <c r="FU46" s="55">
        <f>10^3*FT46/$OB46</f>
        <v>93.820991326848088</v>
      </c>
      <c r="FV46" s="115"/>
      <c r="FW46" s="335"/>
      <c r="FX46" s="335"/>
      <c r="FY46" s="127"/>
      <c r="FZ46" s="26"/>
      <c r="GF46" s="127"/>
      <c r="GG46" s="26">
        <f>GH46*$NT46</f>
        <v>1.4930733732663213</v>
      </c>
      <c r="GH46" s="115">
        <f>FD$14*$AN46/$C46</f>
        <v>1.4930733732663213</v>
      </c>
      <c r="GI46" s="55">
        <f>10^3*GH46/$OB46</f>
        <v>40.353334412603282</v>
      </c>
      <c r="GJ46" s="115"/>
      <c r="GK46" s="335"/>
      <c r="GL46" s="335"/>
      <c r="GM46" s="127"/>
      <c r="GN46" s="26"/>
      <c r="GT46" s="127"/>
      <c r="GU46" s="127"/>
      <c r="GV46" s="127"/>
      <c r="GW46" s="127"/>
      <c r="GX46" s="127"/>
      <c r="GY46" s="26">
        <f>GZ46*$NT46</f>
        <v>0.26152297606307312</v>
      </c>
      <c r="GZ46" s="127">
        <f>$AN46*GU$14/C46</f>
        <v>0.26152297606307312</v>
      </c>
      <c r="HA46" s="673">
        <f>10^3*GZ46/$OB46</f>
        <v>7.0681885422452204</v>
      </c>
      <c r="HB46" s="115"/>
      <c r="HD46" s="74"/>
      <c r="HE46" s="127"/>
      <c r="HF46" s="127"/>
      <c r="HG46" s="127"/>
      <c r="HH46" s="127"/>
      <c r="HI46" s="127"/>
      <c r="HJ46" s="127"/>
      <c r="HK46" s="127"/>
      <c r="HL46" s="127"/>
      <c r="HM46" s="115">
        <f>HN46*$NT46</f>
        <v>0.32145844203802121</v>
      </c>
      <c r="HN46" s="127">
        <f>$AN46*GV$14/C46</f>
        <v>0.32145844203802121</v>
      </c>
      <c r="HP46" s="115"/>
      <c r="HS46" s="127"/>
      <c r="HT46" s="127"/>
      <c r="HU46" s="127"/>
      <c r="HV46" s="127"/>
      <c r="HW46" s="127"/>
      <c r="HX46" s="127"/>
      <c r="HY46" s="127"/>
      <c r="HZ46" s="127"/>
      <c r="IA46" s="115">
        <f>IB46*$NT46</f>
        <v>7.7837193525466933E-2</v>
      </c>
      <c r="IB46" s="127">
        <f>$AN46*GW$14/C46</f>
        <v>7.7837193525466933E-2</v>
      </c>
      <c r="IC46" s="133"/>
      <c r="ID46" s="115"/>
      <c r="IE46" s="133"/>
      <c r="IG46" s="127"/>
      <c r="IH46" s="127"/>
      <c r="II46" s="127"/>
      <c r="IJ46" s="127"/>
      <c r="IK46" s="127"/>
      <c r="IL46" s="127"/>
      <c r="IM46" s="127"/>
      <c r="IN46" s="127"/>
      <c r="IO46" s="595"/>
      <c r="IP46" s="595"/>
      <c r="IQ46" s="595"/>
      <c r="IR46" s="595"/>
      <c r="IS46" s="595"/>
      <c r="IT46" s="595"/>
      <c r="IU46" s="595"/>
      <c r="IV46" s="335">
        <f>IW46*$NT46</f>
        <v>1.0879727730114244</v>
      </c>
      <c r="IW46" s="330">
        <f>$AN46*JK43*$C44/$C46</f>
        <v>1.0879727730114244</v>
      </c>
      <c r="IX46" s="673">
        <f>10^3*IW46/OB46</f>
        <v>29.404669540849305</v>
      </c>
      <c r="IY46" s="115"/>
      <c r="JA46" s="115"/>
      <c r="JB46" s="115">
        <f>$IW46*JM43/$JK43</f>
        <v>0.582941160754331</v>
      </c>
      <c r="JC46" s="115">
        <f>$IW46*JN43/$JK43</f>
        <v>0.50503161225709337</v>
      </c>
      <c r="JD46" s="115">
        <f>$IW46*JO43/$JK43</f>
        <v>0</v>
      </c>
      <c r="KJ46" s="115">
        <f>BW46*44/12+$IW46+$GZ46</f>
        <v>6.0644922450417207</v>
      </c>
      <c r="KK46" s="74"/>
      <c r="KL46" s="74"/>
      <c r="MM46" s="127"/>
      <c r="MN46" s="127"/>
      <c r="MO46" s="127"/>
      <c r="MP46" s="127"/>
      <c r="MQ46" s="127"/>
      <c r="MW46" s="127"/>
      <c r="MX46" s="127"/>
      <c r="MY46" s="127"/>
      <c r="MZ46" s="127"/>
      <c r="NA46" s="127"/>
      <c r="NB46" s="127"/>
      <c r="NC46" s="127"/>
      <c r="ND46" s="127"/>
      <c r="NE46" s="127"/>
      <c r="NF46" s="127"/>
      <c r="NG46" s="127"/>
      <c r="NH46" s="127"/>
      <c r="NI46" s="127"/>
      <c r="NJ46" s="127"/>
      <c r="NK46" s="127"/>
      <c r="NL46" s="127"/>
      <c r="NM46" s="127"/>
      <c r="NN46" s="127"/>
      <c r="NO46" s="127"/>
      <c r="NP46" s="127"/>
      <c r="NQ46" s="127"/>
      <c r="NT46" s="31">
        <v>1</v>
      </c>
      <c r="NU46" s="31"/>
      <c r="NV46" s="32">
        <f>$NT46*NW46</f>
        <v>39.299999999999997</v>
      </c>
      <c r="NW46" s="9">
        <v>39.299999999999997</v>
      </c>
      <c r="NX46" s="9"/>
      <c r="NY46" s="9"/>
      <c r="NZ46" s="9"/>
      <c r="OA46" s="32">
        <f>$NT46*OB46</f>
        <v>37</v>
      </c>
      <c r="OB46" s="43">
        <v>37</v>
      </c>
      <c r="OC46" s="38">
        <f>$NT46*OD46</f>
        <v>0</v>
      </c>
      <c r="OD46" s="35">
        <v>0</v>
      </c>
      <c r="OE46" s="38">
        <f>$NT46*OF46</f>
        <v>1</v>
      </c>
      <c r="OF46" s="42">
        <v>1</v>
      </c>
    </row>
    <row r="47" spans="1:494" x14ac:dyDescent="0.25">
      <c r="B47" s="53"/>
      <c r="AE47" s="115"/>
      <c r="AF47" s="115"/>
      <c r="AG47" s="115"/>
      <c r="AH47" s="115"/>
      <c r="AI47" s="115"/>
      <c r="AJ47" s="115"/>
      <c r="AL47" s="74"/>
      <c r="AO47" s="115"/>
      <c r="AP47" s="115"/>
      <c r="AQ47" s="115"/>
      <c r="AR47" s="115"/>
      <c r="AS47" s="115"/>
      <c r="AT47" s="115"/>
      <c r="AU47" s="115"/>
      <c r="AV47" s="115"/>
      <c r="AW47" s="115"/>
      <c r="AX47" s="115"/>
      <c r="AY47" s="115"/>
      <c r="AZ47" s="115"/>
      <c r="BA47" s="115"/>
      <c r="BB47" s="115"/>
      <c r="BC47" s="115"/>
      <c r="BD47" s="115"/>
      <c r="BE47" s="115"/>
      <c r="BF47" s="115"/>
      <c r="BG47" s="115"/>
      <c r="BH47" s="115"/>
      <c r="BI47" s="115"/>
      <c r="BJ47" s="115"/>
      <c r="BK47" s="115"/>
      <c r="BL47" s="115"/>
      <c r="BM47" s="115"/>
      <c r="BN47" s="115"/>
      <c r="BO47" s="115"/>
      <c r="BP47" s="115"/>
      <c r="BQ47" s="115"/>
      <c r="BR47" s="115"/>
      <c r="BS47" s="115"/>
      <c r="BT47" s="115"/>
      <c r="BU47" s="115"/>
      <c r="BW47" s="115"/>
      <c r="CA47" s="74"/>
      <c r="CB47" s="74"/>
      <c r="CC47" s="74"/>
      <c r="CD47" s="115"/>
      <c r="CE47" s="115"/>
      <c r="CF47" s="115"/>
      <c r="CG47" s="115"/>
      <c r="CH47" s="115"/>
      <c r="CI47" s="74"/>
      <c r="CK47" s="115"/>
      <c r="CX47" s="37"/>
      <c r="CY47" s="115"/>
      <c r="CZ47" s="37"/>
      <c r="DA47" s="37"/>
      <c r="DB47" s="37"/>
      <c r="DF47" s="115"/>
      <c r="DG47" s="115"/>
      <c r="DH47" s="115"/>
      <c r="DI47" s="115"/>
      <c r="DJ47" s="115"/>
      <c r="DL47" s="37"/>
      <c r="DM47" s="115"/>
      <c r="DN47" s="37"/>
      <c r="DO47" s="37"/>
      <c r="DP47" s="37"/>
      <c r="DT47" s="37"/>
      <c r="DU47" s="37"/>
      <c r="DV47" s="37"/>
      <c r="DW47" s="37"/>
      <c r="DX47" s="37"/>
      <c r="EA47" s="115"/>
      <c r="EN47" s="37"/>
      <c r="EO47" s="115"/>
      <c r="EP47" s="37"/>
      <c r="EQ47" s="37"/>
      <c r="ER47" s="37"/>
      <c r="EV47" s="37"/>
      <c r="EW47" s="37"/>
      <c r="EX47" s="37"/>
      <c r="EY47" s="37"/>
      <c r="EZ47" s="37"/>
      <c r="FF47" s="115"/>
      <c r="FH47" s="74"/>
      <c r="FK47" s="74"/>
      <c r="FR47" s="74"/>
      <c r="FT47" s="115"/>
      <c r="FZ47" s="37"/>
      <c r="GH47" s="115"/>
      <c r="GJ47" s="74"/>
      <c r="GM47" s="74"/>
      <c r="GT47" s="74"/>
      <c r="GU47" s="74"/>
      <c r="GV47" s="74"/>
      <c r="GW47" s="74"/>
      <c r="GX47" s="74"/>
      <c r="HB47" s="74"/>
      <c r="HD47" s="74"/>
      <c r="HE47" s="74"/>
      <c r="HF47" s="74"/>
      <c r="HG47" s="74"/>
      <c r="HH47" s="74"/>
      <c r="HI47" s="74"/>
      <c r="HJ47" s="74"/>
      <c r="HK47" s="74"/>
      <c r="HL47" s="74"/>
      <c r="IA47" s="133"/>
      <c r="IB47" s="133"/>
      <c r="IC47" s="133"/>
      <c r="IE47" s="133"/>
      <c r="IO47" s="431"/>
      <c r="IP47" s="431"/>
      <c r="IQ47" s="431"/>
      <c r="IR47" s="431"/>
      <c r="IS47" s="431"/>
      <c r="IT47" s="431"/>
      <c r="IU47" s="431"/>
      <c r="OB47" s="26"/>
    </row>
    <row r="48" spans="1:494" ht="13.8" x14ac:dyDescent="0.3">
      <c r="A48" s="44" t="s">
        <v>162</v>
      </c>
      <c r="B48" s="74"/>
      <c r="AE48" s="115"/>
      <c r="AF48" s="115"/>
      <c r="AG48" s="115"/>
      <c r="AH48" s="115"/>
      <c r="AI48" s="115"/>
      <c r="AJ48" s="115"/>
      <c r="AL48" s="74"/>
      <c r="AO48" s="115"/>
      <c r="AP48" s="115"/>
      <c r="AQ48" s="115"/>
      <c r="AR48" s="115"/>
      <c r="AS48" s="115"/>
      <c r="AT48" s="115"/>
      <c r="AU48" s="115"/>
      <c r="AV48" s="115"/>
      <c r="AW48" s="115"/>
      <c r="AX48" s="115"/>
      <c r="AY48" s="115"/>
      <c r="AZ48" s="115"/>
      <c r="BA48" s="115"/>
      <c r="BB48" s="115"/>
      <c r="BC48" s="115"/>
      <c r="BD48" s="115"/>
      <c r="BE48" s="115"/>
      <c r="BF48" s="115"/>
      <c r="BG48" s="115"/>
      <c r="BH48" s="115"/>
      <c r="BI48" s="115"/>
      <c r="BJ48" s="115"/>
      <c r="BK48" s="115"/>
      <c r="BL48" s="115"/>
      <c r="BM48" s="115"/>
      <c r="BN48" s="115"/>
      <c r="BO48" s="115"/>
      <c r="BP48" s="115"/>
      <c r="BQ48" s="115"/>
      <c r="BR48" s="115"/>
      <c r="BS48" s="115"/>
      <c r="BT48" s="115"/>
      <c r="BU48" s="115"/>
      <c r="BW48" s="115"/>
      <c r="CA48" s="74"/>
      <c r="CB48" s="74"/>
      <c r="CC48" s="74"/>
      <c r="CD48" s="115"/>
      <c r="CE48" s="115"/>
      <c r="CF48" s="115"/>
      <c r="CG48" s="115"/>
      <c r="CH48" s="115"/>
      <c r="CI48" s="74"/>
      <c r="CK48" s="115"/>
      <c r="CX48" s="37"/>
      <c r="CY48" s="115"/>
      <c r="CZ48" s="37"/>
      <c r="DA48" s="37"/>
      <c r="DB48" s="37"/>
      <c r="DF48" s="115"/>
      <c r="DG48" s="115"/>
      <c r="DH48" s="115"/>
      <c r="DI48" s="115"/>
      <c r="DJ48" s="115"/>
      <c r="DL48" s="37"/>
      <c r="DM48" s="115"/>
      <c r="DN48" s="37"/>
      <c r="DO48" s="37"/>
      <c r="DP48" s="37"/>
      <c r="DT48" s="37"/>
      <c r="DU48" s="37"/>
      <c r="DV48" s="37"/>
      <c r="DW48" s="37"/>
      <c r="DX48" s="37"/>
      <c r="EA48" s="115"/>
      <c r="EN48" s="37"/>
      <c r="EO48" s="115"/>
      <c r="EP48" s="37"/>
      <c r="EQ48" s="37"/>
      <c r="ER48" s="37"/>
      <c r="EV48" s="37"/>
      <c r="EW48" s="37"/>
      <c r="EX48" s="37"/>
      <c r="EY48" s="37"/>
      <c r="EZ48" s="37"/>
      <c r="FF48" s="115"/>
      <c r="FH48" s="74"/>
      <c r="FK48" s="74"/>
      <c r="FR48" s="74"/>
      <c r="FT48" s="115"/>
      <c r="FZ48" s="37"/>
      <c r="GH48" s="115"/>
      <c r="GJ48" s="74"/>
      <c r="GM48" s="74"/>
      <c r="GT48" s="74"/>
      <c r="GU48" s="74"/>
      <c r="GV48" s="74"/>
      <c r="GW48" s="74"/>
      <c r="GX48" s="74"/>
      <c r="HB48" s="74"/>
      <c r="HD48" s="74"/>
      <c r="HE48" s="74"/>
      <c r="HF48" s="74"/>
      <c r="HG48" s="74"/>
      <c r="HH48" s="74"/>
      <c r="HI48" s="74"/>
      <c r="HJ48" s="74"/>
      <c r="HK48" s="74"/>
      <c r="HL48" s="74"/>
      <c r="IA48" s="133"/>
      <c r="IB48" s="133"/>
      <c r="IC48" s="133"/>
      <c r="IE48" s="133"/>
      <c r="IO48" s="68">
        <f>IP48+IQ48+IR48+IS48+IT48+IU48</f>
        <v>1103.1102828977341</v>
      </c>
      <c r="IP48" s="97">
        <f>JS48*$W49</f>
        <v>137.31847182019706</v>
      </c>
      <c r="IQ48" s="97">
        <f>JU48*$W49</f>
        <v>64.443027481477827</v>
      </c>
      <c r="IR48" s="97">
        <f>JX48*$W49</f>
        <v>901.34878359605921</v>
      </c>
      <c r="IS48" s="97">
        <f>KB48*$W49</f>
        <v>0</v>
      </c>
      <c r="IT48" s="97">
        <f>KF48*$W49</f>
        <v>0</v>
      </c>
      <c r="IU48" s="97">
        <f>KH48*$W49</f>
        <v>0</v>
      </c>
      <c r="JK48" s="115">
        <f>JM48+JN48+JO48</f>
        <v>3.569936190607554</v>
      </c>
      <c r="JM48" s="179">
        <f>JS48+KB48</f>
        <v>0.4443963489326766</v>
      </c>
      <c r="JN48" s="179">
        <f>JU48+KF48</f>
        <v>0.20855348699507389</v>
      </c>
      <c r="JO48" s="179">
        <f>JX48+KH48</f>
        <v>2.9169863546798034</v>
      </c>
      <c r="JQ48" s="127">
        <f>JS48+JU48+JX48</f>
        <v>3.569936190607554</v>
      </c>
      <c r="JS48" s="172">
        <f>'Crops; pasture DISCOUNTED'!KF21/$C49</f>
        <v>0.4443963489326766</v>
      </c>
      <c r="JU48" s="172">
        <f>'Crops; pasture DISCOUNTED'!KD21/$C49</f>
        <v>0.20855348699507389</v>
      </c>
      <c r="JX48" s="172">
        <f>'Crops; pasture DISCOUNTED'!KH21/$C49</f>
        <v>2.9169863546798034</v>
      </c>
      <c r="KD48" s="74"/>
      <c r="KE48" s="74"/>
      <c r="KF48" s="74"/>
      <c r="KG48" s="74"/>
      <c r="KH48" s="74"/>
      <c r="KI48" s="74"/>
      <c r="OB48" s="26"/>
    </row>
    <row r="49" spans="1:494" x14ac:dyDescent="0.25">
      <c r="A49" s="37" t="s">
        <v>163</v>
      </c>
      <c r="B49" s="53">
        <f>C49*NT15/NT49</f>
        <v>0.69204545454545452</v>
      </c>
      <c r="C49" s="90">
        <v>0.7</v>
      </c>
      <c r="D49" s="722">
        <f>C49*NW49/NW15</f>
        <v>0.7039106145251397</v>
      </c>
      <c r="E49" s="104"/>
      <c r="F49" s="104"/>
      <c r="G49" s="104"/>
      <c r="H49" s="104"/>
      <c r="I49" s="104"/>
      <c r="J49" s="104"/>
      <c r="K49" s="104"/>
      <c r="L49" s="104"/>
      <c r="M49" s="104"/>
      <c r="N49" s="69"/>
      <c r="V49" s="55">
        <f>W49/NT49</f>
        <v>351.13636363636363</v>
      </c>
      <c r="W49" s="112">
        <v>309</v>
      </c>
      <c r="X49" s="295"/>
      <c r="Y49" s="26">
        <f>W49*NW49/10^3</f>
        <v>5.5620000000000003</v>
      </c>
      <c r="Z49" s="26">
        <f>W49*OB49/10^3</f>
        <v>5.0984999999999996</v>
      </c>
      <c r="AA49" s="26">
        <f>W49*OD49</f>
        <v>24.72</v>
      </c>
      <c r="AB49" s="26"/>
      <c r="AE49" s="115">
        <f>AB$15*$AN49/$C49</f>
        <v>2.453623203141043</v>
      </c>
      <c r="AF49" s="115"/>
      <c r="AG49" s="115">
        <f>AC$15*$AN49/$C49</f>
        <v>4.5901528979930317</v>
      </c>
      <c r="AH49" s="115"/>
      <c r="AI49" s="115">
        <f>AD$15*$AN49/$C49</f>
        <v>1.8313351330474132</v>
      </c>
      <c r="AJ49" s="115"/>
      <c r="AK49" s="722">
        <f>Y49/(Y49+Y50)</f>
        <v>0.86657496561210456</v>
      </c>
      <c r="AL49" s="164">
        <v>0.75</v>
      </c>
      <c r="AM49" s="69">
        <f>V49*AL49/(V49*AL49+V50*AL50)</f>
        <v>0.94817432273262658</v>
      </c>
      <c r="AN49" s="40">
        <f t="shared" ref="AN49:AN50" si="10">AK49</f>
        <v>0.86657496561210456</v>
      </c>
      <c r="AO49" s="115"/>
      <c r="AP49" s="115"/>
      <c r="AQ49" s="115"/>
      <c r="AR49" s="115"/>
      <c r="AS49" s="115"/>
      <c r="AT49" s="115"/>
      <c r="AU49" s="115"/>
      <c r="AV49" s="115"/>
      <c r="AW49" s="115"/>
      <c r="AX49" s="115"/>
      <c r="AY49" s="115"/>
      <c r="AZ49" s="115"/>
      <c r="BA49" s="115"/>
      <c r="BB49" s="115"/>
      <c r="BC49" s="115"/>
      <c r="BD49" s="115"/>
      <c r="BE49" s="115"/>
      <c r="BF49" s="115"/>
      <c r="BG49" s="115"/>
      <c r="BH49" s="115"/>
      <c r="BI49" s="115"/>
      <c r="BJ49" s="115"/>
      <c r="BK49" s="115"/>
      <c r="BL49" s="115"/>
      <c r="BM49" s="115"/>
      <c r="BN49" s="115"/>
      <c r="BO49" s="115"/>
      <c r="BP49" s="115"/>
      <c r="BQ49" s="115"/>
      <c r="BR49" s="115"/>
      <c r="BS49" s="115"/>
      <c r="BT49" s="115"/>
      <c r="BU49" s="115"/>
      <c r="BV49" s="26">
        <f>BW49*$NT49</f>
        <v>0.80771338960480576</v>
      </c>
      <c r="BW49" s="115">
        <f>BP$15*$AN49/$C49</f>
        <v>0.91785612455091559</v>
      </c>
      <c r="BX49" s="677">
        <f>10^3*BW49/$OB49</f>
        <v>55.627643912176708</v>
      </c>
      <c r="BY49" s="143">
        <f>BW49/$OD49</f>
        <v>11.473201556886444</v>
      </c>
      <c r="BZ49" s="335"/>
      <c r="CA49" s="127"/>
      <c r="CB49" s="127"/>
      <c r="CC49" s="127"/>
      <c r="CD49" s="115"/>
      <c r="CE49" s="115"/>
      <c r="CF49" s="115"/>
      <c r="CG49" s="115"/>
      <c r="CH49" s="115"/>
      <c r="CI49" s="127"/>
      <c r="CJ49" s="26">
        <f>CK49*$NT49</f>
        <v>1.5594997743529153</v>
      </c>
      <c r="CK49" s="115">
        <f>BQ$15*$AN49/$C49</f>
        <v>1.7721588344919492</v>
      </c>
      <c r="CL49" s="677">
        <f>10^3*CK49/$OB49</f>
        <v>107.40356572678479</v>
      </c>
      <c r="CM49" s="143">
        <f>CK49/$OD49</f>
        <v>22.151985431149363</v>
      </c>
      <c r="CN49" s="335"/>
      <c r="CO49" s="127"/>
      <c r="CP49" s="127"/>
      <c r="CQ49" s="127"/>
      <c r="CW49" s="127"/>
      <c r="CX49" s="26">
        <f>CY49*$NT49</f>
        <v>0.58874723172045351</v>
      </c>
      <c r="CY49" s="115">
        <f>BR$15*$AN49/$C49</f>
        <v>0.669030945136879</v>
      </c>
      <c r="CZ49" s="677">
        <f>10^3*CY49/$OB49</f>
        <v>40.547330008295702</v>
      </c>
      <c r="DA49" s="143">
        <f>CY49/$OD49</f>
        <v>8.362886814210988</v>
      </c>
      <c r="DB49" s="335"/>
      <c r="DC49" s="127"/>
      <c r="DD49" s="127"/>
      <c r="DE49" s="127"/>
      <c r="DF49" s="115"/>
      <c r="DG49" s="115"/>
      <c r="DH49" s="115"/>
      <c r="DI49" s="115"/>
      <c r="DJ49" s="115"/>
      <c r="DK49" s="127"/>
      <c r="DL49" s="26">
        <f>DM49*$NT49</f>
        <v>0.74991176827882622</v>
      </c>
      <c r="DM49" s="115">
        <f>BS$15*$AN49/$C49</f>
        <v>0.85217246395321156</v>
      </c>
      <c r="DN49" s="677">
        <f>10^3*DM49/$OB49</f>
        <v>51.646815997164339</v>
      </c>
      <c r="DO49" s="143">
        <f>DM49/$OD49</f>
        <v>10.652155799415144</v>
      </c>
      <c r="DP49" s="37"/>
      <c r="DQ49" s="127"/>
      <c r="DR49" s="127"/>
      <c r="DS49" s="127"/>
      <c r="DT49" s="37"/>
      <c r="DU49" s="37"/>
      <c r="DV49" s="37"/>
      <c r="DW49" s="37"/>
      <c r="DX49" s="37"/>
      <c r="DY49" s="127"/>
      <c r="DZ49" s="26">
        <f>EA49*$NT49</f>
        <v>1.5112259208251884</v>
      </c>
      <c r="EA49" s="115">
        <f>BT$15*$AN49/$C49</f>
        <v>1.7173021827558959</v>
      </c>
      <c r="EB49" s="677">
        <f>10^3*EA49/$OB49</f>
        <v>104.07892016702399</v>
      </c>
      <c r="EC49" s="143">
        <f>EA49/$OD49</f>
        <v>21.466277284448697</v>
      </c>
      <c r="EE49" s="127"/>
      <c r="EF49" s="127"/>
      <c r="EG49" s="127"/>
      <c r="EM49" s="127"/>
      <c r="EN49" s="26">
        <f>EO49*$NT49</f>
        <v>2.9381348005502068</v>
      </c>
      <c r="EO49" s="115">
        <f>BU$15*$AN49/$C49</f>
        <v>3.3387895460797803</v>
      </c>
      <c r="EP49" s="677">
        <f>10^3*EO49/$OB49</f>
        <v>202.35088158059276</v>
      </c>
      <c r="EQ49" s="143">
        <f>EO49/$OD49</f>
        <v>41.734869325997252</v>
      </c>
      <c r="ER49" s="37"/>
      <c r="ES49" s="127"/>
      <c r="ET49" s="127"/>
      <c r="EU49" s="127"/>
      <c r="EV49" s="37"/>
      <c r="EW49" s="37"/>
      <c r="EX49" s="37"/>
      <c r="EY49" s="37"/>
      <c r="EZ49" s="37"/>
      <c r="FA49" s="127"/>
      <c r="FE49" s="26">
        <f>FF49*$NT49</f>
        <v>1.5033214790189706</v>
      </c>
      <c r="FF49" s="115">
        <f>FB$15*$AN49/$C49</f>
        <v>1.7083198625215574</v>
      </c>
      <c r="FG49" s="562">
        <f>10^3*FF49/$OB49</f>
        <v>103.53453712251864</v>
      </c>
      <c r="FH49" s="115">
        <f>FF49/$OD49</f>
        <v>21.353998281519466</v>
      </c>
      <c r="FI49" s="335"/>
      <c r="FJ49" s="335"/>
      <c r="FK49" s="127"/>
      <c r="FL49" s="26"/>
      <c r="FR49" s="127"/>
      <c r="FS49" s="26">
        <f>FT49*$NT49</f>
        <v>3.0295009126754011</v>
      </c>
      <c r="FT49" s="115">
        <f>FC$15*$AN49/$C49</f>
        <v>3.442614673494774</v>
      </c>
      <c r="FU49" s="562">
        <f>10^3*FT49/$OB49</f>
        <v>208.6433135451378</v>
      </c>
      <c r="FV49" s="115">
        <f>FT49/$OD49</f>
        <v>43.032683418684677</v>
      </c>
      <c r="FW49" s="335"/>
      <c r="FX49" s="335"/>
      <c r="FY49" s="127"/>
      <c r="FZ49" s="26"/>
      <c r="GF49" s="127"/>
      <c r="GG49" s="26">
        <f>GH49*$NT49</f>
        <v>1.0588047205226925</v>
      </c>
      <c r="GH49" s="115">
        <f>FD$15*$AN49/$C49</f>
        <v>1.2031871824121505</v>
      </c>
      <c r="GI49" s="562">
        <f>10^3*GH49/$OB49</f>
        <v>72.920435297706092</v>
      </c>
      <c r="GJ49" s="115">
        <f>GH49/$OD49</f>
        <v>15.039839780151881</v>
      </c>
      <c r="GK49" s="335"/>
      <c r="GL49" s="335"/>
      <c r="GM49" s="127"/>
      <c r="GN49" s="26"/>
      <c r="GT49" s="127"/>
      <c r="GU49" s="127"/>
      <c r="GV49" s="127"/>
      <c r="GW49" s="127"/>
      <c r="GX49" s="127"/>
      <c r="GY49" s="26">
        <f>GZ49*$NT49</f>
        <v>0.30507764013981525</v>
      </c>
      <c r="GZ49" s="127">
        <f>$AN49*GU$15/C49</f>
        <v>0.34667913652251736</v>
      </c>
      <c r="HA49" s="673">
        <f>10^3*GZ49/$OB49</f>
        <v>21.010856758940445</v>
      </c>
      <c r="HB49" s="115">
        <f>GZ49/$OD49</f>
        <v>4.3334892065314667</v>
      </c>
      <c r="HD49" s="74"/>
      <c r="HE49" s="127"/>
      <c r="HF49" s="127"/>
      <c r="HG49" s="127"/>
      <c r="HH49" s="127"/>
      <c r="HI49" s="127"/>
      <c r="HJ49" s="127"/>
      <c r="HK49" s="127"/>
      <c r="HL49" s="127"/>
      <c r="HM49" s="115">
        <f>HN49*$NT49</f>
        <v>0.53452779891458202</v>
      </c>
      <c r="HN49" s="127">
        <f>$AN49*GV$15/C49</f>
        <v>0.60741795331202497</v>
      </c>
      <c r="HO49" s="73">
        <f>10^3*HN49/$OB49</f>
        <v>36.813209291637882</v>
      </c>
      <c r="HS49" s="127"/>
      <c r="HT49" s="127"/>
      <c r="HU49" s="127"/>
      <c r="HV49" s="127"/>
      <c r="HW49" s="127"/>
      <c r="HX49" s="127"/>
      <c r="HY49" s="127"/>
      <c r="HZ49" s="127"/>
      <c r="IA49" s="115">
        <f>IB49*$NT49</f>
        <v>0.2382477258022484</v>
      </c>
      <c r="IB49" s="127">
        <f>$AN49*GW$15/C49</f>
        <v>0.27073605204800955</v>
      </c>
      <c r="IC49" s="73">
        <f>10^3*IB49/$OB49</f>
        <v>16.408245578667245</v>
      </c>
      <c r="IE49" s="133"/>
      <c r="IG49" s="127"/>
      <c r="IH49" s="127"/>
      <c r="II49" s="127"/>
      <c r="IJ49" s="127"/>
      <c r="IK49" s="127"/>
      <c r="IL49" s="127"/>
      <c r="IM49" s="127"/>
      <c r="IN49" s="127"/>
      <c r="IO49" s="431"/>
      <c r="IP49" s="431"/>
      <c r="IQ49" s="431"/>
      <c r="IR49" s="431"/>
      <c r="IS49" s="431"/>
      <c r="IT49" s="431"/>
      <c r="IU49" s="431"/>
      <c r="IV49" s="26">
        <f>IW49*$NT49</f>
        <v>2.7223832518195707</v>
      </c>
      <c r="IW49" s="115">
        <f>AN49*JK48</f>
        <v>3.0936173316131486</v>
      </c>
      <c r="IX49" s="673">
        <f>10^3*IW49/$OB49</f>
        <v>187.49195949170598</v>
      </c>
      <c r="IY49" s="115">
        <f>IW49/$OD49</f>
        <v>38.670216645164359</v>
      </c>
      <c r="IZ49" s="73"/>
      <c r="JA49" s="115"/>
      <c r="JB49" s="115">
        <f>$IW49*JM48/$JK48</f>
        <v>0.38510275079447903</v>
      </c>
      <c r="JC49" s="115">
        <f>$IW49*JN48/$JK48</f>
        <v>0.18072723082104064</v>
      </c>
      <c r="JD49" s="115">
        <f>$IW49*JO48/$JK48</f>
        <v>2.5277873499976291</v>
      </c>
      <c r="KJ49" s="115">
        <f>BW49*44/12+$IW49+$GZ49</f>
        <v>6.805768924822357</v>
      </c>
      <c r="KK49" s="74"/>
      <c r="KL49" s="677">
        <f>10^3*KJ49/$OB49</f>
        <v>412.47084392862769</v>
      </c>
      <c r="KM49" s="74"/>
      <c r="KN49" s="73"/>
      <c r="KO49" s="115"/>
      <c r="KP49" s="115"/>
      <c r="KQ49" s="115"/>
      <c r="KR49" s="115"/>
      <c r="KS49" s="73"/>
      <c r="KT49" s="115">
        <f>CK49*44/12+$IW49+$HN49</f>
        <v>10.198951011395655</v>
      </c>
      <c r="KV49" s="677">
        <f>10^3*KT49/$OB49</f>
        <v>618.11824311488817</v>
      </c>
      <c r="KX49" s="73"/>
      <c r="KY49" s="115"/>
      <c r="KZ49" s="115"/>
      <c r="LA49" s="115"/>
      <c r="LB49" s="115"/>
      <c r="LC49" s="73"/>
      <c r="LD49" s="115">
        <f>CY49*44/12+$IW49+$IB49</f>
        <v>5.8174668491630479</v>
      </c>
      <c r="LF49" s="677">
        <f>10^3*LD49/$OB49</f>
        <v>352.57374843412413</v>
      </c>
      <c r="LH49" s="73"/>
      <c r="LI49" s="115"/>
      <c r="LJ49" s="115"/>
      <c r="LK49" s="115"/>
      <c r="LL49" s="115"/>
      <c r="LM49" s="73"/>
      <c r="LN49" s="115">
        <f>DM49*44/12+$IW49+$GZ49</f>
        <v>6.5649288359641087</v>
      </c>
      <c r="LP49" s="677">
        <f>10^3*LN49/$OB49</f>
        <v>397.87447490691568</v>
      </c>
      <c r="LR49" s="73"/>
      <c r="LW49" s="73"/>
      <c r="LX49" s="115">
        <f>EA49*44/12+$IW49+$HN49</f>
        <v>9.9978099550301263</v>
      </c>
      <c r="LZ49" s="677">
        <f>10^3*LX49/$OB49</f>
        <v>605.92787606243189</v>
      </c>
      <c r="MB49" s="127"/>
      <c r="MG49" s="127"/>
      <c r="MH49" s="115">
        <f>EO49*44/12+$IW49+$IB49</f>
        <v>15.60658171928702</v>
      </c>
      <c r="MJ49" s="677">
        <f>10^3*MH49/$OB49</f>
        <v>945.85343753254665</v>
      </c>
      <c r="ML49" s="127"/>
      <c r="MM49" s="127"/>
      <c r="MN49" s="127"/>
      <c r="MO49" s="127"/>
      <c r="MP49" s="127"/>
      <c r="MQ49" s="127"/>
      <c r="MW49" s="127"/>
      <c r="MX49" s="127"/>
      <c r="MY49" s="127"/>
      <c r="MZ49" s="127"/>
      <c r="NA49" s="127"/>
      <c r="NB49" s="127"/>
      <c r="NC49" s="127"/>
      <c r="ND49" s="127"/>
      <c r="NE49" s="127"/>
      <c r="NF49" s="127"/>
      <c r="NG49" s="127"/>
      <c r="NH49" s="127"/>
      <c r="NI49" s="127"/>
      <c r="NJ49" s="127"/>
      <c r="NK49" s="127"/>
      <c r="NL49" s="127"/>
      <c r="NM49" s="127"/>
      <c r="NN49" s="127"/>
      <c r="NO49" s="127"/>
      <c r="NP49" s="127"/>
      <c r="NQ49" s="127"/>
      <c r="NT49" s="31">
        <v>0.88</v>
      </c>
      <c r="NU49" s="31"/>
      <c r="NV49" s="32">
        <f t="shared" ref="NV49:NV50" si="11">$NT49*NW49</f>
        <v>15.84</v>
      </c>
      <c r="NW49" s="43">
        <v>18</v>
      </c>
      <c r="NX49" s="43"/>
      <c r="NY49" s="43"/>
      <c r="NZ49" s="43"/>
      <c r="OA49" s="32">
        <f t="shared" ref="OA49" si="12">$NT49*OB49</f>
        <v>14.52</v>
      </c>
      <c r="OB49" s="43">
        <v>16.5</v>
      </c>
      <c r="OC49" s="38">
        <f t="shared" ref="OC49:OC50" si="13">$NT49*OD49</f>
        <v>7.0400000000000004E-2</v>
      </c>
      <c r="OD49" s="35">
        <v>0.08</v>
      </c>
      <c r="OE49" s="38">
        <f t="shared" ref="OE49:OE50" si="14">$NT49*OF49</f>
        <v>3.5200000000000001E-3</v>
      </c>
      <c r="OF49" s="35">
        <v>4.0000000000000001E-3</v>
      </c>
    </row>
    <row r="50" spans="1:494" x14ac:dyDescent="0.25">
      <c r="A50" s="4" t="s">
        <v>167</v>
      </c>
      <c r="B50" s="468">
        <f>C50*NT15/NT50</f>
        <v>9.4565217391304357E-2</v>
      </c>
      <c r="C50" s="90">
        <v>0.1</v>
      </c>
      <c r="D50" s="722">
        <f>C50*NW50/NW15</f>
        <v>0.10837988826815644</v>
      </c>
      <c r="E50" s="104"/>
      <c r="F50" s="104"/>
      <c r="G50" s="104"/>
      <c r="H50" s="104"/>
      <c r="I50" s="104"/>
      <c r="J50" s="104"/>
      <c r="K50" s="104"/>
      <c r="L50" s="104"/>
      <c r="M50" s="104"/>
      <c r="N50" s="69"/>
      <c r="V50" s="55">
        <f>W50/NT50</f>
        <v>47.981366459627331</v>
      </c>
      <c r="W50" s="55">
        <f>C50/C49*W49</f>
        <v>44.142857142857146</v>
      </c>
      <c r="X50" s="73"/>
      <c r="Y50" s="26">
        <f>W50*NW50/10^3</f>
        <v>0.85637142857142867</v>
      </c>
      <c r="Z50" s="26"/>
      <c r="AA50" s="26">
        <f>W50*OD50</f>
        <v>6.4007142857142858</v>
      </c>
      <c r="AB50" s="26"/>
      <c r="AE50" s="115">
        <f>AB$15*$AN50/$C50</f>
        <v>2.6444605633853451</v>
      </c>
      <c r="AF50" s="115"/>
      <c r="AG50" s="115">
        <f>AC$15*$AN50/$C50</f>
        <v>4.9471647900591558</v>
      </c>
      <c r="AH50" s="115"/>
      <c r="AI50" s="115">
        <f>AD$15*$AN50/$C50</f>
        <v>1.9737723100622113</v>
      </c>
      <c r="AJ50" s="115"/>
      <c r="AK50" s="722">
        <f>1-AK49</f>
        <v>0.13342503438789544</v>
      </c>
      <c r="AL50" s="164">
        <v>0.3</v>
      </c>
      <c r="AM50" s="69">
        <f>V50*AL50/(V49*AL49+V50*AL50)</f>
        <v>5.1825677267373374E-2</v>
      </c>
      <c r="AN50" s="40">
        <f t="shared" si="10"/>
        <v>0.13342503438789544</v>
      </c>
      <c r="AO50" s="115"/>
      <c r="AP50" s="115"/>
      <c r="AQ50" s="115"/>
      <c r="AR50" s="115"/>
      <c r="AS50" s="115"/>
      <c r="AT50" s="115"/>
      <c r="AU50" s="115"/>
      <c r="AV50" s="115"/>
      <c r="AW50" s="115"/>
      <c r="AX50" s="115"/>
      <c r="AY50" s="115"/>
      <c r="AZ50" s="115"/>
      <c r="BA50" s="115"/>
      <c r="BB50" s="115"/>
      <c r="BC50" s="115"/>
      <c r="BD50" s="115"/>
      <c r="BE50" s="115"/>
      <c r="BF50" s="115"/>
      <c r="BG50" s="115"/>
      <c r="BH50" s="115"/>
      <c r="BI50" s="115"/>
      <c r="BJ50" s="115"/>
      <c r="BK50" s="115"/>
      <c r="BL50" s="115"/>
      <c r="BM50" s="115"/>
      <c r="BN50" s="115"/>
      <c r="BO50" s="115"/>
      <c r="BP50" s="115"/>
      <c r="BQ50" s="115"/>
      <c r="BR50" s="115"/>
      <c r="BS50" s="115"/>
      <c r="BT50" s="115"/>
      <c r="BU50" s="115"/>
      <c r="BV50" s="26">
        <f>BW50*$NT50</f>
        <v>0.91010533949915218</v>
      </c>
      <c r="BW50" s="115">
        <f>BP$15*$AN50/$C50</f>
        <v>0.98924493423820881</v>
      </c>
      <c r="BX50" s="55"/>
      <c r="BY50" s="143">
        <f>BW50/$OD50</f>
        <v>6.8223788568152335</v>
      </c>
      <c r="BZ50" s="335"/>
      <c r="CA50" s="127"/>
      <c r="CB50" s="127"/>
      <c r="CC50" s="127"/>
      <c r="CD50" s="115"/>
      <c r="CE50" s="115"/>
      <c r="CF50" s="115"/>
      <c r="CG50" s="115"/>
      <c r="CH50" s="115"/>
      <c r="CI50" s="127"/>
      <c r="CJ50" s="26">
        <f>CK50*$NT50</f>
        <v>1.75719393766735</v>
      </c>
      <c r="CK50" s="115">
        <f>BQ$15*$AN50/$C50</f>
        <v>1.909993410507989</v>
      </c>
      <c r="CL50" s="55"/>
      <c r="CM50" s="143">
        <f>CK50/$OD50</f>
        <v>13.172368348330959</v>
      </c>
      <c r="CN50" s="335"/>
      <c r="CO50" s="127"/>
      <c r="CP50" s="127"/>
      <c r="CQ50" s="127"/>
      <c r="CW50" s="127"/>
      <c r="CX50" s="26">
        <f>CY50*$NT50</f>
        <v>0.66338135048905644</v>
      </c>
      <c r="CY50" s="115">
        <f>BR$15*$AN50/$C50</f>
        <v>0.72106668531419171</v>
      </c>
      <c r="CZ50" s="55"/>
      <c r="DA50" s="143">
        <f>CY50/$OD50</f>
        <v>4.972873691822012</v>
      </c>
      <c r="DB50" s="335"/>
      <c r="DC50" s="127"/>
      <c r="DD50" s="127"/>
      <c r="DE50" s="127"/>
      <c r="DF50" s="115"/>
      <c r="DG50" s="115"/>
      <c r="DH50" s="115"/>
      <c r="DI50" s="115"/>
      <c r="DJ50" s="115"/>
      <c r="DK50" s="127"/>
      <c r="DL50" s="26">
        <f>DM50*$NT50</f>
        <v>0.84497634092427321</v>
      </c>
      <c r="DM50" s="115">
        <f>BS$15*$AN50/$C50</f>
        <v>0.91845254448290559</v>
      </c>
      <c r="DN50" s="55"/>
      <c r="DO50" s="143">
        <f>DM50/$OD50</f>
        <v>6.3341554791924528</v>
      </c>
      <c r="DP50" s="37"/>
      <c r="DQ50" s="127"/>
      <c r="DR50" s="127"/>
      <c r="DS50" s="127"/>
      <c r="DT50" s="37"/>
      <c r="DU50" s="37"/>
      <c r="DV50" s="37"/>
      <c r="DW50" s="37"/>
      <c r="DX50" s="37"/>
      <c r="DY50" s="127"/>
      <c r="DZ50" s="26">
        <f>EA50*$NT50</f>
        <v>1.7028005198792902</v>
      </c>
      <c r="EA50" s="115">
        <f>BT$15*$AN50/$C50</f>
        <v>1.8508701303035762</v>
      </c>
      <c r="EB50" s="55"/>
      <c r="EC50" s="143">
        <f>EA50/$OD50</f>
        <v>12.764621588300527</v>
      </c>
      <c r="EE50" s="127"/>
      <c r="EF50" s="127"/>
      <c r="EG50" s="127"/>
      <c r="EM50" s="127"/>
      <c r="EN50" s="26">
        <f>EO50*$NT50</f>
        <v>3.3105953232462171</v>
      </c>
      <c r="EO50" s="115">
        <f>BU$15*$AN50/$C50</f>
        <v>3.5984731774415399</v>
      </c>
      <c r="EP50" s="55"/>
      <c r="EQ50" s="143">
        <f>EO50/$OD50</f>
        <v>24.817056396148551</v>
      </c>
      <c r="ER50" s="37"/>
      <c r="ES50" s="127"/>
      <c r="ET50" s="127"/>
      <c r="EU50" s="127"/>
      <c r="EV50" s="37"/>
      <c r="EW50" s="37"/>
      <c r="EX50" s="37"/>
      <c r="EY50" s="37"/>
      <c r="EZ50" s="37"/>
      <c r="FA50" s="127"/>
      <c r="FE50" s="26">
        <f>FF50*$NT50</f>
        <v>1.6938940503491529</v>
      </c>
      <c r="FF50" s="115">
        <f>FB$15*$AN50/$C50</f>
        <v>1.8411891851621225</v>
      </c>
      <c r="FG50" s="55"/>
      <c r="FH50" s="115">
        <f>FF50/$OD50</f>
        <v>12.697856449393949</v>
      </c>
      <c r="FI50" s="335"/>
      <c r="FJ50" s="335"/>
      <c r="FK50" s="127"/>
      <c r="FL50" s="26"/>
      <c r="FR50" s="127"/>
      <c r="FS50" s="26">
        <f>FT50*$NT50</f>
        <v>3.4135437051408171</v>
      </c>
      <c r="FT50" s="115">
        <f>FC$15*$AN50/$C50</f>
        <v>3.7103735925443662</v>
      </c>
      <c r="FU50" s="55"/>
      <c r="FV50" s="115">
        <f>FT50/$OD50</f>
        <v>25.5887833968577</v>
      </c>
      <c r="FW50" s="335"/>
      <c r="FX50" s="335"/>
      <c r="FY50" s="127"/>
      <c r="FZ50" s="26"/>
      <c r="GF50" s="127"/>
      <c r="GG50" s="26">
        <f>GH50*$NT50</f>
        <v>1.193026935094003</v>
      </c>
      <c r="GH50" s="115">
        <f>FD$15*$AN50/$C50</f>
        <v>1.2967684077108728</v>
      </c>
      <c r="GI50" s="55"/>
      <c r="GJ50" s="115">
        <f>GH50/$OD50</f>
        <v>8.943230398006019</v>
      </c>
      <c r="GK50" s="335"/>
      <c r="GL50" s="335"/>
      <c r="GM50" s="127"/>
      <c r="GN50" s="26"/>
      <c r="GT50" s="127"/>
      <c r="GU50" s="127"/>
      <c r="GV50" s="127"/>
      <c r="GW50" s="127"/>
      <c r="GX50" s="127"/>
      <c r="GY50" s="26">
        <f>GZ50*$NT50</f>
        <v>0.34375162381410485</v>
      </c>
      <c r="GZ50" s="330">
        <f>$AN50*GU$15/C50</f>
        <v>0.37364306936315744</v>
      </c>
      <c r="HA50" s="73"/>
      <c r="HB50" s="115">
        <f>GZ50/$OD50</f>
        <v>2.576848754228672</v>
      </c>
      <c r="HD50" s="74"/>
      <c r="HE50" s="127"/>
      <c r="HF50" s="127"/>
      <c r="HG50" s="127"/>
      <c r="HH50" s="127"/>
      <c r="HI50" s="127"/>
      <c r="HJ50" s="127"/>
      <c r="HK50" s="127"/>
      <c r="HL50" s="127"/>
      <c r="HM50" s="115">
        <f>HN50*$NT50</f>
        <v>0.60228864615072319</v>
      </c>
      <c r="HN50" s="127">
        <f>$AN50*GV$15/C50</f>
        <v>0.65466157190295993</v>
      </c>
      <c r="HO50" s="73"/>
      <c r="HP50" s="115">
        <f>HN50/$OD50</f>
        <v>4.5149073924342069</v>
      </c>
      <c r="HS50" s="127"/>
      <c r="HT50" s="127"/>
      <c r="HU50" s="127"/>
      <c r="HV50" s="127"/>
      <c r="HW50" s="127"/>
      <c r="HX50" s="127"/>
      <c r="HY50" s="127"/>
      <c r="HZ50" s="127"/>
      <c r="IA50" s="115">
        <f>IB50*$NT50</f>
        <v>0.26844983649738186</v>
      </c>
      <c r="IB50" s="127">
        <f>$AN50*GW$15/C50</f>
        <v>0.29179330054063246</v>
      </c>
      <c r="IC50" s="73"/>
      <c r="ID50" s="115">
        <f>IB50/$OD50</f>
        <v>2.0123675899353963</v>
      </c>
      <c r="IE50" s="133"/>
      <c r="IG50" s="127"/>
      <c r="IH50" s="127"/>
      <c r="II50" s="127"/>
      <c r="IJ50" s="127"/>
      <c r="IK50" s="127"/>
      <c r="IL50" s="127"/>
      <c r="IM50" s="127"/>
      <c r="IN50" s="127"/>
      <c r="IO50" s="431"/>
      <c r="IP50" s="431"/>
      <c r="IQ50" s="431"/>
      <c r="IR50" s="431"/>
      <c r="IS50" s="431"/>
      <c r="IT50" s="431"/>
      <c r="IU50" s="431"/>
      <c r="IV50" s="26">
        <f>IW50*$NT50</f>
        <v>3.06749345192397</v>
      </c>
      <c r="IW50" s="91">
        <f>AN50*JK48*C49/C50</f>
        <v>3.3342320129608369</v>
      </c>
      <c r="IX50" s="73"/>
      <c r="IY50" s="115">
        <f>IW50/$OD50</f>
        <v>22.994703537660946</v>
      </c>
      <c r="IZ50" s="73"/>
      <c r="JA50" s="115"/>
      <c r="JB50" s="115">
        <f>$IW50*JM48/$JK48</f>
        <v>0.41505518696738281</v>
      </c>
      <c r="JC50" s="115">
        <f>$IW50*JN48/$JK48</f>
        <v>0.19478379321823264</v>
      </c>
      <c r="JD50" s="115">
        <f>$IW50*JO48/$JK48</f>
        <v>2.7243930327752213</v>
      </c>
      <c r="KJ50" s="115">
        <f>BW50*44/12+$IW50+$GZ50</f>
        <v>7.3351065078640936</v>
      </c>
      <c r="KK50" s="74"/>
      <c r="KL50" s="74"/>
      <c r="KM50" s="143">
        <f>KJ50/$OD50</f>
        <v>50.586941433545476</v>
      </c>
      <c r="KN50" s="73"/>
      <c r="KO50" s="74"/>
      <c r="KP50" s="74"/>
      <c r="KQ50" s="74"/>
      <c r="KR50" s="74"/>
      <c r="KS50" s="73"/>
      <c r="KT50" s="115">
        <f>CK50*44/12+$IW50+$HN50</f>
        <v>10.992202756726423</v>
      </c>
      <c r="KW50" s="143">
        <f>KT50/$OD50</f>
        <v>75.808294873975328</v>
      </c>
      <c r="KX50" s="73"/>
      <c r="LC50" s="73"/>
      <c r="LD50" s="115">
        <f>CY50*44/12+$IW50+$IB50</f>
        <v>6.2699364929868384</v>
      </c>
      <c r="LG50" s="143">
        <f>LD50/$OD50</f>
        <v>43.240941330943713</v>
      </c>
      <c r="LH50" s="73"/>
      <c r="LM50" s="73"/>
      <c r="LN50" s="115">
        <f>DM50*44/12+$IW50+$GZ50</f>
        <v>7.0755344120946484</v>
      </c>
      <c r="LQ50" s="143">
        <f>LN50/$OD50</f>
        <v>48.796789048928616</v>
      </c>
      <c r="LR50" s="73"/>
      <c r="LW50" s="73"/>
      <c r="LX50" s="115">
        <f>EA50*44/12+$IW50+$HN50</f>
        <v>10.775417395976909</v>
      </c>
      <c r="MA50" s="143">
        <f>LX50/$OD50</f>
        <v>74.313223420530406</v>
      </c>
      <c r="MB50" s="127"/>
      <c r="MG50" s="127"/>
      <c r="MH50" s="115">
        <f>EO50*44/12+$IW50+$IB50</f>
        <v>16.82042696412045</v>
      </c>
      <c r="MK50" s="143">
        <f>MH50/$OD50</f>
        <v>116.00294458014105</v>
      </c>
      <c r="ML50" s="127"/>
      <c r="MM50" s="127"/>
      <c r="MN50" s="127"/>
      <c r="MO50" s="127"/>
      <c r="MP50" s="127"/>
      <c r="MQ50" s="127"/>
      <c r="MW50" s="127"/>
      <c r="MX50" s="127"/>
      <c r="MY50" s="127"/>
      <c r="MZ50" s="127"/>
      <c r="NA50" s="127"/>
      <c r="NB50" s="127"/>
      <c r="NC50" s="127"/>
      <c r="ND50" s="127"/>
      <c r="NE50" s="127"/>
      <c r="NF50" s="127"/>
      <c r="NG50" s="127"/>
      <c r="NH50" s="127"/>
      <c r="NI50" s="127"/>
      <c r="NJ50" s="127"/>
      <c r="NK50" s="127"/>
      <c r="NL50" s="127"/>
      <c r="NM50" s="127"/>
      <c r="NN50" s="127"/>
      <c r="NO50" s="127"/>
      <c r="NP50" s="127"/>
      <c r="NQ50" s="127"/>
      <c r="NT50" s="31">
        <v>0.92</v>
      </c>
      <c r="NU50" s="31"/>
      <c r="NV50" s="32">
        <f t="shared" si="11"/>
        <v>17.847999999999999</v>
      </c>
      <c r="NW50" s="9">
        <v>19.399999999999999</v>
      </c>
      <c r="NX50" s="9"/>
      <c r="NY50" s="9"/>
      <c r="NZ50" s="9"/>
      <c r="OA50" s="32"/>
      <c r="OB50" s="43"/>
      <c r="OC50" s="38">
        <f t="shared" si="13"/>
        <v>0.13339999999999999</v>
      </c>
      <c r="OD50" s="35">
        <v>0.14499999999999999</v>
      </c>
      <c r="OE50" s="38">
        <f t="shared" si="14"/>
        <v>0.13800000000000001</v>
      </c>
      <c r="OF50" s="31">
        <v>0.15</v>
      </c>
    </row>
    <row r="51" spans="1:494" x14ac:dyDescent="0.25">
      <c r="A51" s="37" t="s">
        <v>220</v>
      </c>
      <c r="B51" s="468"/>
      <c r="C51" s="69">
        <f>1-C49-C50</f>
        <v>0.20000000000000004</v>
      </c>
      <c r="D51" s="722"/>
      <c r="E51" s="104"/>
      <c r="F51" s="104"/>
      <c r="G51" s="104"/>
      <c r="H51" s="104"/>
      <c r="I51" s="104"/>
      <c r="J51" s="104"/>
      <c r="K51" s="104"/>
      <c r="L51" s="104"/>
      <c r="M51" s="104"/>
      <c r="N51" s="69"/>
      <c r="V51" s="55"/>
      <c r="W51" s="55"/>
      <c r="X51" s="73"/>
      <c r="Y51" s="26"/>
      <c r="Z51" s="26"/>
      <c r="AA51" s="26"/>
      <c r="AB51" s="26"/>
      <c r="AE51" s="115"/>
      <c r="AF51" s="115"/>
      <c r="AG51" s="115"/>
      <c r="AH51" s="115"/>
      <c r="AI51" s="115"/>
      <c r="AJ51" s="115"/>
      <c r="AK51" s="722"/>
      <c r="AL51" s="74"/>
      <c r="AO51" s="115"/>
      <c r="AP51" s="115"/>
      <c r="AQ51" s="115"/>
      <c r="AR51" s="115"/>
      <c r="AS51" s="115"/>
      <c r="AT51" s="115"/>
      <c r="AU51" s="115"/>
      <c r="AV51" s="115"/>
      <c r="AW51" s="115"/>
      <c r="AX51" s="115"/>
      <c r="AY51" s="115"/>
      <c r="AZ51" s="115"/>
      <c r="BA51" s="115"/>
      <c r="BB51" s="115"/>
      <c r="BC51" s="115"/>
      <c r="BD51" s="115"/>
      <c r="BE51" s="115"/>
      <c r="BF51" s="115"/>
      <c r="BG51" s="115"/>
      <c r="BH51" s="115"/>
      <c r="BI51" s="115"/>
      <c r="BJ51" s="115"/>
      <c r="BK51" s="115"/>
      <c r="BL51" s="115"/>
      <c r="BM51" s="115"/>
      <c r="BN51" s="115"/>
      <c r="BO51" s="115"/>
      <c r="BP51" s="115"/>
      <c r="BQ51" s="115"/>
      <c r="BR51" s="115"/>
      <c r="BS51" s="115"/>
      <c r="BT51" s="115"/>
      <c r="BU51" s="115"/>
      <c r="BW51" s="115"/>
      <c r="CA51" s="74"/>
      <c r="CB51" s="74"/>
      <c r="CC51" s="74"/>
      <c r="CD51" s="115"/>
      <c r="CE51" s="115"/>
      <c r="CF51" s="115"/>
      <c r="CG51" s="115"/>
      <c r="CH51" s="115"/>
      <c r="CI51" s="74"/>
      <c r="CK51" s="115"/>
      <c r="CX51" s="37"/>
      <c r="CY51" s="115"/>
      <c r="CZ51" s="37"/>
      <c r="DA51" s="37"/>
      <c r="DB51" s="37"/>
      <c r="DF51" s="115"/>
      <c r="DG51" s="115"/>
      <c r="DH51" s="115"/>
      <c r="DI51" s="115"/>
      <c r="DJ51" s="115"/>
      <c r="DL51" s="37"/>
      <c r="DM51" s="115"/>
      <c r="DN51" s="37"/>
      <c r="DO51" s="37"/>
      <c r="DP51" s="37"/>
      <c r="DT51" s="37"/>
      <c r="DU51" s="37"/>
      <c r="DV51" s="37"/>
      <c r="DW51" s="37"/>
      <c r="DX51" s="37"/>
      <c r="EA51" s="115"/>
      <c r="EN51" s="37"/>
      <c r="EO51" s="115"/>
      <c r="EP51" s="37"/>
      <c r="EQ51" s="37"/>
      <c r="ER51" s="37"/>
      <c r="EV51" s="37"/>
      <c r="EW51" s="37"/>
      <c r="EX51" s="37"/>
      <c r="EY51" s="37"/>
      <c r="EZ51" s="37"/>
      <c r="FF51" s="115"/>
      <c r="FH51" s="74"/>
      <c r="FK51" s="74"/>
      <c r="FR51" s="74"/>
      <c r="FT51" s="115"/>
      <c r="FZ51" s="37"/>
      <c r="GH51" s="115"/>
      <c r="GJ51" s="74"/>
      <c r="GM51" s="74"/>
      <c r="GT51" s="74"/>
      <c r="GU51" s="74"/>
      <c r="GV51" s="74"/>
      <c r="GW51" s="74"/>
      <c r="GX51" s="74"/>
      <c r="HB51" s="74"/>
      <c r="HD51" s="74"/>
      <c r="HE51" s="74"/>
      <c r="HF51" s="74"/>
      <c r="HG51" s="74"/>
      <c r="HH51" s="74"/>
      <c r="HI51" s="74"/>
      <c r="HJ51" s="74"/>
      <c r="HK51" s="74"/>
      <c r="HL51" s="74"/>
      <c r="IA51" s="133"/>
      <c r="IB51" s="133"/>
      <c r="IC51" s="133"/>
      <c r="IE51" s="133"/>
      <c r="IO51" s="431"/>
      <c r="IP51" s="431"/>
      <c r="IQ51" s="431"/>
      <c r="IR51" s="431"/>
      <c r="IS51" s="431"/>
      <c r="IT51" s="431"/>
      <c r="IU51" s="431"/>
      <c r="NT51" s="31"/>
      <c r="NU51" s="31"/>
      <c r="NV51" s="32"/>
      <c r="NW51" s="9"/>
      <c r="NX51" s="9"/>
      <c r="NY51" s="9"/>
      <c r="NZ51" s="9"/>
      <c r="OA51" s="32"/>
      <c r="OB51" s="43"/>
      <c r="OC51" s="38"/>
      <c r="OD51" s="35"/>
      <c r="OE51" s="38"/>
      <c r="OF51" s="31"/>
    </row>
    <row r="52" spans="1:494" x14ac:dyDescent="0.25">
      <c r="B52" s="74"/>
      <c r="AE52" s="115"/>
      <c r="AF52" s="115"/>
      <c r="AG52" s="115"/>
      <c r="AH52" s="115"/>
      <c r="AI52" s="115"/>
      <c r="AJ52" s="115"/>
      <c r="AL52" s="74"/>
      <c r="AO52" s="115"/>
      <c r="AP52" s="115"/>
      <c r="AQ52" s="115"/>
      <c r="AR52" s="115"/>
      <c r="AS52" s="115"/>
      <c r="AT52" s="115"/>
      <c r="AU52" s="115"/>
      <c r="AV52" s="115"/>
      <c r="AW52" s="115"/>
      <c r="AX52" s="115"/>
      <c r="AY52" s="115"/>
      <c r="AZ52" s="115"/>
      <c r="BA52" s="115"/>
      <c r="BB52" s="115"/>
      <c r="BC52" s="115"/>
      <c r="BD52" s="115"/>
      <c r="BE52" s="115"/>
      <c r="BF52" s="115"/>
      <c r="BG52" s="115"/>
      <c r="BH52" s="115"/>
      <c r="BI52" s="115"/>
      <c r="BJ52" s="115"/>
      <c r="BK52" s="115"/>
      <c r="BL52" s="115"/>
      <c r="BM52" s="115"/>
      <c r="BN52" s="115"/>
      <c r="BO52" s="115"/>
      <c r="BP52" s="115"/>
      <c r="BQ52" s="115"/>
      <c r="BR52" s="115"/>
      <c r="BS52" s="115"/>
      <c r="BT52" s="115"/>
      <c r="BU52" s="115"/>
      <c r="BW52" s="115"/>
      <c r="CA52" s="74"/>
      <c r="CB52" s="74"/>
      <c r="CC52" s="74"/>
      <c r="CD52" s="115"/>
      <c r="CE52" s="115"/>
      <c r="CF52" s="115"/>
      <c r="CG52" s="115"/>
      <c r="CH52" s="115"/>
      <c r="CI52" s="74"/>
      <c r="CK52" s="115"/>
      <c r="CX52" s="37"/>
      <c r="CY52" s="115"/>
      <c r="CZ52" s="37"/>
      <c r="DA52" s="37"/>
      <c r="DB52" s="37"/>
      <c r="DF52" s="115"/>
      <c r="DG52" s="115"/>
      <c r="DH52" s="115"/>
      <c r="DI52" s="115"/>
      <c r="DJ52" s="115"/>
      <c r="DL52" s="37"/>
      <c r="DM52" s="115"/>
      <c r="DN52" s="37"/>
      <c r="DO52" s="37"/>
      <c r="DP52" s="37"/>
      <c r="DT52" s="37"/>
      <c r="DU52" s="37"/>
      <c r="DV52" s="37"/>
      <c r="DW52" s="37"/>
      <c r="DX52" s="37"/>
      <c r="EA52" s="115"/>
      <c r="EN52" s="37"/>
      <c r="EO52" s="115"/>
      <c r="EP52" s="37"/>
      <c r="EQ52" s="37"/>
      <c r="ER52" s="37"/>
      <c r="EV52" s="37"/>
      <c r="EW52" s="37"/>
      <c r="EX52" s="37"/>
      <c r="EY52" s="37"/>
      <c r="EZ52" s="37"/>
      <c r="FF52" s="115"/>
      <c r="FH52" s="74"/>
      <c r="FK52" s="74"/>
      <c r="FR52" s="74"/>
      <c r="FT52" s="115"/>
      <c r="FZ52" s="37"/>
      <c r="GH52" s="115"/>
      <c r="GJ52" s="74"/>
      <c r="GM52" s="74"/>
      <c r="GT52" s="74"/>
      <c r="GU52" s="74"/>
      <c r="GV52" s="74"/>
      <c r="GW52" s="74"/>
      <c r="GX52" s="74"/>
      <c r="HB52" s="74"/>
      <c r="HD52" s="74"/>
      <c r="HE52" s="74"/>
      <c r="HF52" s="74"/>
      <c r="HG52" s="74"/>
      <c r="HH52" s="74"/>
      <c r="HI52" s="74"/>
      <c r="HJ52" s="74"/>
      <c r="HK52" s="74"/>
      <c r="HL52" s="74"/>
      <c r="IA52" s="133"/>
      <c r="IB52" s="133"/>
      <c r="IC52" s="133"/>
      <c r="IE52" s="133"/>
      <c r="IO52" s="97"/>
      <c r="IP52" s="97"/>
      <c r="IQ52" s="97"/>
      <c r="IR52" s="97"/>
      <c r="IS52" s="97"/>
      <c r="IT52" s="97"/>
      <c r="IU52" s="97"/>
      <c r="OB52" s="26"/>
    </row>
    <row r="53" spans="1:494" ht="13.8" x14ac:dyDescent="0.3">
      <c r="A53" s="44" t="s">
        <v>125</v>
      </c>
      <c r="B53" s="53"/>
      <c r="AE53" s="115"/>
      <c r="AF53" s="115"/>
      <c r="AG53" s="115"/>
      <c r="AH53" s="115"/>
      <c r="AI53" s="115"/>
      <c r="AJ53" s="115"/>
      <c r="AL53" s="74"/>
      <c r="AO53" s="115"/>
      <c r="AP53" s="115"/>
      <c r="AQ53" s="115"/>
      <c r="AR53" s="115"/>
      <c r="AS53" s="115"/>
      <c r="AT53" s="115"/>
      <c r="AU53" s="115"/>
      <c r="AV53" s="115"/>
      <c r="AW53" s="115"/>
      <c r="AX53" s="115"/>
      <c r="AY53" s="115"/>
      <c r="AZ53" s="115"/>
      <c r="BA53" s="115"/>
      <c r="BB53" s="115"/>
      <c r="BC53" s="115"/>
      <c r="BD53" s="115"/>
      <c r="BE53" s="115"/>
      <c r="BF53" s="115"/>
      <c r="BG53" s="115"/>
      <c r="BH53" s="115"/>
      <c r="BI53" s="115"/>
      <c r="BJ53" s="115"/>
      <c r="BK53" s="115"/>
      <c r="BL53" s="115"/>
      <c r="BM53" s="115"/>
      <c r="BN53" s="115"/>
      <c r="BO53" s="115"/>
      <c r="BP53" s="115"/>
      <c r="BQ53" s="115"/>
      <c r="BR53" s="115"/>
      <c r="BS53" s="115"/>
      <c r="BT53" s="115"/>
      <c r="BU53" s="115"/>
      <c r="BW53" s="115"/>
      <c r="CA53" s="74"/>
      <c r="CB53" s="74"/>
      <c r="CC53" s="74"/>
      <c r="CD53" s="115"/>
      <c r="CE53" s="115"/>
      <c r="CF53" s="115"/>
      <c r="CG53" s="115"/>
      <c r="CH53" s="115"/>
      <c r="CI53" s="74"/>
      <c r="CK53" s="115"/>
      <c r="CX53" s="37"/>
      <c r="CY53" s="115"/>
      <c r="CZ53" s="37"/>
      <c r="DA53" s="37"/>
      <c r="DB53" s="37"/>
      <c r="DF53" s="115"/>
      <c r="DG53" s="115"/>
      <c r="DH53" s="115"/>
      <c r="DI53" s="115"/>
      <c r="DJ53" s="115"/>
      <c r="DL53" s="37"/>
      <c r="DM53" s="115"/>
      <c r="DN53" s="37"/>
      <c r="DO53" s="37"/>
      <c r="DP53" s="37"/>
      <c r="DT53" s="37"/>
      <c r="DU53" s="37"/>
      <c r="DV53" s="37"/>
      <c r="DW53" s="37"/>
      <c r="DX53" s="37"/>
      <c r="EA53" s="115"/>
      <c r="EN53" s="37"/>
      <c r="EO53" s="115"/>
      <c r="EP53" s="37"/>
      <c r="EQ53" s="37"/>
      <c r="ER53" s="37"/>
      <c r="EV53" s="37"/>
      <c r="EW53" s="37"/>
      <c r="EX53" s="37"/>
      <c r="EY53" s="37"/>
      <c r="EZ53" s="37"/>
      <c r="FF53" s="115"/>
      <c r="FH53" s="74"/>
      <c r="FK53" s="74"/>
      <c r="FR53" s="74"/>
      <c r="FT53" s="115"/>
      <c r="FZ53" s="37"/>
      <c r="GH53" s="115"/>
      <c r="GJ53" s="74"/>
      <c r="GM53" s="74"/>
      <c r="GT53" s="74"/>
      <c r="GU53" s="74"/>
      <c r="GV53" s="74"/>
      <c r="GW53" s="74"/>
      <c r="GX53" s="74"/>
      <c r="HB53" s="74"/>
      <c r="HD53" s="74"/>
      <c r="HE53" s="74"/>
      <c r="HF53" s="74"/>
      <c r="HG53" s="74"/>
      <c r="HH53" s="74"/>
      <c r="HI53" s="74"/>
      <c r="HJ53" s="74"/>
      <c r="HK53" s="74"/>
      <c r="HL53" s="74"/>
      <c r="IA53" s="133"/>
      <c r="IB53" s="133"/>
      <c r="IC53" s="133"/>
      <c r="IE53" s="133"/>
      <c r="IO53" s="68">
        <f>IP53+IQ53+IR53+IS53+IT53+IU53</f>
        <v>291.45437655471585</v>
      </c>
      <c r="IP53" s="97">
        <f>JS53*$W54</f>
        <v>166.28052639517043</v>
      </c>
      <c r="IQ53" s="97">
        <f>JU53*$W54</f>
        <v>125.17385015954545</v>
      </c>
      <c r="IR53" s="97">
        <f>JX53*$W54</f>
        <v>0</v>
      </c>
      <c r="IS53" s="97">
        <f>KB53*$W54</f>
        <v>0</v>
      </c>
      <c r="IT53" s="97">
        <f>KF53*$W54</f>
        <v>0</v>
      </c>
      <c r="IU53" s="97">
        <f>KH53*$W54</f>
        <v>0</v>
      </c>
      <c r="JK53" s="115">
        <f>JM53+JN53+JO53</f>
        <v>0.97803482065340908</v>
      </c>
      <c r="JM53" s="179">
        <f>JS53+KB53</f>
        <v>0.55798834360795446</v>
      </c>
      <c r="JN53" s="179">
        <f>JU53+KF53</f>
        <v>0.42004647704545456</v>
      </c>
      <c r="JO53" s="179">
        <f>JX53+KH53</f>
        <v>0</v>
      </c>
      <c r="JQ53" s="127">
        <f>JS53+JU53+JX53</f>
        <v>0.97803482065340908</v>
      </c>
      <c r="JS53" s="172">
        <f>'Crops; pasture DISCOUNTED'!KF22/$C54</f>
        <v>0.55798834360795446</v>
      </c>
      <c r="JU53" s="172">
        <f>'Crops; pasture DISCOUNTED'!KD22/$C54</f>
        <v>0.42004647704545456</v>
      </c>
      <c r="KD53" s="74"/>
      <c r="KE53" s="74"/>
      <c r="KF53" s="74"/>
      <c r="KG53" s="74"/>
      <c r="KH53" s="74"/>
      <c r="KI53" s="74"/>
    </row>
    <row r="54" spans="1:494" x14ac:dyDescent="0.25">
      <c r="A54" s="37" t="s">
        <v>161</v>
      </c>
      <c r="B54" s="53">
        <f>C54*NT16/NT54</f>
        <v>0.8186046511627908</v>
      </c>
      <c r="C54" s="90">
        <v>0.8</v>
      </c>
      <c r="D54" s="722">
        <f>C54*NW54/NW16</f>
        <v>0.79565217391304355</v>
      </c>
      <c r="E54" s="104"/>
      <c r="F54" s="104"/>
      <c r="G54" s="104"/>
      <c r="H54" s="104"/>
      <c r="I54" s="104"/>
      <c r="J54" s="104"/>
      <c r="K54" s="104"/>
      <c r="L54" s="104"/>
      <c r="M54" s="104"/>
      <c r="N54" s="69"/>
      <c r="V54" s="55">
        <f>W54/NT54</f>
        <v>346.51162790697674</v>
      </c>
      <c r="W54" s="112">
        <v>298</v>
      </c>
      <c r="X54" s="295"/>
      <c r="Y54" s="26">
        <f>W54*NW54/10^3</f>
        <v>5.4534000000000002</v>
      </c>
      <c r="Z54" s="26">
        <f>W54*OB54/10^3</f>
        <v>4.7679999999999998</v>
      </c>
      <c r="AA54" s="26">
        <f>W54*OD54</f>
        <v>34.270000000000003</v>
      </c>
      <c r="AB54" s="26"/>
      <c r="AE54" s="115">
        <f>AB$16*$AN54/$C54</f>
        <v>3.5999615797578071</v>
      </c>
      <c r="AF54" s="115"/>
      <c r="AG54" s="115">
        <f>AC$16*$AN54/$C54</f>
        <v>4.2627263111680254</v>
      </c>
      <c r="AH54" s="115"/>
      <c r="AI54" s="115">
        <f>AD$16*$AN54/$C54</f>
        <v>2.3475884032519563</v>
      </c>
      <c r="AJ54" s="115"/>
      <c r="AK54" s="722">
        <f>Y54/(Y54+Y55)</f>
        <v>0.79825517993456929</v>
      </c>
      <c r="AL54" s="164">
        <v>0.6</v>
      </c>
      <c r="AM54" s="69">
        <f>V54*AL54/(V54*AL54+V55*AL55)</f>
        <v>0.89223057644110282</v>
      </c>
      <c r="AN54" s="40">
        <f t="shared" ref="AN54:AN55" si="15">AK54</f>
        <v>0.79825517993456929</v>
      </c>
      <c r="AO54" s="115"/>
      <c r="AP54" s="115"/>
      <c r="AQ54" s="115"/>
      <c r="AR54" s="115"/>
      <c r="AS54" s="115"/>
      <c r="AT54" s="115"/>
      <c r="AU54" s="115"/>
      <c r="AV54" s="115"/>
      <c r="AW54" s="115"/>
      <c r="AX54" s="115"/>
      <c r="AY54" s="115"/>
      <c r="AZ54" s="115"/>
      <c r="BA54" s="115"/>
      <c r="BB54" s="115"/>
      <c r="BC54" s="115"/>
      <c r="BD54" s="115"/>
      <c r="BE54" s="115"/>
      <c r="BF54" s="115"/>
      <c r="BG54" s="115"/>
      <c r="BH54" s="115"/>
      <c r="BI54" s="115"/>
      <c r="BJ54" s="115"/>
      <c r="BK54" s="115"/>
      <c r="BL54" s="115"/>
      <c r="BM54" s="115"/>
      <c r="BN54" s="115"/>
      <c r="BO54" s="115"/>
      <c r="BP54" s="115"/>
      <c r="BQ54" s="115"/>
      <c r="BR54" s="115"/>
      <c r="BS54" s="115"/>
      <c r="BT54" s="115"/>
      <c r="BU54" s="115"/>
      <c r="BV54" s="26">
        <f>BW54*$NT54</f>
        <v>0.47484819712027582</v>
      </c>
      <c r="BW54" s="115">
        <f>BP$16*$AN54/$C54</f>
        <v>0.55214906641892536</v>
      </c>
      <c r="BX54" s="677">
        <f>10^3*BW54/$OB54</f>
        <v>34.509316651182836</v>
      </c>
      <c r="BY54" s="143">
        <f>BW54/$OD54</f>
        <v>4.8012962297297852</v>
      </c>
      <c r="BZ54" s="335"/>
      <c r="CA54" s="127"/>
      <c r="CB54" s="127"/>
      <c r="CC54" s="127"/>
      <c r="CD54" s="115"/>
      <c r="CE54" s="115"/>
      <c r="CF54" s="115"/>
      <c r="CG54" s="115"/>
      <c r="CH54" s="115"/>
      <c r="CI54" s="127"/>
      <c r="CJ54" s="26">
        <f>CK54*$NT54</f>
        <v>0.6327821953844206</v>
      </c>
      <c r="CK54" s="115">
        <f>BQ$16*$AN54/$C54</f>
        <v>0.73579325044700072</v>
      </c>
      <c r="CL54" s="677">
        <f>10^3*CK54/$OB54</f>
        <v>45.987078152937542</v>
      </c>
      <c r="CM54" s="143">
        <f>CK54/$OD54</f>
        <v>6.3982021778000062</v>
      </c>
      <c r="CN54" s="335"/>
      <c r="CO54" s="127"/>
      <c r="CP54" s="127"/>
      <c r="CQ54" s="127"/>
      <c r="CW54" s="127"/>
      <c r="CX54" s="26">
        <f>CY54*$NT54</f>
        <v>0.17641303044585535</v>
      </c>
      <c r="CY54" s="115">
        <f>BR$16*$AN54/$C54</f>
        <v>0.2051314307509946</v>
      </c>
      <c r="CZ54" s="677">
        <f>10^3*CY54/$OB54</f>
        <v>12.820714421937163</v>
      </c>
      <c r="DA54" s="143">
        <f>CY54/$OD54</f>
        <v>1.783751571747779</v>
      </c>
      <c r="DB54" s="335"/>
      <c r="DC54" s="127"/>
      <c r="DD54" s="127"/>
      <c r="DE54" s="127"/>
      <c r="DF54" s="115"/>
      <c r="DG54" s="115"/>
      <c r="DH54" s="115"/>
      <c r="DI54" s="115"/>
      <c r="DJ54" s="115"/>
      <c r="DK54" s="127"/>
      <c r="DL54" s="26">
        <f>DM54*$NT54</f>
        <v>0.67437944820504359</v>
      </c>
      <c r="DM54" s="115">
        <f>BS$16*$AN54/$C54</f>
        <v>0.78416214907563209</v>
      </c>
      <c r="DN54" s="677">
        <f>10^3*DM54/$OB54</f>
        <v>49.010134317227006</v>
      </c>
      <c r="DO54" s="143">
        <f>DM54/$OD54</f>
        <v>6.8188012963098439</v>
      </c>
      <c r="DP54" s="37"/>
      <c r="DQ54" s="127"/>
      <c r="DR54" s="127"/>
      <c r="DS54" s="127"/>
      <c r="DT54" s="37"/>
      <c r="DU54" s="37"/>
      <c r="DV54" s="37"/>
      <c r="DW54" s="37"/>
      <c r="DX54" s="37"/>
      <c r="DY54" s="127"/>
      <c r="DZ54" s="26">
        <f>EA54*$NT54</f>
        <v>0.86497857025861846</v>
      </c>
      <c r="EA54" s="115">
        <f>BT$16*$AN54/$C54</f>
        <v>1.0057890351844401</v>
      </c>
      <c r="EB54" s="677">
        <f>10^3*EA54/$OB54</f>
        <v>62.861814699027505</v>
      </c>
      <c r="EC54" s="143">
        <f>EA54/$OD54</f>
        <v>8.7459916102994786</v>
      </c>
      <c r="EE54" s="127"/>
      <c r="EF54" s="127"/>
      <c r="EG54" s="127"/>
      <c r="EM54" s="127"/>
      <c r="EN54" s="26">
        <f>EO54*$NT54</f>
        <v>2.0086974045801527</v>
      </c>
      <c r="EO54" s="115">
        <f>BU$16*$AN54/$C54</f>
        <v>2.3356946564885499</v>
      </c>
      <c r="EP54" s="677">
        <f>10^3*EO54/$OB54</f>
        <v>145.98091603053436</v>
      </c>
      <c r="EQ54" s="143">
        <f>EO54/$OD54</f>
        <v>20.310388317291736</v>
      </c>
      <c r="ER54" s="37"/>
      <c r="ES54" s="127"/>
      <c r="ET54" s="127"/>
      <c r="EU54" s="127"/>
      <c r="EV54" s="37"/>
      <c r="EW54" s="37"/>
      <c r="EX54" s="37"/>
      <c r="EY54" s="37"/>
      <c r="EZ54" s="37"/>
      <c r="FA54" s="127"/>
      <c r="FE54" s="26">
        <f>FF54*$NT54</f>
        <v>1.3519045204777436</v>
      </c>
      <c r="FF54" s="115">
        <f>FB$16*$AN54/$C54</f>
        <v>1.5719820005555158</v>
      </c>
      <c r="FG54" s="562">
        <f>10^3*FF54/$OB54</f>
        <v>98.248875034719745</v>
      </c>
      <c r="FH54" s="115">
        <f>FF54/$OD54</f>
        <v>13.669408700482746</v>
      </c>
      <c r="FI54" s="335"/>
      <c r="FJ54" s="335"/>
      <c r="FK54" s="127"/>
      <c r="FL54" s="26"/>
      <c r="FR54" s="127"/>
      <c r="FS54" s="26">
        <f>FT54*$NT54</f>
        <v>1.7339918088569297</v>
      </c>
      <c r="FT54" s="115">
        <f>FC$16*$AN54/$C54</f>
        <v>2.0162695451824764</v>
      </c>
      <c r="FU54" s="562">
        <f>10^3*FT54/$OB54</f>
        <v>126.01684657390477</v>
      </c>
      <c r="FV54" s="115">
        <f>FT54/$OD54</f>
        <v>17.532778653760662</v>
      </c>
      <c r="FW54" s="335"/>
      <c r="FX54" s="335"/>
      <c r="FY54" s="127"/>
      <c r="FZ54" s="26"/>
      <c r="GF54" s="127"/>
      <c r="GG54" s="26">
        <f>GH54*$NT54</f>
        <v>0.629904920360565</v>
      </c>
      <c r="GH54" s="115">
        <f>FD$16*$AN54/$C54</f>
        <v>0.73244758181461045</v>
      </c>
      <c r="GI54" s="562">
        <f>10^3*GH54/$OB54</f>
        <v>45.777973863413152</v>
      </c>
      <c r="GJ54" s="115">
        <f>GH54/$OD54</f>
        <v>6.3691094070835685</v>
      </c>
      <c r="GK54" s="335"/>
      <c r="GL54" s="335"/>
      <c r="GM54" s="127"/>
      <c r="GN54" s="26"/>
      <c r="GT54" s="127"/>
      <c r="GU54" s="127"/>
      <c r="GV54" s="127"/>
      <c r="GW54" s="127"/>
      <c r="GX54" s="127"/>
      <c r="GY54" s="26">
        <f>GZ54*$NT54</f>
        <v>0.1092428611421294</v>
      </c>
      <c r="GZ54" s="127">
        <f>$AN54*GU$16/C54</f>
        <v>0.12702658272340628</v>
      </c>
      <c r="HA54" s="673">
        <f>10^3*GZ54/$OB54</f>
        <v>7.9391614202128924</v>
      </c>
      <c r="HB54" s="115">
        <f>GZ54/$OD54</f>
        <v>1.1045789802035328</v>
      </c>
      <c r="HD54" s="74"/>
      <c r="HE54" s="127"/>
      <c r="HF54" s="127"/>
      <c r="HG54" s="127"/>
      <c r="HH54" s="127"/>
      <c r="HI54" s="127"/>
      <c r="HJ54" s="127"/>
      <c r="HK54" s="127"/>
      <c r="HL54" s="127"/>
      <c r="HM54" s="115">
        <f>HN54*$NT54</f>
        <v>0.16466663476713309</v>
      </c>
      <c r="HN54" s="127">
        <f>$AN54*GV$16/C54</f>
        <v>0.19147283112457336</v>
      </c>
      <c r="HO54" s="73">
        <f>10^3*HN54/$OB54</f>
        <v>11.967051945285835</v>
      </c>
      <c r="HS54" s="127"/>
      <c r="HT54" s="127"/>
      <c r="HU54" s="127"/>
      <c r="HV54" s="127"/>
      <c r="HW54" s="127"/>
      <c r="HX54" s="127"/>
      <c r="HY54" s="127"/>
      <c r="HZ54" s="127"/>
      <c r="IA54" s="115">
        <f>IB54*$NT54</f>
        <v>4.5130163886300994E-3</v>
      </c>
      <c r="IB54" s="127">
        <f>$AN54*GW$16/C54</f>
        <v>5.247693475151278E-3</v>
      </c>
      <c r="IC54" s="73">
        <f>10^3*IB54/$OB54</f>
        <v>0.32798084219695489</v>
      </c>
      <c r="IE54" s="133"/>
      <c r="IG54" s="127"/>
      <c r="IH54" s="127"/>
      <c r="II54" s="127"/>
      <c r="IJ54" s="127"/>
      <c r="IK54" s="127"/>
      <c r="IL54" s="127"/>
      <c r="IM54" s="127"/>
      <c r="IN54" s="127"/>
      <c r="IO54" s="431"/>
      <c r="IP54" s="431"/>
      <c r="IQ54" s="431"/>
      <c r="IR54" s="431"/>
      <c r="IS54" s="431"/>
      <c r="IT54" s="431"/>
      <c r="IU54" s="431"/>
      <c r="IV54" s="335">
        <f>IW54*$NT54</f>
        <v>0.6714203710989467</v>
      </c>
      <c r="IW54" s="127">
        <f>AN54*JK53</f>
        <v>0.78072136174296125</v>
      </c>
      <c r="IX54" s="673">
        <f>10^3*IW54/$OB54</f>
        <v>48.795085108935076</v>
      </c>
      <c r="IY54" s="115">
        <f>IW54/$OD54</f>
        <v>6.7888814064605327</v>
      </c>
      <c r="IZ54" s="73"/>
      <c r="JA54" s="115"/>
      <c r="JB54" s="115">
        <f>$IW54*JM53/$JK53</f>
        <v>0.44541708562815996</v>
      </c>
      <c r="JC54" s="115">
        <f>$IW54*JN53/$JK53</f>
        <v>0.33530427611480124</v>
      </c>
      <c r="JD54" s="115">
        <f>$IW54*JO53/$JK53</f>
        <v>0</v>
      </c>
      <c r="KJ54" s="115">
        <f>BW54*44/12+$IW54+$GZ54</f>
        <v>2.9322945213357605</v>
      </c>
      <c r="KK54" s="74"/>
      <c r="KL54" s="677">
        <f>10^3*KJ54/$OB54</f>
        <v>183.26840758348504</v>
      </c>
      <c r="KM54" s="74"/>
      <c r="KN54" s="73"/>
      <c r="KO54" s="115"/>
      <c r="KP54" s="115"/>
      <c r="KQ54" s="115"/>
      <c r="KR54" s="115"/>
      <c r="KS54" s="73"/>
      <c r="KT54" s="115">
        <f>CK54*44/12+$IW54+$HN54</f>
        <v>3.6701027778398703</v>
      </c>
      <c r="KV54" s="677">
        <f>10^3*KT54/$OB54</f>
        <v>229.38142361499189</v>
      </c>
      <c r="KX54" s="73"/>
      <c r="KY54" s="115"/>
      <c r="KZ54" s="115"/>
      <c r="LA54" s="115"/>
      <c r="LB54" s="115"/>
      <c r="LC54" s="73"/>
      <c r="LD54" s="115">
        <f>CY54*44/12+$IW54+$IB54</f>
        <v>1.538117634638426</v>
      </c>
      <c r="LF54" s="677">
        <f>10^3*LD54/$OB54</f>
        <v>96.132352164901619</v>
      </c>
      <c r="LH54" s="73"/>
      <c r="LI54" s="115"/>
      <c r="LJ54" s="115"/>
      <c r="LK54" s="115"/>
      <c r="LL54" s="115"/>
      <c r="LM54" s="73"/>
      <c r="LN54" s="115">
        <f>DM54*44/12+$IW54+$GZ54</f>
        <v>3.7830091577436851</v>
      </c>
      <c r="LP54" s="677">
        <f>10^3*LN54/$OB54</f>
        <v>236.43807235898032</v>
      </c>
      <c r="LR54" s="73"/>
      <c r="LW54" s="73"/>
      <c r="LX54" s="115">
        <f>EA54*44/12+$IW54+$HN54</f>
        <v>4.6600873218771488</v>
      </c>
      <c r="LZ54" s="677">
        <f>10^3*LX54/$OB54</f>
        <v>291.25545761732178</v>
      </c>
      <c r="MB54" s="127"/>
      <c r="MG54" s="127"/>
      <c r="MH54" s="115">
        <f>EO54*44/12+$IW54+$IB54</f>
        <v>9.3501827956761296</v>
      </c>
      <c r="MJ54" s="677">
        <f>10^3*MH54/$OB54</f>
        <v>584.38642472975812</v>
      </c>
      <c r="ML54" s="127"/>
      <c r="MM54" s="127"/>
      <c r="MN54" s="127"/>
      <c r="MO54" s="127"/>
      <c r="MP54" s="127"/>
      <c r="MQ54" s="127"/>
      <c r="MW54" s="127"/>
      <c r="MX54" s="127"/>
      <c r="MY54" s="127"/>
      <c r="MZ54" s="127"/>
      <c r="NA54" s="127"/>
      <c r="NB54" s="127"/>
      <c r="NC54" s="127"/>
      <c r="ND54" s="127"/>
      <c r="NE54" s="127"/>
      <c r="NF54" s="127"/>
      <c r="NG54" s="127"/>
      <c r="NH54" s="127"/>
      <c r="NI54" s="127"/>
      <c r="NJ54" s="127"/>
      <c r="NK54" s="127"/>
      <c r="NL54" s="127"/>
      <c r="NM54" s="127"/>
      <c r="NN54" s="127"/>
      <c r="NO54" s="127"/>
      <c r="NP54" s="127"/>
      <c r="NQ54" s="127"/>
      <c r="NT54" s="31">
        <v>0.86</v>
      </c>
      <c r="NU54" s="31"/>
      <c r="NV54" s="32">
        <f>$NT54*NW54</f>
        <v>15.738</v>
      </c>
      <c r="NW54" s="9">
        <v>18.3</v>
      </c>
      <c r="NX54" s="9"/>
      <c r="NY54" s="9"/>
      <c r="NZ54" s="9"/>
      <c r="OA54" s="32">
        <f>$NT54*OB54</f>
        <v>13.76</v>
      </c>
      <c r="OB54" s="43">
        <v>16</v>
      </c>
      <c r="OC54" s="38">
        <f>$NT54*OD54</f>
        <v>9.8900000000000002E-2</v>
      </c>
      <c r="OD54" s="35">
        <v>0.115</v>
      </c>
      <c r="OE54" s="38">
        <f>$NT54*OF54</f>
        <v>1.72E-2</v>
      </c>
      <c r="OF54" s="35">
        <v>0.02</v>
      </c>
    </row>
    <row r="55" spans="1:494" s="4" customFormat="1" x14ac:dyDescent="0.25">
      <c r="A55" s="4" t="s">
        <v>160</v>
      </c>
      <c r="B55" s="53">
        <f>C55*NT16/NT55</f>
        <v>0.19775280898876399</v>
      </c>
      <c r="C55" s="40">
        <f>1-C54</f>
        <v>0.19999999999999996</v>
      </c>
      <c r="D55" s="722">
        <f>C55*NW55/NW17</f>
        <v>0.20329670329670327</v>
      </c>
      <c r="E55" s="104"/>
      <c r="F55" s="104"/>
      <c r="G55" s="104"/>
      <c r="H55" s="104"/>
      <c r="I55" s="104"/>
      <c r="J55" s="104"/>
      <c r="K55" s="104"/>
      <c r="L55" s="104"/>
      <c r="M55" s="104"/>
      <c r="N55" s="69"/>
      <c r="O55" s="14"/>
      <c r="P55" s="14"/>
      <c r="Q55" s="14"/>
      <c r="R55" s="14"/>
      <c r="S55" s="14"/>
      <c r="T55" s="14"/>
      <c r="U55" s="14"/>
      <c r="V55" s="55">
        <f>W55/NT55</f>
        <v>83.707865168539314</v>
      </c>
      <c r="W55" s="55">
        <f>C55/C54*W54</f>
        <v>74.499999999999986</v>
      </c>
      <c r="X55" s="73"/>
      <c r="Y55" s="26">
        <f>W55*NW55/10^3</f>
        <v>1.3782499999999998</v>
      </c>
      <c r="Z55" s="26"/>
      <c r="AA55" s="26">
        <f>W55*OD55</f>
        <v>14.899999999999999</v>
      </c>
      <c r="AB55" s="26"/>
      <c r="AE55" s="115">
        <f>AB$16*$AN55/$C55</f>
        <v>3.639305422159532</v>
      </c>
      <c r="AF55" s="115"/>
      <c r="AG55" s="115">
        <f>AC$16*$AN55/$C55</f>
        <v>4.3093134839676761</v>
      </c>
      <c r="AH55" s="115"/>
      <c r="AI55" s="115">
        <f>AD$16*$AN55/$C55</f>
        <v>2.3732451071126333</v>
      </c>
      <c r="AJ55" s="115"/>
      <c r="AK55" s="722">
        <f>1-AK54</f>
        <v>0.20174482006543071</v>
      </c>
      <c r="AL55" s="164">
        <v>0.3</v>
      </c>
      <c r="AM55" s="69">
        <f>V55*AL55/(V54*AL54+V55*AL55)</f>
        <v>0.10776942355889724</v>
      </c>
      <c r="AN55" s="40">
        <f t="shared" si="15"/>
        <v>0.20174482006543071</v>
      </c>
      <c r="AO55" s="115"/>
      <c r="AP55" s="115"/>
      <c r="AQ55" s="115"/>
      <c r="AR55" s="115"/>
      <c r="AS55" s="115"/>
      <c r="AT55" s="115"/>
      <c r="AU55" s="115"/>
      <c r="AV55" s="115"/>
      <c r="AW55" s="115"/>
      <c r="AX55" s="115"/>
      <c r="AY55" s="115"/>
      <c r="AZ55" s="115"/>
      <c r="BA55" s="115"/>
      <c r="BB55" s="115"/>
      <c r="BC55" s="115"/>
      <c r="BD55" s="115"/>
      <c r="BE55" s="115"/>
      <c r="BF55" s="115"/>
      <c r="BG55" s="115"/>
      <c r="BH55" s="115"/>
      <c r="BI55" s="115"/>
      <c r="BJ55" s="115"/>
      <c r="BK55" s="115"/>
      <c r="BL55" s="115"/>
      <c r="BM55" s="115"/>
      <c r="BN55" s="115"/>
      <c r="BO55" s="115"/>
      <c r="BP55" s="115"/>
      <c r="BQ55" s="115"/>
      <c r="BR55" s="115"/>
      <c r="BS55" s="115"/>
      <c r="BT55" s="115"/>
      <c r="BU55" s="115"/>
      <c r="BV55" s="26">
        <f>BW55*$NT55</f>
        <v>0.49678329937637195</v>
      </c>
      <c r="BW55" s="115">
        <f>BP$16*$AN55/$C55</f>
        <v>0.55818348244536176</v>
      </c>
      <c r="BX55" s="55"/>
      <c r="BY55" s="143">
        <f>BW55/$OD55</f>
        <v>2.7909174122268086</v>
      </c>
      <c r="BZ55" s="335"/>
      <c r="CA55" s="127"/>
      <c r="CB55" s="127"/>
      <c r="CC55" s="127"/>
      <c r="CD55" s="97"/>
      <c r="CE55" s="97"/>
      <c r="CF55" s="97"/>
      <c r="CG55" s="97"/>
      <c r="CH55" s="97"/>
      <c r="CI55" s="127"/>
      <c r="CJ55" s="26">
        <f>CK55*$NT55</f>
        <v>0.66201288899507471</v>
      </c>
      <c r="CK55" s="115">
        <f>BQ$16*$AN55/$C55</f>
        <v>0.74383470673603902</v>
      </c>
      <c r="CL55" s="55"/>
      <c r="CM55" s="143">
        <f>CK55/$OD55</f>
        <v>3.7191735336801948</v>
      </c>
      <c r="CN55" s="335"/>
      <c r="CO55" s="127"/>
      <c r="CP55" s="127"/>
      <c r="CQ55" s="127"/>
      <c r="CR55" s="97"/>
      <c r="CS55" s="97"/>
      <c r="CT55" s="97"/>
      <c r="CU55" s="97"/>
      <c r="CV55" s="97"/>
      <c r="CW55" s="127"/>
      <c r="CX55" s="26">
        <f>CY55*$NT55</f>
        <v>0.18456224083689213</v>
      </c>
      <c r="CY55" s="115">
        <f>BR$16*$AN55/$C55</f>
        <v>0.20737330431111475</v>
      </c>
      <c r="CZ55" s="55"/>
      <c r="DA55" s="143">
        <f>CY55/$OD55</f>
        <v>1.0368665215555737</v>
      </c>
      <c r="DB55" s="335"/>
      <c r="DC55" s="127"/>
      <c r="DD55" s="127"/>
      <c r="DE55" s="127"/>
      <c r="DF55" s="97"/>
      <c r="DG55" s="97"/>
      <c r="DH55" s="97"/>
      <c r="DI55" s="97"/>
      <c r="DJ55" s="97"/>
      <c r="DK55" s="127"/>
      <c r="DL55" s="26">
        <f>DM55*$NT55</f>
        <v>0.70553168221476958</v>
      </c>
      <c r="DM55" s="115">
        <f>BS$16*$AN55/$C55</f>
        <v>0.79273222720760628</v>
      </c>
      <c r="DN55" s="55"/>
      <c r="DO55" s="143">
        <f>DM55/$OD55</f>
        <v>3.9636611360380312</v>
      </c>
      <c r="DQ55" s="127"/>
      <c r="DR55" s="127"/>
      <c r="DS55" s="127"/>
      <c r="DY55" s="127"/>
      <c r="DZ55" s="26">
        <f>EA55*$NT55</f>
        <v>0.90493532591867787</v>
      </c>
      <c r="EA55" s="115">
        <f>BT$16*$AN55/$C55</f>
        <v>1.0167812650771662</v>
      </c>
      <c r="EB55" s="55"/>
      <c r="EC55" s="143">
        <f>EA55/$OD55</f>
        <v>5.0839063253858301</v>
      </c>
      <c r="EE55" s="127"/>
      <c r="EF55" s="127"/>
      <c r="EG55" s="127"/>
      <c r="EM55" s="127"/>
      <c r="EN55" s="26">
        <f>EO55*$NT55</f>
        <v>2.1014870229007636</v>
      </c>
      <c r="EO55" s="115">
        <f>BU$16*$AN55/$C55</f>
        <v>2.3612213740458019</v>
      </c>
      <c r="EP55" s="55"/>
      <c r="EQ55" s="143">
        <f>EO55/$OD55</f>
        <v>11.806106870229009</v>
      </c>
      <c r="ES55" s="127"/>
      <c r="ET55" s="127"/>
      <c r="EU55" s="127"/>
      <c r="FA55" s="127"/>
      <c r="FE55" s="26">
        <f>FF55*$NT55</f>
        <v>1.414354297221124</v>
      </c>
      <c r="FF55" s="115">
        <f>FB$16*$AN55/$C55</f>
        <v>1.5891621317091282</v>
      </c>
      <c r="FG55" s="55"/>
      <c r="FH55" s="115">
        <f>FF55/$OD55</f>
        <v>7.9458106585456409</v>
      </c>
      <c r="FI55" s="335"/>
      <c r="FJ55" s="335"/>
      <c r="FK55" s="127"/>
      <c r="FL55" s="26"/>
      <c r="FR55" s="127"/>
      <c r="FS55" s="26">
        <f>FT55*$NT55</f>
        <v>1.8140916973458729</v>
      </c>
      <c r="FT55" s="115">
        <f>FC$16*$AN55/$C55</f>
        <v>2.0383052779167112</v>
      </c>
      <c r="FU55" s="55"/>
      <c r="FV55" s="115">
        <f>FT55/$OD55</f>
        <v>10.191526389583556</v>
      </c>
      <c r="FW55" s="335"/>
      <c r="FX55" s="335"/>
      <c r="FY55" s="127"/>
      <c r="FZ55" s="26"/>
      <c r="GF55" s="127"/>
      <c r="GG55" s="26">
        <f>GH55*$NT55</f>
        <v>0.65900270134303618</v>
      </c>
      <c r="GH55" s="115">
        <f>FD$16*$AN55/$C55</f>
        <v>0.74045247341914178</v>
      </c>
      <c r="GI55" s="55"/>
      <c r="GJ55" s="115">
        <f>GH55/$OD55</f>
        <v>3.7022623670957087</v>
      </c>
      <c r="GK55" s="335"/>
      <c r="GL55" s="335"/>
      <c r="GM55" s="127"/>
      <c r="GN55" s="26"/>
      <c r="GT55" s="127"/>
      <c r="GU55" s="127"/>
      <c r="GV55" s="127"/>
      <c r="GW55" s="127"/>
      <c r="GX55" s="127"/>
      <c r="GY55" s="26">
        <f>GZ55*$NT55</f>
        <v>0.11428921773447455</v>
      </c>
      <c r="GZ55" s="330">
        <f>$AN55*GU$16/C55</f>
        <v>0.12841485138705006</v>
      </c>
      <c r="HA55" s="73"/>
      <c r="HB55" s="115">
        <f>GZ55/$OD55</f>
        <v>0.64207425693525022</v>
      </c>
      <c r="HC55" s="123"/>
      <c r="HD55" s="60"/>
      <c r="HE55" s="127"/>
      <c r="HF55" s="127"/>
      <c r="HG55" s="127"/>
      <c r="HH55" s="127"/>
      <c r="HI55" s="127"/>
      <c r="HJ55" s="127"/>
      <c r="HK55" s="127"/>
      <c r="HL55" s="127"/>
      <c r="HM55" s="115">
        <f>HN55*$NT55</f>
        <v>0.17227323303093442</v>
      </c>
      <c r="HN55" s="127">
        <f>$AN55*GV$16/C55</f>
        <v>0.19356543037183643</v>
      </c>
      <c r="HO55" s="73"/>
      <c r="HP55" s="115">
        <f>HN55/$OD55</f>
        <v>0.96782715185918211</v>
      </c>
      <c r="HQ55" s="123"/>
      <c r="HR55" s="60"/>
      <c r="HS55" s="127"/>
      <c r="HT55" s="127"/>
      <c r="HU55" s="127"/>
      <c r="HV55" s="127"/>
      <c r="HW55" s="127"/>
      <c r="HX55" s="127"/>
      <c r="HY55" s="127"/>
      <c r="HZ55" s="127"/>
      <c r="IA55" s="115">
        <f>IB55*$NT55</f>
        <v>4.7214903316046882E-3</v>
      </c>
      <c r="IB55" s="127">
        <f>$AN55*GW$16/C55</f>
        <v>5.3050453164097617E-3</v>
      </c>
      <c r="IC55" s="73"/>
      <c r="ID55" s="115">
        <f>IB55/$OD55</f>
        <v>2.6525226582048807E-2</v>
      </c>
      <c r="IE55" s="123"/>
      <c r="IF55" s="60"/>
      <c r="IG55" s="127"/>
      <c r="IH55" s="127"/>
      <c r="II55" s="127"/>
      <c r="IJ55" s="127"/>
      <c r="IK55" s="127"/>
      <c r="IL55" s="127"/>
      <c r="IM55" s="127"/>
      <c r="IN55" s="127"/>
      <c r="IO55" s="431"/>
      <c r="IP55" s="431"/>
      <c r="IQ55" s="431"/>
      <c r="IR55" s="431"/>
      <c r="IS55" s="431"/>
      <c r="IT55" s="431"/>
      <c r="IU55" s="431"/>
      <c r="IV55" s="335">
        <f>IW55*$NT55</f>
        <v>0.7024359137211944</v>
      </c>
      <c r="IW55" s="330">
        <f>AN55*JK53*C54/C55</f>
        <v>0.78925383564179141</v>
      </c>
      <c r="IX55" s="73"/>
      <c r="IY55" s="115">
        <f>IW55/$OD55</f>
        <v>3.946269178208957</v>
      </c>
      <c r="IZ55" s="73"/>
      <c r="JA55" s="115"/>
      <c r="JB55" s="115">
        <f>$IW55*JM53/$JK53</f>
        <v>0.45028503191917807</v>
      </c>
      <c r="JC55" s="115">
        <f>$IW55*JN53/$JK53</f>
        <v>0.33896880372261329</v>
      </c>
      <c r="JD55" s="115">
        <f>$IW55*JO53/$JK53</f>
        <v>0</v>
      </c>
      <c r="JE55" s="60"/>
      <c r="JF55" s="60"/>
      <c r="JG55" s="60"/>
      <c r="JH55" s="60"/>
      <c r="JI55" s="60"/>
      <c r="JJ55" s="60"/>
      <c r="JK55" s="60"/>
      <c r="JL55" s="60"/>
      <c r="JM55" s="123"/>
      <c r="JN55" s="123"/>
      <c r="JO55" s="123"/>
      <c r="JP55" s="123"/>
      <c r="JQ55" s="60"/>
      <c r="JR55" s="60"/>
      <c r="JS55" s="60"/>
      <c r="JT55" s="60"/>
      <c r="JU55" s="60"/>
      <c r="JV55" s="60"/>
      <c r="JW55" s="60"/>
      <c r="JX55" s="60"/>
      <c r="JY55" s="60"/>
      <c r="JZ55" s="60"/>
      <c r="KA55" s="60"/>
      <c r="KB55" s="60"/>
      <c r="KC55" s="60"/>
      <c r="KD55" s="123"/>
      <c r="KE55" s="123"/>
      <c r="KF55" s="123"/>
      <c r="KG55" s="123"/>
      <c r="KH55" s="123"/>
      <c r="KI55" s="123"/>
      <c r="KJ55" s="115">
        <f>BW55*44/12+$IW55+$GZ55</f>
        <v>2.964341455995168</v>
      </c>
      <c r="KK55" s="74"/>
      <c r="KL55" s="74"/>
      <c r="KM55" s="143">
        <f>KJ55/$OD55</f>
        <v>14.82170727997584</v>
      </c>
      <c r="KN55" s="73"/>
      <c r="KO55" s="74"/>
      <c r="KP55" s="74"/>
      <c r="KQ55" s="74"/>
      <c r="KR55" s="74"/>
      <c r="KS55" s="73"/>
      <c r="KT55" s="115">
        <f>CK55*44/12+$IW55+$HN55</f>
        <v>3.7102131907124374</v>
      </c>
      <c r="KU55" s="74"/>
      <c r="KV55" s="74"/>
      <c r="KW55" s="143">
        <f>KT55/$OD55</f>
        <v>18.551065953562187</v>
      </c>
      <c r="KX55" s="73"/>
      <c r="KY55" s="74"/>
      <c r="KZ55" s="74"/>
      <c r="LA55" s="74"/>
      <c r="LB55" s="74"/>
      <c r="LC55" s="73"/>
      <c r="LD55" s="115">
        <f>CY55*44/12+$IW55+$IB55</f>
        <v>1.5549276634322886</v>
      </c>
      <c r="LE55" s="74"/>
      <c r="LF55" s="74"/>
      <c r="LG55" s="143">
        <f>LD55/$OD55</f>
        <v>7.7746383171614424</v>
      </c>
      <c r="LH55" s="73"/>
      <c r="LI55" s="74"/>
      <c r="LJ55" s="74"/>
      <c r="LK55" s="74"/>
      <c r="LL55" s="74"/>
      <c r="LM55" s="73"/>
      <c r="LN55" s="115">
        <f>DM55*44/12+$IW55+$GZ55</f>
        <v>3.824353520123398</v>
      </c>
      <c r="LO55" s="74"/>
      <c r="LP55" s="74"/>
      <c r="LQ55" s="143">
        <f>LN55/$OD55</f>
        <v>19.121767600616987</v>
      </c>
      <c r="LR55" s="73"/>
      <c r="LS55" s="74"/>
      <c r="LT55" s="74"/>
      <c r="LU55" s="74"/>
      <c r="LV55" s="74"/>
      <c r="LW55" s="73"/>
      <c r="LX55" s="115">
        <f>EA55*44/12+$IW55+$HN55</f>
        <v>4.7110172379632367</v>
      </c>
      <c r="LY55" s="74"/>
      <c r="LZ55" s="74"/>
      <c r="MA55" s="143">
        <f>LX55/$OD55</f>
        <v>23.555086189816183</v>
      </c>
      <c r="MB55" s="127"/>
      <c r="MC55" s="74"/>
      <c r="MD55" s="74"/>
      <c r="ME55" s="74"/>
      <c r="MF55" s="74"/>
      <c r="MG55" s="127"/>
      <c r="MH55" s="115">
        <f>EO55*44/12+$IW55+$IB55</f>
        <v>9.4523705857928082</v>
      </c>
      <c r="MI55" s="74"/>
      <c r="MJ55" s="74"/>
      <c r="MK55" s="143">
        <f>MH55/$OD55</f>
        <v>47.261852928964039</v>
      </c>
      <c r="ML55" s="127"/>
      <c r="MM55" s="127"/>
      <c r="MN55" s="127"/>
      <c r="MO55" s="127"/>
      <c r="MP55" s="127"/>
      <c r="MQ55" s="127"/>
      <c r="MR55" s="60"/>
      <c r="MS55" s="60"/>
      <c r="MT55" s="60"/>
      <c r="MU55" s="60"/>
      <c r="MV55" s="60"/>
      <c r="MW55" s="127"/>
      <c r="MX55" s="127"/>
      <c r="MY55" s="127"/>
      <c r="MZ55" s="127"/>
      <c r="NA55" s="127"/>
      <c r="NB55" s="127"/>
      <c r="NC55" s="127"/>
      <c r="ND55" s="127"/>
      <c r="NE55" s="127"/>
      <c r="NF55" s="127"/>
      <c r="NG55" s="127"/>
      <c r="NH55" s="127"/>
      <c r="NI55" s="127"/>
      <c r="NJ55" s="127"/>
      <c r="NK55" s="127"/>
      <c r="NL55" s="127"/>
      <c r="NM55" s="127"/>
      <c r="NN55" s="127"/>
      <c r="NO55" s="127"/>
      <c r="NP55" s="127"/>
      <c r="NQ55" s="127"/>
      <c r="NR55" s="60"/>
      <c r="NS55" s="60"/>
      <c r="NT55" s="31">
        <v>0.89</v>
      </c>
      <c r="NU55" s="31"/>
      <c r="NV55" s="32">
        <f>$NT55*NW55</f>
        <v>16.465</v>
      </c>
      <c r="NW55" s="9">
        <v>18.5</v>
      </c>
      <c r="NX55" s="9"/>
      <c r="NY55" s="9"/>
      <c r="NZ55" s="9"/>
      <c r="OA55" s="32"/>
      <c r="OB55" s="43"/>
      <c r="OC55" s="38">
        <f>$NT55*OD55</f>
        <v>0.17800000000000002</v>
      </c>
      <c r="OD55" s="35">
        <v>0.2</v>
      </c>
      <c r="OE55" s="38">
        <f>$NT55*OF55</f>
        <v>3.56E-2</v>
      </c>
      <c r="OF55" s="35">
        <v>0.04</v>
      </c>
      <c r="RU55" s="97"/>
      <c r="RV55" s="97"/>
      <c r="RW55" s="97"/>
      <c r="RX55" s="97"/>
      <c r="RY55" s="97"/>
      <c r="RZ55" s="97"/>
    </row>
    <row r="56" spans="1:494" x14ac:dyDescent="0.25">
      <c r="AE56" s="115"/>
      <c r="AF56" s="115"/>
      <c r="AG56" s="115"/>
      <c r="AH56" s="115"/>
      <c r="AI56" s="115"/>
      <c r="AJ56" s="115"/>
      <c r="AL56" s="74"/>
      <c r="AO56" s="115"/>
      <c r="AP56" s="115"/>
      <c r="AQ56" s="115"/>
      <c r="AR56" s="115"/>
      <c r="AS56" s="115"/>
      <c r="AT56" s="115"/>
      <c r="AU56" s="115"/>
      <c r="AV56" s="115"/>
      <c r="AW56" s="115"/>
      <c r="AX56" s="115"/>
      <c r="AY56" s="115"/>
      <c r="AZ56" s="115"/>
      <c r="BA56" s="115"/>
      <c r="BB56" s="115"/>
      <c r="BC56" s="115"/>
      <c r="BD56" s="115"/>
      <c r="BE56" s="115"/>
      <c r="BF56" s="115"/>
      <c r="BG56" s="115"/>
      <c r="BH56" s="115"/>
      <c r="BI56" s="115"/>
      <c r="BJ56" s="115"/>
      <c r="BK56" s="115"/>
      <c r="BL56" s="115"/>
      <c r="BM56" s="115"/>
      <c r="BN56" s="115"/>
      <c r="BO56" s="115"/>
      <c r="BP56" s="115"/>
      <c r="BQ56" s="115"/>
      <c r="BR56" s="115"/>
      <c r="BS56" s="115"/>
      <c r="BT56" s="115"/>
      <c r="BU56" s="115"/>
      <c r="BW56" s="115"/>
      <c r="CA56" s="74"/>
      <c r="CB56" s="74"/>
      <c r="CC56" s="74"/>
      <c r="CD56" s="115"/>
      <c r="CE56" s="115"/>
      <c r="CF56" s="115"/>
      <c r="CG56" s="115"/>
      <c r="CH56" s="115"/>
      <c r="CI56" s="74"/>
      <c r="CK56" s="115"/>
      <c r="CX56" s="37"/>
      <c r="CY56" s="115"/>
      <c r="CZ56" s="37"/>
      <c r="DA56" s="37"/>
      <c r="DB56" s="37"/>
      <c r="DF56" s="115"/>
      <c r="DG56" s="115"/>
      <c r="DH56" s="115"/>
      <c r="DI56" s="115"/>
      <c r="DJ56" s="115"/>
      <c r="DL56" s="37"/>
      <c r="DN56" s="37"/>
      <c r="DO56" s="37"/>
      <c r="DP56" s="37"/>
      <c r="DT56" s="37"/>
      <c r="DU56" s="37"/>
      <c r="DV56" s="37"/>
      <c r="DW56" s="37"/>
      <c r="DX56" s="37"/>
      <c r="EA56" s="74"/>
      <c r="EN56" s="37"/>
      <c r="EP56" s="37"/>
      <c r="EQ56" s="37"/>
      <c r="ER56" s="37"/>
      <c r="EV56" s="37"/>
      <c r="EW56" s="37"/>
      <c r="EX56" s="37"/>
      <c r="EY56" s="37"/>
      <c r="EZ56" s="37"/>
      <c r="FF56" s="115"/>
      <c r="FH56" s="74"/>
      <c r="FK56" s="74"/>
      <c r="FR56" s="74"/>
      <c r="FT56" s="115"/>
      <c r="FZ56" s="37"/>
      <c r="GH56" s="115"/>
      <c r="GJ56" s="74"/>
      <c r="GM56" s="74"/>
      <c r="GT56" s="74"/>
      <c r="GU56" s="74"/>
      <c r="GV56" s="74"/>
      <c r="GW56" s="74"/>
      <c r="GX56" s="74"/>
      <c r="HB56" s="74"/>
      <c r="HD56" s="74"/>
      <c r="HE56" s="74"/>
      <c r="HF56" s="74"/>
      <c r="HG56" s="74"/>
      <c r="HH56" s="74"/>
      <c r="HI56" s="74"/>
      <c r="HJ56" s="74"/>
      <c r="HK56" s="74"/>
      <c r="HL56" s="74"/>
      <c r="IA56" s="133"/>
      <c r="IB56" s="133"/>
      <c r="IC56" s="133"/>
      <c r="IE56" s="133"/>
      <c r="IO56" s="431"/>
      <c r="IP56" s="431"/>
      <c r="IQ56" s="431"/>
      <c r="IR56" s="431"/>
      <c r="IS56" s="431"/>
      <c r="IT56" s="431"/>
      <c r="IU56" s="431"/>
      <c r="OB56" s="26"/>
    </row>
    <row r="57" spans="1:494" x14ac:dyDescent="0.25">
      <c r="AE57" s="115"/>
      <c r="AF57" s="115"/>
      <c r="AG57" s="115"/>
      <c r="AH57" s="115"/>
      <c r="AI57" s="115"/>
      <c r="AJ57" s="115"/>
      <c r="AL57" s="74"/>
      <c r="AO57" s="115"/>
      <c r="AP57" s="115"/>
      <c r="AQ57" s="115"/>
      <c r="AR57" s="115"/>
      <c r="AS57" s="115"/>
      <c r="AT57" s="115"/>
      <c r="AU57" s="115"/>
      <c r="AV57" s="115"/>
      <c r="AW57" s="115"/>
      <c r="AX57" s="115"/>
      <c r="AY57" s="115"/>
      <c r="AZ57" s="115"/>
      <c r="BA57" s="115"/>
      <c r="BB57" s="115"/>
      <c r="BC57" s="115"/>
      <c r="BD57" s="115"/>
      <c r="BE57" s="115"/>
      <c r="BF57" s="115"/>
      <c r="BG57" s="115"/>
      <c r="BH57" s="115"/>
      <c r="BI57" s="115"/>
      <c r="BJ57" s="115"/>
      <c r="BK57" s="115"/>
      <c r="BL57" s="115"/>
      <c r="BM57" s="115"/>
      <c r="BN57" s="115"/>
      <c r="BO57" s="115"/>
      <c r="BP57" s="115"/>
      <c r="BQ57" s="115"/>
      <c r="BR57" s="115"/>
      <c r="BS57" s="115"/>
      <c r="BT57" s="115"/>
      <c r="BU57" s="115"/>
      <c r="BW57" s="115"/>
      <c r="CA57" s="74"/>
      <c r="CB57" s="74"/>
      <c r="CC57" s="74"/>
      <c r="CD57" s="115"/>
      <c r="CE57" s="115"/>
      <c r="CF57" s="115"/>
      <c r="CG57" s="115"/>
      <c r="CH57" s="115"/>
      <c r="CI57" s="74"/>
      <c r="CK57" s="115"/>
      <c r="CX57" s="37"/>
      <c r="CY57" s="115"/>
      <c r="CZ57" s="37"/>
      <c r="DA57" s="37"/>
      <c r="DB57" s="37"/>
      <c r="DF57" s="115"/>
      <c r="DG57" s="115"/>
      <c r="DH57" s="115"/>
      <c r="DI57" s="115"/>
      <c r="DJ57" s="115"/>
      <c r="DL57" s="37"/>
      <c r="DN57" s="37"/>
      <c r="DO57" s="37"/>
      <c r="DP57" s="37"/>
      <c r="DT57" s="37"/>
      <c r="DU57" s="37"/>
      <c r="DV57" s="37"/>
      <c r="DW57" s="37"/>
      <c r="DX57" s="37"/>
      <c r="EA57" s="74"/>
      <c r="EN57" s="37"/>
      <c r="EP57" s="37"/>
      <c r="EQ57" s="37"/>
      <c r="ER57" s="37"/>
      <c r="EV57" s="37"/>
      <c r="EW57" s="37"/>
      <c r="EX57" s="37"/>
      <c r="EY57" s="37"/>
      <c r="EZ57" s="37"/>
      <c r="FF57" s="115"/>
      <c r="FH57" s="74"/>
      <c r="FK57" s="74"/>
      <c r="FR57" s="74"/>
      <c r="FT57" s="115"/>
      <c r="FZ57" s="37"/>
      <c r="GH57" s="115"/>
      <c r="GJ57" s="74"/>
      <c r="GM57" s="74"/>
      <c r="GT57" s="74"/>
      <c r="GU57" s="74"/>
      <c r="GV57" s="74"/>
      <c r="GW57" s="74"/>
      <c r="GX57" s="74"/>
      <c r="HB57" s="74"/>
      <c r="HD57" s="74"/>
      <c r="HE57" s="74"/>
      <c r="HF57" s="74"/>
      <c r="HG57" s="74"/>
      <c r="HH57" s="74"/>
      <c r="HI57" s="74"/>
      <c r="HJ57" s="74"/>
      <c r="HK57" s="74"/>
      <c r="HL57" s="74"/>
      <c r="IA57" s="133"/>
      <c r="IB57" s="133"/>
      <c r="IC57" s="133"/>
      <c r="IE57" s="133"/>
      <c r="IO57" s="431"/>
      <c r="IP57" s="431"/>
      <c r="IQ57" s="431"/>
      <c r="IR57" s="431"/>
      <c r="IS57" s="431"/>
      <c r="IT57" s="431"/>
      <c r="IU57" s="431"/>
      <c r="OB57" s="26"/>
    </row>
    <row r="58" spans="1:494" x14ac:dyDescent="0.25">
      <c r="A58" s="9" t="s">
        <v>172</v>
      </c>
      <c r="X58" s="73"/>
      <c r="AE58" s="115"/>
      <c r="AF58" s="115"/>
      <c r="AG58" s="115"/>
      <c r="AH58" s="115"/>
      <c r="AI58" s="115"/>
      <c r="AJ58" s="115"/>
      <c r="AL58" s="74"/>
      <c r="AO58" s="115"/>
      <c r="AP58" s="115"/>
      <c r="AQ58" s="115"/>
      <c r="AR58" s="115"/>
      <c r="AS58" s="115"/>
      <c r="AT58" s="115"/>
      <c r="AU58" s="115"/>
      <c r="AV58" s="115"/>
      <c r="AW58" s="115"/>
      <c r="AX58" s="115"/>
      <c r="AY58" s="115"/>
      <c r="AZ58" s="115"/>
      <c r="BA58" s="115"/>
      <c r="BB58" s="115"/>
      <c r="BC58" s="115"/>
      <c r="BD58" s="115"/>
      <c r="BE58" s="115"/>
      <c r="BF58" s="115"/>
      <c r="BG58" s="115"/>
      <c r="BH58" s="115"/>
      <c r="BI58" s="115"/>
      <c r="BJ58" s="115"/>
      <c r="BK58" s="115"/>
      <c r="BL58" s="115"/>
      <c r="BM58" s="115"/>
      <c r="BN58" s="115"/>
      <c r="BO58" s="115"/>
      <c r="BP58" s="115"/>
      <c r="BQ58" s="115"/>
      <c r="BR58" s="115"/>
      <c r="BS58" s="115"/>
      <c r="BT58" s="115"/>
      <c r="BU58" s="115"/>
      <c r="BW58" s="115"/>
      <c r="CA58" s="74"/>
      <c r="CB58" s="74"/>
      <c r="CC58" s="74"/>
      <c r="CD58" s="115"/>
      <c r="CE58" s="115"/>
      <c r="CF58" s="115"/>
      <c r="CG58" s="115"/>
      <c r="CH58" s="115"/>
      <c r="CI58" s="74"/>
      <c r="CK58" s="115"/>
      <c r="CX58" s="37"/>
      <c r="CY58" s="115"/>
      <c r="CZ58" s="37"/>
      <c r="DA58" s="37"/>
      <c r="DB58" s="37"/>
      <c r="DF58" s="115"/>
      <c r="DG58" s="115"/>
      <c r="DH58" s="115"/>
      <c r="DI58" s="115"/>
      <c r="DJ58" s="115"/>
      <c r="DL58" s="37"/>
      <c r="DN58" s="37"/>
      <c r="DO58" s="37"/>
      <c r="DP58" s="37"/>
      <c r="DT58" s="37"/>
      <c r="DU58" s="37"/>
      <c r="DV58" s="37"/>
      <c r="DW58" s="37"/>
      <c r="DX58" s="37"/>
      <c r="EA58" s="74"/>
      <c r="EN58" s="37"/>
      <c r="EP58" s="37"/>
      <c r="EQ58" s="37"/>
      <c r="ER58" s="37"/>
      <c r="EV58" s="37"/>
      <c r="EW58" s="37"/>
      <c r="EX58" s="37"/>
      <c r="EY58" s="37"/>
      <c r="EZ58" s="37"/>
      <c r="FF58" s="115"/>
      <c r="FH58" s="74"/>
      <c r="FK58" s="74"/>
      <c r="FR58" s="74"/>
      <c r="FT58" s="115"/>
      <c r="FZ58" s="37"/>
      <c r="GH58" s="115"/>
      <c r="GJ58" s="74"/>
      <c r="GM58" s="74"/>
      <c r="GT58" s="74"/>
      <c r="GU58" s="74"/>
      <c r="GV58" s="74"/>
      <c r="GW58" s="74"/>
      <c r="GX58" s="74"/>
      <c r="HB58" s="74"/>
      <c r="HD58" s="74"/>
      <c r="HE58" s="74"/>
      <c r="HF58" s="74"/>
      <c r="HG58" s="74"/>
      <c r="HH58" s="74"/>
      <c r="HI58" s="74"/>
      <c r="HJ58" s="74"/>
      <c r="HK58" s="74"/>
      <c r="HL58" s="74"/>
      <c r="IA58" s="133"/>
      <c r="IB58" s="133"/>
      <c r="IC58" s="133"/>
      <c r="IE58" s="133"/>
      <c r="IO58" s="97"/>
      <c r="IP58" s="97"/>
      <c r="IQ58" s="97"/>
      <c r="IR58" s="97"/>
      <c r="IS58" s="97"/>
      <c r="IT58" s="97"/>
      <c r="IU58" s="97"/>
      <c r="OB58" s="26"/>
    </row>
    <row r="59" spans="1:494" s="54" customFormat="1" ht="10.199999999999999" x14ac:dyDescent="0.2">
      <c r="A59" s="54" t="s">
        <v>254</v>
      </c>
      <c r="B59" s="77">
        <f>W59/(R21+R22)</f>
        <v>0.10160526315789474</v>
      </c>
      <c r="D59" s="131"/>
      <c r="E59" s="133"/>
      <c r="F59" s="133"/>
      <c r="G59" s="133"/>
      <c r="H59" s="133"/>
      <c r="I59" s="133"/>
      <c r="J59" s="133"/>
      <c r="K59" s="133"/>
      <c r="L59" s="133"/>
      <c r="M59" s="133"/>
      <c r="W59" s="688">
        <f>W63+W68</f>
        <v>130</v>
      </c>
      <c r="X59" s="474"/>
      <c r="Y59" s="179">
        <f>Y63+Y68</f>
        <v>2.2750000000000004</v>
      </c>
      <c r="Z59" s="179">
        <f>Z63+Z68</f>
        <v>2.1059999999999999</v>
      </c>
      <c r="AE59" s="179"/>
      <c r="AF59" s="179"/>
      <c r="AG59" s="179"/>
      <c r="AH59" s="179"/>
      <c r="AI59" s="179"/>
      <c r="AJ59" s="179"/>
      <c r="AL59" s="133"/>
      <c r="AO59" s="179"/>
      <c r="AP59" s="179"/>
      <c r="AQ59" s="179"/>
      <c r="AR59" s="179"/>
      <c r="AS59" s="179"/>
      <c r="AT59" s="179"/>
      <c r="AU59" s="179"/>
      <c r="AV59" s="179"/>
      <c r="AW59" s="179"/>
      <c r="AX59" s="179"/>
      <c r="AY59" s="179"/>
      <c r="AZ59" s="179"/>
      <c r="BA59" s="179"/>
      <c r="BB59" s="179"/>
      <c r="BC59" s="179"/>
      <c r="BD59" s="179"/>
      <c r="BE59" s="179"/>
      <c r="BF59" s="179"/>
      <c r="BG59" s="179"/>
      <c r="BH59" s="179"/>
      <c r="BI59" s="179"/>
      <c r="BJ59" s="179"/>
      <c r="BK59" s="179"/>
      <c r="BL59" s="179"/>
      <c r="BM59" s="179"/>
      <c r="BN59" s="179"/>
      <c r="BO59" s="179"/>
      <c r="BP59" s="179"/>
      <c r="BQ59" s="179"/>
      <c r="BR59" s="179"/>
      <c r="BS59" s="179"/>
      <c r="BT59" s="179"/>
      <c r="BU59" s="179"/>
      <c r="BW59" s="469">
        <f>(BW63*$W63+BW68*$W68)/$W59</f>
        <v>0.40480068695604793</v>
      </c>
      <c r="BX59" s="54">
        <f>10^3*BW59/(($W63*$OB63+$W68*$OB68)/$W59)</f>
        <v>24.987696725681971</v>
      </c>
      <c r="CA59" s="133"/>
      <c r="CB59" s="133"/>
      <c r="CC59" s="133"/>
      <c r="CD59" s="179"/>
      <c r="CE59" s="179"/>
      <c r="CF59" s="179"/>
      <c r="CG59" s="179"/>
      <c r="CH59" s="179"/>
      <c r="CI59" s="133"/>
      <c r="CK59" s="179"/>
      <c r="CO59" s="133"/>
      <c r="CP59" s="133"/>
      <c r="CQ59" s="133"/>
      <c r="CR59" s="179"/>
      <c r="CS59" s="179"/>
      <c r="CT59" s="179"/>
      <c r="CU59" s="179"/>
      <c r="CV59" s="179"/>
      <c r="CW59" s="133"/>
      <c r="CY59" s="179"/>
      <c r="DC59" s="133"/>
      <c r="DD59" s="133"/>
      <c r="DE59" s="133"/>
      <c r="DF59" s="179"/>
      <c r="DG59" s="179"/>
      <c r="DH59" s="179"/>
      <c r="DI59" s="179"/>
      <c r="DJ59" s="179"/>
      <c r="DK59" s="133"/>
      <c r="DM59" s="469">
        <f>(DM63*$W63+DM68*$W68)/$W59</f>
        <v>0.44044863912451715</v>
      </c>
      <c r="DN59" s="54">
        <f>10^3*DM59/(($W63*$OB63+$W68*$OB68)/$W59)</f>
        <v>27.188187600278837</v>
      </c>
      <c r="DQ59" s="133"/>
      <c r="DR59" s="133"/>
      <c r="DS59" s="133"/>
      <c r="DY59" s="133"/>
      <c r="EA59" s="133"/>
      <c r="EE59" s="133"/>
      <c r="EF59" s="133"/>
      <c r="EG59" s="133"/>
      <c r="EM59" s="133"/>
      <c r="EO59" s="133"/>
      <c r="ES59" s="133"/>
      <c r="ET59" s="133"/>
      <c r="EU59" s="133"/>
      <c r="FA59" s="133"/>
      <c r="FF59" s="179"/>
      <c r="FH59" s="133"/>
      <c r="FK59" s="133"/>
      <c r="FR59" s="133"/>
      <c r="FT59" s="179"/>
      <c r="FV59" s="133"/>
      <c r="FY59" s="133"/>
      <c r="GF59" s="133"/>
      <c r="GH59" s="179"/>
      <c r="GJ59" s="133"/>
      <c r="GM59" s="133"/>
      <c r="GT59" s="133"/>
      <c r="GU59" s="133"/>
      <c r="GV59" s="133"/>
      <c r="GW59" s="133"/>
      <c r="GX59" s="133"/>
      <c r="GY59" s="133"/>
      <c r="GZ59" s="469">
        <f>(GZ63*$W63+GZ68*$W68)/$W59</f>
        <v>0.13833304459932716</v>
      </c>
      <c r="HA59" s="693">
        <f>10^3*GZ59/(($W63*$OB63+$W68*$OB68)/$W59)</f>
        <v>8.5390768271189614</v>
      </c>
      <c r="HB59" s="133"/>
      <c r="HC59" s="133"/>
      <c r="HD59" s="133"/>
      <c r="HE59" s="133"/>
      <c r="HF59" s="133"/>
      <c r="HG59" s="133"/>
      <c r="HH59" s="133"/>
      <c r="HI59" s="133"/>
      <c r="HJ59" s="133"/>
      <c r="HK59" s="133"/>
      <c r="HL59" s="133"/>
      <c r="HM59" s="133"/>
      <c r="HN59" s="133"/>
      <c r="HO59" s="133"/>
      <c r="HP59" s="133"/>
      <c r="HQ59" s="133"/>
      <c r="HR59" s="133"/>
      <c r="HS59" s="133"/>
      <c r="HT59" s="133"/>
      <c r="HU59" s="133"/>
      <c r="HV59" s="133"/>
      <c r="HW59" s="133"/>
      <c r="HX59" s="133"/>
      <c r="HY59" s="133"/>
      <c r="HZ59" s="133"/>
      <c r="IA59" s="133"/>
      <c r="IB59" s="133"/>
      <c r="IC59" s="133"/>
      <c r="ID59" s="133"/>
      <c r="IE59" s="133"/>
      <c r="IF59" s="133"/>
      <c r="IG59" s="133"/>
      <c r="IH59" s="133"/>
      <c r="II59" s="133"/>
      <c r="IJ59" s="133"/>
      <c r="IK59" s="133"/>
      <c r="IL59" s="133"/>
      <c r="IM59" s="133"/>
      <c r="IN59" s="133"/>
      <c r="IO59" s="595"/>
      <c r="IP59" s="595"/>
      <c r="IQ59" s="595"/>
      <c r="IR59" s="595"/>
      <c r="IS59" s="595"/>
      <c r="IT59" s="595"/>
      <c r="IU59" s="595"/>
      <c r="IW59" s="469">
        <f>(IW63*$W63+IW68*$W68)/$W59</f>
        <v>0.27351185570143327</v>
      </c>
      <c r="IX59" s="693">
        <f>10^3*IW59/(($W63*$OB63+$W68*$OB68)/$W59)</f>
        <v>16.883447882804521</v>
      </c>
      <c r="IY59" s="133"/>
      <c r="IZ59" s="133"/>
      <c r="JA59" s="133"/>
      <c r="JB59" s="133"/>
      <c r="JC59" s="133"/>
      <c r="JD59" s="133"/>
      <c r="JE59" s="133"/>
      <c r="JF59" s="133"/>
      <c r="JG59" s="133"/>
      <c r="JH59" s="133"/>
      <c r="JI59" s="133"/>
      <c r="JJ59" s="133"/>
      <c r="JK59" s="133"/>
      <c r="JL59" s="133"/>
      <c r="JM59" s="133"/>
      <c r="JN59" s="133"/>
      <c r="JO59" s="133"/>
      <c r="JP59" s="133"/>
      <c r="JQ59" s="133"/>
      <c r="JR59" s="133"/>
      <c r="JS59" s="133"/>
      <c r="JT59" s="133"/>
      <c r="JU59" s="133"/>
      <c r="JV59" s="133"/>
      <c r="JW59" s="133"/>
      <c r="JX59" s="133"/>
      <c r="JY59" s="133"/>
      <c r="JZ59" s="133"/>
      <c r="KA59" s="133"/>
      <c r="KB59" s="133"/>
      <c r="KC59" s="133"/>
      <c r="KD59" s="133"/>
      <c r="KE59" s="133"/>
      <c r="KF59" s="133"/>
      <c r="KG59" s="133"/>
      <c r="KH59" s="133"/>
      <c r="KI59" s="133"/>
      <c r="KJ59" s="133"/>
      <c r="KK59" s="133"/>
      <c r="KL59" s="133"/>
      <c r="KM59" s="133"/>
      <c r="KN59" s="133"/>
      <c r="KO59" s="133"/>
      <c r="KP59" s="133"/>
      <c r="KQ59" s="133"/>
      <c r="KR59" s="133"/>
      <c r="KS59" s="133"/>
      <c r="KT59" s="133"/>
      <c r="KU59" s="133"/>
      <c r="KV59" s="133"/>
      <c r="KW59" s="133"/>
      <c r="KX59" s="133"/>
      <c r="KY59" s="133"/>
      <c r="KZ59" s="133"/>
      <c r="LA59" s="133"/>
      <c r="LB59" s="133"/>
      <c r="LC59" s="133"/>
      <c r="LD59" s="133"/>
      <c r="LE59" s="133"/>
      <c r="LF59" s="133"/>
      <c r="LG59" s="133"/>
      <c r="LH59" s="133"/>
      <c r="LI59" s="133"/>
      <c r="LJ59" s="133"/>
      <c r="LK59" s="133"/>
      <c r="LL59" s="133"/>
      <c r="LM59" s="133"/>
      <c r="LN59" s="133"/>
      <c r="LO59" s="133"/>
      <c r="LP59" s="133"/>
      <c r="LQ59" s="133"/>
      <c r="LR59" s="133"/>
      <c r="LS59" s="133"/>
      <c r="LT59" s="133"/>
      <c r="LU59" s="133"/>
      <c r="LV59" s="133"/>
      <c r="LW59" s="133"/>
      <c r="LX59" s="133"/>
      <c r="LY59" s="133"/>
      <c r="LZ59" s="133"/>
      <c r="MA59" s="133"/>
      <c r="MB59" s="133"/>
      <c r="MC59" s="133"/>
      <c r="MD59" s="133"/>
      <c r="ME59" s="133"/>
      <c r="MF59" s="133"/>
      <c r="MG59" s="133"/>
      <c r="MH59" s="133"/>
      <c r="MI59" s="133"/>
      <c r="MJ59" s="133"/>
      <c r="MK59" s="133"/>
      <c r="ML59" s="133"/>
      <c r="MM59" s="133"/>
      <c r="MN59" s="133"/>
      <c r="MO59" s="133"/>
      <c r="MP59" s="133"/>
      <c r="MQ59" s="133"/>
      <c r="MR59" s="133"/>
      <c r="MS59" s="133"/>
      <c r="MT59" s="133"/>
      <c r="MU59" s="133"/>
      <c r="MV59" s="133"/>
      <c r="MW59" s="133"/>
      <c r="MX59" s="133"/>
      <c r="MY59" s="133"/>
      <c r="MZ59" s="133"/>
      <c r="NA59" s="133"/>
      <c r="NB59" s="133"/>
      <c r="NC59" s="133"/>
      <c r="ND59" s="133"/>
      <c r="NE59" s="133"/>
      <c r="NF59" s="133"/>
      <c r="NG59" s="133"/>
      <c r="NH59" s="133"/>
      <c r="NI59" s="133"/>
      <c r="NJ59" s="133"/>
      <c r="NK59" s="133"/>
      <c r="NL59" s="133"/>
      <c r="NM59" s="133"/>
      <c r="NN59" s="133"/>
      <c r="NO59" s="133"/>
      <c r="NP59" s="133"/>
      <c r="NQ59" s="133"/>
      <c r="NR59" s="133"/>
      <c r="NS59" s="133"/>
      <c r="OB59" s="693"/>
      <c r="RU59" s="179"/>
      <c r="RV59" s="179"/>
      <c r="RW59" s="179"/>
      <c r="RX59" s="179"/>
      <c r="RY59" s="179"/>
      <c r="RZ59" s="179"/>
    </row>
    <row r="60" spans="1:494" s="54" customFormat="1" x14ac:dyDescent="0.25">
      <c r="A60" s="54" t="s">
        <v>181</v>
      </c>
      <c r="D60" s="131"/>
      <c r="E60" s="133"/>
      <c r="F60" s="133"/>
      <c r="G60" s="133"/>
      <c r="H60" s="133"/>
      <c r="I60" s="133"/>
      <c r="J60" s="133"/>
      <c r="K60" s="133"/>
      <c r="L60" s="133"/>
      <c r="M60" s="133"/>
      <c r="V60" s="688">
        <f>V64+V69+V70</f>
        <v>48.150072150072148</v>
      </c>
      <c r="W60" s="474">
        <f>W64+W69+W70</f>
        <v>36.290909090909096</v>
      </c>
      <c r="X60" s="474"/>
      <c r="Y60" s="179">
        <f>Y64+Y69+Y70</f>
        <v>0.59810909090909092</v>
      </c>
      <c r="AA60" s="179">
        <f>AA64+AA69+AA70</f>
        <v>3.1360000000000001</v>
      </c>
      <c r="AB60" s="179"/>
      <c r="AE60" s="179"/>
      <c r="AF60" s="179"/>
      <c r="AG60" s="179"/>
      <c r="AH60" s="179"/>
      <c r="AI60" s="179"/>
      <c r="AJ60" s="179"/>
      <c r="AL60" s="133"/>
      <c r="AO60" s="179"/>
      <c r="AP60" s="179"/>
      <c r="AQ60" s="179"/>
      <c r="AR60" s="179"/>
      <c r="AS60" s="179"/>
      <c r="AT60" s="179"/>
      <c r="AU60" s="179"/>
      <c r="AV60" s="179"/>
      <c r="AW60" s="179"/>
      <c r="AX60" s="179"/>
      <c r="AY60" s="179"/>
      <c r="AZ60" s="179"/>
      <c r="BA60" s="179"/>
      <c r="BB60" s="179"/>
      <c r="BC60" s="179"/>
      <c r="BD60" s="179"/>
      <c r="BE60" s="179"/>
      <c r="BF60" s="179"/>
      <c r="BG60" s="179"/>
      <c r="BH60" s="179"/>
      <c r="BI60" s="179"/>
      <c r="BJ60" s="179"/>
      <c r="BK60" s="179"/>
      <c r="BL60" s="179"/>
      <c r="BM60" s="179"/>
      <c r="BN60" s="179"/>
      <c r="BO60" s="179"/>
      <c r="BP60" s="179"/>
      <c r="BQ60" s="179"/>
      <c r="BR60" s="179"/>
      <c r="BS60" s="179"/>
      <c r="BT60" s="179"/>
      <c r="BU60" s="179"/>
      <c r="BW60" s="179"/>
      <c r="CA60" s="133"/>
      <c r="CB60" s="133"/>
      <c r="CC60" s="133"/>
      <c r="CD60" s="179"/>
      <c r="CE60" s="179"/>
      <c r="CF60" s="179"/>
      <c r="CG60" s="179"/>
      <c r="CH60" s="179"/>
      <c r="CI60" s="133"/>
      <c r="CK60" s="179"/>
      <c r="CO60" s="133"/>
      <c r="CP60" s="133"/>
      <c r="CQ60" s="133"/>
      <c r="CR60" s="179"/>
      <c r="CS60" s="179"/>
      <c r="CT60" s="179"/>
      <c r="CU60" s="179"/>
      <c r="CV60" s="179"/>
      <c r="CW60" s="133"/>
      <c r="CY60" s="179"/>
      <c r="DC60" s="133"/>
      <c r="DD60" s="133"/>
      <c r="DE60" s="133"/>
      <c r="DF60" s="179"/>
      <c r="DG60" s="179"/>
      <c r="DH60" s="179"/>
      <c r="DI60" s="179"/>
      <c r="DJ60" s="179"/>
      <c r="DK60" s="133"/>
      <c r="DM60" s="133"/>
      <c r="DQ60" s="133"/>
      <c r="DR60" s="133"/>
      <c r="DS60" s="133"/>
      <c r="DY60" s="133"/>
      <c r="EA60" s="133"/>
      <c r="EE60" s="133"/>
      <c r="EF60" s="133"/>
      <c r="EG60" s="133"/>
      <c r="EM60" s="133"/>
      <c r="EO60" s="133"/>
      <c r="ES60" s="133"/>
      <c r="ET60" s="133"/>
      <c r="EU60" s="133"/>
      <c r="FA60" s="133"/>
      <c r="FF60" s="179"/>
      <c r="FH60" s="133"/>
      <c r="FK60" s="133"/>
      <c r="FR60" s="133"/>
      <c r="FT60" s="179"/>
      <c r="FV60" s="133"/>
      <c r="FY60" s="133"/>
      <c r="GF60" s="133"/>
      <c r="GH60" s="179"/>
      <c r="GJ60" s="133"/>
      <c r="GM60" s="133"/>
      <c r="GT60" s="133"/>
      <c r="GU60" s="133"/>
      <c r="GV60" s="133"/>
      <c r="GW60" s="133"/>
      <c r="GX60" s="133"/>
      <c r="GY60" s="133"/>
      <c r="GZ60" s="133"/>
      <c r="HA60" s="133"/>
      <c r="HB60" s="133"/>
      <c r="HC60" s="133"/>
      <c r="HD60" s="133"/>
      <c r="HE60" s="133"/>
      <c r="HF60" s="133"/>
      <c r="HG60" s="133"/>
      <c r="HH60" s="133"/>
      <c r="HI60" s="133"/>
      <c r="HJ60" s="133"/>
      <c r="HK60" s="133"/>
      <c r="HL60" s="133"/>
      <c r="HM60" s="133"/>
      <c r="HN60" s="133"/>
      <c r="HO60" s="133"/>
      <c r="HP60" s="133"/>
      <c r="HQ60" s="133"/>
      <c r="HR60" s="133"/>
      <c r="HS60" s="133"/>
      <c r="HT60" s="133"/>
      <c r="HU60" s="133"/>
      <c r="HV60" s="133"/>
      <c r="HW60" s="133"/>
      <c r="HX60" s="133"/>
      <c r="HY60" s="133"/>
      <c r="HZ60" s="133"/>
      <c r="IA60" s="133"/>
      <c r="IB60" s="133"/>
      <c r="IC60" s="133"/>
      <c r="ID60" s="133"/>
      <c r="IE60" s="133"/>
      <c r="IF60" s="133"/>
      <c r="IG60" s="133"/>
      <c r="IH60" s="133"/>
      <c r="II60" s="133"/>
      <c r="IJ60" s="133"/>
      <c r="IK60" s="133"/>
      <c r="IL60" s="133"/>
      <c r="IM60" s="133"/>
      <c r="IN60" s="133"/>
      <c r="IO60" s="431"/>
      <c r="IP60" s="431"/>
      <c r="IQ60" s="431"/>
      <c r="IR60" s="431"/>
      <c r="IS60" s="431"/>
      <c r="IT60" s="431"/>
      <c r="IU60" s="431"/>
      <c r="IW60" s="133"/>
      <c r="IX60" s="133"/>
      <c r="IY60" s="133"/>
      <c r="IZ60" s="133"/>
      <c r="JA60" s="133"/>
      <c r="JB60" s="133"/>
      <c r="JC60" s="133"/>
      <c r="JD60" s="133"/>
      <c r="JE60" s="133"/>
      <c r="JF60" s="133"/>
      <c r="JG60" s="133"/>
      <c r="JH60" s="133"/>
      <c r="JI60" s="133"/>
      <c r="JJ60" s="133"/>
      <c r="JK60" s="133"/>
      <c r="JL60" s="133"/>
      <c r="JM60" s="133"/>
      <c r="JN60" s="133"/>
      <c r="JO60" s="133"/>
      <c r="JP60" s="133"/>
      <c r="JQ60" s="133"/>
      <c r="JR60" s="133"/>
      <c r="JS60" s="133"/>
      <c r="JT60" s="133"/>
      <c r="JU60" s="133"/>
      <c r="JV60" s="133"/>
      <c r="JW60" s="133"/>
      <c r="JX60" s="133"/>
      <c r="JY60" s="133"/>
      <c r="JZ60" s="133"/>
      <c r="KA60" s="133"/>
      <c r="KB60" s="133"/>
      <c r="KC60" s="133"/>
      <c r="KD60" s="133"/>
      <c r="KE60" s="133"/>
      <c r="KF60" s="133"/>
      <c r="KG60" s="133"/>
      <c r="KH60" s="133"/>
      <c r="KI60" s="133"/>
      <c r="KJ60" s="133"/>
      <c r="KK60" s="133"/>
      <c r="KL60" s="133"/>
      <c r="KM60" s="133"/>
      <c r="KN60" s="133"/>
      <c r="KO60" s="133"/>
      <c r="KP60" s="133"/>
      <c r="KQ60" s="133"/>
      <c r="KR60" s="133"/>
      <c r="KS60" s="133"/>
      <c r="KT60" s="133"/>
      <c r="KU60" s="133"/>
      <c r="KV60" s="133"/>
      <c r="KW60" s="133"/>
      <c r="KX60" s="133"/>
      <c r="KY60" s="133"/>
      <c r="KZ60" s="133"/>
      <c r="LA60" s="133"/>
      <c r="LB60" s="133"/>
      <c r="LC60" s="133"/>
      <c r="LD60" s="133"/>
      <c r="LE60" s="133"/>
      <c r="LF60" s="133"/>
      <c r="LG60" s="133"/>
      <c r="LH60" s="133"/>
      <c r="LI60" s="133"/>
      <c r="LJ60" s="133"/>
      <c r="LK60" s="133"/>
      <c r="LL60" s="133"/>
      <c r="LM60" s="133"/>
      <c r="LN60" s="133"/>
      <c r="LO60" s="133"/>
      <c r="LP60" s="133"/>
      <c r="LQ60" s="133"/>
      <c r="LR60" s="133"/>
      <c r="LS60" s="133"/>
      <c r="LT60" s="133"/>
      <c r="LU60" s="133"/>
      <c r="LV60" s="133"/>
      <c r="LW60" s="133"/>
      <c r="LX60" s="133"/>
      <c r="LY60" s="133"/>
      <c r="LZ60" s="133"/>
      <c r="MA60" s="133"/>
      <c r="MB60" s="133"/>
      <c r="MC60" s="133"/>
      <c r="MD60" s="133"/>
      <c r="ME60" s="133"/>
      <c r="MF60" s="133"/>
      <c r="MG60" s="133"/>
      <c r="MH60" s="133"/>
      <c r="MI60" s="133"/>
      <c r="MJ60" s="133"/>
      <c r="MK60" s="133"/>
      <c r="ML60" s="133"/>
      <c r="MM60" s="133"/>
      <c r="MN60" s="133"/>
      <c r="MO60" s="133"/>
      <c r="MP60" s="133"/>
      <c r="MQ60" s="133"/>
      <c r="MR60" s="133"/>
      <c r="MS60" s="133"/>
      <c r="MT60" s="133"/>
      <c r="MU60" s="133"/>
      <c r="MV60" s="133"/>
      <c r="MW60" s="133"/>
      <c r="MX60" s="133"/>
      <c r="MY60" s="133"/>
      <c r="MZ60" s="133"/>
      <c r="NA60" s="133"/>
      <c r="NB60" s="133"/>
      <c r="NC60" s="133"/>
      <c r="ND60" s="133"/>
      <c r="NE60" s="133"/>
      <c r="NF60" s="133"/>
      <c r="NG60" s="133"/>
      <c r="NH60" s="133"/>
      <c r="NI60" s="133"/>
      <c r="NJ60" s="133"/>
      <c r="NK60" s="133"/>
      <c r="NL60" s="133"/>
      <c r="NM60" s="133"/>
      <c r="NN60" s="133"/>
      <c r="NO60" s="133"/>
      <c r="NP60" s="133"/>
      <c r="NQ60" s="133"/>
      <c r="NR60" s="133"/>
      <c r="NS60" s="133"/>
      <c r="OB60" s="693"/>
      <c r="RU60" s="179"/>
      <c r="RV60" s="179"/>
      <c r="RW60" s="179"/>
      <c r="RX60" s="179"/>
      <c r="RY60" s="179"/>
      <c r="RZ60" s="179"/>
    </row>
    <row r="61" spans="1:494" x14ac:dyDescent="0.25">
      <c r="A61" s="9"/>
      <c r="AE61" s="115"/>
      <c r="AF61" s="115"/>
      <c r="AG61" s="115"/>
      <c r="AH61" s="115"/>
      <c r="AI61" s="115"/>
      <c r="AJ61" s="115"/>
      <c r="AL61" s="74"/>
      <c r="AO61" s="115"/>
      <c r="AP61" s="115"/>
      <c r="AQ61" s="115"/>
      <c r="AR61" s="115"/>
      <c r="AS61" s="115"/>
      <c r="AT61" s="115"/>
      <c r="AU61" s="115"/>
      <c r="AV61" s="115"/>
      <c r="AW61" s="115"/>
      <c r="AX61" s="115"/>
      <c r="AY61" s="115"/>
      <c r="AZ61" s="115"/>
      <c r="BA61" s="115"/>
      <c r="BB61" s="115"/>
      <c r="BC61" s="115"/>
      <c r="BD61" s="115"/>
      <c r="BE61" s="115"/>
      <c r="BF61" s="115"/>
      <c r="BG61" s="115"/>
      <c r="BH61" s="115"/>
      <c r="BI61" s="115"/>
      <c r="BJ61" s="115"/>
      <c r="BK61" s="115"/>
      <c r="BL61" s="115"/>
      <c r="BM61" s="115"/>
      <c r="BN61" s="115"/>
      <c r="BO61" s="115"/>
      <c r="BP61" s="115"/>
      <c r="BQ61" s="115"/>
      <c r="BR61" s="115"/>
      <c r="BS61" s="115"/>
      <c r="BT61" s="115"/>
      <c r="BU61" s="115"/>
      <c r="BW61" s="115"/>
      <c r="CA61" s="74"/>
      <c r="CB61" s="74"/>
      <c r="CC61" s="74"/>
      <c r="CD61" s="115"/>
      <c r="CE61" s="115"/>
      <c r="CF61" s="115"/>
      <c r="CG61" s="115"/>
      <c r="CH61" s="115"/>
      <c r="CI61" s="74"/>
      <c r="CK61" s="115"/>
      <c r="CX61" s="37"/>
      <c r="CY61" s="115"/>
      <c r="CZ61" s="37"/>
      <c r="DA61" s="37"/>
      <c r="DB61" s="37"/>
      <c r="DF61" s="115"/>
      <c r="DG61" s="115"/>
      <c r="DH61" s="115"/>
      <c r="DI61" s="115"/>
      <c r="DJ61" s="115"/>
      <c r="DL61" s="37"/>
      <c r="DN61" s="37"/>
      <c r="DO61" s="37"/>
      <c r="DP61" s="37"/>
      <c r="DT61" s="37"/>
      <c r="DU61" s="37"/>
      <c r="DV61" s="37"/>
      <c r="DW61" s="37"/>
      <c r="DX61" s="37"/>
      <c r="EA61" s="74"/>
      <c r="EN61" s="37"/>
      <c r="EP61" s="37"/>
      <c r="EQ61" s="37"/>
      <c r="ER61" s="37"/>
      <c r="EV61" s="37"/>
      <c r="EW61" s="37"/>
      <c r="EX61" s="37"/>
      <c r="EY61" s="37"/>
      <c r="EZ61" s="37"/>
      <c r="FF61" s="115"/>
      <c r="FH61" s="74"/>
      <c r="FK61" s="74"/>
      <c r="FR61" s="74"/>
      <c r="FT61" s="115"/>
      <c r="FZ61" s="37"/>
      <c r="GH61" s="115"/>
      <c r="GJ61" s="74"/>
      <c r="GM61" s="74"/>
      <c r="GT61" s="74"/>
      <c r="GU61" s="74"/>
      <c r="GV61" s="74"/>
      <c r="GW61" s="74"/>
      <c r="GX61" s="74"/>
      <c r="HB61" s="74"/>
      <c r="HD61" s="74"/>
      <c r="HE61" s="74"/>
      <c r="HF61" s="74"/>
      <c r="HG61" s="74"/>
      <c r="HH61" s="74"/>
      <c r="HI61" s="74"/>
      <c r="HJ61" s="74"/>
      <c r="HK61" s="74"/>
      <c r="HL61" s="74"/>
      <c r="IA61" s="133"/>
      <c r="IB61" s="133"/>
      <c r="IC61" s="133"/>
      <c r="IE61" s="133"/>
      <c r="IO61" s="97"/>
      <c r="IP61" s="97"/>
      <c r="IQ61" s="97"/>
      <c r="IR61" s="97"/>
      <c r="IS61" s="97"/>
      <c r="IT61" s="97"/>
      <c r="IU61" s="97"/>
      <c r="OB61" s="26"/>
    </row>
    <row r="62" spans="1:494" x14ac:dyDescent="0.25">
      <c r="A62" s="9" t="s">
        <v>174</v>
      </c>
      <c r="AE62" s="115"/>
      <c r="AF62" s="115"/>
      <c r="AG62" s="115"/>
      <c r="AH62" s="115"/>
      <c r="AI62" s="115"/>
      <c r="AJ62" s="115"/>
      <c r="AL62" s="74"/>
      <c r="AO62" s="115"/>
      <c r="AP62" s="115"/>
      <c r="AQ62" s="115"/>
      <c r="AR62" s="115"/>
      <c r="AS62" s="115"/>
      <c r="AT62" s="115"/>
      <c r="AU62" s="115"/>
      <c r="AV62" s="115"/>
      <c r="AW62" s="115"/>
      <c r="AX62" s="115"/>
      <c r="AY62" s="115"/>
      <c r="AZ62" s="115"/>
      <c r="BA62" s="115"/>
      <c r="BB62" s="115"/>
      <c r="BC62" s="115"/>
      <c r="BD62" s="115"/>
      <c r="BE62" s="115"/>
      <c r="BF62" s="115"/>
      <c r="BG62" s="115"/>
      <c r="BH62" s="115"/>
      <c r="BI62" s="115"/>
      <c r="BJ62" s="115"/>
      <c r="BK62" s="115"/>
      <c r="BL62" s="115"/>
      <c r="BM62" s="115"/>
      <c r="BN62" s="115"/>
      <c r="BO62" s="115"/>
      <c r="BP62" s="115"/>
      <c r="BQ62" s="115"/>
      <c r="BR62" s="115"/>
      <c r="BS62" s="115"/>
      <c r="BT62" s="115"/>
      <c r="BU62" s="115"/>
      <c r="BW62" s="115"/>
      <c r="CA62" s="74"/>
      <c r="CB62" s="74"/>
      <c r="CC62" s="74"/>
      <c r="CD62" s="115"/>
      <c r="CE62" s="115"/>
      <c r="CF62" s="115"/>
      <c r="CG62" s="115"/>
      <c r="CH62" s="115"/>
      <c r="CI62" s="74"/>
      <c r="CK62" s="115"/>
      <c r="CX62" s="37"/>
      <c r="CY62" s="115"/>
      <c r="CZ62" s="37"/>
      <c r="DA62" s="37"/>
      <c r="DB62" s="37"/>
      <c r="DF62" s="115"/>
      <c r="DG62" s="115"/>
      <c r="DH62" s="115"/>
      <c r="DI62" s="115"/>
      <c r="DJ62" s="115"/>
      <c r="DL62" s="37"/>
      <c r="DN62" s="37"/>
      <c r="DO62" s="37"/>
      <c r="DP62" s="37"/>
      <c r="DT62" s="37"/>
      <c r="DU62" s="37"/>
      <c r="DV62" s="37"/>
      <c r="DW62" s="37"/>
      <c r="DX62" s="37"/>
      <c r="EA62" s="74"/>
      <c r="EN62" s="37"/>
      <c r="EP62" s="37"/>
      <c r="EQ62" s="37"/>
      <c r="ER62" s="37"/>
      <c r="EV62" s="37"/>
      <c r="EW62" s="37"/>
      <c r="EX62" s="37"/>
      <c r="EY62" s="37"/>
      <c r="EZ62" s="37"/>
      <c r="FF62" s="115"/>
      <c r="FH62" s="74"/>
      <c r="FK62" s="74"/>
      <c r="FR62" s="74"/>
      <c r="FT62" s="115"/>
      <c r="FZ62" s="37"/>
      <c r="GH62" s="115"/>
      <c r="GJ62" s="74"/>
      <c r="GM62" s="74"/>
      <c r="GT62" s="74"/>
      <c r="GU62" s="74"/>
      <c r="GV62" s="74"/>
      <c r="GW62" s="74"/>
      <c r="GX62" s="74"/>
      <c r="HB62" s="74"/>
      <c r="HD62" s="74"/>
      <c r="HE62" s="74"/>
      <c r="HF62" s="74"/>
      <c r="HG62" s="74"/>
      <c r="HH62" s="74"/>
      <c r="HI62" s="74"/>
      <c r="HJ62" s="74"/>
      <c r="HK62" s="74"/>
      <c r="HL62" s="74"/>
      <c r="IA62" s="133"/>
      <c r="IB62" s="133"/>
      <c r="IC62" s="133"/>
      <c r="IE62" s="133"/>
      <c r="IO62" s="68">
        <f>IP62+IQ62+IR62+IS62+IT62+IU62</f>
        <v>30.640380171851852</v>
      </c>
      <c r="IP62" s="97">
        <f>JS62*$W63</f>
        <v>17.579596408888889</v>
      </c>
      <c r="IQ62" s="97">
        <f>JU62*$W63</f>
        <v>13.060783762962961</v>
      </c>
      <c r="IR62" s="97">
        <f>JX62*$W63</f>
        <v>0</v>
      </c>
      <c r="IS62" s="97">
        <f>KB62*$W63</f>
        <v>0</v>
      </c>
      <c r="IT62" s="97">
        <f>KF62*$W63</f>
        <v>0</v>
      </c>
      <c r="IU62" s="97">
        <f>KH62*$W63</f>
        <v>0</v>
      </c>
      <c r="IW62" s="37"/>
      <c r="IX62" s="37"/>
      <c r="IZ62" s="37"/>
      <c r="JK62" s="115">
        <f>JM62+JN62+JO62</f>
        <v>0.31265694052910054</v>
      </c>
      <c r="JM62" s="179">
        <f>JS62+KB62</f>
        <v>0.17938363682539682</v>
      </c>
      <c r="JN62" s="179">
        <f>JU62+KF62</f>
        <v>0.13327330370370369</v>
      </c>
      <c r="JO62" s="179">
        <f>JX62+KH62</f>
        <v>0</v>
      </c>
      <c r="JQ62" s="127">
        <f>JS62+JU62+JX62</f>
        <v>0.31265694052910054</v>
      </c>
      <c r="JS62" s="172">
        <f>'Crops; pasture DISCOUNTED'!KF34/$C63</f>
        <v>0.17938363682539682</v>
      </c>
      <c r="JU62" s="172">
        <f>'Crops; pasture DISCOUNTED'!KD34/$C63</f>
        <v>0.13327330370370369</v>
      </c>
      <c r="JV62" s="37"/>
      <c r="JW62" s="37"/>
      <c r="JX62" s="37"/>
      <c r="JY62" s="37"/>
      <c r="KD62" s="74"/>
      <c r="KE62" s="74"/>
      <c r="KF62" s="74"/>
      <c r="KG62" s="74"/>
      <c r="KH62" s="74"/>
      <c r="KI62" s="74"/>
      <c r="KJ62" s="126"/>
      <c r="KK62" s="126"/>
      <c r="KL62" s="126"/>
      <c r="KM62" s="126"/>
      <c r="KN62" s="126"/>
      <c r="KO62" s="126"/>
      <c r="KP62" s="126"/>
      <c r="KQ62" s="126"/>
      <c r="KR62" s="126"/>
      <c r="KS62" s="126"/>
      <c r="OB62" s="26"/>
    </row>
    <row r="63" spans="1:494" x14ac:dyDescent="0.25">
      <c r="A63" s="37" t="s">
        <v>175</v>
      </c>
      <c r="B63" s="52">
        <f>C63*NT21/NT63</f>
        <v>9.4500000000000001E-2</v>
      </c>
      <c r="C63" s="39">
        <v>0.35</v>
      </c>
      <c r="D63" s="722">
        <f>C63*NW63/NW21</f>
        <v>0.36029411764705882</v>
      </c>
      <c r="E63" s="104"/>
      <c r="F63" s="104"/>
      <c r="G63" s="104"/>
      <c r="H63" s="104"/>
      <c r="I63" s="104"/>
      <c r="J63" s="104"/>
      <c r="K63" s="104"/>
      <c r="L63" s="104"/>
      <c r="M63" s="104"/>
      <c r="N63" s="69"/>
      <c r="V63" s="55">
        <f>W63/NT63</f>
        <v>98</v>
      </c>
      <c r="W63" s="112">
        <v>98</v>
      </c>
      <c r="X63" s="295"/>
      <c r="Y63" s="26">
        <f>W63*NW63/10^3</f>
        <v>1.7150000000000001</v>
      </c>
      <c r="Z63" s="26">
        <f>W63*OB63/10^3</f>
        <v>1.5875999999999999</v>
      </c>
      <c r="AA63" s="26"/>
      <c r="AB63" s="26"/>
      <c r="AE63" s="115">
        <f>AB$21*$AN63/$C63</f>
        <v>1.3531601168223182</v>
      </c>
      <c r="AF63" s="115"/>
      <c r="AG63" s="115">
        <f>AC$21*$AN63/$C63</f>
        <v>1.485093228212494</v>
      </c>
      <c r="AH63" s="115"/>
      <c r="AI63" s="115">
        <f>AD$21*$AN63/$C63</f>
        <v>1.2052930547811547</v>
      </c>
      <c r="AJ63" s="115"/>
      <c r="AK63" s="722">
        <f>Y63/(Y63+Y64)</f>
        <v>0.86450247000705716</v>
      </c>
      <c r="AL63" s="164">
        <v>0.6</v>
      </c>
      <c r="AM63" s="69">
        <f>V63*AL63/(V63*AL63+V64*AL64)</f>
        <v>0.92452830188679247</v>
      </c>
      <c r="AN63" s="40">
        <f t="shared" ref="AN63:AN64" si="16">AK63</f>
        <v>0.86450247000705716</v>
      </c>
      <c r="AO63" s="115"/>
      <c r="AP63" s="115"/>
      <c r="AQ63" s="115"/>
      <c r="AR63" s="115"/>
      <c r="AS63" s="115"/>
      <c r="AT63" s="115"/>
      <c r="AU63" s="115"/>
      <c r="AV63" s="115"/>
      <c r="AW63" s="115"/>
      <c r="AX63" s="115"/>
      <c r="AY63" s="115"/>
      <c r="AZ63" s="115"/>
      <c r="BA63" s="115"/>
      <c r="BB63" s="115"/>
      <c r="BC63" s="115"/>
      <c r="BD63" s="115"/>
      <c r="BE63" s="115"/>
      <c r="BF63" s="115"/>
      <c r="BG63" s="115"/>
      <c r="BH63" s="115"/>
      <c r="BI63" s="115"/>
      <c r="BJ63" s="115"/>
      <c r="BK63" s="115"/>
      <c r="BL63" s="115"/>
      <c r="BM63" s="115"/>
      <c r="BN63" s="115"/>
      <c r="BO63" s="115"/>
      <c r="BP63" s="115"/>
      <c r="BQ63" s="115"/>
      <c r="BR63" s="115"/>
      <c r="BS63" s="115"/>
      <c r="BT63" s="115"/>
      <c r="BU63" s="115"/>
      <c r="BV63" s="26">
        <f>BW63*$NT63</f>
        <v>0.46292038197323671</v>
      </c>
      <c r="BW63" s="127">
        <f>BP$21*$AN63/$C63</f>
        <v>0.46292038197323671</v>
      </c>
      <c r="BX63" s="685">
        <f>10^3*BW63/$OB63</f>
        <v>28.575332220570168</v>
      </c>
      <c r="BY63" s="26"/>
      <c r="BZ63" s="115">
        <f>10^3*BW63/$NW63</f>
        <v>26.452593255613525</v>
      </c>
      <c r="CA63" s="115"/>
      <c r="CB63" s="115"/>
      <c r="CC63" s="115"/>
      <c r="CD63" s="115"/>
      <c r="CE63" s="115"/>
      <c r="CF63" s="115"/>
      <c r="CG63" s="115"/>
      <c r="CH63" s="115"/>
      <c r="CI63" s="115"/>
      <c r="CJ63" s="26">
        <f>CK63*$NT63</f>
        <v>0.65643953188408621</v>
      </c>
      <c r="CK63" s="115">
        <f>BQ$21*$AN63/$C63</f>
        <v>0.65643953188408621</v>
      </c>
      <c r="CL63" s="685">
        <f>10^3*CK63/$OB63</f>
        <v>40.520958758276933</v>
      </c>
      <c r="CM63" s="26"/>
      <c r="CN63" s="115">
        <f>10^3*CK63/$NW63</f>
        <v>37.510830393376359</v>
      </c>
      <c r="CO63" s="115"/>
      <c r="CP63" s="115"/>
      <c r="CQ63" s="115"/>
      <c r="CW63" s="115"/>
      <c r="CX63" s="26">
        <f>CY63*$NT63</f>
        <v>0.24602935405383061</v>
      </c>
      <c r="CY63" s="115">
        <f>BR$21*$AN63/$C63</f>
        <v>0.24602935405383061</v>
      </c>
      <c r="CZ63" s="685">
        <f>10^3*CY63/$OB63</f>
        <v>15.186997163816706</v>
      </c>
      <c r="DA63" s="26"/>
      <c r="DB63" s="115">
        <f>10^3*CY63/$NW63</f>
        <v>14.058820231647465</v>
      </c>
      <c r="DC63" s="115"/>
      <c r="DD63" s="115"/>
      <c r="DE63" s="115"/>
      <c r="DF63" s="115"/>
      <c r="DG63" s="115"/>
      <c r="DH63" s="115"/>
      <c r="DI63" s="115"/>
      <c r="DJ63" s="115"/>
      <c r="DK63" s="115"/>
      <c r="DL63" s="26">
        <f>DM63*$NT63</f>
        <v>0.49734426283794808</v>
      </c>
      <c r="DM63" s="115">
        <f>BS$21*$AN63/$C63</f>
        <v>0.49734426283794808</v>
      </c>
      <c r="DN63" s="685">
        <f>10^3*DM63/$OB63</f>
        <v>30.700263138144944</v>
      </c>
      <c r="DO63" s="26"/>
      <c r="DP63" s="115">
        <f>10^3*DM63/$NW63</f>
        <v>28.41967216216846</v>
      </c>
      <c r="DQ63" s="115"/>
      <c r="DR63" s="115"/>
      <c r="DS63" s="115"/>
      <c r="DT63" s="37"/>
      <c r="DU63" s="37"/>
      <c r="DV63" s="37"/>
      <c r="DW63" s="37"/>
      <c r="DX63" s="37"/>
      <c r="DY63" s="115"/>
      <c r="DZ63" s="26">
        <f>EA63*$NT63</f>
        <v>0.64228994269659323</v>
      </c>
      <c r="EA63" s="115">
        <f>BT$21*$AN63/$C63</f>
        <v>0.64228994269659323</v>
      </c>
      <c r="EB63" s="685">
        <f>10^3*EA63/$OB63</f>
        <v>39.647527326950204</v>
      </c>
      <c r="EC63" s="26"/>
      <c r="ED63" s="115">
        <f>10^3*EA63/$NW63</f>
        <v>36.70228243980533</v>
      </c>
      <c r="EE63" s="115"/>
      <c r="EF63" s="115"/>
      <c r="EG63" s="115"/>
      <c r="EM63" s="115"/>
      <c r="EN63" s="26">
        <f>EO63*$NT63</f>
        <v>41.081157374735362</v>
      </c>
      <c r="EO63" s="115">
        <f>BU$21*$AN63/$C63</f>
        <v>41.081157374735362</v>
      </c>
      <c r="EP63" s="685">
        <f>10^3*EO63/$OB63</f>
        <v>2535.8739120207015</v>
      </c>
      <c r="EQ63" s="26"/>
      <c r="ER63" s="115">
        <f>10^3*EO63/$NW63</f>
        <v>2347.4947071277347</v>
      </c>
      <c r="ES63" s="115"/>
      <c r="ET63" s="115"/>
      <c r="EU63" s="115"/>
      <c r="EV63" s="37"/>
      <c r="EW63" s="37"/>
      <c r="EX63" s="37"/>
      <c r="EY63" s="37"/>
      <c r="EZ63" s="37"/>
      <c r="FA63" s="115"/>
      <c r="FE63" s="26">
        <f>FF63*$NT63</f>
        <v>0.99700837407468412</v>
      </c>
      <c r="FF63" s="115">
        <f>FB$21*$AN63/$C63</f>
        <v>0.99700837407468412</v>
      </c>
      <c r="FG63" s="272">
        <f>10^3*FF63/$OB63</f>
        <v>61.543726794733587</v>
      </c>
      <c r="FH63" s="115"/>
      <c r="FI63" s="115">
        <f>10^3*FF63/$NW63</f>
        <v>56.971907089981947</v>
      </c>
      <c r="FJ63" s="115"/>
      <c r="FK63" s="115"/>
      <c r="FL63" s="26"/>
      <c r="FR63" s="115"/>
      <c r="FS63" s="26">
        <f>FT63*$NT63</f>
        <v>1.2875758288602324</v>
      </c>
      <c r="FT63" s="115">
        <f>FC$21*$AN63/$C63</f>
        <v>1.2875758288602324</v>
      </c>
      <c r="FU63" s="272">
        <f>10^3*FT63/$OB63</f>
        <v>79.479989435816819</v>
      </c>
      <c r="FV63" s="115"/>
      <c r="FW63" s="115">
        <f>10^3*FT63/$NW63</f>
        <v>73.575761649156135</v>
      </c>
      <c r="FX63" s="115"/>
      <c r="FY63" s="115"/>
      <c r="FZ63" s="26"/>
      <c r="GF63" s="115"/>
      <c r="GG63" s="26">
        <f>GH63*$NT63</f>
        <v>0.6713482315131033</v>
      </c>
      <c r="GH63" s="115">
        <f>FD$21*$AN63/$C63</f>
        <v>0.6713482315131033</v>
      </c>
      <c r="GI63" s="272">
        <f>10^3*GH63/$OB63</f>
        <v>41.441248858833539</v>
      </c>
      <c r="GJ63" s="115"/>
      <c r="GK63" s="115">
        <f>10^3*GH63/$NW63</f>
        <v>38.362756086463044</v>
      </c>
      <c r="GL63" s="115"/>
      <c r="GM63" s="115"/>
      <c r="GN63" s="26"/>
      <c r="GT63" s="115"/>
      <c r="GU63" s="115"/>
      <c r="GV63" s="115"/>
      <c r="GW63" s="115"/>
      <c r="GX63" s="115"/>
      <c r="GY63" s="26">
        <f>GZ63*$NT63</f>
        <v>0.1641262303721216</v>
      </c>
      <c r="GZ63" s="127">
        <f>$AN63*GU$21/C63</f>
        <v>0.1641262303721216</v>
      </c>
      <c r="HA63" s="673">
        <f>10^3*GZ63/$OB63</f>
        <v>10.131248788402567</v>
      </c>
      <c r="HB63" s="74"/>
      <c r="HD63" s="74"/>
      <c r="HE63" s="115"/>
      <c r="HF63" s="115"/>
      <c r="HG63" s="115"/>
      <c r="HH63" s="115"/>
      <c r="HI63" s="115"/>
      <c r="HJ63" s="115"/>
      <c r="HK63" s="115"/>
      <c r="HL63" s="115"/>
      <c r="HM63" s="115">
        <f>HN63*$NT63</f>
        <v>0.11577425476239693</v>
      </c>
      <c r="HN63" s="127">
        <f>$AN63*GV$21/C63</f>
        <v>0.11577425476239693</v>
      </c>
      <c r="HO63" s="73">
        <f>10^3*HN63/$OB63</f>
        <v>7.146558935950428</v>
      </c>
      <c r="HS63" s="115"/>
      <c r="HT63" s="115"/>
      <c r="HU63" s="115"/>
      <c r="HV63" s="115"/>
      <c r="HW63" s="115"/>
      <c r="HX63" s="115"/>
      <c r="HY63" s="115"/>
      <c r="HZ63" s="115"/>
      <c r="IA63" s="115">
        <f>IB63*$NT63</f>
        <v>0.2183178165627308</v>
      </c>
      <c r="IB63" s="127">
        <f>$AN63*GW$21/C63</f>
        <v>0.2183178165627308</v>
      </c>
      <c r="IC63" s="73">
        <f>10^3*IB63/$OB63</f>
        <v>13.476408429798198</v>
      </c>
      <c r="IE63" s="133"/>
      <c r="IG63" s="115"/>
      <c r="IH63" s="115"/>
      <c r="II63" s="115"/>
      <c r="IJ63" s="115"/>
      <c r="IK63" s="115"/>
      <c r="IL63" s="115"/>
      <c r="IM63" s="115"/>
      <c r="IN63" s="115"/>
      <c r="IO63" s="431"/>
      <c r="IP63" s="431"/>
      <c r="IQ63" s="431"/>
      <c r="IR63" s="431"/>
      <c r="IS63" s="431"/>
      <c r="IT63" s="431"/>
      <c r="IU63" s="431"/>
      <c r="IV63" s="335">
        <f>IW63*$NT63</f>
        <v>0.27029269735225697</v>
      </c>
      <c r="IW63" s="127">
        <f>AN63*JK62</f>
        <v>0.27029269735225697</v>
      </c>
      <c r="IX63" s="673">
        <f>10^3*IW63/$OB63</f>
        <v>16.684734404460308</v>
      </c>
      <c r="IY63" s="73"/>
      <c r="IZ63" s="73"/>
      <c r="JA63" s="115"/>
      <c r="JB63" s="115">
        <f>$IW63*JM62/$JK62</f>
        <v>0.15507759711440444</v>
      </c>
      <c r="JC63" s="115">
        <f>$IW63*JN62/$JK62</f>
        <v>0.1152151002378525</v>
      </c>
      <c r="JD63" s="115">
        <f>$IW63*JO62/$JK62</f>
        <v>0</v>
      </c>
      <c r="JK63" s="37"/>
      <c r="JL63" s="37"/>
      <c r="JQ63" s="37"/>
      <c r="JR63" s="37"/>
      <c r="JS63" s="37"/>
      <c r="JT63" s="37"/>
      <c r="JU63" s="37"/>
      <c r="JV63" s="37"/>
      <c r="JW63" s="37"/>
      <c r="JX63" s="37"/>
      <c r="JY63" s="37"/>
      <c r="KJ63" s="115">
        <f>BW63*44/12+$IW63+$GZ63</f>
        <v>2.1317936616262463</v>
      </c>
      <c r="KK63" s="74"/>
      <c r="KL63" s="677">
        <f>10^3*KJ63/$OB63</f>
        <v>131.59220133495347</v>
      </c>
      <c r="KM63" s="74"/>
      <c r="KN63" s="73"/>
      <c r="KO63" s="115"/>
      <c r="KP63" s="115"/>
      <c r="KQ63" s="115"/>
      <c r="KR63" s="115"/>
      <c r="KS63" s="73"/>
      <c r="KT63" s="115">
        <f>CK63*44/12+$IW63+$HN63</f>
        <v>2.7930119023563034</v>
      </c>
      <c r="KV63" s="677">
        <f>10^3*KT63/$OB63</f>
        <v>172.40814212075946</v>
      </c>
      <c r="KX63" s="73"/>
      <c r="KY63" s="115"/>
      <c r="KZ63" s="115"/>
      <c r="LA63" s="115"/>
      <c r="LB63" s="115"/>
      <c r="LC63" s="73"/>
      <c r="LD63" s="115">
        <f>CY63*44/12+$IW63+$IB63</f>
        <v>1.3907181454457</v>
      </c>
      <c r="LF63" s="677">
        <f>10^3*LD63/$OB63</f>
        <v>85.846799101586427</v>
      </c>
      <c r="LH63" s="73"/>
      <c r="LI63" s="115"/>
      <c r="LJ63" s="115"/>
      <c r="LK63" s="115"/>
      <c r="LL63" s="115"/>
      <c r="LM63" s="73"/>
      <c r="LN63" s="115">
        <f>DM63*44/12+$IW63+$GZ63</f>
        <v>2.2580145581301885</v>
      </c>
      <c r="LP63" s="677">
        <f>10^3*LN63/$OB63</f>
        <v>139.38361469939437</v>
      </c>
      <c r="LR63" s="73"/>
      <c r="LW63" s="73"/>
      <c r="LX63" s="115">
        <f>EA63*44/12+$IW63+$HN63</f>
        <v>2.7411300753354957</v>
      </c>
      <c r="LZ63" s="677">
        <f>10^3*LX63/$OB63</f>
        <v>169.20556020589481</v>
      </c>
      <c r="MB63" s="127"/>
      <c r="MG63" s="127"/>
      <c r="MH63" s="115">
        <f>EO63*44/12+$IW63+$IB63</f>
        <v>151.11952088794465</v>
      </c>
      <c r="MJ63" s="677">
        <f>10^3*MH63/$OB63</f>
        <v>9328.3654869101629</v>
      </c>
      <c r="ML63" s="115"/>
      <c r="MM63" s="115"/>
      <c r="MN63" s="115"/>
      <c r="MO63" s="115"/>
      <c r="MP63" s="115"/>
      <c r="MQ63" s="115"/>
      <c r="MW63" s="115"/>
      <c r="MX63" s="115"/>
      <c r="MY63" s="115"/>
      <c r="MZ63" s="115"/>
      <c r="NA63" s="115"/>
      <c r="NB63" s="115"/>
      <c r="NC63" s="115"/>
      <c r="ND63" s="115"/>
      <c r="NE63" s="115"/>
      <c r="NF63" s="115"/>
      <c r="NG63" s="115"/>
      <c r="NH63" s="115"/>
      <c r="NI63" s="115"/>
      <c r="NJ63" s="115"/>
      <c r="NK63" s="115"/>
      <c r="NL63" s="115"/>
      <c r="NM63" s="115"/>
      <c r="NN63" s="115"/>
      <c r="NO63" s="115"/>
      <c r="NP63" s="115"/>
      <c r="NQ63" s="115"/>
      <c r="NT63" s="31">
        <v>1</v>
      </c>
      <c r="NU63" s="31"/>
      <c r="NV63" s="32">
        <f>$NT63*NW63</f>
        <v>17.5</v>
      </c>
      <c r="NW63" s="9">
        <v>17.5</v>
      </c>
      <c r="NX63" s="9"/>
      <c r="NY63" s="9"/>
      <c r="NZ63" s="9"/>
      <c r="OA63" s="32">
        <f>$NT63*OB63</f>
        <v>16.2</v>
      </c>
      <c r="OB63" s="43">
        <v>16.2</v>
      </c>
      <c r="OC63" s="38">
        <f>$NT63*OD63</f>
        <v>0</v>
      </c>
      <c r="OD63" s="31">
        <v>0</v>
      </c>
      <c r="OE63" s="38">
        <f>$NT63*OF63</f>
        <v>0</v>
      </c>
      <c r="OF63" s="31">
        <v>0</v>
      </c>
    </row>
    <row r="64" spans="1:494" x14ac:dyDescent="0.25">
      <c r="A64" s="37" t="s">
        <v>176</v>
      </c>
      <c r="B64" s="52">
        <f>C64*NT21/NT64</f>
        <v>2.3142857142857142E-2</v>
      </c>
      <c r="C64" s="45">
        <v>0.06</v>
      </c>
      <c r="D64" s="722">
        <f>C64*NW64/NW21</f>
        <v>5.6470588235294113E-2</v>
      </c>
      <c r="E64" s="122"/>
      <c r="F64" s="122"/>
      <c r="G64" s="122"/>
      <c r="H64" s="122"/>
      <c r="I64" s="122"/>
      <c r="J64" s="122"/>
      <c r="K64" s="122"/>
      <c r="L64" s="122"/>
      <c r="M64" s="122"/>
      <c r="N64" s="683"/>
      <c r="V64" s="55">
        <f>W64/NT64</f>
        <v>24.000000000000004</v>
      </c>
      <c r="W64" s="55">
        <f>C64/C63*W63</f>
        <v>16.8</v>
      </c>
      <c r="X64" s="73"/>
      <c r="Y64" s="26">
        <f>W64*NW64/10^3</f>
        <v>0.26880000000000004</v>
      </c>
      <c r="Z64" s="26"/>
      <c r="AA64" s="26">
        <f>W64*OD64</f>
        <v>1.3440000000000001</v>
      </c>
      <c r="AB64" s="26"/>
      <c r="AE64" s="115">
        <f>AB$21*$AN64/$C64</f>
        <v>1.2371749639518339</v>
      </c>
      <c r="AF64" s="115"/>
      <c r="AG64" s="115">
        <f>AC$21*$AN64/$C64</f>
        <v>1.3577995229371373</v>
      </c>
      <c r="AH64" s="115"/>
      <c r="AI64" s="115">
        <f>AD$21*$AN64/$C64</f>
        <v>1.1019822215141986</v>
      </c>
      <c r="AJ64" s="115"/>
      <c r="AK64" s="722">
        <f>1-AK63</f>
        <v>0.13549752999294284</v>
      </c>
      <c r="AL64" s="164">
        <v>0.2</v>
      </c>
      <c r="AM64" s="69">
        <f>V64*AL64/(V63*AL63+V64*AL64)</f>
        <v>7.5471698113207558E-2</v>
      </c>
      <c r="AN64" s="40">
        <f t="shared" si="16"/>
        <v>0.13549752999294284</v>
      </c>
      <c r="AO64" s="115"/>
      <c r="AP64" s="115"/>
      <c r="AQ64" s="115"/>
      <c r="AR64" s="115"/>
      <c r="AS64" s="115"/>
      <c r="AT64" s="115"/>
      <c r="AU64" s="115"/>
      <c r="AV64" s="115"/>
      <c r="AW64" s="115"/>
      <c r="AX64" s="115"/>
      <c r="AY64" s="115"/>
      <c r="AZ64" s="115"/>
      <c r="BA64" s="115"/>
      <c r="BB64" s="115"/>
      <c r="BC64" s="115"/>
      <c r="BD64" s="115"/>
      <c r="BE64" s="115"/>
      <c r="BF64" s="115"/>
      <c r="BG64" s="115"/>
      <c r="BH64" s="115"/>
      <c r="BI64" s="115"/>
      <c r="BJ64" s="115"/>
      <c r="BK64" s="115"/>
      <c r="BL64" s="115"/>
      <c r="BM64" s="115"/>
      <c r="BN64" s="115"/>
      <c r="BO64" s="115"/>
      <c r="BP64" s="115"/>
      <c r="BQ64" s="115"/>
      <c r="BR64" s="115"/>
      <c r="BS64" s="115"/>
      <c r="BT64" s="115"/>
      <c r="BU64" s="115"/>
      <c r="BV64" s="26">
        <f>BW64*$NT64</f>
        <v>0.2962690444628715</v>
      </c>
      <c r="BW64" s="115">
        <f>BP$21*$AN64/$C64</f>
        <v>0.42324149208981643</v>
      </c>
      <c r="BX64" s="55"/>
      <c r="BY64" s="143">
        <f>BW64/$OD64</f>
        <v>5.2905186511227056</v>
      </c>
      <c r="BZ64" s="335"/>
      <c r="CA64" s="127"/>
      <c r="CB64" s="127"/>
      <c r="CC64" s="127"/>
      <c r="CD64" s="115"/>
      <c r="CE64" s="115"/>
      <c r="CF64" s="115"/>
      <c r="CG64" s="115"/>
      <c r="CH64" s="115"/>
      <c r="CI64" s="127"/>
      <c r="CJ64" s="26">
        <f>CK64*$NT64</f>
        <v>0.42012130040581513</v>
      </c>
      <c r="CK64" s="115">
        <f>BQ$21*$AN64/$C64</f>
        <v>0.60017328629402167</v>
      </c>
      <c r="CL64" s="55"/>
      <c r="CM64" s="143">
        <f>CK64/$OD64</f>
        <v>7.5021660786752706</v>
      </c>
      <c r="CN64" s="335"/>
      <c r="CO64" s="127"/>
      <c r="CP64" s="127"/>
      <c r="CQ64" s="127"/>
      <c r="CW64" s="127"/>
      <c r="CX64" s="26">
        <f>CY64*$NT64</f>
        <v>0.15745878659445159</v>
      </c>
      <c r="CY64" s="115">
        <f>BR$21*$AN64/$C64</f>
        <v>0.22494112370635944</v>
      </c>
      <c r="CZ64" s="55"/>
      <c r="DA64" s="143">
        <f>CY64/$OD64</f>
        <v>2.8117640463294928</v>
      </c>
      <c r="DB64" s="335"/>
      <c r="DC64" s="127"/>
      <c r="DD64" s="127"/>
      <c r="DE64" s="127"/>
      <c r="DF64" s="115"/>
      <c r="DG64" s="115"/>
      <c r="DH64" s="115"/>
      <c r="DI64" s="115"/>
      <c r="DJ64" s="115"/>
      <c r="DK64" s="127"/>
      <c r="DL64" s="26">
        <f>DM64*$NT64</f>
        <v>0.31830032821628679</v>
      </c>
      <c r="DM64" s="115">
        <f>BS$21*$AN64/$C64</f>
        <v>0.4547147545946954</v>
      </c>
      <c r="DN64" s="55"/>
      <c r="DO64" s="143">
        <f>DM64/$OD64</f>
        <v>5.6839344324336922</v>
      </c>
      <c r="DP64" s="335"/>
      <c r="DQ64" s="127"/>
      <c r="DR64" s="127"/>
      <c r="DS64" s="127"/>
      <c r="DT64" s="37"/>
      <c r="DU64" s="37"/>
      <c r="DV64" s="37"/>
      <c r="DW64" s="37"/>
      <c r="DX64" s="37"/>
      <c r="DY64" s="127"/>
      <c r="DZ64" s="26">
        <f>EA64*$NT64</f>
        <v>0.41106556332581962</v>
      </c>
      <c r="EA64" s="115">
        <f>BT$21*$AN64/$C64</f>
        <v>0.58723651903688523</v>
      </c>
      <c r="EB64" s="55"/>
      <c r="EC64" s="143">
        <f>EA64/$OD64</f>
        <v>7.340456487961065</v>
      </c>
      <c r="ED64" s="335"/>
      <c r="EE64" s="127"/>
      <c r="EF64" s="127"/>
      <c r="EG64" s="127"/>
      <c r="EM64" s="127"/>
      <c r="EN64" s="26">
        <f>EO64*$NT64</f>
        <v>26.291940719830635</v>
      </c>
      <c r="EO64" s="115">
        <f>BU$21*$AN64/$C64</f>
        <v>37.559915314043764</v>
      </c>
      <c r="EP64" s="55"/>
      <c r="EQ64" s="143">
        <f>EO64/$OD64</f>
        <v>469.49894142554706</v>
      </c>
      <c r="ER64" s="335"/>
      <c r="ES64" s="127"/>
      <c r="ET64" s="127"/>
      <c r="EU64" s="127"/>
      <c r="EV64" s="37"/>
      <c r="EW64" s="37"/>
      <c r="EX64" s="37"/>
      <c r="EY64" s="37"/>
      <c r="EZ64" s="37"/>
      <c r="FA64" s="127"/>
      <c r="FE64" s="26">
        <f>FF64*$NT64</f>
        <v>0.63808535940779787</v>
      </c>
      <c r="FF64" s="115">
        <f>FB$21*$AN64/$C64</f>
        <v>0.91155051343971127</v>
      </c>
      <c r="FG64" s="55"/>
      <c r="FH64" s="115">
        <f>FF64/$OD64</f>
        <v>11.39438141799639</v>
      </c>
      <c r="FI64" s="335"/>
      <c r="FJ64" s="335"/>
      <c r="FK64" s="127"/>
      <c r="FL64" s="26"/>
      <c r="FR64" s="127"/>
      <c r="FS64" s="26">
        <f>FT64*$NT64</f>
        <v>0.82404853047054882</v>
      </c>
      <c r="FT64" s="115">
        <f>FC$21*$AN64/$C64</f>
        <v>1.1772121863864984</v>
      </c>
      <c r="FU64" s="55"/>
      <c r="FV64" s="115">
        <f>FT64/$OD64</f>
        <v>14.715152329831229</v>
      </c>
      <c r="FW64" s="335"/>
      <c r="FX64" s="335"/>
      <c r="FY64" s="127"/>
      <c r="FZ64" s="26"/>
      <c r="GF64" s="127"/>
      <c r="GG64" s="26">
        <f>GH64*$NT64</f>
        <v>0.42966286816838606</v>
      </c>
      <c r="GH64" s="115">
        <f>FD$21*$AN64/$C64</f>
        <v>0.61380409738340869</v>
      </c>
      <c r="GI64" s="55"/>
      <c r="GJ64" s="115">
        <f>GH64/$OD64</f>
        <v>7.6725512172926082</v>
      </c>
      <c r="GK64" s="335"/>
      <c r="GL64" s="335"/>
      <c r="GM64" s="127"/>
      <c r="GN64" s="26"/>
      <c r="GT64" s="127"/>
      <c r="GU64" s="127"/>
      <c r="GV64" s="127"/>
      <c r="GW64" s="127"/>
      <c r="GX64" s="127"/>
      <c r="GY64" s="26">
        <f>GZ64*$NT64</f>
        <v>0.10504078743815781</v>
      </c>
      <c r="GZ64" s="330">
        <f>$AN64*GU$21/C64</f>
        <v>0.15005826776879688</v>
      </c>
      <c r="HA64" s="73"/>
      <c r="HB64" s="115">
        <f>GZ64/$OD64</f>
        <v>1.8757283471099611</v>
      </c>
      <c r="HD64" s="74"/>
      <c r="HE64" s="127"/>
      <c r="HF64" s="127"/>
      <c r="HG64" s="127"/>
      <c r="HH64" s="127"/>
      <c r="HI64" s="127"/>
      <c r="HJ64" s="127"/>
      <c r="HK64" s="127"/>
      <c r="HL64" s="127"/>
      <c r="HM64" s="115">
        <f>HN64*$NT64</f>
        <v>7.4095523047934042E-2</v>
      </c>
      <c r="HN64" s="127">
        <f>$AN64*GV$21/C64</f>
        <v>0.10585074721133436</v>
      </c>
      <c r="HO64" s="73"/>
      <c r="HP64" s="115">
        <f>HN64/$OD64</f>
        <v>1.3231343401416795</v>
      </c>
      <c r="HS64" s="127"/>
      <c r="HT64" s="127"/>
      <c r="HU64" s="127"/>
      <c r="HV64" s="127"/>
      <c r="HW64" s="127"/>
      <c r="HX64" s="127"/>
      <c r="HY64" s="127"/>
      <c r="HZ64" s="127"/>
      <c r="IA64" s="115">
        <f>IB64*$NT64</f>
        <v>0.13972340260014771</v>
      </c>
      <c r="IB64" s="127">
        <f>$AN64*GW$21/C64</f>
        <v>0.19960486085735388</v>
      </c>
      <c r="IC64" s="73"/>
      <c r="ID64" s="115">
        <f>IB64/$OD64</f>
        <v>2.4950607607169233</v>
      </c>
      <c r="IE64" s="133"/>
      <c r="IG64" s="127"/>
      <c r="IH64" s="127"/>
      <c r="II64" s="127"/>
      <c r="IJ64" s="127"/>
      <c r="IK64" s="127"/>
      <c r="IL64" s="127"/>
      <c r="IM64" s="127"/>
      <c r="IN64" s="127"/>
      <c r="IO64" s="431"/>
      <c r="IP64" s="431"/>
      <c r="IQ64" s="431"/>
      <c r="IR64" s="431"/>
      <c r="IS64" s="431"/>
      <c r="IT64" s="431"/>
      <c r="IU64" s="431"/>
      <c r="IV64" s="335">
        <f>IW64*$NT64</f>
        <v>0.17298732630544447</v>
      </c>
      <c r="IW64" s="330">
        <f>AN64*JK62*C63/C64</f>
        <v>0.24712475186492069</v>
      </c>
      <c r="IX64" s="73"/>
      <c r="IY64" s="115">
        <f>IW64/$OD64</f>
        <v>3.0890593983115084</v>
      </c>
      <c r="IZ64" s="73"/>
      <c r="JA64" s="115"/>
      <c r="JB64" s="115">
        <f>$IW64*JM62/$JK62</f>
        <v>0.14178523164745549</v>
      </c>
      <c r="JC64" s="115">
        <f>$IW64*JN62/$JK62</f>
        <v>0.10533952021746518</v>
      </c>
      <c r="JD64" s="115">
        <f>$IW64*JO62/$JK62</f>
        <v>0</v>
      </c>
      <c r="KJ64" s="115">
        <f>BW64*44/12+$IW64+$GZ64</f>
        <v>1.9490684906297111</v>
      </c>
      <c r="KK64" s="74"/>
      <c r="KL64" s="74"/>
      <c r="KM64" s="143">
        <f>KJ64/$OD64</f>
        <v>24.363356132871388</v>
      </c>
      <c r="KN64" s="73"/>
      <c r="KO64" s="74"/>
      <c r="KP64" s="74"/>
      <c r="KQ64" s="74"/>
      <c r="KR64" s="74"/>
      <c r="KS64" s="73"/>
      <c r="KT64" s="115">
        <f>CK64*44/12+$IW64+$HN64</f>
        <v>2.5536108821543348</v>
      </c>
      <c r="KW64" s="143">
        <f>KT64/$OD64</f>
        <v>31.920136026929185</v>
      </c>
      <c r="KX64" s="73"/>
      <c r="LC64" s="73"/>
      <c r="LD64" s="115">
        <f>CY64*44/12+$IW64+$IB64</f>
        <v>1.2715137329789261</v>
      </c>
      <c r="LG64" s="143">
        <f>LD64/$OD64</f>
        <v>15.893921662236576</v>
      </c>
      <c r="LH64" s="73"/>
      <c r="LM64" s="73"/>
      <c r="LN64" s="115">
        <f>DM64*44/12+$IW64+$GZ64</f>
        <v>2.0644704531476008</v>
      </c>
      <c r="LQ64" s="143">
        <f>LN64/$OD64</f>
        <v>25.805880664345011</v>
      </c>
      <c r="LR64" s="73"/>
      <c r="LW64" s="73"/>
      <c r="LX64" s="115">
        <f>EA64*44/12+$IW64+$HN64</f>
        <v>2.506176068878168</v>
      </c>
      <c r="MA64" s="143">
        <f>LX64/$OD64</f>
        <v>31.327200860977101</v>
      </c>
      <c r="MB64" s="127"/>
      <c r="MG64" s="127"/>
      <c r="MH64" s="115">
        <f>EO64*44/12+$IW64+$IB64</f>
        <v>138.16641909754941</v>
      </c>
      <c r="MK64" s="143">
        <f>MH64/$OD64</f>
        <v>1727.0802387193676</v>
      </c>
      <c r="ML64" s="127"/>
      <c r="MM64" s="127"/>
      <c r="MN64" s="127"/>
      <c r="MO64" s="127"/>
      <c r="MP64" s="127"/>
      <c r="MQ64" s="127"/>
      <c r="MW64" s="127"/>
      <c r="MX64" s="127"/>
      <c r="MY64" s="127"/>
      <c r="MZ64" s="127"/>
      <c r="NA64" s="127"/>
      <c r="NB64" s="127"/>
      <c r="NC64" s="127"/>
      <c r="ND64" s="127"/>
      <c r="NE64" s="127"/>
      <c r="NF64" s="127"/>
      <c r="NG64" s="127"/>
      <c r="NH64" s="127"/>
      <c r="NI64" s="127"/>
      <c r="NJ64" s="127"/>
      <c r="NK64" s="127"/>
      <c r="NL64" s="127"/>
      <c r="NM64" s="127"/>
      <c r="NN64" s="127"/>
      <c r="NO64" s="127"/>
      <c r="NP64" s="127"/>
      <c r="NQ64" s="127"/>
      <c r="NT64" s="31">
        <v>0.7</v>
      </c>
      <c r="NU64" s="31"/>
      <c r="NV64" s="32">
        <f t="shared" ref="NV64" si="17">$NT64*NW64</f>
        <v>11.2</v>
      </c>
      <c r="NW64" s="43">
        <v>16</v>
      </c>
      <c r="NX64" s="43"/>
      <c r="NY64" s="43"/>
      <c r="NZ64" s="43"/>
      <c r="OA64" s="32"/>
      <c r="OB64" s="43"/>
      <c r="OC64" s="38">
        <f t="shared" ref="OC64" si="18">$NT64*OD64</f>
        <v>5.5999999999999994E-2</v>
      </c>
      <c r="OD64" s="35">
        <v>0.08</v>
      </c>
      <c r="OE64" s="38">
        <f t="shared" ref="OE64" si="19">$NT64*OF64</f>
        <v>3.4999999999999996E-3</v>
      </c>
      <c r="OF64" s="35">
        <v>5.0000000000000001E-3</v>
      </c>
    </row>
    <row r="65" spans="1:494" x14ac:dyDescent="0.25">
      <c r="A65" s="37" t="s">
        <v>219</v>
      </c>
      <c r="B65" s="52"/>
      <c r="C65" s="69">
        <f>1-C63-C64</f>
        <v>0.59000000000000008</v>
      </c>
      <c r="V65" s="55"/>
      <c r="W65" s="55"/>
      <c r="X65" s="73"/>
      <c r="Y65" s="26"/>
      <c r="Z65" s="26"/>
      <c r="AA65" s="26"/>
      <c r="AB65" s="26"/>
      <c r="AE65" s="115"/>
      <c r="AF65" s="115"/>
      <c r="AG65" s="115"/>
      <c r="AH65" s="115"/>
      <c r="AI65" s="115"/>
      <c r="AJ65" s="115"/>
      <c r="AK65" s="722"/>
      <c r="AL65" s="74"/>
      <c r="AN65" s="40">
        <f>1-AN63-AN64</f>
        <v>0</v>
      </c>
      <c r="AO65" s="115"/>
      <c r="AP65" s="115"/>
      <c r="AQ65" s="115"/>
      <c r="AR65" s="115"/>
      <c r="AS65" s="115"/>
      <c r="AT65" s="115"/>
      <c r="AU65" s="115"/>
      <c r="AV65" s="115"/>
      <c r="AW65" s="115"/>
      <c r="AX65" s="115"/>
      <c r="AY65" s="115"/>
      <c r="AZ65" s="115"/>
      <c r="BA65" s="115"/>
      <c r="BB65" s="115"/>
      <c r="BC65" s="115"/>
      <c r="BD65" s="115"/>
      <c r="BE65" s="115"/>
      <c r="BF65" s="115"/>
      <c r="BG65" s="115"/>
      <c r="BH65" s="115"/>
      <c r="BI65" s="115"/>
      <c r="BJ65" s="115"/>
      <c r="BK65" s="115"/>
      <c r="BL65" s="115"/>
      <c r="BM65" s="115"/>
      <c r="BN65" s="115"/>
      <c r="BO65" s="115"/>
      <c r="BP65" s="115"/>
      <c r="BQ65" s="115"/>
      <c r="BR65" s="115"/>
      <c r="BS65" s="115"/>
      <c r="BT65" s="115"/>
      <c r="BU65" s="115"/>
      <c r="BW65" s="115"/>
      <c r="CA65" s="74"/>
      <c r="CB65" s="74"/>
      <c r="CC65" s="74"/>
      <c r="CD65" s="115"/>
      <c r="CE65" s="115"/>
      <c r="CF65" s="115"/>
      <c r="CG65" s="115"/>
      <c r="CH65" s="115"/>
      <c r="CI65" s="74"/>
      <c r="CK65" s="115"/>
      <c r="CX65" s="37"/>
      <c r="CY65" s="115"/>
      <c r="CZ65" s="37"/>
      <c r="DA65" s="37"/>
      <c r="DB65" s="37"/>
      <c r="DF65" s="115"/>
      <c r="DG65" s="115"/>
      <c r="DH65" s="115"/>
      <c r="DI65" s="115"/>
      <c r="DJ65" s="115"/>
      <c r="DL65" s="37"/>
      <c r="DM65" s="115"/>
      <c r="DN65" s="37"/>
      <c r="DO65" s="37"/>
      <c r="DP65" s="37"/>
      <c r="DT65" s="37"/>
      <c r="DU65" s="37"/>
      <c r="DV65" s="37"/>
      <c r="DW65" s="37"/>
      <c r="DX65" s="37"/>
      <c r="EA65" s="115"/>
      <c r="EN65" s="37"/>
      <c r="EO65" s="115"/>
      <c r="EP65" s="37"/>
      <c r="EQ65" s="37"/>
      <c r="ER65" s="37"/>
      <c r="EV65" s="37"/>
      <c r="EW65" s="37"/>
      <c r="EX65" s="37"/>
      <c r="EY65" s="37"/>
      <c r="EZ65" s="37"/>
      <c r="FF65" s="115"/>
      <c r="FH65" s="74"/>
      <c r="FK65" s="74"/>
      <c r="FR65" s="74"/>
      <c r="FT65" s="115"/>
      <c r="FZ65" s="37"/>
      <c r="GH65" s="115"/>
      <c r="GJ65" s="74"/>
      <c r="GM65" s="74"/>
      <c r="GT65" s="74"/>
      <c r="GU65" s="74"/>
      <c r="GV65" s="74"/>
      <c r="GW65" s="74"/>
      <c r="GX65" s="74"/>
      <c r="HB65" s="74"/>
      <c r="HD65" s="74"/>
      <c r="HE65" s="74"/>
      <c r="HF65" s="74"/>
      <c r="HG65" s="74"/>
      <c r="HH65" s="74"/>
      <c r="HI65" s="74"/>
      <c r="HJ65" s="74"/>
      <c r="HK65" s="74"/>
      <c r="HL65" s="74"/>
      <c r="IA65" s="133"/>
      <c r="IB65" s="133"/>
      <c r="IC65" s="133"/>
      <c r="IE65" s="133"/>
      <c r="IO65" s="97"/>
      <c r="IP65" s="97"/>
      <c r="IQ65" s="97"/>
      <c r="IR65" s="97"/>
      <c r="IS65" s="97"/>
      <c r="IT65" s="97"/>
      <c r="IU65" s="97"/>
      <c r="NT65" s="31"/>
      <c r="NU65" s="31"/>
      <c r="NV65" s="32"/>
      <c r="NW65" s="43"/>
      <c r="NX65" s="43"/>
      <c r="NY65" s="43"/>
      <c r="NZ65" s="43"/>
      <c r="OA65" s="32"/>
      <c r="OB65" s="43"/>
      <c r="OC65" s="38"/>
      <c r="OD65" s="35"/>
      <c r="OE65" s="38"/>
      <c r="OF65" s="35"/>
    </row>
    <row r="66" spans="1:494" x14ac:dyDescent="0.25">
      <c r="A66" s="9"/>
      <c r="AE66" s="115"/>
      <c r="AF66" s="115"/>
      <c r="AG66" s="115"/>
      <c r="AH66" s="115"/>
      <c r="AI66" s="115"/>
      <c r="AJ66" s="115"/>
      <c r="AL66" s="74"/>
      <c r="AO66" s="115"/>
      <c r="AP66" s="115"/>
      <c r="AQ66" s="115"/>
      <c r="AR66" s="115"/>
      <c r="AS66" s="115"/>
      <c r="AT66" s="115"/>
      <c r="AU66" s="115"/>
      <c r="AV66" s="115"/>
      <c r="AW66" s="115"/>
      <c r="AX66" s="115"/>
      <c r="AY66" s="115"/>
      <c r="AZ66" s="115"/>
      <c r="BA66" s="115"/>
      <c r="BB66" s="115"/>
      <c r="BC66" s="115"/>
      <c r="BD66" s="115"/>
      <c r="BE66" s="115"/>
      <c r="BF66" s="115"/>
      <c r="BG66" s="115"/>
      <c r="BH66" s="115"/>
      <c r="BI66" s="115"/>
      <c r="BJ66" s="115"/>
      <c r="BK66" s="115"/>
      <c r="BL66" s="115"/>
      <c r="BM66" s="115"/>
      <c r="BN66" s="115"/>
      <c r="BO66" s="115"/>
      <c r="BP66" s="115"/>
      <c r="BQ66" s="115"/>
      <c r="BR66" s="115"/>
      <c r="BS66" s="115"/>
      <c r="BT66" s="115"/>
      <c r="BU66" s="115"/>
      <c r="BW66" s="115"/>
      <c r="CA66" s="74"/>
      <c r="CB66" s="74"/>
      <c r="CC66" s="74"/>
      <c r="CD66" s="115"/>
      <c r="CE66" s="115"/>
      <c r="CF66" s="115"/>
      <c r="CG66" s="115"/>
      <c r="CH66" s="115"/>
      <c r="CI66" s="74"/>
      <c r="CK66" s="115"/>
      <c r="CX66" s="37"/>
      <c r="CY66" s="115"/>
      <c r="CZ66" s="37"/>
      <c r="DA66" s="37"/>
      <c r="DB66" s="37"/>
      <c r="DF66" s="115"/>
      <c r="DG66" s="115"/>
      <c r="DH66" s="115"/>
      <c r="DI66" s="115"/>
      <c r="DJ66" s="115"/>
      <c r="DL66" s="37"/>
      <c r="DM66" s="115"/>
      <c r="DN66" s="37"/>
      <c r="DO66" s="37"/>
      <c r="DP66" s="37"/>
      <c r="DT66" s="37"/>
      <c r="DU66" s="37"/>
      <c r="DV66" s="37"/>
      <c r="DW66" s="37"/>
      <c r="DX66" s="37"/>
      <c r="EA66" s="115"/>
      <c r="EN66" s="37"/>
      <c r="EO66" s="115"/>
      <c r="EP66" s="37"/>
      <c r="EQ66" s="37"/>
      <c r="ER66" s="37"/>
      <c r="EV66" s="37"/>
      <c r="EW66" s="37"/>
      <c r="EX66" s="37"/>
      <c r="EY66" s="37"/>
      <c r="EZ66" s="37"/>
      <c r="FF66" s="115"/>
      <c r="FH66" s="74"/>
      <c r="FK66" s="74"/>
      <c r="FR66" s="74"/>
      <c r="FT66" s="115"/>
      <c r="FZ66" s="37"/>
      <c r="GH66" s="115"/>
      <c r="GJ66" s="74"/>
      <c r="GM66" s="74"/>
      <c r="GT66" s="74"/>
      <c r="GU66" s="74"/>
      <c r="GV66" s="74"/>
      <c r="GW66" s="74"/>
      <c r="GX66" s="74"/>
      <c r="HB66" s="74"/>
      <c r="HD66" s="74"/>
      <c r="HE66" s="74"/>
      <c r="HF66" s="74"/>
      <c r="HG66" s="74"/>
      <c r="HH66" s="74"/>
      <c r="HI66" s="74"/>
      <c r="HJ66" s="74"/>
      <c r="HK66" s="74"/>
      <c r="HL66" s="74"/>
      <c r="IA66" s="133"/>
      <c r="IB66" s="133"/>
      <c r="IC66" s="133"/>
      <c r="IE66" s="133"/>
      <c r="IO66" s="595"/>
      <c r="IP66" s="595"/>
      <c r="IQ66" s="595"/>
      <c r="IR66" s="595"/>
      <c r="IS66" s="595"/>
      <c r="IT66" s="595"/>
      <c r="IU66" s="595"/>
      <c r="OB66" s="26"/>
    </row>
    <row r="67" spans="1:494" x14ac:dyDescent="0.25">
      <c r="A67" s="9" t="s">
        <v>177</v>
      </c>
      <c r="AE67" s="115"/>
      <c r="AF67" s="115"/>
      <c r="AG67" s="115"/>
      <c r="AH67" s="115"/>
      <c r="AI67" s="115"/>
      <c r="AJ67" s="115"/>
      <c r="AL67" s="74"/>
      <c r="AO67" s="115"/>
      <c r="AP67" s="115"/>
      <c r="AQ67" s="115"/>
      <c r="AR67" s="115"/>
      <c r="AS67" s="115"/>
      <c r="AT67" s="115"/>
      <c r="AU67" s="115"/>
      <c r="AV67" s="115"/>
      <c r="AW67" s="115"/>
      <c r="AX67" s="115"/>
      <c r="AY67" s="115"/>
      <c r="AZ67" s="115"/>
      <c r="BA67" s="115"/>
      <c r="BB67" s="115"/>
      <c r="BC67" s="115"/>
      <c r="BD67" s="115"/>
      <c r="BE67" s="115"/>
      <c r="BF67" s="115"/>
      <c r="BG67" s="115"/>
      <c r="BH67" s="115"/>
      <c r="BI67" s="115"/>
      <c r="BJ67" s="115"/>
      <c r="BK67" s="115"/>
      <c r="BL67" s="115"/>
      <c r="BM67" s="115"/>
      <c r="BN67" s="115"/>
      <c r="BO67" s="115"/>
      <c r="BP67" s="115"/>
      <c r="BQ67" s="115"/>
      <c r="BR67" s="115"/>
      <c r="BS67" s="115"/>
      <c r="BT67" s="115"/>
      <c r="BU67" s="115"/>
      <c r="BW67" s="115"/>
      <c r="CA67" s="74"/>
      <c r="CB67" s="74"/>
      <c r="CC67" s="74"/>
      <c r="CD67" s="115"/>
      <c r="CE67" s="115"/>
      <c r="CF67" s="115"/>
      <c r="CG67" s="115"/>
      <c r="CH67" s="115"/>
      <c r="CI67" s="74"/>
      <c r="CK67" s="115"/>
      <c r="CX67" s="37"/>
      <c r="CY67" s="115"/>
      <c r="CZ67" s="37"/>
      <c r="DA67" s="37"/>
      <c r="DB67" s="37"/>
      <c r="DF67" s="115"/>
      <c r="DG67" s="115"/>
      <c r="DH67" s="115"/>
      <c r="DI67" s="115"/>
      <c r="DJ67" s="115"/>
      <c r="DL67" s="37"/>
      <c r="DM67" s="115"/>
      <c r="DN67" s="37"/>
      <c r="DO67" s="37"/>
      <c r="DP67" s="37"/>
      <c r="DT67" s="37"/>
      <c r="DU67" s="37"/>
      <c r="DV67" s="37"/>
      <c r="DW67" s="37"/>
      <c r="DX67" s="37"/>
      <c r="EA67" s="115"/>
      <c r="EN67" s="37"/>
      <c r="EO67" s="115"/>
      <c r="EP67" s="37"/>
      <c r="EQ67" s="37"/>
      <c r="ER67" s="37"/>
      <c r="EV67" s="37"/>
      <c r="EW67" s="37"/>
      <c r="EX67" s="37"/>
      <c r="EY67" s="37"/>
      <c r="EZ67" s="37"/>
      <c r="FF67" s="115"/>
      <c r="FH67" s="74"/>
      <c r="FK67" s="74"/>
      <c r="FR67" s="74"/>
      <c r="FT67" s="115"/>
      <c r="FZ67" s="37"/>
      <c r="GH67" s="115"/>
      <c r="GJ67" s="74"/>
      <c r="GM67" s="74"/>
      <c r="GT67" s="74"/>
      <c r="GU67" s="74"/>
      <c r="GV67" s="74"/>
      <c r="GW67" s="74"/>
      <c r="GX67" s="74"/>
      <c r="HB67" s="74"/>
      <c r="HD67" s="74"/>
      <c r="HE67" s="74"/>
      <c r="HF67" s="74"/>
      <c r="HG67" s="74"/>
      <c r="HH67" s="74"/>
      <c r="HI67" s="74"/>
      <c r="HJ67" s="74"/>
      <c r="HK67" s="74"/>
      <c r="HL67" s="74"/>
      <c r="IA67" s="133"/>
      <c r="IB67" s="133"/>
      <c r="IC67" s="133"/>
      <c r="IE67" s="133"/>
      <c r="IO67" s="68">
        <f>IP67+IQ67+IR67+IS67+IT67+IU67</f>
        <v>14.400227815757576</v>
      </c>
      <c r="IP67" s="97">
        <f>JS67*$W68</f>
        <v>7.7298830157570908</v>
      </c>
      <c r="IQ67" s="97">
        <f>JU67*$W68</f>
        <v>6.6703448000004855</v>
      </c>
      <c r="IR67" s="97">
        <f>JX67*$W68</f>
        <v>0</v>
      </c>
      <c r="IS67" s="97">
        <f>KB67*$W68</f>
        <v>0</v>
      </c>
      <c r="IT67" s="97">
        <f>KF67*$W68</f>
        <v>0</v>
      </c>
      <c r="IU67" s="97">
        <f>KH67*$W68</f>
        <v>0</v>
      </c>
      <c r="JK67" s="115">
        <f>JM67+JN67+JO67</f>
        <v>0.45000711924242426</v>
      </c>
      <c r="JM67" s="179">
        <f>JS67+KB67</f>
        <v>0.24155884424240909</v>
      </c>
      <c r="JN67" s="179">
        <f>JU67+KF67</f>
        <v>0.20844827500001517</v>
      </c>
      <c r="JO67" s="179">
        <f>JX67+KH67</f>
        <v>0</v>
      </c>
      <c r="JQ67" s="127">
        <f>JS67+JU67+JX67</f>
        <v>0.45000711924242426</v>
      </c>
      <c r="JS67" s="172">
        <f>'Crops; pasture DISCOUNTED'!KF35/$C68</f>
        <v>0.24155884424240909</v>
      </c>
      <c r="JU67" s="172">
        <f>'Crops; pasture DISCOUNTED'!KD35/$C68</f>
        <v>0.20844827500001517</v>
      </c>
      <c r="KD67" s="74"/>
      <c r="KE67" s="74"/>
      <c r="KF67" s="74"/>
      <c r="KG67" s="74"/>
      <c r="KH67" s="74"/>
      <c r="KI67" s="74"/>
      <c r="OB67" s="26"/>
    </row>
    <row r="68" spans="1:494" x14ac:dyDescent="0.25">
      <c r="A68" s="37" t="s">
        <v>178</v>
      </c>
      <c r="B68" s="52">
        <f>C68*NT22/NT68</f>
        <v>0.13200000000000001</v>
      </c>
      <c r="C68" s="39">
        <v>0.55000000000000004</v>
      </c>
      <c r="D68" s="722">
        <f>C68*NW68/NW22</f>
        <v>0.56617647058823528</v>
      </c>
      <c r="E68" s="104"/>
      <c r="F68" s="104"/>
      <c r="G68" s="104"/>
      <c r="H68" s="104"/>
      <c r="I68" s="104"/>
      <c r="J68" s="104"/>
      <c r="K68" s="104"/>
      <c r="L68" s="104"/>
      <c r="M68" s="104"/>
      <c r="N68" s="69"/>
      <c r="V68" s="55">
        <f>W68/NT68</f>
        <v>32</v>
      </c>
      <c r="W68" s="112">
        <v>32</v>
      </c>
      <c r="X68" s="295"/>
      <c r="Y68" s="26">
        <f>W68*NW68/10^3</f>
        <v>0.56000000000000005</v>
      </c>
      <c r="Z68" s="26">
        <f>W68*OB68/10^3</f>
        <v>0.51839999999999997</v>
      </c>
      <c r="AA68" s="26"/>
      <c r="AB68" s="26"/>
      <c r="AE68" s="115">
        <f>AB$22*$AN68/$C68</f>
        <v>1.0237863575946171</v>
      </c>
      <c r="AF68" s="115"/>
      <c r="AG68" s="115">
        <f>AC$22*$AN68/$C68</f>
        <v>1.0966602621707355</v>
      </c>
      <c r="AH68" s="115"/>
      <c r="AI68" s="115">
        <f>AD$22*$AN68/$C68</f>
        <v>0.84283960078492925</v>
      </c>
      <c r="AJ68" s="115"/>
      <c r="AK68" s="722">
        <f>Y68/(Y68+Y69+Y70)</f>
        <v>0.62970232253843639</v>
      </c>
      <c r="AL68" s="164">
        <v>0.6</v>
      </c>
      <c r="AM68" s="104">
        <f>V68*AL68/(V68*AL68+V69*AL69+V70*AL70)</f>
        <v>0.79900076863950809</v>
      </c>
      <c r="AN68" s="40">
        <f t="shared" ref="AN68:AN70" si="20">AK68</f>
        <v>0.62970232253843639</v>
      </c>
      <c r="AO68" s="115"/>
      <c r="AP68" s="115"/>
      <c r="AQ68" s="115"/>
      <c r="AR68" s="115"/>
      <c r="AS68" s="115"/>
      <c r="AT68" s="115"/>
      <c r="AU68" s="115"/>
      <c r="AV68" s="115"/>
      <c r="AW68" s="115"/>
      <c r="AX68" s="115"/>
      <c r="AY68" s="115"/>
      <c r="AZ68" s="115"/>
      <c r="BA68" s="115"/>
      <c r="BB68" s="115"/>
      <c r="BC68" s="115"/>
      <c r="BD68" s="115"/>
      <c r="BE68" s="115"/>
      <c r="BF68" s="115"/>
      <c r="BG68" s="115"/>
      <c r="BH68" s="115"/>
      <c r="BI68" s="115"/>
      <c r="BJ68" s="115"/>
      <c r="BK68" s="115"/>
      <c r="BL68" s="115"/>
      <c r="BM68" s="115"/>
      <c r="BN68" s="115"/>
      <c r="BO68" s="115"/>
      <c r="BP68" s="115"/>
      <c r="BQ68" s="115"/>
      <c r="BR68" s="115"/>
      <c r="BS68" s="115"/>
      <c r="BT68" s="115"/>
      <c r="BU68" s="115"/>
      <c r="BV68" s="26">
        <f>BW68*$NT68</f>
        <v>0.22680912096590727</v>
      </c>
      <c r="BW68" s="127">
        <f>BP$22*$AN68/$C68</f>
        <v>0.22680912096590727</v>
      </c>
      <c r="BX68" s="685">
        <f>10^3*BW68/$OB68</f>
        <v>14.000563022586871</v>
      </c>
      <c r="BZ68" s="115">
        <f>10^3*BW68/$NW68</f>
        <v>12.960521198051845</v>
      </c>
      <c r="CA68" s="115"/>
      <c r="CB68" s="115"/>
      <c r="CC68" s="115"/>
      <c r="CD68" s="115"/>
      <c r="CE68" s="115"/>
      <c r="CF68" s="115"/>
      <c r="CG68" s="115"/>
      <c r="CH68" s="115"/>
      <c r="CI68" s="115"/>
      <c r="CJ68" s="26">
        <f>CK68*$NT68</f>
        <v>0.26437479534709035</v>
      </c>
      <c r="CK68" s="115">
        <f>BQ$22*$AN68/$C68</f>
        <v>0.26437479534709035</v>
      </c>
      <c r="CL68" s="685">
        <f>10^3*CK68/$OB68</f>
        <v>16.319431811548789</v>
      </c>
      <c r="CN68" s="115">
        <f>10^3*CK68/$NW68</f>
        <v>15.107131162690877</v>
      </c>
      <c r="CO68" s="115"/>
      <c r="CP68" s="115"/>
      <c r="CQ68" s="115"/>
      <c r="CW68" s="115"/>
      <c r="CX68" s="26">
        <f>CY68*$NT68</f>
        <v>0.13353311241137977</v>
      </c>
      <c r="CY68" s="115">
        <f>BR$22*$AN68/$C68</f>
        <v>0.13353311241137977</v>
      </c>
      <c r="CZ68" s="685">
        <f>10^3*CY68/$OB68</f>
        <v>8.2427847167518369</v>
      </c>
      <c r="DA68" s="37"/>
      <c r="DB68" s="115">
        <f>10^3*CY68/$NW68</f>
        <v>7.6304635663645577</v>
      </c>
      <c r="DC68" s="115"/>
      <c r="DD68" s="115"/>
      <c r="DE68" s="115"/>
      <c r="DF68" s="115"/>
      <c r="DG68" s="115"/>
      <c r="DH68" s="115"/>
      <c r="DI68" s="115"/>
      <c r="DJ68" s="115"/>
      <c r="DK68" s="115"/>
      <c r="DL68" s="26">
        <f>DM68*$NT68</f>
        <v>0.26620579150213508</v>
      </c>
      <c r="DM68" s="115">
        <f>BS$22*$AN68/$C68</f>
        <v>0.26620579150213508</v>
      </c>
      <c r="DN68" s="685">
        <f>10^3*DM68/$OB68</f>
        <v>16.432456265563893</v>
      </c>
      <c r="DO68" s="37"/>
      <c r="DP68" s="115">
        <f>10^3*DM68/$NW68</f>
        <v>15.211759514407719</v>
      </c>
      <c r="DQ68" s="115"/>
      <c r="DR68" s="115"/>
      <c r="DS68" s="115"/>
      <c r="DT68" s="37"/>
      <c r="DU68" s="37"/>
      <c r="DV68" s="37"/>
      <c r="DW68" s="37"/>
      <c r="DX68" s="37"/>
      <c r="DY68" s="115"/>
      <c r="DZ68" s="26">
        <f>EA68*$NT68</f>
        <v>0.30416217490612391</v>
      </c>
      <c r="EA68" s="115">
        <f>BT$22*$AN68/$C68</f>
        <v>0.30416217490612391</v>
      </c>
      <c r="EB68" s="685">
        <f>10^3*EA68/$OB68</f>
        <v>18.775442895439745</v>
      </c>
      <c r="ED68" s="115">
        <f>10^3*EA68/$NW68</f>
        <v>17.380695708921365</v>
      </c>
      <c r="EE68" s="115"/>
      <c r="EF68" s="115"/>
      <c r="EG68" s="115"/>
      <c r="EM68" s="115"/>
      <c r="EN68" s="26">
        <f>EO68*$NT68</f>
        <v>11.952894995093228</v>
      </c>
      <c r="EO68" s="115">
        <f>BU$22*$AN68/$C68</f>
        <v>11.952894995093228</v>
      </c>
      <c r="EP68" s="685">
        <f>10^3*EO68/$OB68</f>
        <v>737.8330243884709</v>
      </c>
      <c r="EQ68" s="37"/>
      <c r="ER68" s="115">
        <f>10^3*EO68/$NW68</f>
        <v>683.0225711481844</v>
      </c>
      <c r="ES68" s="115"/>
      <c r="ET68" s="115"/>
      <c r="EU68" s="115"/>
      <c r="EV68" s="37"/>
      <c r="EW68" s="37"/>
      <c r="EX68" s="37"/>
      <c r="EY68" s="37"/>
      <c r="EZ68" s="37"/>
      <c r="FA68" s="115"/>
      <c r="FE68" s="26">
        <f>FF68*$NT68</f>
        <v>0.53365329247054694</v>
      </c>
      <c r="FF68" s="115">
        <f>FB$22*$AN68/$C68</f>
        <v>0.53365329247054694</v>
      </c>
      <c r="FG68" s="272">
        <f>10^3*FF68/$OB68</f>
        <v>32.941561263614012</v>
      </c>
      <c r="FH68" s="115"/>
      <c r="FI68" s="115">
        <f>10^3*FF68/$NW68</f>
        <v>30.494473855459827</v>
      </c>
      <c r="FJ68" s="115"/>
      <c r="FK68" s="115"/>
      <c r="FL68" s="26"/>
      <c r="FR68" s="115"/>
      <c r="FS68" s="26">
        <f>FT68*$NT68</f>
        <v>0.60974310576692892</v>
      </c>
      <c r="FT68" s="115">
        <f>FC$22*$AN68/$C68</f>
        <v>0.60974310576692892</v>
      </c>
      <c r="FU68" s="272">
        <f>10^3*FT68/$OB68</f>
        <v>37.638463318946229</v>
      </c>
      <c r="FV68" s="115"/>
      <c r="FW68" s="115">
        <f>10^3*FT68/$NW68</f>
        <v>34.842463186681655</v>
      </c>
      <c r="FX68" s="115"/>
      <c r="FY68" s="115"/>
      <c r="FZ68" s="26"/>
      <c r="GF68" s="115"/>
      <c r="GG68" s="26">
        <f>GH68*$NT68</f>
        <v>0.34472139672103602</v>
      </c>
      <c r="GH68" s="115">
        <f>FD$22*$AN68/$C68</f>
        <v>0.34472139672103602</v>
      </c>
      <c r="GI68" s="272">
        <f>10^3*GH68/$OB68</f>
        <v>21.279098563026913</v>
      </c>
      <c r="GJ68" s="115"/>
      <c r="GK68" s="115">
        <f>10^3*GH68/$NW68</f>
        <v>19.698365526916344</v>
      </c>
      <c r="GL68" s="115"/>
      <c r="GM68" s="115"/>
      <c r="GN68" s="26"/>
      <c r="GT68" s="115"/>
      <c r="GU68" s="115"/>
      <c r="GV68" s="115"/>
      <c r="GW68" s="115"/>
      <c r="GX68" s="115"/>
      <c r="GY68" s="26">
        <f>GZ68*$NT68</f>
        <v>5.9341413170144297E-2</v>
      </c>
      <c r="GZ68" s="127">
        <f>$AN68*GU$22/C68</f>
        <v>5.9341413170144297E-2</v>
      </c>
      <c r="HA68" s="673">
        <f>10^3*GZ68/$OB68</f>
        <v>3.6630501956879198</v>
      </c>
      <c r="HB68" s="74"/>
      <c r="HD68" s="74"/>
      <c r="HE68" s="115"/>
      <c r="HF68" s="115"/>
      <c r="HG68" s="115"/>
      <c r="HH68" s="115"/>
      <c r="HI68" s="115"/>
      <c r="HJ68" s="115"/>
      <c r="HK68" s="115"/>
      <c r="HL68" s="115"/>
      <c r="HM68" s="115">
        <f>HN68*$NT68</f>
        <v>7.3775040200431907E-2</v>
      </c>
      <c r="HN68" s="127">
        <f>$AN68*GV$22/C68</f>
        <v>7.3775040200431907E-2</v>
      </c>
      <c r="HO68" s="73">
        <f>10^3*HN68/$OB68</f>
        <v>4.5540148271871548</v>
      </c>
      <c r="HS68" s="115"/>
      <c r="HT68" s="115"/>
      <c r="HU68" s="115"/>
      <c r="HV68" s="115"/>
      <c r="HW68" s="115"/>
      <c r="HX68" s="115"/>
      <c r="HY68" s="115"/>
      <c r="HZ68" s="115"/>
      <c r="IA68" s="115">
        <f>IB68*$NT68</f>
        <v>2.3502548554303719E-2</v>
      </c>
      <c r="IB68" s="127">
        <f>$AN68*GW$22/C68</f>
        <v>2.3502548554303719E-2</v>
      </c>
      <c r="IC68" s="73">
        <f>10^3*IB68/$OB68</f>
        <v>1.4507746021175136</v>
      </c>
      <c r="IE68" s="133"/>
      <c r="IG68" s="115"/>
      <c r="IH68" s="115"/>
      <c r="II68" s="115"/>
      <c r="IJ68" s="115"/>
      <c r="IK68" s="115"/>
      <c r="IL68" s="115"/>
      <c r="IM68" s="115"/>
      <c r="IN68" s="115"/>
      <c r="IO68" s="431"/>
      <c r="IP68" s="431"/>
      <c r="IQ68" s="431"/>
      <c r="IR68" s="431"/>
      <c r="IS68" s="431"/>
      <c r="IT68" s="431"/>
      <c r="IU68" s="431"/>
      <c r="IV68" s="335">
        <f>IW68*$NT68</f>
        <v>0.28337052814578567</v>
      </c>
      <c r="IW68" s="127">
        <f>AN68*JK67</f>
        <v>0.28337052814578567</v>
      </c>
      <c r="IX68" s="673">
        <f>10^3*IW68/OB68</f>
        <v>17.492007910233685</v>
      </c>
      <c r="IZ68" s="73"/>
      <c r="JA68" s="115"/>
      <c r="JB68" s="115">
        <f>$IW68*JM67/$JK67</f>
        <v>0.15211016524914542</v>
      </c>
      <c r="JC68" s="115">
        <f>$IW68*JN67/$JK67</f>
        <v>0.13126036289664025</v>
      </c>
      <c r="JD68" s="115">
        <f>$IW68*JO67/$JK67</f>
        <v>0</v>
      </c>
      <c r="KJ68" s="115">
        <f>BW68*44/12+$IW68+$GZ68</f>
        <v>1.17434538485759</v>
      </c>
      <c r="KK68" s="74"/>
      <c r="KL68" s="677">
        <f>10^3*KJ68/$OB68</f>
        <v>72.490455855406793</v>
      </c>
      <c r="KM68" s="74"/>
      <c r="KN68" s="73"/>
      <c r="KO68" s="115"/>
      <c r="KP68" s="115"/>
      <c r="KQ68" s="115"/>
      <c r="KR68" s="115"/>
      <c r="KS68" s="73"/>
      <c r="KT68" s="115">
        <f>CK68*44/12+$IW68+$HN68</f>
        <v>1.3265198179522155</v>
      </c>
      <c r="KV68" s="677">
        <f>10^3*KT68/$OB68</f>
        <v>81.883939379766403</v>
      </c>
      <c r="KX68" s="73"/>
      <c r="KY68" s="115"/>
      <c r="KZ68" s="115"/>
      <c r="LA68" s="115"/>
      <c r="LB68" s="115"/>
      <c r="LC68" s="73"/>
      <c r="LD68" s="115">
        <f>CY68*44/12+$IW68+$IB68</f>
        <v>0.79649448887514862</v>
      </c>
      <c r="LF68" s="677">
        <f>10^3*LD68/$OB68</f>
        <v>49.166326473774603</v>
      </c>
      <c r="LH68" s="73"/>
      <c r="LI68" s="115"/>
      <c r="LJ68" s="115"/>
      <c r="LK68" s="115"/>
      <c r="LL68" s="115"/>
      <c r="LM68" s="73"/>
      <c r="LN68" s="115">
        <f>DM68*44/12+$IW68+$GZ68</f>
        <v>1.3187998434904253</v>
      </c>
      <c r="LP68" s="677">
        <f>10^3*LN68/$OB68</f>
        <v>81.407397746322545</v>
      </c>
      <c r="LR68" s="73"/>
      <c r="LW68" s="73"/>
      <c r="LX68" s="115">
        <f>EA68*44/12+$IW68+$HN68</f>
        <v>1.4724068763353384</v>
      </c>
      <c r="LZ68" s="677">
        <f>10^3*LX68/$OB68</f>
        <v>90.889313354033234</v>
      </c>
      <c r="MB68" s="73"/>
      <c r="MG68" s="73"/>
      <c r="MH68" s="115">
        <f>EO68*44/12+$IW68+$IB68</f>
        <v>44.134154725375268</v>
      </c>
      <c r="MJ68" s="677">
        <f>10^3*MH68/$OB68</f>
        <v>2724.3305386034117</v>
      </c>
      <c r="ML68" s="115"/>
      <c r="MM68" s="115"/>
      <c r="MN68" s="115"/>
      <c r="MO68" s="115"/>
      <c r="MP68" s="115"/>
      <c r="MQ68" s="115"/>
      <c r="MW68" s="115"/>
      <c r="MX68" s="115"/>
      <c r="MY68" s="115"/>
      <c r="MZ68" s="115"/>
      <c r="NA68" s="115"/>
      <c r="NB68" s="115"/>
      <c r="NC68" s="115"/>
      <c r="ND68" s="115"/>
      <c r="NE68" s="115"/>
      <c r="NF68" s="115"/>
      <c r="NG68" s="115"/>
      <c r="NH68" s="115"/>
      <c r="NI68" s="115"/>
      <c r="NJ68" s="115"/>
      <c r="NK68" s="115"/>
      <c r="NL68" s="115"/>
      <c r="NM68" s="115"/>
      <c r="NN68" s="115"/>
      <c r="NO68" s="115"/>
      <c r="NP68" s="115"/>
      <c r="NQ68" s="115"/>
      <c r="NT68" s="31">
        <v>1</v>
      </c>
      <c r="NU68" s="31"/>
      <c r="NV68" s="32">
        <f>$NT68*NW68</f>
        <v>17.5</v>
      </c>
      <c r="NW68" s="9">
        <v>17.5</v>
      </c>
      <c r="NX68" s="9"/>
      <c r="NY68" s="9"/>
      <c r="NZ68" s="9"/>
      <c r="OA68" s="32">
        <f>$NT68*OB68</f>
        <v>16.2</v>
      </c>
      <c r="OB68" s="43">
        <v>16.2</v>
      </c>
      <c r="OC68" s="38">
        <f>$NT68*OD68</f>
        <v>0</v>
      </c>
      <c r="OD68" s="31">
        <v>0</v>
      </c>
      <c r="OE68" s="38">
        <f>$NT68*OF68</f>
        <v>0</v>
      </c>
      <c r="OF68" s="31">
        <v>0</v>
      </c>
    </row>
    <row r="69" spans="1:494" x14ac:dyDescent="0.25">
      <c r="A69" s="37" t="s">
        <v>179</v>
      </c>
      <c r="B69" s="52">
        <f>C69*NT22/NT69</f>
        <v>4.6285714285714284E-2</v>
      </c>
      <c r="C69" s="45">
        <v>0.13500000000000001</v>
      </c>
      <c r="D69" s="722">
        <f>C69*NW69/NW22</f>
        <v>0.12705882352941178</v>
      </c>
      <c r="E69" s="104"/>
      <c r="F69" s="104"/>
      <c r="G69" s="104"/>
      <c r="H69" s="104"/>
      <c r="I69" s="104"/>
      <c r="J69" s="104"/>
      <c r="K69" s="104"/>
      <c r="L69" s="104"/>
      <c r="M69" s="104"/>
      <c r="N69" s="69"/>
      <c r="V69" s="55">
        <f>W69/NT69</f>
        <v>11.220779220779221</v>
      </c>
      <c r="W69" s="55">
        <f>C69/C68*W68</f>
        <v>7.8545454545454545</v>
      </c>
      <c r="X69" s="73"/>
      <c r="Y69" s="26">
        <f>W69*NW69/10^3</f>
        <v>0.12567272727272727</v>
      </c>
      <c r="Z69" s="26"/>
      <c r="AA69" s="26">
        <f>W69*OD69</f>
        <v>0.62836363636363635</v>
      </c>
      <c r="AB69" s="26"/>
      <c r="AE69" s="115">
        <f>AB$22*$AN69/$C69</f>
        <v>0.93603324122936415</v>
      </c>
      <c r="AF69" s="115"/>
      <c r="AG69" s="115">
        <f>AC$22*$AN69/$C69</f>
        <v>1.0026608111275295</v>
      </c>
      <c r="AH69" s="115"/>
      <c r="AI69" s="115">
        <f>AD$22*$AN69/$C69</f>
        <v>0.77059620643193527</v>
      </c>
      <c r="AJ69" s="115"/>
      <c r="AK69" s="722">
        <f>Y69/(Y68+Y69+Y70)</f>
        <v>0.14131501472031402</v>
      </c>
      <c r="AL69" s="164">
        <v>0.2</v>
      </c>
      <c r="AM69" s="104">
        <f>V69*AL69/(V68*AL68+V69*AL69+V70*AL70)</f>
        <v>9.3389700230591871E-2</v>
      </c>
      <c r="AN69" s="40">
        <f t="shared" si="20"/>
        <v>0.14131501472031402</v>
      </c>
      <c r="AO69" s="115"/>
      <c r="AP69" s="115"/>
      <c r="AQ69" s="115"/>
      <c r="AR69" s="115"/>
      <c r="AS69" s="115"/>
      <c r="AT69" s="115"/>
      <c r="AU69" s="115"/>
      <c r="AV69" s="115"/>
      <c r="AW69" s="115"/>
      <c r="AX69" s="115"/>
      <c r="AY69" s="115"/>
      <c r="AZ69" s="115"/>
      <c r="BA69" s="115"/>
      <c r="BB69" s="115"/>
      <c r="BC69" s="115"/>
      <c r="BD69" s="115"/>
      <c r="BE69" s="115"/>
      <c r="BF69" s="115"/>
      <c r="BG69" s="115"/>
      <c r="BH69" s="115"/>
      <c r="BI69" s="115"/>
      <c r="BJ69" s="115"/>
      <c r="BK69" s="115"/>
      <c r="BL69" s="115"/>
      <c r="BM69" s="115"/>
      <c r="BN69" s="115"/>
      <c r="BO69" s="115"/>
      <c r="BP69" s="115"/>
      <c r="BQ69" s="115"/>
      <c r="BR69" s="115"/>
      <c r="BS69" s="115"/>
      <c r="BT69" s="115"/>
      <c r="BU69" s="115"/>
      <c r="BV69" s="26">
        <f>BW69*$NT69</f>
        <v>0.14515783741818064</v>
      </c>
      <c r="BW69" s="115">
        <f>BP$22*$AN69/$C69</f>
        <v>0.20736833916882952</v>
      </c>
      <c r="BX69" s="26"/>
      <c r="BY69" s="143">
        <f>BW69/$OD69</f>
        <v>2.5921042396103688</v>
      </c>
      <c r="BZ69" s="335"/>
      <c r="CA69" s="127"/>
      <c r="CB69" s="127"/>
      <c r="CC69" s="127"/>
      <c r="CD69" s="115"/>
      <c r="CE69" s="115"/>
      <c r="CF69" s="115"/>
      <c r="CG69" s="115"/>
      <c r="CH69" s="115"/>
      <c r="CI69" s="127"/>
      <c r="CJ69" s="26">
        <f>CK69*$NT69</f>
        <v>0.16919986902213779</v>
      </c>
      <c r="CK69" s="115">
        <f>BQ$22*$AN69/$C69</f>
        <v>0.24171409860305401</v>
      </c>
      <c r="CL69" s="26"/>
      <c r="CM69" s="143">
        <f>CK69/$OD69</f>
        <v>3.0214262325381749</v>
      </c>
      <c r="CN69" s="335"/>
      <c r="CO69" s="127"/>
      <c r="CP69" s="127"/>
      <c r="CQ69" s="127"/>
      <c r="CW69" s="127"/>
      <c r="CX69" s="26">
        <f>CY69*$NT69</f>
        <v>8.5461191943283013E-2</v>
      </c>
      <c r="CY69" s="115">
        <f>BR$22*$AN69/$C69</f>
        <v>0.12208741706183289</v>
      </c>
      <c r="CZ69" s="26"/>
      <c r="DA69" s="143">
        <f>CY69/$OD69</f>
        <v>1.5260927132729112</v>
      </c>
      <c r="DB69" s="335"/>
      <c r="DC69" s="127"/>
      <c r="DD69" s="127"/>
      <c r="DE69" s="127"/>
      <c r="DF69" s="115"/>
      <c r="DG69" s="115"/>
      <c r="DH69" s="115"/>
      <c r="DI69" s="115"/>
      <c r="DJ69" s="115"/>
      <c r="DK69" s="127"/>
      <c r="DL69" s="26">
        <f>DM69*$NT69</f>
        <v>0.17037170656136646</v>
      </c>
      <c r="DM69" s="115">
        <f>BS$22*$AN69/$C69</f>
        <v>0.24338815223052354</v>
      </c>
      <c r="DN69" s="26"/>
      <c r="DO69" s="143">
        <f>DM69/$OD69</f>
        <v>3.0423519028815442</v>
      </c>
      <c r="DP69" s="335"/>
      <c r="DQ69" s="127"/>
      <c r="DR69" s="127"/>
      <c r="DS69" s="127"/>
      <c r="DT69" s="37"/>
      <c r="DU69" s="37"/>
      <c r="DV69" s="37"/>
      <c r="DW69" s="37"/>
      <c r="DX69" s="37"/>
      <c r="DY69" s="127"/>
      <c r="DZ69" s="26">
        <f>EA69*$NT69</f>
        <v>0.19466379193991926</v>
      </c>
      <c r="EA69" s="115">
        <f>BT$22*$AN69/$C69</f>
        <v>0.27809113134274183</v>
      </c>
      <c r="EB69" s="26"/>
      <c r="EC69" s="143">
        <f>EA69/$OD69</f>
        <v>3.4761391417842726</v>
      </c>
      <c r="ED69" s="335"/>
      <c r="EE69" s="127"/>
      <c r="EF69" s="127"/>
      <c r="EG69" s="127"/>
      <c r="EM69" s="127"/>
      <c r="EN69" s="26">
        <f>EO69*$NT69</f>
        <v>7.6498527968596637</v>
      </c>
      <c r="EO69" s="115">
        <f>BU$22*$AN69/$C69</f>
        <v>10.928361138370949</v>
      </c>
      <c r="EP69" s="26"/>
      <c r="EQ69" s="143">
        <f>EO69/$OD69</f>
        <v>136.60451422963686</v>
      </c>
      <c r="ER69" s="335"/>
      <c r="ES69" s="127"/>
      <c r="ET69" s="127"/>
      <c r="EU69" s="127"/>
      <c r="EV69" s="37"/>
      <c r="EW69" s="37"/>
      <c r="EX69" s="37"/>
      <c r="EY69" s="37"/>
      <c r="EZ69" s="37"/>
      <c r="FA69" s="127"/>
      <c r="FE69" s="26">
        <f>FF69*$NT69</f>
        <v>0.34153810718114996</v>
      </c>
      <c r="FF69" s="115">
        <f>FB$22*$AN69/$C69</f>
        <v>0.4879115816873571</v>
      </c>
      <c r="FG69" s="26"/>
      <c r="FH69" s="115">
        <f>FF69/$OD69</f>
        <v>6.0988947710919632</v>
      </c>
      <c r="FI69" s="335"/>
      <c r="FJ69" s="335"/>
      <c r="FK69" s="127"/>
      <c r="FL69" s="26"/>
      <c r="FR69" s="127"/>
      <c r="FS69" s="26">
        <f>FT69*$NT69</f>
        <v>0.39023558769083444</v>
      </c>
      <c r="FT69" s="115">
        <f>FC$22*$AN69/$C69</f>
        <v>0.55747941098690634</v>
      </c>
      <c r="FU69" s="26"/>
      <c r="FV69" s="115">
        <f>FT69/$OD69</f>
        <v>6.968492637336329</v>
      </c>
      <c r="FW69" s="335"/>
      <c r="FX69" s="335"/>
      <c r="FY69" s="127"/>
      <c r="FZ69" s="26"/>
      <c r="GF69" s="127"/>
      <c r="GG69" s="26">
        <f>GH69*$NT69</f>
        <v>0.22062169390146302</v>
      </c>
      <c r="GH69" s="115">
        <f>FD$22*$AN69/$C69</f>
        <v>0.31517384843066149</v>
      </c>
      <c r="GI69" s="26"/>
      <c r="GJ69" s="115">
        <f>GH69/$OD69</f>
        <v>3.9396731053832683</v>
      </c>
      <c r="GK69" s="335"/>
      <c r="GL69" s="335"/>
      <c r="GM69" s="127"/>
      <c r="GN69" s="26"/>
      <c r="GT69" s="127"/>
      <c r="GU69" s="127"/>
      <c r="GV69" s="127"/>
      <c r="GW69" s="127"/>
      <c r="GX69" s="127"/>
      <c r="GY69" s="26">
        <f>GZ69*$NT69</f>
        <v>3.7978504428892342E-2</v>
      </c>
      <c r="GZ69" s="330">
        <f>$AN69*GU$22/C69</f>
        <v>5.4255006326989062E-2</v>
      </c>
      <c r="HB69" s="115">
        <f>GZ69/$OD69</f>
        <v>0.67818757908736327</v>
      </c>
      <c r="HD69" s="74"/>
      <c r="HE69" s="127"/>
      <c r="HF69" s="127"/>
      <c r="HG69" s="127"/>
      <c r="HH69" s="127"/>
      <c r="HI69" s="127"/>
      <c r="HJ69" s="127"/>
      <c r="HK69" s="127"/>
      <c r="HL69" s="127"/>
      <c r="HM69" s="115">
        <f>HN69*$NT69</f>
        <v>4.7216025728276413E-2</v>
      </c>
      <c r="HN69" s="127">
        <f>$AN69*GV$22/C69</f>
        <v>6.745146532610917E-2</v>
      </c>
      <c r="HP69" s="115">
        <f>HN69/$OD69</f>
        <v>0.84314331657636465</v>
      </c>
      <c r="HS69" s="127"/>
      <c r="HT69" s="127"/>
      <c r="HU69" s="127"/>
      <c r="HV69" s="127"/>
      <c r="HW69" s="127"/>
      <c r="HX69" s="127"/>
      <c r="HY69" s="127"/>
      <c r="HZ69" s="127"/>
      <c r="IA69" s="115">
        <f>IB69*$NT69</f>
        <v>1.504163107475438E-2</v>
      </c>
      <c r="IB69" s="127">
        <f>$AN69*GW$22/C69</f>
        <v>2.1488044392506258E-2</v>
      </c>
      <c r="IC69" s="133"/>
      <c r="ID69" s="115">
        <f>IB69/$OD69</f>
        <v>0.26860055490632823</v>
      </c>
      <c r="IE69" s="133"/>
      <c r="IG69" s="127"/>
      <c r="IH69" s="127"/>
      <c r="II69" s="127"/>
      <c r="IJ69" s="127"/>
      <c r="IK69" s="127"/>
      <c r="IL69" s="127"/>
      <c r="IM69" s="127"/>
      <c r="IN69" s="127"/>
      <c r="IO69" s="431"/>
      <c r="IP69" s="431"/>
      <c r="IQ69" s="431"/>
      <c r="IR69" s="431"/>
      <c r="IS69" s="431"/>
      <c r="IT69" s="431"/>
      <c r="IU69" s="431"/>
      <c r="IV69" s="335">
        <f>IW69*$NT69</f>
        <v>0.18135713801330278</v>
      </c>
      <c r="IW69" s="330">
        <f>$AN69*JK67*$C68/$C69</f>
        <v>0.25908162573328969</v>
      </c>
      <c r="IX69" s="73"/>
      <c r="IY69" s="115">
        <f>IW69/$OD69</f>
        <v>3.2385203216661211</v>
      </c>
      <c r="IZ69" s="73"/>
      <c r="JA69" s="115"/>
      <c r="JB69" s="115">
        <f>$IW69*JM67/$JK67</f>
        <v>0.13907215108493293</v>
      </c>
      <c r="JC69" s="115">
        <f>$IW69*JN67/$JK67</f>
        <v>0.12000947464835678</v>
      </c>
      <c r="JD69" s="115">
        <f>$IW69*JO67/$JK67</f>
        <v>0</v>
      </c>
      <c r="KJ69" s="115">
        <f>BW69*44/12+$IW69+$GZ69</f>
        <v>1.0736872090126537</v>
      </c>
      <c r="KK69" s="74"/>
      <c r="KL69" s="74"/>
      <c r="KM69" s="143">
        <f>KJ69/$OD69</f>
        <v>13.42109011265817</v>
      </c>
      <c r="KN69" s="73"/>
      <c r="KO69" s="74"/>
      <c r="KP69" s="74"/>
      <c r="KQ69" s="74"/>
      <c r="KR69" s="74"/>
      <c r="KS69" s="73"/>
      <c r="KT69" s="115">
        <f>CK69*44/12+$IW69+$HN69</f>
        <v>1.2128181192705969</v>
      </c>
      <c r="KW69" s="143">
        <f>KT69/$OD69</f>
        <v>15.160226490882462</v>
      </c>
      <c r="KX69" s="73"/>
      <c r="LC69" s="73"/>
      <c r="LD69" s="115">
        <f>CY69*44/12+$IW69+$IB69</f>
        <v>0.72822353268584994</v>
      </c>
      <c r="LG69" s="143">
        <f>LD69/$OD69</f>
        <v>9.1027941585731238</v>
      </c>
      <c r="LH69" s="73"/>
      <c r="LM69" s="73"/>
      <c r="LN69" s="115">
        <f>DM69*44/12+$IW69+$GZ69</f>
        <v>1.2057598569055319</v>
      </c>
      <c r="LQ69" s="143">
        <f>LN69/$OD69</f>
        <v>15.071998211319148</v>
      </c>
      <c r="LR69" s="73"/>
      <c r="LW69" s="73"/>
      <c r="LX69" s="115">
        <f>EA69*44/12+$IW69+$HN69</f>
        <v>1.3462005726494524</v>
      </c>
      <c r="MA69" s="143">
        <f>LX69/$OD69</f>
        <v>16.827507158118156</v>
      </c>
      <c r="MB69" s="127"/>
      <c r="MG69" s="127"/>
      <c r="MH69" s="115">
        <f>EO69*44/12+$IW69+$IB69</f>
        <v>40.351227177485939</v>
      </c>
      <c r="MK69" s="143">
        <f>MH69/$OD69</f>
        <v>504.39033971857424</v>
      </c>
      <c r="ML69" s="127"/>
      <c r="MM69" s="127"/>
      <c r="MN69" s="127"/>
      <c r="MO69" s="127"/>
      <c r="MP69" s="127"/>
      <c r="MQ69" s="127"/>
      <c r="MW69" s="127"/>
      <c r="MX69" s="127"/>
      <c r="MY69" s="127"/>
      <c r="MZ69" s="127"/>
      <c r="NA69" s="127"/>
      <c r="NB69" s="127"/>
      <c r="NC69" s="127"/>
      <c r="ND69" s="127"/>
      <c r="NE69" s="127"/>
      <c r="NF69" s="127"/>
      <c r="NG69" s="127"/>
      <c r="NH69" s="127"/>
      <c r="NI69" s="127"/>
      <c r="NJ69" s="127"/>
      <c r="NK69" s="127"/>
      <c r="NL69" s="127"/>
      <c r="NM69" s="127"/>
      <c r="NN69" s="127"/>
      <c r="NO69" s="127"/>
      <c r="NP69" s="127"/>
      <c r="NQ69" s="127"/>
      <c r="NT69" s="31">
        <v>0.7</v>
      </c>
      <c r="NU69" s="31"/>
      <c r="NV69" s="32">
        <f t="shared" ref="NV69:NV70" si="21">$NT69*NW69</f>
        <v>11.2</v>
      </c>
      <c r="NW69" s="43">
        <v>16</v>
      </c>
      <c r="NX69" s="43"/>
      <c r="NY69" s="43"/>
      <c r="NZ69" s="43"/>
      <c r="OA69" s="32"/>
      <c r="OB69" s="43"/>
      <c r="OC69" s="38">
        <f t="shared" ref="OC69:OC70" si="22">$NT69*OD69</f>
        <v>5.5999999999999994E-2</v>
      </c>
      <c r="OD69" s="35">
        <v>0.08</v>
      </c>
      <c r="OE69" s="38">
        <f t="shared" ref="OE69:OE70" si="23">$NT69*OF69</f>
        <v>3.4999999999999996E-3</v>
      </c>
      <c r="OF69" s="35">
        <v>5.0000000000000001E-3</v>
      </c>
    </row>
    <row r="70" spans="1:494" x14ac:dyDescent="0.25">
      <c r="A70" s="37" t="s">
        <v>180</v>
      </c>
      <c r="B70" s="52">
        <f>C70*NT22/NT70</f>
        <v>5.333333333333333E-2</v>
      </c>
      <c r="C70" s="39">
        <v>0.2</v>
      </c>
      <c r="D70" s="722">
        <f>C70*NW70/NW22</f>
        <v>0.20588235294117646</v>
      </c>
      <c r="E70" s="104"/>
      <c r="F70" s="104"/>
      <c r="G70" s="104"/>
      <c r="H70" s="104"/>
      <c r="I70" s="104"/>
      <c r="J70" s="104"/>
      <c r="K70" s="104"/>
      <c r="L70" s="104"/>
      <c r="M70" s="104"/>
      <c r="N70" s="69"/>
      <c r="V70" s="55">
        <f>W70/NT70</f>
        <v>12.929292929292929</v>
      </c>
      <c r="W70" s="26">
        <f>C70/C68*W68</f>
        <v>11.636363636363637</v>
      </c>
      <c r="X70" s="115"/>
      <c r="Y70" s="26">
        <f>W70*NW70/10^3</f>
        <v>0.20363636363636364</v>
      </c>
      <c r="Z70" s="26"/>
      <c r="AA70" s="26">
        <f>W70*OD70</f>
        <v>1.1636363636363638</v>
      </c>
      <c r="AB70" s="26"/>
      <c r="AE70" s="115">
        <f>AB$22*$AN70/$C70</f>
        <v>1.0237863575946171</v>
      </c>
      <c r="AF70" s="115"/>
      <c r="AG70" s="115">
        <f>AC$22*$AN70/$C70</f>
        <v>1.0966602621707355</v>
      </c>
      <c r="AH70" s="115"/>
      <c r="AI70" s="115">
        <f>AD$22*$AN70/$C70</f>
        <v>0.84283960078492925</v>
      </c>
      <c r="AJ70" s="115"/>
      <c r="AK70" s="40">
        <f>1-AK68-AK69</f>
        <v>0.22898266274124959</v>
      </c>
      <c r="AL70" s="164">
        <v>0.2</v>
      </c>
      <c r="AM70" s="722">
        <f>V70*AL70/(V68*AL68+V69*AL69+V70*AL70)</f>
        <v>0.10760953112990009</v>
      </c>
      <c r="AN70" s="40">
        <f t="shared" si="20"/>
        <v>0.22898266274124959</v>
      </c>
      <c r="AO70" s="115"/>
      <c r="AP70" s="115"/>
      <c r="AQ70" s="115"/>
      <c r="AR70" s="115"/>
      <c r="AS70" s="115"/>
      <c r="AT70" s="115"/>
      <c r="AU70" s="115"/>
      <c r="AV70" s="115"/>
      <c r="AW70" s="115"/>
      <c r="AX70" s="115"/>
      <c r="AY70" s="115"/>
      <c r="AZ70" s="115"/>
      <c r="BA70" s="115"/>
      <c r="BB70" s="115"/>
      <c r="BC70" s="115"/>
      <c r="BD70" s="115"/>
      <c r="BE70" s="115"/>
      <c r="BF70" s="115"/>
      <c r="BG70" s="115"/>
      <c r="BH70" s="115"/>
      <c r="BI70" s="115"/>
      <c r="BJ70" s="115"/>
      <c r="BK70" s="115"/>
      <c r="BL70" s="115"/>
      <c r="BM70" s="115"/>
      <c r="BN70" s="115"/>
      <c r="BO70" s="115"/>
      <c r="BP70" s="115"/>
      <c r="BQ70" s="115"/>
      <c r="BR70" s="115"/>
      <c r="BS70" s="115"/>
      <c r="BT70" s="115"/>
      <c r="BU70" s="115"/>
      <c r="BV70" s="26">
        <f>BW70*$NT70</f>
        <v>0.20412820886931654</v>
      </c>
      <c r="BW70" s="115">
        <f>BP$22*$AN70/$C70</f>
        <v>0.22680912096590727</v>
      </c>
      <c r="BX70" s="26"/>
      <c r="BY70" s="143">
        <f>BW70/$OD70</f>
        <v>2.2680912096590724</v>
      </c>
      <c r="BZ70" s="335"/>
      <c r="CA70" s="127"/>
      <c r="CB70" s="127"/>
      <c r="CC70" s="127"/>
      <c r="CD70" s="115"/>
      <c r="CE70" s="115"/>
      <c r="CF70" s="115"/>
      <c r="CG70" s="115"/>
      <c r="CH70" s="115"/>
      <c r="CI70" s="127"/>
      <c r="CJ70" s="26">
        <f>CK70*$NT70</f>
        <v>0.23793731581238131</v>
      </c>
      <c r="CK70" s="115">
        <f>BQ$22*$AN70/$C70</f>
        <v>0.26437479534709035</v>
      </c>
      <c r="CL70" s="26"/>
      <c r="CM70" s="143">
        <f>CK70/$OD70</f>
        <v>2.6437479534709034</v>
      </c>
      <c r="CN70" s="335"/>
      <c r="CO70" s="127"/>
      <c r="CP70" s="127"/>
      <c r="CQ70" s="127"/>
      <c r="CW70" s="127"/>
      <c r="CX70" s="26">
        <f>CY70*$NT70</f>
        <v>0.12017980117024177</v>
      </c>
      <c r="CY70" s="115">
        <f>BR$22*$AN70/$C70</f>
        <v>0.13353311241137975</v>
      </c>
      <c r="CZ70" s="26"/>
      <c r="DA70" s="143">
        <f>CY70/$OD70</f>
        <v>1.3353311241137973</v>
      </c>
      <c r="DB70" s="335"/>
      <c r="DC70" s="127"/>
      <c r="DD70" s="127"/>
      <c r="DE70" s="127"/>
      <c r="DF70" s="115"/>
      <c r="DG70" s="115"/>
      <c r="DH70" s="115"/>
      <c r="DI70" s="115"/>
      <c r="DJ70" s="115"/>
      <c r="DK70" s="127"/>
      <c r="DL70" s="26">
        <f>DM70*$NT70</f>
        <v>0.23958521235192162</v>
      </c>
      <c r="DM70" s="115">
        <f>BS$22*$AN70/$C70</f>
        <v>0.26620579150213514</v>
      </c>
      <c r="DN70" s="26"/>
      <c r="DO70" s="143">
        <f>DM70/$OD70</f>
        <v>2.662057915021351</v>
      </c>
      <c r="DP70" s="335"/>
      <c r="DQ70" s="127"/>
      <c r="DR70" s="127"/>
      <c r="DS70" s="127"/>
      <c r="DT70" s="37"/>
      <c r="DU70" s="37"/>
      <c r="DV70" s="37"/>
      <c r="DW70" s="37"/>
      <c r="DX70" s="37"/>
      <c r="DY70" s="127"/>
      <c r="DZ70" s="26">
        <f>EA70*$NT70</f>
        <v>0.2737459574155115</v>
      </c>
      <c r="EA70" s="115">
        <f>BT$22*$AN70/$C70</f>
        <v>0.30416217490612391</v>
      </c>
      <c r="EB70" s="26"/>
      <c r="EC70" s="143">
        <f>EA70/$OD70</f>
        <v>3.0416217490612389</v>
      </c>
      <c r="ED70" s="335"/>
      <c r="EE70" s="127"/>
      <c r="EF70" s="127"/>
      <c r="EG70" s="127"/>
      <c r="EM70" s="127"/>
      <c r="EN70" s="26">
        <f>EO70*$NT70</f>
        <v>10.757605495583906</v>
      </c>
      <c r="EO70" s="115">
        <f>BU$22*$AN70/$C70</f>
        <v>11.952894995093228</v>
      </c>
      <c r="EP70" s="26"/>
      <c r="EQ70" s="143">
        <f>EO70/$OD70</f>
        <v>119.52894995093227</v>
      </c>
      <c r="ER70" s="335"/>
      <c r="ES70" s="127"/>
      <c r="ET70" s="127"/>
      <c r="EU70" s="127"/>
      <c r="EV70" s="37"/>
      <c r="EW70" s="37"/>
      <c r="EX70" s="37"/>
      <c r="EY70" s="37"/>
      <c r="EZ70" s="37"/>
      <c r="FA70" s="127"/>
      <c r="FE70" s="26">
        <f>FF70*$NT70</f>
        <v>0.48028796322349226</v>
      </c>
      <c r="FF70" s="115">
        <f>FB$22*$AN70/$C70</f>
        <v>0.53365329247054694</v>
      </c>
      <c r="FG70" s="26"/>
      <c r="FH70" s="115">
        <f>FF70/$OD70</f>
        <v>5.3365329247054687</v>
      </c>
      <c r="FI70" s="335"/>
      <c r="FJ70" s="335"/>
      <c r="FK70" s="127"/>
      <c r="FL70" s="26"/>
      <c r="FR70" s="127"/>
      <c r="FS70" s="26">
        <f>FT70*$NT70</f>
        <v>0.54876879519023603</v>
      </c>
      <c r="FT70" s="115">
        <f>FC$22*$AN70/$C70</f>
        <v>0.60974310576692892</v>
      </c>
      <c r="FU70" s="26"/>
      <c r="FV70" s="115">
        <f>FT70/$OD70</f>
        <v>6.0974310576692892</v>
      </c>
      <c r="FW70" s="335"/>
      <c r="FX70" s="335"/>
      <c r="FY70" s="127"/>
      <c r="FZ70" s="26"/>
      <c r="GF70" s="127"/>
      <c r="GG70" s="26">
        <f>GH70*$NT70</f>
        <v>0.31024925704893247</v>
      </c>
      <c r="GH70" s="115">
        <f>FD$22*$AN70/$C70</f>
        <v>0.34472139672103608</v>
      </c>
      <c r="GI70" s="26"/>
      <c r="GJ70" s="115">
        <f>GH70/$OD70</f>
        <v>3.4472139672103608</v>
      </c>
      <c r="GK70" s="335"/>
      <c r="GL70" s="335"/>
      <c r="GM70" s="127"/>
      <c r="GN70" s="26"/>
      <c r="GT70" s="127"/>
      <c r="GU70" s="127"/>
      <c r="GV70" s="127"/>
      <c r="GW70" s="127"/>
      <c r="GX70" s="127"/>
      <c r="GY70" s="26">
        <f>GZ70*$NT70</f>
        <v>5.3407271853129872E-2</v>
      </c>
      <c r="GZ70" s="330">
        <f>$AN70*GU$22/C70</f>
        <v>5.9341413170144297E-2</v>
      </c>
      <c r="HB70" s="115">
        <f>GZ70/$OD70</f>
        <v>0.59341413170144297</v>
      </c>
      <c r="HD70" s="74"/>
      <c r="HE70" s="127"/>
      <c r="HF70" s="127"/>
      <c r="HG70" s="127"/>
      <c r="HH70" s="127"/>
      <c r="HI70" s="127"/>
      <c r="HJ70" s="127"/>
      <c r="HK70" s="127"/>
      <c r="HL70" s="127"/>
      <c r="HM70" s="115">
        <f>HN70*$NT70</f>
        <v>6.6397536180388725E-2</v>
      </c>
      <c r="HN70" s="127">
        <f>$AN70*GV$22/C70</f>
        <v>7.3775040200431907E-2</v>
      </c>
      <c r="HP70" s="115">
        <f>HN70/$OD70</f>
        <v>0.73775040200431907</v>
      </c>
      <c r="HS70" s="127"/>
      <c r="HT70" s="127"/>
      <c r="HU70" s="127"/>
      <c r="HV70" s="127"/>
      <c r="HW70" s="127"/>
      <c r="HX70" s="127"/>
      <c r="HY70" s="127"/>
      <c r="HZ70" s="127"/>
      <c r="IA70" s="115">
        <f>IB70*$NT70</f>
        <v>2.1152293698873351E-2</v>
      </c>
      <c r="IB70" s="127">
        <f>$AN70*GW$22/C70</f>
        <v>2.3502548554303723E-2</v>
      </c>
      <c r="IC70" s="133"/>
      <c r="ID70" s="115">
        <f>IB70/$OD70</f>
        <v>0.2350254855430372</v>
      </c>
      <c r="IE70" s="133"/>
      <c r="IG70" s="127"/>
      <c r="IH70" s="127"/>
      <c r="II70" s="127"/>
      <c r="IJ70" s="127"/>
      <c r="IK70" s="127"/>
      <c r="IL70" s="127"/>
      <c r="IM70" s="127"/>
      <c r="IN70" s="127"/>
      <c r="IO70" s="431"/>
      <c r="IP70" s="431"/>
      <c r="IQ70" s="431"/>
      <c r="IR70" s="431"/>
      <c r="IS70" s="431"/>
      <c r="IT70" s="431"/>
      <c r="IU70" s="431"/>
      <c r="IV70" s="335">
        <f>IW70*$NT70</f>
        <v>0.25503347533120713</v>
      </c>
      <c r="IW70" s="330">
        <f>$AN70*JK67*$C68/$C70</f>
        <v>0.28337052814578567</v>
      </c>
      <c r="IY70" s="115">
        <f>IW70/$OD70</f>
        <v>2.8337052814578567</v>
      </c>
      <c r="JA70" s="115"/>
      <c r="JB70" s="115">
        <f>$IW70*JM67/$JK67</f>
        <v>0.15211016524914542</v>
      </c>
      <c r="JC70" s="115">
        <f>$IW70*JN67/$JK67</f>
        <v>0.13126036289664025</v>
      </c>
      <c r="JD70" s="115">
        <f>$IW70*JO67/$JK67</f>
        <v>0</v>
      </c>
      <c r="KJ70" s="115">
        <f>BW70*44/12+$IW70+$GZ70</f>
        <v>1.17434538485759</v>
      </c>
      <c r="KK70" s="74"/>
      <c r="KL70" s="74"/>
      <c r="KM70" s="143">
        <f>KJ70/$OD70</f>
        <v>11.7434538485759</v>
      </c>
      <c r="KN70" s="73"/>
      <c r="KO70" s="74"/>
      <c r="KP70" s="74"/>
      <c r="KQ70" s="74"/>
      <c r="KR70" s="74"/>
      <c r="KS70" s="73"/>
      <c r="KT70" s="115">
        <f>CK70*44/12+$IW70+$HN70</f>
        <v>1.3265198179522155</v>
      </c>
      <c r="KW70" s="143">
        <f>KT70/$OD70</f>
        <v>13.265198179522155</v>
      </c>
      <c r="KX70" s="73"/>
      <c r="LC70" s="73"/>
      <c r="LD70" s="115">
        <f>CY70*44/12+$IW70+$IB70</f>
        <v>0.7964944888751484</v>
      </c>
      <c r="LG70" s="143">
        <f>LD70/$OD70</f>
        <v>7.964944888751484</v>
      </c>
      <c r="LH70" s="73"/>
      <c r="LM70" s="73"/>
      <c r="LN70" s="115">
        <f>DM70*44/12+$IW70+$GZ70</f>
        <v>1.3187998434904253</v>
      </c>
      <c r="LQ70" s="143">
        <f>LN70/$OD70</f>
        <v>13.187998434904253</v>
      </c>
      <c r="LR70" s="73"/>
      <c r="LW70" s="73"/>
      <c r="LX70" s="115">
        <f>EA70*44/12+$IW70+$HN70</f>
        <v>1.4724068763353384</v>
      </c>
      <c r="MA70" s="143">
        <f>LX70/$OD70</f>
        <v>14.724068763353383</v>
      </c>
      <c r="MB70" s="127"/>
      <c r="MG70" s="127"/>
      <c r="MH70" s="115">
        <f>EO70*44/12+$IW70+$IB70</f>
        <v>44.134154725375268</v>
      </c>
      <c r="MK70" s="143">
        <f>MH70/$OD70</f>
        <v>441.34154725375265</v>
      </c>
      <c r="ML70" s="127"/>
      <c r="MM70" s="127"/>
      <c r="MN70" s="127"/>
      <c r="MO70" s="127"/>
      <c r="MP70" s="127"/>
      <c r="MQ70" s="127"/>
      <c r="MW70" s="127"/>
      <c r="MX70" s="127"/>
      <c r="MY70" s="127"/>
      <c r="MZ70" s="127"/>
      <c r="NA70" s="127"/>
      <c r="NB70" s="127"/>
      <c r="NC70" s="127"/>
      <c r="ND70" s="127"/>
      <c r="NE70" s="127"/>
      <c r="NF70" s="127"/>
      <c r="NG70" s="127"/>
      <c r="NH70" s="127"/>
      <c r="NI70" s="127"/>
      <c r="NJ70" s="127"/>
      <c r="NK70" s="127"/>
      <c r="NL70" s="127"/>
      <c r="NM70" s="127"/>
      <c r="NN70" s="127"/>
      <c r="NO70" s="127"/>
      <c r="NP70" s="127"/>
      <c r="NQ70" s="127"/>
      <c r="NT70" s="31">
        <v>0.9</v>
      </c>
      <c r="NU70" s="31"/>
      <c r="NV70" s="32">
        <f t="shared" si="21"/>
        <v>15.75</v>
      </c>
      <c r="NW70" s="43">
        <v>17.5</v>
      </c>
      <c r="NX70" s="43"/>
      <c r="NY70" s="43"/>
      <c r="NZ70" s="43"/>
      <c r="OA70" s="32"/>
      <c r="OB70" s="43"/>
      <c r="OC70" s="38">
        <f t="shared" si="22"/>
        <v>9.0000000000000011E-2</v>
      </c>
      <c r="OD70" s="35">
        <v>0.1</v>
      </c>
      <c r="OE70" s="38">
        <f t="shared" si="23"/>
        <v>4.5000000000000005E-3</v>
      </c>
      <c r="OF70" s="35">
        <v>5.0000000000000001E-3</v>
      </c>
    </row>
    <row r="71" spans="1:494" x14ac:dyDescent="0.25">
      <c r="A71" s="37" t="s">
        <v>218</v>
      </c>
      <c r="B71" s="52"/>
      <c r="C71" s="69">
        <f>1-C68-C69-C70</f>
        <v>0.11499999999999994</v>
      </c>
      <c r="V71" s="55"/>
      <c r="W71" s="26"/>
      <c r="X71" s="115"/>
      <c r="Y71" s="26"/>
      <c r="Z71" s="26"/>
      <c r="AA71" s="26"/>
      <c r="AB71" s="26"/>
      <c r="AE71" s="115"/>
      <c r="AF71" s="115"/>
      <c r="AG71" s="115"/>
      <c r="AH71" s="115"/>
      <c r="AI71" s="115"/>
      <c r="AJ71" s="115"/>
      <c r="AK71" s="40"/>
      <c r="AL71" s="74"/>
      <c r="AN71" s="69">
        <f>1-AN68-AN69-AN70</f>
        <v>0</v>
      </c>
      <c r="AO71" s="115"/>
      <c r="AP71" s="115"/>
      <c r="AQ71" s="115"/>
      <c r="AR71" s="115"/>
      <c r="AS71" s="115"/>
      <c r="AT71" s="115"/>
      <c r="AU71" s="115"/>
      <c r="AV71" s="115"/>
      <c r="AW71" s="115"/>
      <c r="AX71" s="115"/>
      <c r="AY71" s="115"/>
      <c r="AZ71" s="115"/>
      <c r="BA71" s="115"/>
      <c r="BB71" s="115"/>
      <c r="BC71" s="115"/>
      <c r="BD71" s="115"/>
      <c r="BE71" s="115"/>
      <c r="BF71" s="115"/>
      <c r="BG71" s="115"/>
      <c r="BH71" s="115"/>
      <c r="BI71" s="115"/>
      <c r="BJ71" s="115"/>
      <c r="BK71" s="115"/>
      <c r="BL71" s="115"/>
      <c r="BM71" s="115"/>
      <c r="BN71" s="115"/>
      <c r="BO71" s="115"/>
      <c r="BP71" s="115"/>
      <c r="BQ71" s="115"/>
      <c r="BR71" s="115"/>
      <c r="BS71" s="115"/>
      <c r="BT71" s="115"/>
      <c r="BU71" s="115"/>
      <c r="BW71" s="26"/>
      <c r="CA71" s="74"/>
      <c r="CB71" s="74"/>
      <c r="CC71" s="74"/>
      <c r="CD71" s="115"/>
      <c r="CE71" s="115"/>
      <c r="CF71" s="115"/>
      <c r="CG71" s="115"/>
      <c r="CH71" s="115"/>
      <c r="CI71" s="74"/>
      <c r="CK71" s="26"/>
      <c r="CX71" s="37"/>
      <c r="CY71" s="26"/>
      <c r="CZ71" s="37"/>
      <c r="DA71" s="37"/>
      <c r="DB71" s="37"/>
      <c r="DF71" s="115"/>
      <c r="DG71" s="115"/>
      <c r="DH71" s="115"/>
      <c r="DI71" s="115"/>
      <c r="DJ71" s="115"/>
      <c r="DL71" s="37"/>
      <c r="DM71" s="115"/>
      <c r="DN71" s="37"/>
      <c r="DO71" s="37"/>
      <c r="DP71" s="37"/>
      <c r="DT71" s="37"/>
      <c r="DU71" s="37"/>
      <c r="DV71" s="37"/>
      <c r="DW71" s="37"/>
      <c r="DX71" s="37"/>
      <c r="EA71" s="115"/>
      <c r="EN71" s="37"/>
      <c r="EO71" s="115"/>
      <c r="EP71" s="37"/>
      <c r="EQ71" s="37"/>
      <c r="ER71" s="37"/>
      <c r="EV71" s="37"/>
      <c r="EW71" s="37"/>
      <c r="EX71" s="37"/>
      <c r="EY71" s="37"/>
      <c r="EZ71" s="37"/>
      <c r="FF71" s="26"/>
      <c r="FH71" s="74"/>
      <c r="FK71" s="74"/>
      <c r="FR71" s="74"/>
      <c r="FT71" s="26"/>
      <c r="FZ71" s="37"/>
      <c r="GH71" s="26"/>
      <c r="GJ71" s="74"/>
      <c r="GM71" s="74"/>
      <c r="GT71" s="74"/>
      <c r="GU71" s="74"/>
      <c r="GV71" s="74"/>
      <c r="GW71" s="74"/>
      <c r="GX71" s="74"/>
      <c r="HB71" s="74"/>
      <c r="HD71" s="74"/>
      <c r="HE71" s="74"/>
      <c r="HF71" s="74"/>
      <c r="HG71" s="74"/>
      <c r="HH71" s="74"/>
      <c r="HI71" s="74"/>
      <c r="HJ71" s="74"/>
      <c r="HK71" s="74"/>
      <c r="HL71" s="74"/>
      <c r="IA71" s="133"/>
      <c r="IB71" s="133"/>
      <c r="IC71" s="133"/>
      <c r="IE71" s="133"/>
      <c r="IO71" s="97"/>
      <c r="IP71" s="97"/>
      <c r="IQ71" s="97"/>
      <c r="IR71" s="97"/>
      <c r="IS71" s="97"/>
      <c r="IT71" s="97"/>
      <c r="IU71" s="97"/>
      <c r="NT71" s="31"/>
      <c r="NU71" s="31"/>
      <c r="NV71" s="32"/>
      <c r="NW71" s="43"/>
      <c r="NX71" s="43"/>
      <c r="NY71" s="43"/>
      <c r="NZ71" s="43"/>
      <c r="OA71" s="32"/>
      <c r="OB71" s="43"/>
      <c r="OC71" s="38"/>
      <c r="OD71" s="35"/>
      <c r="OE71" s="38"/>
      <c r="OF71" s="35"/>
    </row>
    <row r="72" spans="1:494" x14ac:dyDescent="0.25">
      <c r="AE72" s="115"/>
      <c r="AF72" s="115"/>
      <c r="AG72" s="115"/>
      <c r="AH72" s="115"/>
      <c r="AI72" s="115"/>
      <c r="AJ72" s="115"/>
      <c r="AL72" s="74"/>
      <c r="AO72" s="115"/>
      <c r="AP72" s="115"/>
      <c r="AQ72" s="115"/>
      <c r="AR72" s="115"/>
      <c r="AS72" s="115"/>
      <c r="AT72" s="115"/>
      <c r="AU72" s="115"/>
      <c r="AV72" s="115"/>
      <c r="AW72" s="115"/>
      <c r="AX72" s="115"/>
      <c r="AY72" s="115"/>
      <c r="AZ72" s="115"/>
      <c r="BA72" s="115"/>
      <c r="BB72" s="115"/>
      <c r="BC72" s="115"/>
      <c r="BD72" s="115"/>
      <c r="BE72" s="115"/>
      <c r="BF72" s="115"/>
      <c r="BG72" s="115"/>
      <c r="BH72" s="115"/>
      <c r="BI72" s="115"/>
      <c r="BJ72" s="115"/>
      <c r="BK72" s="115"/>
      <c r="BL72" s="115"/>
      <c r="BM72" s="115"/>
      <c r="BN72" s="115"/>
      <c r="BO72" s="115"/>
      <c r="BP72" s="115"/>
      <c r="BQ72" s="115"/>
      <c r="BR72" s="115"/>
      <c r="BS72" s="115"/>
      <c r="BT72" s="115"/>
      <c r="BU72" s="115"/>
      <c r="BW72" s="26"/>
      <c r="CA72" s="74"/>
      <c r="CB72" s="74"/>
      <c r="CC72" s="74"/>
      <c r="CD72" s="115"/>
      <c r="CE72" s="115"/>
      <c r="CF72" s="115"/>
      <c r="CG72" s="115"/>
      <c r="CH72" s="115"/>
      <c r="CI72" s="74"/>
      <c r="CK72" s="26"/>
      <c r="CX72" s="37"/>
      <c r="CY72" s="26"/>
      <c r="CZ72" s="37"/>
      <c r="DA72" s="37"/>
      <c r="DB72" s="37"/>
      <c r="DF72" s="115"/>
      <c r="DG72" s="115"/>
      <c r="DH72" s="115"/>
      <c r="DI72" s="115"/>
      <c r="DJ72" s="115"/>
      <c r="DL72" s="37"/>
      <c r="DM72" s="115"/>
      <c r="DN72" s="37"/>
      <c r="DO72" s="37"/>
      <c r="DP72" s="37"/>
      <c r="DT72" s="37"/>
      <c r="DU72" s="37"/>
      <c r="DV72" s="37"/>
      <c r="DW72" s="37"/>
      <c r="DX72" s="37"/>
      <c r="EA72" s="115"/>
      <c r="EN72" s="37"/>
      <c r="EO72" s="115"/>
      <c r="EP72" s="37"/>
      <c r="EQ72" s="37"/>
      <c r="ER72" s="37"/>
      <c r="EV72" s="37"/>
      <c r="EW72" s="37"/>
      <c r="EX72" s="37"/>
      <c r="EY72" s="37"/>
      <c r="EZ72" s="37"/>
      <c r="FF72" s="26"/>
      <c r="FH72" s="74"/>
      <c r="FK72" s="74"/>
      <c r="FR72" s="74"/>
      <c r="FT72" s="26"/>
      <c r="FZ72" s="37"/>
      <c r="GH72" s="26"/>
      <c r="GJ72" s="74"/>
      <c r="GM72" s="74"/>
      <c r="GT72" s="74"/>
      <c r="GU72" s="74"/>
      <c r="GV72" s="74"/>
      <c r="GW72" s="74"/>
      <c r="GX72" s="74"/>
      <c r="HB72" s="74"/>
      <c r="HD72" s="74"/>
      <c r="HE72" s="74"/>
      <c r="HF72" s="74"/>
      <c r="HG72" s="74"/>
      <c r="HH72" s="74"/>
      <c r="HI72" s="74"/>
      <c r="HJ72" s="74"/>
      <c r="HK72" s="74"/>
      <c r="HL72" s="74"/>
      <c r="IA72" s="133"/>
      <c r="IB72" s="133"/>
      <c r="IC72" s="133"/>
      <c r="IE72" s="133"/>
      <c r="IO72" s="97"/>
      <c r="IP72" s="97"/>
      <c r="IQ72" s="97"/>
      <c r="IR72" s="97"/>
      <c r="IS72" s="97"/>
      <c r="IT72" s="97"/>
      <c r="IU72" s="97"/>
      <c r="OB72" s="26"/>
    </row>
    <row r="73" spans="1:494" x14ac:dyDescent="0.25">
      <c r="AE73" s="115"/>
      <c r="AF73" s="115"/>
      <c r="AG73" s="115"/>
      <c r="AH73" s="115"/>
      <c r="AI73" s="115"/>
      <c r="AJ73" s="115"/>
      <c r="AL73" s="74"/>
      <c r="AO73" s="115"/>
      <c r="AP73" s="115"/>
      <c r="AQ73" s="115"/>
      <c r="AR73" s="115"/>
      <c r="AS73" s="115"/>
      <c r="AT73" s="115"/>
      <c r="AU73" s="115"/>
      <c r="AV73" s="115"/>
      <c r="AW73" s="115"/>
      <c r="AX73" s="115"/>
      <c r="AY73" s="115"/>
      <c r="AZ73" s="115"/>
      <c r="BA73" s="115"/>
      <c r="BB73" s="115"/>
      <c r="BC73" s="115"/>
      <c r="BD73" s="115"/>
      <c r="BE73" s="115"/>
      <c r="BF73" s="115"/>
      <c r="BG73" s="115"/>
      <c r="BH73" s="115"/>
      <c r="BI73" s="115"/>
      <c r="BJ73" s="115"/>
      <c r="BK73" s="115"/>
      <c r="BL73" s="115"/>
      <c r="BM73" s="115"/>
      <c r="BN73" s="115"/>
      <c r="BO73" s="115"/>
      <c r="BP73" s="115"/>
      <c r="BQ73" s="115"/>
      <c r="BR73" s="115"/>
      <c r="BS73" s="115"/>
      <c r="BT73" s="115"/>
      <c r="BU73" s="115"/>
      <c r="BW73" s="26"/>
      <c r="CA73" s="74"/>
      <c r="CB73" s="74"/>
      <c r="CC73" s="74"/>
      <c r="CD73" s="115"/>
      <c r="CE73" s="115"/>
      <c r="CF73" s="115"/>
      <c r="CG73" s="115"/>
      <c r="CH73" s="115"/>
      <c r="CI73" s="74"/>
      <c r="CK73" s="26"/>
      <c r="CX73" s="37"/>
      <c r="CY73" s="26"/>
      <c r="CZ73" s="37"/>
      <c r="DA73" s="37"/>
      <c r="DB73" s="37"/>
      <c r="DF73" s="115"/>
      <c r="DG73" s="115"/>
      <c r="DH73" s="115"/>
      <c r="DI73" s="115"/>
      <c r="DJ73" s="115"/>
      <c r="DL73" s="37"/>
      <c r="DM73" s="115"/>
      <c r="DN73" s="37"/>
      <c r="DO73" s="37"/>
      <c r="DP73" s="37"/>
      <c r="DT73" s="37"/>
      <c r="DU73" s="37"/>
      <c r="DV73" s="37"/>
      <c r="DW73" s="37"/>
      <c r="DX73" s="37"/>
      <c r="EA73" s="115"/>
      <c r="EN73" s="37"/>
      <c r="EO73" s="115"/>
      <c r="EP73" s="37"/>
      <c r="EQ73" s="37"/>
      <c r="ER73" s="37"/>
      <c r="EV73" s="37"/>
      <c r="EW73" s="37"/>
      <c r="EX73" s="37"/>
      <c r="EY73" s="37"/>
      <c r="EZ73" s="37"/>
      <c r="FF73" s="26"/>
      <c r="FH73" s="74"/>
      <c r="FK73" s="74"/>
      <c r="FR73" s="74"/>
      <c r="FT73" s="26"/>
      <c r="FZ73" s="37"/>
      <c r="GH73" s="26"/>
      <c r="GJ73" s="74"/>
      <c r="GM73" s="74"/>
      <c r="GT73" s="74"/>
      <c r="GU73" s="74"/>
      <c r="GV73" s="74"/>
      <c r="GW73" s="74"/>
      <c r="GX73" s="74"/>
      <c r="HB73" s="74"/>
      <c r="HD73" s="74"/>
      <c r="HE73" s="74"/>
      <c r="HF73" s="74"/>
      <c r="HG73" s="74"/>
      <c r="HH73" s="74"/>
      <c r="HI73" s="74"/>
      <c r="HJ73" s="74"/>
      <c r="HK73" s="74"/>
      <c r="HL73" s="74"/>
      <c r="IA73" s="133"/>
      <c r="IB73" s="133"/>
      <c r="IC73" s="133"/>
      <c r="IE73" s="133"/>
      <c r="IO73" s="97"/>
      <c r="IP73" s="97"/>
      <c r="IQ73" s="97"/>
      <c r="IR73" s="97"/>
      <c r="IS73" s="97"/>
      <c r="IT73" s="97"/>
      <c r="IU73" s="97"/>
      <c r="OB73" s="26"/>
    </row>
    <row r="74" spans="1:494" ht="13.8" x14ac:dyDescent="0.3">
      <c r="A74" s="44" t="s">
        <v>158</v>
      </c>
      <c r="X74" s="37"/>
      <c r="AE74" s="115"/>
      <c r="AF74" s="115"/>
      <c r="AG74" s="115"/>
      <c r="AH74" s="115"/>
      <c r="AI74" s="115"/>
      <c r="AJ74" s="115"/>
      <c r="AL74" s="74"/>
      <c r="AO74" s="115"/>
      <c r="AP74" s="115"/>
      <c r="AQ74" s="115"/>
      <c r="AR74" s="115"/>
      <c r="AS74" s="115"/>
      <c r="AT74" s="115"/>
      <c r="AU74" s="115"/>
      <c r="AV74" s="115"/>
      <c r="AW74" s="115"/>
      <c r="AX74" s="115"/>
      <c r="AY74" s="115"/>
      <c r="AZ74" s="115"/>
      <c r="BA74" s="115"/>
      <c r="BB74" s="115"/>
      <c r="BC74" s="115"/>
      <c r="BD74" s="115"/>
      <c r="BE74" s="115"/>
      <c r="BF74" s="115"/>
      <c r="BG74" s="115"/>
      <c r="BH74" s="115"/>
      <c r="BI74" s="115"/>
      <c r="BJ74" s="115"/>
      <c r="BK74" s="115"/>
      <c r="BL74" s="115"/>
      <c r="BM74" s="115"/>
      <c r="BN74" s="115"/>
      <c r="BO74" s="115"/>
      <c r="BP74" s="115"/>
      <c r="BQ74" s="115"/>
      <c r="BR74" s="115"/>
      <c r="BS74" s="115"/>
      <c r="BT74" s="115"/>
      <c r="BU74" s="115"/>
      <c r="BW74" s="26"/>
      <c r="CA74" s="74"/>
      <c r="CB74" s="74"/>
      <c r="CC74" s="74"/>
      <c r="CD74" s="115"/>
      <c r="CE74" s="115"/>
      <c r="CF74" s="115"/>
      <c r="CG74" s="115"/>
      <c r="CH74" s="115"/>
      <c r="CI74" s="74"/>
      <c r="CK74" s="26"/>
      <c r="CX74" s="37"/>
      <c r="CY74" s="26"/>
      <c r="CZ74" s="37"/>
      <c r="DA74" s="37"/>
      <c r="DB74" s="37"/>
      <c r="DF74" s="115"/>
      <c r="DG74" s="115"/>
      <c r="DH74" s="115"/>
      <c r="DI74" s="115"/>
      <c r="DJ74" s="115"/>
      <c r="DL74" s="37"/>
      <c r="DM74" s="115"/>
      <c r="DN74" s="37"/>
      <c r="DO74" s="37"/>
      <c r="DP74" s="37"/>
      <c r="DT74" s="37"/>
      <c r="DU74" s="37"/>
      <c r="DV74" s="37"/>
      <c r="DW74" s="37"/>
      <c r="DX74" s="37"/>
      <c r="EA74" s="115"/>
      <c r="EN74" s="37"/>
      <c r="EO74" s="115"/>
      <c r="EP74" s="37"/>
      <c r="EQ74" s="37"/>
      <c r="ER74" s="37"/>
      <c r="EV74" s="37"/>
      <c r="EW74" s="37"/>
      <c r="EX74" s="37"/>
      <c r="EY74" s="37"/>
      <c r="EZ74" s="37"/>
      <c r="FF74" s="26"/>
      <c r="FH74" s="74"/>
      <c r="FK74" s="74"/>
      <c r="FR74" s="74"/>
      <c r="FT74" s="26"/>
      <c r="FZ74" s="37"/>
      <c r="GH74" s="26"/>
      <c r="GJ74" s="74"/>
      <c r="GM74" s="74"/>
      <c r="GT74" s="74"/>
      <c r="GU74" s="74"/>
      <c r="GV74" s="74"/>
      <c r="GW74" s="74"/>
      <c r="GX74" s="471">
        <f t="shared" ref="GX74" si="24">GX78+GX82+GX88+GX92+GX96</f>
        <v>154.63788948335855</v>
      </c>
      <c r="HB74" s="74"/>
      <c r="HD74" s="74"/>
      <c r="HE74" s="74"/>
      <c r="HF74" s="74"/>
      <c r="HG74" s="74"/>
      <c r="HH74" s="74"/>
      <c r="HI74" s="74"/>
      <c r="HJ74" s="74"/>
      <c r="HK74" s="74"/>
      <c r="HL74" s="74"/>
      <c r="IA74" s="133"/>
      <c r="IB74" s="133"/>
      <c r="IC74" s="133"/>
      <c r="IE74" s="133"/>
      <c r="IO74" s="471">
        <f>IO78+IO82+IO88+IO92+IO96</f>
        <v>219.19892867426438</v>
      </c>
      <c r="IP74" s="68">
        <f>IP78+IP82+IP88+IP92+IP96</f>
        <v>98.312978468679077</v>
      </c>
      <c r="IQ74" s="68">
        <f t="shared" ref="IQ74:IU74" si="25">IQ78+IQ82+IQ88+IQ92+IQ96</f>
        <v>32.417319405585296</v>
      </c>
      <c r="IR74" s="68">
        <f t="shared" si="25"/>
        <v>1.7571420000000004</v>
      </c>
      <c r="IS74" s="589">
        <f t="shared" si="25"/>
        <v>32.517636000000003</v>
      </c>
      <c r="IT74" s="589">
        <f t="shared" si="25"/>
        <v>0.24752880000000005</v>
      </c>
      <c r="IU74" s="589">
        <f t="shared" si="25"/>
        <v>53.946324000000011</v>
      </c>
      <c r="OB74" s="26"/>
    </row>
    <row r="75" spans="1:494" s="54" customFormat="1" x14ac:dyDescent="0.25">
      <c r="A75" s="54" t="s">
        <v>353</v>
      </c>
      <c r="D75" s="131"/>
      <c r="E75" s="133"/>
      <c r="F75" s="133"/>
      <c r="G75" s="133"/>
      <c r="H75" s="133"/>
      <c r="I75" s="133"/>
      <c r="J75" s="133"/>
      <c r="K75" s="133"/>
      <c r="L75" s="133"/>
      <c r="M75" s="133"/>
      <c r="V75" s="474"/>
      <c r="W75" s="688">
        <f>W79+W83+W84+W89+W93+W97+W46+W154</f>
        <v>111.20227596017068</v>
      </c>
      <c r="X75" s="133"/>
      <c r="Y75" s="179">
        <f>Y79+Y83+Y84+Y89+Y93+Y97+Y46+Y154</f>
        <v>4.370249445234708</v>
      </c>
      <c r="Z75" s="179">
        <f>Z79+Z83+Z84+Z89+Z93+Z97+Z46+Z154</f>
        <v>4.1144842105263155</v>
      </c>
      <c r="AE75" s="179">
        <f>(W79*AE79+W83*AE83+W89*AE89+W93*AE93+W97*AE97+W46*AE46+W84*AE84+W154*AE154)/W75</f>
        <v>7.211406439991662</v>
      </c>
      <c r="AF75" s="179"/>
      <c r="AG75" s="179"/>
      <c r="AH75" s="179"/>
      <c r="AI75" s="179"/>
      <c r="AJ75" s="179"/>
      <c r="AL75" s="133"/>
      <c r="AO75" s="179"/>
      <c r="AP75" s="179"/>
      <c r="AQ75" s="179"/>
      <c r="AR75" s="179"/>
      <c r="AS75" s="179"/>
      <c r="AT75" s="179"/>
      <c r="AU75" s="179"/>
      <c r="AV75" s="179"/>
      <c r="AW75" s="179"/>
      <c r="AX75" s="179"/>
      <c r="AY75" s="179"/>
      <c r="AZ75" s="179"/>
      <c r="BA75" s="179"/>
      <c r="BB75" s="179"/>
      <c r="BC75" s="179"/>
      <c r="BD75" s="179"/>
      <c r="BE75" s="179"/>
      <c r="BF75" s="179"/>
      <c r="BG75" s="179"/>
      <c r="BH75" s="179"/>
      <c r="BI75" s="179"/>
      <c r="BJ75" s="179"/>
      <c r="BK75" s="179"/>
      <c r="BL75" s="179"/>
      <c r="BM75" s="179"/>
      <c r="BN75" s="179"/>
      <c r="BO75" s="179"/>
      <c r="BP75" s="179"/>
      <c r="BQ75" s="179"/>
      <c r="BR75" s="179"/>
      <c r="BS75" s="179"/>
      <c r="BT75" s="179"/>
      <c r="BU75" s="179"/>
      <c r="BV75" s="179">
        <f>(BV79*$W79+BV83*$W83+BV89*$W89+BV93*$W93+BV97*$W97)/($W79+$W83+$W89+$W93+$W97)</f>
        <v>2.3652472059193945</v>
      </c>
      <c r="BW75" s="179">
        <f>(BW79*$W79+BW83*$W83+BW89*$W89+BW93*$W93+BW97*$W97)/($W79+$W83+$W89+$W93+$W97)</f>
        <v>2.3652472059193945</v>
      </c>
      <c r="BX75" s="54">
        <f>10^3*BW75/(($W79*$OB79+$W83*$OB83+$W89*$OB89+$W93*$OB93+$W97*$OB97)/($W79+$W83+$W89+$W93+$W97))</f>
        <v>63.925600159983638</v>
      </c>
      <c r="CA75" s="133"/>
      <c r="CB75" s="133"/>
      <c r="CC75" s="133"/>
      <c r="CD75" s="179"/>
      <c r="CE75" s="179"/>
      <c r="CF75" s="179"/>
      <c r="CG75" s="179"/>
      <c r="CH75" s="179"/>
      <c r="CI75" s="133"/>
      <c r="CK75" s="693"/>
      <c r="CO75" s="133"/>
      <c r="CP75" s="133"/>
      <c r="CQ75" s="133"/>
      <c r="CR75" s="179"/>
      <c r="CS75" s="179"/>
      <c r="CT75" s="179"/>
      <c r="CU75" s="179"/>
      <c r="CV75" s="179"/>
      <c r="CW75" s="133"/>
      <c r="CY75" s="693"/>
      <c r="DC75" s="133"/>
      <c r="DD75" s="133"/>
      <c r="DE75" s="133"/>
      <c r="DF75" s="179"/>
      <c r="DG75" s="179"/>
      <c r="DH75" s="179"/>
      <c r="DI75" s="179"/>
      <c r="DJ75" s="179"/>
      <c r="DK75" s="133"/>
      <c r="DL75" s="469">
        <f>(DL79*$W79+DL83*$W83+DL89*$W89+DL93*$W93+DL97*$W97)/($W79+$W83+$W89+$W93+$W97)</f>
        <v>2.2981160211918827</v>
      </c>
      <c r="DM75" s="469">
        <f>(DM79*$W79+DM83*$W83+DM89*$W89+DM93*$W93+DM97*$W97)/($W79+$W83+$W89+$W93+$W97)</f>
        <v>2.2981160211918827</v>
      </c>
      <c r="DN75" s="54">
        <f>10^3*DM75/(($W79*$OB79+$W83*$OB83+$W89*$OB89+$W93*$OB93+$W97*$OB97)/($W79+$W83+$W89+$W93+$W97))</f>
        <v>62.111243815996829</v>
      </c>
      <c r="DQ75" s="133"/>
      <c r="DR75" s="133"/>
      <c r="DS75" s="133"/>
      <c r="DY75" s="133"/>
      <c r="EA75" s="179"/>
      <c r="EE75" s="133"/>
      <c r="EF75" s="133"/>
      <c r="EG75" s="133"/>
      <c r="EM75" s="133"/>
      <c r="EO75" s="179"/>
      <c r="ES75" s="133"/>
      <c r="ET75" s="133"/>
      <c r="EU75" s="133"/>
      <c r="FA75" s="133"/>
      <c r="FF75" s="693"/>
      <c r="FH75" s="133"/>
      <c r="FK75" s="133"/>
      <c r="FR75" s="133"/>
      <c r="FT75" s="693"/>
      <c r="FV75" s="133"/>
      <c r="FY75" s="133"/>
      <c r="GF75" s="133"/>
      <c r="GH75" s="693"/>
      <c r="GJ75" s="133"/>
      <c r="GM75" s="133"/>
      <c r="GT75" s="133"/>
      <c r="GU75" s="133"/>
      <c r="GV75" s="133"/>
      <c r="GW75" s="133"/>
      <c r="GX75" s="133"/>
      <c r="GY75" s="179">
        <f>(GY79*$W79+GY83*$W83+GY89*$W89+GY93*$W93+GY97*$W97)/($W79+$W83+$W89+$W93+$W97)</f>
        <v>1.0684117778794353</v>
      </c>
      <c r="GZ75" s="179">
        <f>(GZ79*$W79+GZ83*$W83+GZ89*$W89+GZ93*$W93+GZ97*$W97)/($W79+$W83+$W89+$W93+$W97)</f>
        <v>1.0684117778794353</v>
      </c>
      <c r="HA75" s="662">
        <f>10^3*GZ75/(($W79*$OB79+$W83*$OB83+$W89*$OB89+$W93*$OB93+$W97*$OB97)/($W79+$W83+$W89+$W93+$W97))</f>
        <v>28.875993996741492</v>
      </c>
      <c r="HB75" s="133"/>
      <c r="HC75" s="133"/>
      <c r="HD75" s="133"/>
      <c r="HE75" s="133"/>
      <c r="HF75" s="133"/>
      <c r="HG75" s="133"/>
      <c r="HH75" s="133"/>
      <c r="HI75" s="133"/>
      <c r="HJ75" s="133"/>
      <c r="HK75" s="133"/>
      <c r="HL75" s="133"/>
      <c r="HM75" s="179">
        <f>(HM79*$W79+HM83*$W83+HM89*$W89+HM93*$W93+HM97*$W97)/($W79+$W83+$W89+$W93+$W97)</f>
        <v>1.0972329380184196</v>
      </c>
      <c r="HN75" s="179">
        <f>(HN79*$W79+HN83*$W83+HN89*$W89+HN93*$W93+HN97*$W97)/($W79+$W83+$W89+$W93+$W97)</f>
        <v>1.0972329380184196</v>
      </c>
      <c r="HO75" s="474">
        <f>10^3*HN75/(($W79*$OB79+$W83*$OB83+$W89*$OB89+$W93*$OB93+$W97*$OB97)/($W79+$W83+$W89+$W93+$W97))</f>
        <v>29.654944270768098</v>
      </c>
      <c r="HP75" s="133"/>
      <c r="HQ75" s="133"/>
      <c r="HR75" s="133"/>
      <c r="HS75" s="133"/>
      <c r="HT75" s="133"/>
      <c r="HU75" s="133"/>
      <c r="HV75" s="133"/>
      <c r="HW75" s="133"/>
      <c r="HX75" s="133"/>
      <c r="HY75" s="133"/>
      <c r="HZ75" s="133"/>
      <c r="IA75" s="179">
        <f>(I79*$W79+I83*$W83+I89*$W89+I93*$W93+I97*$W97)/($W79+$W83+$W89+$W93+$W97)</f>
        <v>0</v>
      </c>
      <c r="IB75" s="179">
        <f>(IB79*$W79+IB83*$W83+IB89*$W89+IB93*$W93+IB97*$W97)/($W79+$W83+$W89+$W93+$W97)</f>
        <v>0.1710164800828444</v>
      </c>
      <c r="IC75" s="474">
        <f>10^3*IB75/(($W79*$OB79+$W83*$OB83+$W89*$OB89+$W93*$OB93+$W97*$OB97)/($W79+$W83+$W89+$W93+$W97))</f>
        <v>4.6220670292660646</v>
      </c>
      <c r="ID75" s="133"/>
      <c r="IE75" s="133"/>
      <c r="IF75" s="133"/>
      <c r="IG75" s="133"/>
      <c r="IH75" s="133"/>
      <c r="II75" s="133"/>
      <c r="IJ75" s="133"/>
      <c r="IK75" s="133"/>
      <c r="IL75" s="133"/>
      <c r="IM75" s="133"/>
      <c r="IN75" s="133"/>
      <c r="IO75" s="97"/>
      <c r="IP75" s="97"/>
      <c r="IQ75" s="97"/>
      <c r="IR75" s="97"/>
      <c r="IS75" s="97"/>
      <c r="IT75" s="97"/>
      <c r="IU75" s="97"/>
      <c r="IV75" s="179">
        <f>(IV79*$W79+IV83*$W83+IV89*$W89+IV93*$W93+IV97*$W97)/($W79+$W83+$W89+$W93+$W97)</f>
        <v>1.2960968347280932</v>
      </c>
      <c r="IW75" s="179">
        <f>(IW79*$W79+IW83*$W83+IW89*$W89+IW93*$W93+IW97*$W97)/($W79+$W83+$W89+$W93+$W97)</f>
        <v>1.2960968347280932</v>
      </c>
      <c r="IX75" s="662">
        <f>10^3*IW75/(($W79*$OB79+$W83*$OB83+$W89*$OB89+$W93*$OB93+$W97*$OB97)/($W79+$W83+$W89+$W93+$W97))</f>
        <v>35.029644181840354</v>
      </c>
      <c r="IY75" s="133"/>
      <c r="IZ75" s="133"/>
      <c r="JA75" s="133"/>
      <c r="JB75" s="133"/>
      <c r="JC75" s="133"/>
      <c r="JD75" s="133"/>
      <c r="JE75" s="133"/>
      <c r="JF75" s="133"/>
      <c r="JG75" s="133"/>
      <c r="JH75" s="133"/>
      <c r="JI75" s="133"/>
      <c r="JJ75" s="133"/>
      <c r="JL75" s="133"/>
      <c r="JM75" s="133"/>
      <c r="JN75" s="133"/>
      <c r="JO75" s="133"/>
      <c r="JP75" s="133"/>
      <c r="JQ75" s="133">
        <f>JQ78*C79</f>
        <v>0.28930476109890108</v>
      </c>
      <c r="JR75" s="133"/>
      <c r="JS75" s="133"/>
      <c r="JT75" s="133"/>
      <c r="JU75" s="133"/>
      <c r="JV75" s="133"/>
      <c r="JW75" s="133"/>
      <c r="JX75" s="133"/>
      <c r="JY75" s="133"/>
      <c r="JZ75" s="133"/>
      <c r="KA75" s="133"/>
      <c r="KB75" s="133"/>
      <c r="KC75" s="133"/>
      <c r="KD75" s="133"/>
      <c r="KE75" s="133"/>
      <c r="KF75" s="133"/>
      <c r="KG75" s="133"/>
      <c r="KH75" s="133"/>
      <c r="KI75" s="133"/>
      <c r="KJ75" s="133"/>
      <c r="KK75" s="133"/>
      <c r="KL75" s="133"/>
      <c r="KM75" s="133"/>
      <c r="KN75" s="133"/>
      <c r="KO75" s="133"/>
      <c r="KP75" s="133"/>
      <c r="KQ75" s="133"/>
      <c r="KR75" s="133"/>
      <c r="KS75" s="133"/>
      <c r="KT75" s="133"/>
      <c r="KU75" s="133"/>
      <c r="KV75" s="133"/>
      <c r="KW75" s="133"/>
      <c r="KX75" s="133"/>
      <c r="KY75" s="133"/>
      <c r="KZ75" s="133"/>
      <c r="LA75" s="133"/>
      <c r="LB75" s="133"/>
      <c r="LC75" s="133"/>
      <c r="LD75" s="133"/>
      <c r="LE75" s="133"/>
      <c r="LF75" s="133"/>
      <c r="LG75" s="133"/>
      <c r="LH75" s="133"/>
      <c r="LI75" s="133"/>
      <c r="LJ75" s="133"/>
      <c r="LK75" s="133"/>
      <c r="LL75" s="133"/>
      <c r="LM75" s="133"/>
      <c r="LN75" s="133"/>
      <c r="LO75" s="133"/>
      <c r="LP75" s="133"/>
      <c r="LQ75" s="133"/>
      <c r="LR75" s="133"/>
      <c r="LS75" s="133"/>
      <c r="LT75" s="133"/>
      <c r="LU75" s="133"/>
      <c r="LV75" s="133"/>
      <c r="LW75" s="133"/>
      <c r="LX75" s="133"/>
      <c r="LY75" s="133"/>
      <c r="LZ75" s="133"/>
      <c r="MA75" s="133"/>
      <c r="MB75" s="133"/>
      <c r="MC75" s="133"/>
      <c r="MD75" s="133"/>
      <c r="ME75" s="133"/>
      <c r="MF75" s="133"/>
      <c r="MG75" s="133"/>
      <c r="MH75" s="133"/>
      <c r="MI75" s="133"/>
      <c r="MJ75" s="133"/>
      <c r="MK75" s="133"/>
      <c r="ML75" s="133"/>
      <c r="MM75" s="133"/>
      <c r="MN75" s="133"/>
      <c r="MO75" s="133"/>
      <c r="MP75" s="133"/>
      <c r="MQ75" s="133"/>
      <c r="MR75" s="133"/>
      <c r="MS75" s="133"/>
      <c r="MT75" s="133"/>
      <c r="MU75" s="133"/>
      <c r="MV75" s="133"/>
      <c r="MW75" s="133"/>
      <c r="MX75" s="133"/>
      <c r="MY75" s="133"/>
      <c r="MZ75" s="133"/>
      <c r="NA75" s="133"/>
      <c r="NB75" s="133"/>
      <c r="NC75" s="133"/>
      <c r="ND75" s="133"/>
      <c r="NE75" s="133"/>
      <c r="NF75" s="133"/>
      <c r="NG75" s="133"/>
      <c r="NH75" s="133"/>
      <c r="NI75" s="133"/>
      <c r="NJ75" s="133"/>
      <c r="NK75" s="133"/>
      <c r="NL75" s="133"/>
      <c r="NM75" s="133"/>
      <c r="NN75" s="133"/>
      <c r="NO75" s="133"/>
      <c r="NP75" s="133"/>
      <c r="NQ75" s="133"/>
      <c r="NR75" s="133"/>
      <c r="NS75" s="133"/>
      <c r="OB75" s="693"/>
      <c r="RU75" s="179"/>
      <c r="RV75" s="179"/>
      <c r="RW75" s="179"/>
      <c r="RX75" s="179"/>
      <c r="RY75" s="179"/>
      <c r="RZ75" s="179"/>
    </row>
    <row r="76" spans="1:494" x14ac:dyDescent="0.25">
      <c r="A76" s="54" t="s">
        <v>352</v>
      </c>
      <c r="B76" s="69">
        <f>V76/T25</f>
        <v>0.50882266305337143</v>
      </c>
      <c r="V76" s="688">
        <f>V80+V85+V90+V94+V98+V155</f>
        <v>222.74605051670466</v>
      </c>
      <c r="W76" s="474">
        <f>W80+W85+W90+W94+W98+W155</f>
        <v>204.46510521410704</v>
      </c>
      <c r="X76" s="474"/>
      <c r="Y76" s="179">
        <f>Y80+Y85+Y90+Y94+Y98+Y155</f>
        <v>3.983247863834797</v>
      </c>
      <c r="Z76" s="474"/>
      <c r="AA76" s="474">
        <f>AA80+AA85+AA90+AA94+AA98+AA155</f>
        <v>96.683671323526127</v>
      </c>
      <c r="AB76" s="474"/>
      <c r="AE76" s="115"/>
      <c r="AF76" s="115"/>
      <c r="AG76" s="115"/>
      <c r="AH76" s="115"/>
      <c r="AI76" s="115"/>
      <c r="AJ76" s="115"/>
      <c r="AL76" s="74"/>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c r="BS76" s="115"/>
      <c r="BT76" s="115"/>
      <c r="BU76" s="115"/>
      <c r="BW76" s="26"/>
      <c r="CA76" s="74"/>
      <c r="CB76" s="74"/>
      <c r="CC76" s="74"/>
      <c r="CD76" s="115"/>
      <c r="CE76" s="115"/>
      <c r="CF76" s="115"/>
      <c r="CG76" s="115"/>
      <c r="CH76" s="115"/>
      <c r="CI76" s="74"/>
      <c r="CK76" s="26"/>
      <c r="CX76" s="37"/>
      <c r="CY76" s="26"/>
      <c r="CZ76" s="37"/>
      <c r="DA76" s="37"/>
      <c r="DB76" s="37"/>
      <c r="DF76" s="115"/>
      <c r="DG76" s="115"/>
      <c r="DH76" s="115"/>
      <c r="DI76" s="115"/>
      <c r="DJ76" s="115"/>
      <c r="DL76" s="37"/>
      <c r="DM76" s="115"/>
      <c r="DN76" s="37"/>
      <c r="DO76" s="37"/>
      <c r="DP76" s="37"/>
      <c r="DT76" s="37"/>
      <c r="DU76" s="37"/>
      <c r="DV76" s="37"/>
      <c r="DW76" s="37"/>
      <c r="DX76" s="37"/>
      <c r="EA76" s="115"/>
      <c r="EN76" s="37"/>
      <c r="EO76" s="115"/>
      <c r="EP76" s="37"/>
      <c r="EQ76" s="37"/>
      <c r="ER76" s="37"/>
      <c r="EV76" s="37"/>
      <c r="EW76" s="37"/>
      <c r="EX76" s="37"/>
      <c r="EY76" s="37"/>
      <c r="EZ76" s="37"/>
      <c r="FF76" s="26"/>
      <c r="FH76" s="74"/>
      <c r="FK76" s="74"/>
      <c r="FR76" s="74"/>
      <c r="FT76" s="26"/>
      <c r="FZ76" s="37"/>
      <c r="GH76" s="26"/>
      <c r="GJ76" s="74"/>
      <c r="GM76" s="74"/>
      <c r="GT76" s="74"/>
      <c r="GU76" s="74"/>
      <c r="GV76" s="74"/>
      <c r="GW76" s="74"/>
      <c r="GX76" s="74"/>
      <c r="HB76" s="74"/>
      <c r="HD76" s="74"/>
      <c r="HE76" s="74"/>
      <c r="HF76" s="74"/>
      <c r="HG76" s="74"/>
      <c r="HH76" s="74"/>
      <c r="HI76" s="74"/>
      <c r="HJ76" s="74"/>
      <c r="HK76" s="74"/>
      <c r="HL76" s="74"/>
      <c r="IA76" s="133"/>
      <c r="IB76" s="133"/>
      <c r="IC76" s="133"/>
      <c r="IE76" s="133"/>
      <c r="IO76" s="430"/>
      <c r="IP76" s="430"/>
      <c r="IQ76" s="430"/>
      <c r="IR76" s="430"/>
      <c r="IS76" s="430"/>
      <c r="IT76" s="430"/>
      <c r="IU76" s="430"/>
      <c r="JQ76" s="643"/>
      <c r="OB76" s="26"/>
      <c r="OD76" s="57">
        <f>AA76/W76</f>
        <v>0.47286147542038115</v>
      </c>
    </row>
    <row r="77" spans="1:494" x14ac:dyDescent="0.25">
      <c r="AE77" s="115"/>
      <c r="AF77" s="115"/>
      <c r="AG77" s="115"/>
      <c r="AH77" s="115"/>
      <c r="AI77" s="115"/>
      <c r="AJ77" s="115"/>
      <c r="AL77" s="74"/>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c r="BS77" s="115"/>
      <c r="BT77" s="115"/>
      <c r="BU77" s="115"/>
      <c r="BW77" s="26"/>
      <c r="CA77" s="74"/>
      <c r="CB77" s="74"/>
      <c r="CC77" s="74"/>
      <c r="CD77" s="115"/>
      <c r="CE77" s="115"/>
      <c r="CF77" s="115"/>
      <c r="CG77" s="115"/>
      <c r="CH77" s="115"/>
      <c r="CI77" s="74"/>
      <c r="CK77" s="26"/>
      <c r="CX77" s="37"/>
      <c r="CY77" s="26"/>
      <c r="CZ77" s="37"/>
      <c r="DA77" s="37"/>
      <c r="DB77" s="37"/>
      <c r="DF77" s="115"/>
      <c r="DG77" s="115"/>
      <c r="DH77" s="115"/>
      <c r="DI77" s="115"/>
      <c r="DJ77" s="115"/>
      <c r="DL77" s="37"/>
      <c r="DM77" s="115"/>
      <c r="DN77" s="37"/>
      <c r="DO77" s="37"/>
      <c r="DP77" s="37"/>
      <c r="DT77" s="37"/>
      <c r="DU77" s="37"/>
      <c r="DV77" s="37"/>
      <c r="DW77" s="37"/>
      <c r="DX77" s="37"/>
      <c r="EA77" s="115"/>
      <c r="EN77" s="37"/>
      <c r="EO77" s="115"/>
      <c r="EP77" s="37"/>
      <c r="EQ77" s="37"/>
      <c r="ER77" s="37"/>
      <c r="EV77" s="37"/>
      <c r="EW77" s="37"/>
      <c r="EX77" s="37"/>
      <c r="EY77" s="37"/>
      <c r="EZ77" s="37"/>
      <c r="FF77" s="26"/>
      <c r="FH77" s="74"/>
      <c r="FK77" s="74"/>
      <c r="FR77" s="74"/>
      <c r="FT77" s="26"/>
      <c r="FZ77" s="37"/>
      <c r="GH77" s="26"/>
      <c r="GJ77" s="74"/>
      <c r="GM77" s="74"/>
      <c r="GT77" s="74"/>
      <c r="GU77" s="74"/>
      <c r="GV77" s="74"/>
      <c r="GW77" s="74"/>
      <c r="GX77" s="74"/>
      <c r="GY77" s="74"/>
      <c r="GZ77" s="74"/>
      <c r="HA77" s="74"/>
      <c r="HB77" s="74"/>
      <c r="HC77" s="74"/>
      <c r="HD77" s="74"/>
      <c r="HE77" s="74"/>
      <c r="HF77" s="74"/>
      <c r="HG77" s="74"/>
      <c r="HH77" s="74"/>
      <c r="HI77" s="74"/>
      <c r="HJ77" s="74"/>
      <c r="HK77" s="74"/>
      <c r="HL77" s="74"/>
      <c r="HM77" s="74"/>
      <c r="HN77" s="74"/>
      <c r="HO77" s="74"/>
      <c r="HQ77" s="74"/>
      <c r="IO77" s="149"/>
      <c r="IP77" s="149"/>
      <c r="IQ77" s="149"/>
      <c r="IR77" s="149"/>
      <c r="IS77" s="149"/>
      <c r="IT77" s="149"/>
      <c r="IU77" s="149"/>
      <c r="IW77" s="37"/>
      <c r="IX77" s="37"/>
      <c r="IY77" s="37"/>
      <c r="IZ77" s="37"/>
      <c r="JA77" s="37"/>
      <c r="JB77" s="37"/>
      <c r="JC77" s="37"/>
      <c r="JD77" s="37"/>
      <c r="JE77" s="37"/>
      <c r="JF77" s="37"/>
      <c r="JI77" s="37"/>
      <c r="JM77" s="74"/>
      <c r="JN77" s="74"/>
      <c r="JO77" s="74"/>
      <c r="JQ77" s="179"/>
      <c r="JR77" s="133"/>
      <c r="JS77" s="723"/>
      <c r="JT77" s="133"/>
      <c r="JU77" s="723"/>
      <c r="KD77" s="74"/>
      <c r="KE77" s="74"/>
      <c r="KF77" s="74"/>
      <c r="KG77" s="74"/>
      <c r="KH77" s="74"/>
      <c r="KI77" s="74"/>
      <c r="KJ77" s="74"/>
      <c r="KK77" s="74"/>
      <c r="KL77" s="74"/>
      <c r="KM77" s="74"/>
      <c r="KN77" s="74"/>
      <c r="KO77" s="74"/>
      <c r="KP77" s="74"/>
      <c r="KQ77" s="74"/>
      <c r="KR77" s="74"/>
      <c r="KS77" s="74"/>
      <c r="OB77" s="26"/>
      <c r="RK77" s="37"/>
      <c r="RL77" s="37"/>
      <c r="RU77" s="115"/>
      <c r="RV77" s="115"/>
      <c r="RW77" s="115"/>
      <c r="RX77" s="115"/>
      <c r="RY77" s="115"/>
      <c r="RZ77" s="115"/>
    </row>
    <row r="78" spans="1:494" x14ac:dyDescent="0.25">
      <c r="A78" s="9" t="s">
        <v>126</v>
      </c>
      <c r="AE78" s="115"/>
      <c r="AF78" s="115"/>
      <c r="AG78" s="115"/>
      <c r="AH78" s="115"/>
      <c r="AI78" s="115"/>
      <c r="AJ78" s="115"/>
      <c r="AL78" s="74"/>
      <c r="AO78" s="115"/>
      <c r="AP78" s="115"/>
      <c r="AQ78" s="115"/>
      <c r="AR78" s="115"/>
      <c r="AS78" s="115"/>
      <c r="AT78" s="115"/>
      <c r="AU78" s="115"/>
      <c r="AV78" s="115"/>
      <c r="AW78" s="115"/>
      <c r="AX78" s="115"/>
      <c r="AY78" s="115"/>
      <c r="AZ78" s="115"/>
      <c r="BA78" s="115"/>
      <c r="BB78" s="115"/>
      <c r="BC78" s="115"/>
      <c r="BD78" s="115"/>
      <c r="BE78" s="115"/>
      <c r="BF78" s="115"/>
      <c r="BG78" s="115"/>
      <c r="BH78" s="115"/>
      <c r="BI78" s="115"/>
      <c r="BJ78" s="115"/>
      <c r="BK78" s="115"/>
      <c r="BL78" s="115"/>
      <c r="BM78" s="115"/>
      <c r="BN78" s="115"/>
      <c r="BO78" s="115"/>
      <c r="BP78" s="115"/>
      <c r="BQ78" s="115"/>
      <c r="BR78" s="115"/>
      <c r="BS78" s="115"/>
      <c r="BT78" s="115"/>
      <c r="BU78" s="115"/>
      <c r="BW78" s="26"/>
      <c r="CA78" s="74"/>
      <c r="CB78" s="74"/>
      <c r="CC78" s="74"/>
      <c r="CD78" s="115"/>
      <c r="CE78" s="115"/>
      <c r="CF78" s="115"/>
      <c r="CG78" s="115"/>
      <c r="CH78" s="115"/>
      <c r="CI78" s="74"/>
      <c r="CK78" s="26"/>
      <c r="CX78" s="37"/>
      <c r="CY78" s="26"/>
      <c r="CZ78" s="37"/>
      <c r="DA78" s="37"/>
      <c r="DB78" s="37"/>
      <c r="DF78" s="115"/>
      <c r="DG78" s="115"/>
      <c r="DH78" s="115"/>
      <c r="DI78" s="115"/>
      <c r="DJ78" s="115"/>
      <c r="DL78" s="37"/>
      <c r="DM78" s="115"/>
      <c r="DN78" s="37"/>
      <c r="DO78" s="37"/>
      <c r="DP78" s="37"/>
      <c r="DT78" s="37"/>
      <c r="DU78" s="37"/>
      <c r="DV78" s="37"/>
      <c r="DW78" s="37"/>
      <c r="DX78" s="37"/>
      <c r="EA78" s="115"/>
      <c r="EN78" s="37"/>
      <c r="EO78" s="115"/>
      <c r="EP78" s="37"/>
      <c r="EQ78" s="37"/>
      <c r="ER78" s="37"/>
      <c r="EV78" s="37"/>
      <c r="EW78" s="37"/>
      <c r="EX78" s="37"/>
      <c r="EY78" s="37"/>
      <c r="EZ78" s="37"/>
      <c r="FF78" s="26"/>
      <c r="FH78" s="74"/>
      <c r="FK78" s="74"/>
      <c r="FR78" s="74"/>
      <c r="FT78" s="26"/>
      <c r="FZ78" s="37"/>
      <c r="GH78" s="26"/>
      <c r="GJ78" s="74"/>
      <c r="GM78" s="74"/>
      <c r="GT78" s="74"/>
      <c r="GU78" s="74"/>
      <c r="GV78" s="74"/>
      <c r="GW78" s="74"/>
      <c r="GX78" s="55">
        <f>GX79+GX80</f>
        <v>31.175873242358854</v>
      </c>
      <c r="HB78" s="74"/>
      <c r="HD78" s="74"/>
      <c r="HE78" s="74"/>
      <c r="HF78" s="74"/>
      <c r="HG78" s="74"/>
      <c r="HH78" s="74"/>
      <c r="HI78" s="74"/>
      <c r="HJ78" s="74"/>
      <c r="HK78" s="74"/>
      <c r="HL78" s="74"/>
      <c r="IA78" s="133"/>
      <c r="IB78" s="133"/>
      <c r="IC78" s="133"/>
      <c r="IE78" s="133"/>
      <c r="IO78" s="68">
        <f>IP78+IQ78+IR78+IS78+IT78+IU78</f>
        <v>77.040554947912085</v>
      </c>
      <c r="IP78" s="97">
        <f>JS78*$W79</f>
        <v>47.103193027186812</v>
      </c>
      <c r="IQ78" s="97">
        <f>JU78*$W79</f>
        <v>1.8971923207252759</v>
      </c>
      <c r="IR78" s="97">
        <f>JX78*$W79</f>
        <v>0.47072880000000011</v>
      </c>
      <c r="IS78" s="97">
        <f>KB78*$W79</f>
        <v>25.826472000000003</v>
      </c>
      <c r="IT78" s="97">
        <f>KF78*$W79</f>
        <v>0.21628080000000005</v>
      </c>
      <c r="IU78" s="97">
        <f>KH78*$W79</f>
        <v>1.526688</v>
      </c>
      <c r="JK78" s="115">
        <f>JM78+JN78+JO78</f>
        <v>2.2526478054945054</v>
      </c>
      <c r="JL78" s="679">
        <f>10^3*JK78/NY79</f>
        <v>60.55504853479853</v>
      </c>
      <c r="JM78" s="179">
        <f>JS78+KB78</f>
        <v>2.1324463458241758</v>
      </c>
      <c r="JN78" s="179">
        <f>JU78+KF78</f>
        <v>6.17974596703297E-2</v>
      </c>
      <c r="JO78" s="179">
        <f>JX78+KH78</f>
        <v>5.8403999999999998E-2</v>
      </c>
      <c r="JP78" s="469">
        <f>JK78*C79</f>
        <v>0.45052956109890108</v>
      </c>
      <c r="JQ78" s="115">
        <f>JR78*$NY79/10^3</f>
        <v>1.4465238054945053</v>
      </c>
      <c r="JR78" s="115">
        <f>JT78+JV78+JY78</f>
        <v>38.885048534798528</v>
      </c>
      <c r="JS78" s="680">
        <f>'Crops; pasture DISCOUNTED'!KF38/C79</f>
        <v>1.3772863458241758</v>
      </c>
      <c r="JT78" s="73">
        <f>10^3*JS78/$NY79</f>
        <v>37.023826500649882</v>
      </c>
      <c r="JU78" s="724">
        <f>'Crops; pasture DISCOUNTED'!KD38/C79</f>
        <v>5.5473459670329697E-2</v>
      </c>
      <c r="JV78" s="115">
        <f>10^3*JU78/$NY79</f>
        <v>1.4912220341486475</v>
      </c>
      <c r="JW78" s="115">
        <f>10^3*JU78/'Discounting metrics'!$B$6</f>
        <v>0.18615254922929428</v>
      </c>
      <c r="JX78" s="127">
        <f>JY78*$NY79/10^3</f>
        <v>1.3764000000000002E-2</v>
      </c>
      <c r="JY78" s="84">
        <v>0.37</v>
      </c>
      <c r="JZ78" s="127">
        <f>KB78+KF78+KH78</f>
        <v>0.80612400000000006</v>
      </c>
      <c r="KA78" s="73">
        <f>KC78+KG78+KI78</f>
        <v>21.67</v>
      </c>
      <c r="KB78" s="115">
        <f>KC78*$NY79/10^3</f>
        <v>0.75516000000000005</v>
      </c>
      <c r="KC78" s="80">
        <v>20.3</v>
      </c>
      <c r="KD78" s="725">
        <v>2</v>
      </c>
      <c r="KE78" s="474">
        <f>KC78/KD78</f>
        <v>10.15</v>
      </c>
      <c r="KF78" s="127">
        <f>KG78*$NY79/10^3</f>
        <v>6.3240000000000006E-3</v>
      </c>
      <c r="KG78" s="84">
        <v>0.17</v>
      </c>
      <c r="KH78" s="127">
        <f>KI78*$NY79/10^3</f>
        <v>4.4639999999999999E-2</v>
      </c>
      <c r="KI78" s="84">
        <v>1.2</v>
      </c>
      <c r="OB78" s="26"/>
    </row>
    <row r="79" spans="1:494" x14ac:dyDescent="0.25">
      <c r="A79" s="37" t="s">
        <v>124</v>
      </c>
      <c r="B79" s="53">
        <f>C79*NT26/NT79</f>
        <v>0.18200000000000002</v>
      </c>
      <c r="C79" s="90">
        <v>0.2</v>
      </c>
      <c r="D79" s="722">
        <f>C79*NW79/NW26</f>
        <v>0.33446808510638293</v>
      </c>
      <c r="E79" s="104"/>
      <c r="F79" s="104"/>
      <c r="G79" s="104"/>
      <c r="H79" s="104"/>
      <c r="I79" s="104"/>
      <c r="J79" s="104"/>
      <c r="K79" s="104"/>
      <c r="L79" s="104"/>
      <c r="M79" s="104"/>
      <c r="N79" s="69"/>
      <c r="V79" s="55">
        <f>W79/NT79</f>
        <v>34.200000000000003</v>
      </c>
      <c r="W79" s="726">
        <v>34.200000000000003</v>
      </c>
      <c r="X79" s="66"/>
      <c r="Y79" s="37">
        <f>W79*NW79/10^3</f>
        <v>1.34406</v>
      </c>
      <c r="Z79" s="26">
        <f>W79*OB79/10^3</f>
        <v>1.2654000000000001</v>
      </c>
      <c r="AE79" s="115">
        <f>AB$26*$AN79/$C79</f>
        <v>7.694319013603887</v>
      </c>
      <c r="AF79" s="115"/>
      <c r="AG79" s="115">
        <f>AC$26*$AN79/$C79</f>
        <v>7.7347484340972272</v>
      </c>
      <c r="AH79" s="115"/>
      <c r="AI79" s="115">
        <f>AD$26*$AN79/$C79</f>
        <v>6.9729929064967422</v>
      </c>
      <c r="AJ79" s="115"/>
      <c r="AK79" s="722">
        <f>Y79/(Y79+Y80)</f>
        <v>0.33503836317135549</v>
      </c>
      <c r="AL79" s="164">
        <v>0.96699999999999997</v>
      </c>
      <c r="AM79" s="69">
        <f>V79*AL79/(V79*AL79+V80*AL80)</f>
        <v>0.35791184564136397</v>
      </c>
      <c r="AN79" s="40">
        <f t="shared" ref="AN79:AN80" si="26">AK79</f>
        <v>0.33503836317135549</v>
      </c>
      <c r="AO79" s="115"/>
      <c r="AP79" s="115"/>
      <c r="AQ79" s="115"/>
      <c r="AR79" s="115"/>
      <c r="AS79" s="115"/>
      <c r="AT79" s="115"/>
      <c r="AU79" s="115"/>
      <c r="AV79" s="115"/>
      <c r="AW79" s="115"/>
      <c r="AX79" s="115"/>
      <c r="AY79" s="115"/>
      <c r="AZ79" s="115"/>
      <c r="BA79" s="115"/>
      <c r="BB79" s="115"/>
      <c r="BC79" s="115"/>
      <c r="BD79" s="115"/>
      <c r="BE79" s="115"/>
      <c r="BF79" s="115"/>
      <c r="BG79" s="115"/>
      <c r="BH79" s="115"/>
      <c r="BI79" s="115"/>
      <c r="BJ79" s="115"/>
      <c r="BK79" s="115"/>
      <c r="BL79" s="115"/>
      <c r="BM79" s="115"/>
      <c r="BN79" s="115"/>
      <c r="BO79" s="115"/>
      <c r="BP79" s="115"/>
      <c r="BQ79" s="115"/>
      <c r="BR79" s="115"/>
      <c r="BS79" s="115"/>
      <c r="BT79" s="115"/>
      <c r="BU79" s="115"/>
      <c r="BV79" s="26">
        <f>BW79*$NT79</f>
        <v>2.8553902017599597</v>
      </c>
      <c r="BW79" s="115">
        <f>BP$26*$AN79/$C79</f>
        <v>2.8553902017599597</v>
      </c>
      <c r="BX79" s="677">
        <f>10^3*BW79/$OB79</f>
        <v>77.172708155674584</v>
      </c>
      <c r="BZ79" s="73">
        <f>10^3*BW79/$NW79</f>
        <v>72.65623923053333</v>
      </c>
      <c r="CA79" s="73"/>
      <c r="CB79" s="73"/>
      <c r="CC79" s="73"/>
      <c r="CD79" s="115"/>
      <c r="CE79" s="115"/>
      <c r="CF79" s="115"/>
      <c r="CG79" s="115"/>
      <c r="CH79" s="115"/>
      <c r="CI79" s="73"/>
      <c r="CJ79" s="26">
        <f>CK79*$NT79</f>
        <v>2.8826360501339585</v>
      </c>
      <c r="CK79" s="115">
        <f>BQ$26*$AN79/$C79</f>
        <v>2.8826360501339585</v>
      </c>
      <c r="CL79" s="677">
        <f>10^3*CK79/$OB79</f>
        <v>77.909082436052941</v>
      </c>
      <c r="CN79" s="73">
        <f>10^3*CK79/$NW79</f>
        <v>73.349517815113458</v>
      </c>
      <c r="CO79" s="73"/>
      <c r="CP79" s="73"/>
      <c r="CQ79" s="73"/>
      <c r="CW79" s="73"/>
      <c r="CX79" s="26">
        <f>CY79*$NT79</f>
        <v>2.3692802970759406</v>
      </c>
      <c r="CY79" s="115">
        <f>BR$26*$AN79/$C79</f>
        <v>2.3692802970759406</v>
      </c>
      <c r="CZ79" s="677">
        <f>10^3*CY79/$OB79</f>
        <v>64.034602623674076</v>
      </c>
      <c r="DA79" s="37"/>
      <c r="DB79" s="73">
        <f>10^3*CY79/$NW79</f>
        <v>60.287030459947609</v>
      </c>
      <c r="DC79" s="73"/>
      <c r="DD79" s="73"/>
      <c r="DE79" s="73"/>
      <c r="DF79" s="115"/>
      <c r="DG79" s="115"/>
      <c r="DH79" s="115"/>
      <c r="DI79" s="115"/>
      <c r="DJ79" s="115"/>
      <c r="DK79" s="73"/>
      <c r="DL79" s="26">
        <f>DM79*$NT79</f>
        <v>2.6610157986025293</v>
      </c>
      <c r="DM79" s="115">
        <f>BS$26*$AN79/$C79</f>
        <v>2.6610157986025293</v>
      </c>
      <c r="DN79" s="677">
        <f>10^3*DM79/$OB79</f>
        <v>71.919345908176467</v>
      </c>
      <c r="DO79" s="37"/>
      <c r="DP79" s="73">
        <f>10^3*DM79/$NW79</f>
        <v>67.710325664186499</v>
      </c>
      <c r="DQ79" s="73"/>
      <c r="DR79" s="73"/>
      <c r="DS79" s="73"/>
      <c r="DT79" s="37"/>
      <c r="DU79" s="37"/>
      <c r="DV79" s="37"/>
      <c r="DW79" s="37"/>
      <c r="DX79" s="37"/>
      <c r="DY79" s="73"/>
      <c r="DZ79" s="26">
        <f>EA79*$NT79</f>
        <v>2.6892877754903535</v>
      </c>
      <c r="EA79" s="115">
        <f>BT$26*$AN79/$C79</f>
        <v>2.6892877754903535</v>
      </c>
      <c r="EB79" s="677">
        <f>10^3*EA79/$OB79</f>
        <v>72.683453391631176</v>
      </c>
      <c r="ED79" s="73">
        <f>10^3*EA79/$NW79</f>
        <v>68.429714389067527</v>
      </c>
      <c r="EE79" s="73"/>
      <c r="EF79" s="73"/>
      <c r="EG79" s="73"/>
      <c r="EM79" s="73"/>
      <c r="EN79" s="26">
        <f>EO79*$NT79</f>
        <v>3.6281304347826087</v>
      </c>
      <c r="EO79" s="115">
        <f>BU$26*$AN79/$C79</f>
        <v>3.6281304347826087</v>
      </c>
      <c r="EP79" s="677">
        <f>10^3*EO79/$OB79</f>
        <v>98.057579318448873</v>
      </c>
      <c r="EQ79" s="37"/>
      <c r="ER79" s="73">
        <f>10^3*EO79/$NW79</f>
        <v>92.318840579710141</v>
      </c>
      <c r="ES79" s="73"/>
      <c r="ET79" s="73"/>
      <c r="EU79" s="73"/>
      <c r="EV79" s="37"/>
      <c r="EW79" s="37"/>
      <c r="EX79" s="37"/>
      <c r="EY79" s="37"/>
      <c r="EZ79" s="37"/>
      <c r="FA79" s="73"/>
      <c r="FE79" s="26">
        <f>FF79*$NT79</f>
        <v>5.3344438309449478</v>
      </c>
      <c r="FF79" s="115">
        <f>FB$26*$AN79/$C79</f>
        <v>5.3344438309449478</v>
      </c>
      <c r="FG79" s="562">
        <f>10^3*FF79/$OB79</f>
        <v>144.17415759310671</v>
      </c>
      <c r="FH79" s="73"/>
      <c r="FI79" s="73">
        <f>10^3*FF79/$NW79</f>
        <v>135.73648424796306</v>
      </c>
      <c r="FJ79" s="73"/>
      <c r="FK79" s="73"/>
      <c r="FL79" s="26"/>
      <c r="FR79" s="73"/>
      <c r="FS79" s="26">
        <f>FT79*$NT79</f>
        <v>5.391119658565767</v>
      </c>
      <c r="FT79" s="115">
        <f>FC$26*$AN79/$C79</f>
        <v>5.391119658565767</v>
      </c>
      <c r="FU79" s="562">
        <f>10^3*FT79/$OB79</f>
        <v>145.70593671799369</v>
      </c>
      <c r="FV79" s="73"/>
      <c r="FW79" s="73">
        <f>10^3*FT79/$NW79</f>
        <v>137.17861726630451</v>
      </c>
      <c r="FX79" s="73"/>
      <c r="FY79" s="73"/>
      <c r="FZ79" s="26"/>
      <c r="GF79" s="73"/>
      <c r="GG79" s="26">
        <f>GH79*$NT79</f>
        <v>4.32325560202798</v>
      </c>
      <c r="GH79" s="115">
        <f>FD$26*$AN79/$C79</f>
        <v>4.32325560202798</v>
      </c>
      <c r="GI79" s="562">
        <f>10^3*GH79/$OB79</f>
        <v>116.84474600075622</v>
      </c>
      <c r="GJ79" s="73"/>
      <c r="GK79" s="73">
        <f>10^3*GH79/$NW79</f>
        <v>110.00650386839644</v>
      </c>
      <c r="GL79" s="73"/>
      <c r="GM79" s="73"/>
      <c r="GN79" s="26"/>
      <c r="GT79" s="73"/>
      <c r="GU79" s="73"/>
      <c r="GV79" s="73"/>
      <c r="GW79" s="73"/>
      <c r="GX79" s="68">
        <f>GZ79*$W79</f>
        <v>10.44511354155757</v>
      </c>
      <c r="GY79" s="26">
        <f>GZ79*$NT79</f>
        <v>0.30541267665373006</v>
      </c>
      <c r="GZ79" s="127">
        <f>$AN79*GU$26/C79</f>
        <v>0.30541267665373006</v>
      </c>
      <c r="HA79" s="673">
        <f>10^3*GZ79/$OB79</f>
        <v>8.2543966663170281</v>
      </c>
      <c r="HB79" s="74"/>
      <c r="HC79" s="73">
        <f>10^3*GZ79/$NW79</f>
        <v>7.7713149275758289</v>
      </c>
      <c r="HD79" s="73"/>
      <c r="HE79" s="73"/>
      <c r="HF79" s="73"/>
      <c r="HG79" s="73"/>
      <c r="HH79" s="73"/>
      <c r="HI79" s="73"/>
      <c r="HJ79" s="73"/>
      <c r="HK79" s="73"/>
      <c r="HL79" s="73"/>
      <c r="HM79" s="115">
        <f>HN79*$NT79</f>
        <v>0.30270050091907696</v>
      </c>
      <c r="HN79" s="127">
        <f>$AN79*GV$26/C79</f>
        <v>0.30270050091907696</v>
      </c>
      <c r="HO79" s="73">
        <f>10^3*HN79/$OB79</f>
        <v>8.1810946194345124</v>
      </c>
      <c r="HQ79" s="73">
        <f>10^3*HN79/$NW79</f>
        <v>7.7023028223683703</v>
      </c>
      <c r="HR79" s="73"/>
      <c r="HS79" s="73"/>
      <c r="HT79" s="73"/>
      <c r="HU79" s="73"/>
      <c r="HV79" s="73"/>
      <c r="HW79" s="73"/>
      <c r="HX79" s="73"/>
      <c r="HY79" s="73"/>
      <c r="HZ79" s="73"/>
      <c r="IA79" s="115">
        <f>IB79*$NT79</f>
        <v>0.35380226870316378</v>
      </c>
      <c r="IB79" s="127">
        <f>$AN79*GW$26/C79</f>
        <v>0.35380226870316378</v>
      </c>
      <c r="IC79" s="73">
        <f>10^3*IB79/$OB79</f>
        <v>9.5622234784638867</v>
      </c>
      <c r="IE79" s="73">
        <f>10^3*IB79/$NW79</f>
        <v>9.0026022570779602</v>
      </c>
      <c r="IF79" s="73"/>
      <c r="IG79" s="73"/>
      <c r="IH79" s="73"/>
      <c r="II79" s="73"/>
      <c r="IJ79" s="73"/>
      <c r="IK79" s="73"/>
      <c r="IL79" s="73"/>
      <c r="IM79" s="73"/>
      <c r="IN79" s="73"/>
      <c r="IO79" s="149"/>
      <c r="IP79" s="149"/>
      <c r="IQ79" s="149"/>
      <c r="IR79" s="149"/>
      <c r="IS79" s="149"/>
      <c r="IT79" s="149"/>
      <c r="IU79" s="149"/>
      <c r="IV79" s="335">
        <f>IW79*$NT79</f>
        <v>0.75472343355442506</v>
      </c>
      <c r="IW79" s="127">
        <f>AN79*JK78</f>
        <v>0.75472343355442506</v>
      </c>
      <c r="IX79" s="673">
        <f>10^3*IW79/$OB79</f>
        <v>20.39793063660608</v>
      </c>
      <c r="IY79" s="73"/>
      <c r="IZ79" s="73">
        <f>AN79*JL78</f>
        <v>20.288264342860888</v>
      </c>
      <c r="JA79" s="115"/>
      <c r="JB79" s="115">
        <f>$IW79*JM78/$JK78</f>
        <v>0.71445133325567012</v>
      </c>
      <c r="JC79" s="115">
        <f>$IW79*JN78/$JK78</f>
        <v>2.0704519736095117E-2</v>
      </c>
      <c r="JD79" s="115">
        <f>$IW79*JO78/$JK78</f>
        <v>1.9567580562659847E-2</v>
      </c>
      <c r="JE79" s="115"/>
      <c r="JF79" s="115"/>
      <c r="JG79" s="73"/>
      <c r="JH79" s="73"/>
      <c r="JI79" s="115"/>
      <c r="JJ79" s="73"/>
      <c r="JT79" s="115"/>
      <c r="JW79" s="115"/>
      <c r="KJ79" s="115">
        <f>BW79*44/12+$IW79+$GZ79</f>
        <v>11.529900183328008</v>
      </c>
      <c r="KK79" s="74"/>
      <c r="KL79" s="677">
        <f>10^3*KJ79/$OB79</f>
        <v>311.61892387372995</v>
      </c>
      <c r="KM79" s="74"/>
      <c r="KN79" s="73"/>
      <c r="KO79" s="115"/>
      <c r="KP79" s="115"/>
      <c r="KQ79" s="115"/>
      <c r="KR79" s="115"/>
      <c r="KS79" s="73"/>
      <c r="KT79" s="115">
        <f>CK79*44/12+$IW79+$HN79</f>
        <v>11.627089451631349</v>
      </c>
      <c r="KV79" s="677">
        <f>10^3*KT79/$OB79</f>
        <v>314.2456608549013</v>
      </c>
      <c r="KX79" s="73"/>
      <c r="KY79" s="115"/>
      <c r="KZ79" s="115"/>
      <c r="LA79" s="115"/>
      <c r="LB79" s="115"/>
      <c r="LC79" s="73"/>
      <c r="LD79" s="115">
        <f>CY79*44/12+$IW79+$IB79</f>
        <v>9.7958867915360379</v>
      </c>
      <c r="LF79" s="677">
        <f>10^3*LD79/$OB79</f>
        <v>264.75369706854161</v>
      </c>
      <c r="LH79" s="73"/>
      <c r="LI79" s="115"/>
      <c r="LJ79" s="115"/>
      <c r="LK79" s="115"/>
      <c r="LL79" s="115"/>
      <c r="LM79" s="73"/>
      <c r="LN79" s="115">
        <f>DM79*44/12+$IW79+$GZ79</f>
        <v>10.81719403841743</v>
      </c>
      <c r="LP79" s="677">
        <f>10^3*LN79/$OB79</f>
        <v>292.35659563290352</v>
      </c>
      <c r="LR79" s="73"/>
      <c r="LW79" s="73"/>
      <c r="LX79" s="115">
        <f>EA79*44/12+$IW79+$HN79</f>
        <v>10.918145777938131</v>
      </c>
      <c r="LZ79" s="677">
        <f>10^3*LX79/$OB79</f>
        <v>295.08502102535488</v>
      </c>
      <c r="MB79" s="73"/>
      <c r="MG79" s="73"/>
      <c r="MH79" s="115">
        <f>EO79*44/12+$IW79+$IB79</f>
        <v>14.411670629793822</v>
      </c>
      <c r="MJ79" s="677">
        <f>10^3*MH79/$OB79</f>
        <v>389.50461161604926</v>
      </c>
      <c r="ML79" s="73"/>
      <c r="MQ79" s="73"/>
      <c r="MW79" s="73"/>
      <c r="MX79" s="73"/>
      <c r="MY79" s="73"/>
      <c r="MZ79" s="73"/>
      <c r="NA79" s="73"/>
      <c r="NB79" s="73"/>
      <c r="NC79" s="73"/>
      <c r="ND79" s="73"/>
      <c r="NE79" s="73"/>
      <c r="NF79" s="73"/>
      <c r="NG79" s="73"/>
      <c r="NH79" s="73"/>
      <c r="NI79" s="73"/>
      <c r="NJ79" s="73"/>
      <c r="NK79" s="73"/>
      <c r="NL79" s="73"/>
      <c r="NM79" s="73"/>
      <c r="NN79" s="73"/>
      <c r="NO79" s="73"/>
      <c r="NP79" s="73"/>
      <c r="NQ79" s="73"/>
      <c r="NT79" s="31">
        <v>1</v>
      </c>
      <c r="NU79" s="31"/>
      <c r="NV79" s="32">
        <f>$NT79*NW79</f>
        <v>39.299999999999997</v>
      </c>
      <c r="NW79" s="9">
        <v>39.299999999999997</v>
      </c>
      <c r="NX79" s="9"/>
      <c r="NY79" s="9">
        <v>37.200000000000003</v>
      </c>
      <c r="NZ79" s="9"/>
      <c r="OA79" s="32">
        <f>$NT79*OB79</f>
        <v>37</v>
      </c>
      <c r="OB79" s="43">
        <v>37</v>
      </c>
      <c r="OC79" s="38">
        <f>$NT79*OD79</f>
        <v>0</v>
      </c>
      <c r="OD79" s="31">
        <v>0</v>
      </c>
      <c r="OE79" s="38">
        <f>$NT79*OF79</f>
        <v>1</v>
      </c>
      <c r="OF79" s="31">
        <v>1</v>
      </c>
    </row>
    <row r="80" spans="1:494" x14ac:dyDescent="0.25">
      <c r="A80" s="37" t="s">
        <v>90</v>
      </c>
      <c r="B80" s="468">
        <f>C80*NT26/NT80</f>
        <v>0.79130434782608705</v>
      </c>
      <c r="C80" s="40">
        <f>1-C79</f>
        <v>0.8</v>
      </c>
      <c r="D80" s="722">
        <f>C80*NW80/NW26</f>
        <v>0.66382978723404262</v>
      </c>
      <c r="E80" s="104"/>
      <c r="F80" s="104"/>
      <c r="G80" s="104"/>
      <c r="H80" s="104"/>
      <c r="I80" s="104"/>
      <c r="J80" s="104"/>
      <c r="K80" s="104"/>
      <c r="L80" s="104"/>
      <c r="M80" s="104"/>
      <c r="N80" s="69"/>
      <c r="V80" s="37">
        <f>W80/NT80</f>
        <v>148.69565217391306</v>
      </c>
      <c r="W80" s="37">
        <f>C80/C79*W79</f>
        <v>136.80000000000001</v>
      </c>
      <c r="Y80" s="26">
        <f>W80*NW80/10^3</f>
        <v>2.6676000000000002</v>
      </c>
      <c r="Z80" s="26"/>
      <c r="AA80" s="55">
        <f>W80*OD80</f>
        <v>68.400000000000006</v>
      </c>
      <c r="AB80" s="55"/>
      <c r="AE80" s="115">
        <f>AB$26*$AN80/$C80</f>
        <v>3.8177918769790278</v>
      </c>
      <c r="AF80" s="115"/>
      <c r="AG80" s="115">
        <f>AC$26*$AN80/$C80</f>
        <v>3.8378522764604561</v>
      </c>
      <c r="AH80" s="115"/>
      <c r="AI80" s="115">
        <f>AD$26*$AN80/$C80</f>
        <v>3.4598819765060171</v>
      </c>
      <c r="AJ80" s="115"/>
      <c r="AK80" s="722">
        <f>1-AK79</f>
        <v>0.66496163682864451</v>
      </c>
      <c r="AL80" s="164">
        <v>0.39900000000000002</v>
      </c>
      <c r="AM80" s="69">
        <f>V80*AL80/(V79*AL79+V80*AL80)</f>
        <v>0.64208815435863598</v>
      </c>
      <c r="AN80" s="40">
        <f t="shared" si="26"/>
        <v>0.66496163682864451</v>
      </c>
      <c r="AO80" s="115"/>
      <c r="AP80" s="115"/>
      <c r="AQ80" s="115"/>
      <c r="AR80" s="115"/>
      <c r="AS80" s="115"/>
      <c r="AT80" s="115"/>
      <c r="AU80" s="115"/>
      <c r="AV80" s="115"/>
      <c r="AW80" s="115"/>
      <c r="AX80" s="115"/>
      <c r="AY80" s="115"/>
      <c r="AZ80" s="115"/>
      <c r="BA80" s="115"/>
      <c r="BB80" s="115"/>
      <c r="BC80" s="115"/>
      <c r="BD80" s="115"/>
      <c r="BE80" s="115"/>
      <c r="BF80" s="115"/>
      <c r="BG80" s="115"/>
      <c r="BH80" s="115"/>
      <c r="BI80" s="115"/>
      <c r="BJ80" s="115"/>
      <c r="BK80" s="115"/>
      <c r="BL80" s="115"/>
      <c r="BM80" s="115"/>
      <c r="BN80" s="115"/>
      <c r="BO80" s="115"/>
      <c r="BP80" s="115"/>
      <c r="BQ80" s="115"/>
      <c r="BR80" s="115"/>
      <c r="BS80" s="115"/>
      <c r="BT80" s="115"/>
      <c r="BU80" s="115"/>
      <c r="BV80" s="26">
        <f>BW80*$NT80</f>
        <v>1.3034529317957677</v>
      </c>
      <c r="BW80" s="115">
        <f>BP$26*$AN80/$C80</f>
        <v>1.4167966649953996</v>
      </c>
      <c r="BX80" s="443"/>
      <c r="BY80" s="143">
        <f>BW80/$OD80</f>
        <v>2.8335933299907992</v>
      </c>
      <c r="BZ80" s="73"/>
      <c r="CA80" s="73"/>
      <c r="CB80" s="73"/>
      <c r="CC80" s="73"/>
      <c r="CD80" s="115"/>
      <c r="CE80" s="115"/>
      <c r="CF80" s="115"/>
      <c r="CG80" s="115"/>
      <c r="CH80" s="115"/>
      <c r="CI80" s="73"/>
      <c r="CJ80" s="26">
        <f>CK80*$NT80</f>
        <v>1.3158903496031353</v>
      </c>
      <c r="CK80" s="115">
        <f>BQ$26*$AN80/$C80</f>
        <v>1.4303155973947124</v>
      </c>
      <c r="CL80" s="443"/>
      <c r="CM80" s="143">
        <f>CK80/$OD80</f>
        <v>2.8606311947894247</v>
      </c>
      <c r="CN80" s="73"/>
      <c r="CO80" s="73"/>
      <c r="CP80" s="73"/>
      <c r="CQ80" s="73"/>
      <c r="CW80" s="73"/>
      <c r="CX80" s="26">
        <f>CY80*$NT80</f>
        <v>1.08154932645146</v>
      </c>
      <c r="CY80" s="115">
        <f>BR$26*$AN80/$C80</f>
        <v>1.1755970939689782</v>
      </c>
      <c r="CZ80" s="443"/>
      <c r="DA80" s="143">
        <f>CY80/$OD80</f>
        <v>2.3511941879379563</v>
      </c>
      <c r="DB80" s="73"/>
      <c r="DC80" s="73"/>
      <c r="DD80" s="73"/>
      <c r="DE80" s="73"/>
      <c r="DF80" s="115"/>
      <c r="DG80" s="115"/>
      <c r="DH80" s="115"/>
      <c r="DI80" s="115"/>
      <c r="DJ80" s="115"/>
      <c r="DK80" s="73"/>
      <c r="DL80" s="26">
        <f>DM80*$NT80</f>
        <v>1.2147232424155059</v>
      </c>
      <c r="DM80" s="115">
        <f>BS$26*$AN80/$C80</f>
        <v>1.3203513504516369</v>
      </c>
      <c r="DN80" s="443"/>
      <c r="DO80" s="143">
        <f>DM80/$OD80</f>
        <v>2.6407027009032737</v>
      </c>
      <c r="DP80" s="73"/>
      <c r="DQ80" s="73"/>
      <c r="DR80" s="73"/>
      <c r="DS80" s="73"/>
      <c r="DT80" s="37"/>
      <c r="DU80" s="37"/>
      <c r="DV80" s="37"/>
      <c r="DW80" s="37"/>
      <c r="DX80" s="37"/>
      <c r="DY80" s="73"/>
      <c r="DZ80" s="26">
        <f>EA80*$NT80</f>
        <v>1.2276290761398714</v>
      </c>
      <c r="EA80" s="115">
        <f>BT$26*$AN80/$C80</f>
        <v>1.3343794305868166</v>
      </c>
      <c r="EB80" s="443"/>
      <c r="EC80" s="143">
        <f>EA80/$OD80</f>
        <v>2.6687588611736333</v>
      </c>
      <c r="ED80" s="73"/>
      <c r="EE80" s="73"/>
      <c r="EF80" s="73"/>
      <c r="EG80" s="73"/>
      <c r="EM80" s="73"/>
      <c r="EN80" s="26">
        <f>EO80*$NT80</f>
        <v>1.6562000000000001</v>
      </c>
      <c r="EO80" s="115">
        <f>BU$26*$AN80/$C80</f>
        <v>1.8002173913043478</v>
      </c>
      <c r="EP80" s="443"/>
      <c r="EQ80" s="143">
        <f>EO80/$OD80</f>
        <v>3.6004347826086955</v>
      </c>
      <c r="ER80" s="73"/>
      <c r="ES80" s="73"/>
      <c r="ET80" s="73"/>
      <c r="EU80" s="73"/>
      <c r="EV80" s="37"/>
      <c r="EW80" s="37"/>
      <c r="EX80" s="37"/>
      <c r="EY80" s="37"/>
      <c r="EZ80" s="37"/>
      <c r="FA80" s="73"/>
      <c r="FE80" s="26">
        <f>FF80*$NT80</f>
        <v>2.4351125274084575</v>
      </c>
      <c r="FF80" s="115">
        <f>FB$26*$AN80/$C80</f>
        <v>2.6468614428352799</v>
      </c>
      <c r="FG80" s="443"/>
      <c r="FH80" s="115">
        <f>FF80/$OD80</f>
        <v>5.2937228856705598</v>
      </c>
      <c r="FI80" s="73"/>
      <c r="FJ80" s="73"/>
      <c r="FK80" s="73"/>
      <c r="FL80" s="26"/>
      <c r="FR80" s="73"/>
      <c r="FS80" s="26">
        <f>FT80*$NT80</f>
        <v>2.4609843937575029</v>
      </c>
      <c r="FT80" s="115">
        <f>FC$26*$AN80/$C80</f>
        <v>2.6749830366929377</v>
      </c>
      <c r="FU80" s="443"/>
      <c r="FV80" s="115">
        <f>FT80/$OD80</f>
        <v>5.3499660733858754</v>
      </c>
      <c r="FW80" s="73"/>
      <c r="FX80" s="73"/>
      <c r="FY80" s="73"/>
      <c r="FZ80" s="26"/>
      <c r="GF80" s="73"/>
      <c r="GG80" s="26">
        <f>GH80*$NT80</f>
        <v>1.9735166793990322</v>
      </c>
      <c r="GH80" s="115">
        <f>FD$26*$AN80/$C80</f>
        <v>2.1451268254337306</v>
      </c>
      <c r="GI80" s="443"/>
      <c r="GJ80" s="115">
        <f>GH80/$OD80</f>
        <v>4.2902536508674611</v>
      </c>
      <c r="GK80" s="73"/>
      <c r="GL80" s="73"/>
      <c r="GM80" s="73"/>
      <c r="GN80" s="26"/>
      <c r="GT80" s="73"/>
      <c r="GU80" s="73"/>
      <c r="GV80" s="73"/>
      <c r="GW80" s="73"/>
      <c r="GX80" s="68">
        <f>GZ80*$W80</f>
        <v>20.730759700801286</v>
      </c>
      <c r="GY80" s="26">
        <f>GZ80*$NT80</f>
        <v>0.13941738980071039</v>
      </c>
      <c r="GZ80" s="127">
        <f>$AN80*GU$26/C80</f>
        <v>0.15154064108772869</v>
      </c>
      <c r="HA80" s="73"/>
      <c r="HB80" s="115">
        <f>GZ80/$OD80</f>
        <v>0.30308128217545738</v>
      </c>
      <c r="HD80" s="115"/>
      <c r="HE80" s="73"/>
      <c r="HF80" s="73"/>
      <c r="HG80" s="73"/>
      <c r="HH80" s="73"/>
      <c r="HI80" s="73"/>
      <c r="HJ80" s="73"/>
      <c r="HK80" s="73"/>
      <c r="HL80" s="73"/>
      <c r="HM80" s="115">
        <f>HN80*$NT80</f>
        <v>0.13817931263328859</v>
      </c>
      <c r="HN80" s="127">
        <f>$AN80*GV$26/C80</f>
        <v>0.15019490503618324</v>
      </c>
      <c r="HO80" s="73"/>
      <c r="HP80" s="115">
        <f>HN80/$OD80</f>
        <v>0.30038981007236648</v>
      </c>
      <c r="HR80" s="115"/>
      <c r="HS80" s="73"/>
      <c r="HT80" s="73"/>
      <c r="HU80" s="73"/>
      <c r="HV80" s="73"/>
      <c r="HW80" s="73"/>
      <c r="HX80" s="73"/>
      <c r="HY80" s="73"/>
      <c r="HZ80" s="73"/>
      <c r="IA80" s="115">
        <f>IB80*$NT80</f>
        <v>0.16150668449197861</v>
      </c>
      <c r="IB80" s="127">
        <f>$AN80*GW$26/C80</f>
        <v>0.17555074401302023</v>
      </c>
      <c r="IC80" s="73"/>
      <c r="ID80" s="115">
        <f>IB80/$OD80</f>
        <v>0.35110148802604046</v>
      </c>
      <c r="IE80" s="133"/>
      <c r="IF80" s="115"/>
      <c r="IG80" s="73"/>
      <c r="IH80" s="73"/>
      <c r="II80" s="73"/>
      <c r="IJ80" s="73"/>
      <c r="IK80" s="73"/>
      <c r="IL80" s="73"/>
      <c r="IM80" s="73"/>
      <c r="IN80" s="73"/>
      <c r="IO80" s="149"/>
      <c r="IP80" s="149"/>
      <c r="IQ80" s="149"/>
      <c r="IR80" s="149"/>
      <c r="IS80" s="149"/>
      <c r="IT80" s="149"/>
      <c r="IU80" s="149"/>
      <c r="IV80" s="335">
        <f>IW80*$NT80</f>
        <v>0.3445226055462185</v>
      </c>
      <c r="IW80" s="330">
        <f>AN80*JK78*C79/C80</f>
        <v>0.37448109298502008</v>
      </c>
      <c r="IX80" s="73"/>
      <c r="IY80" s="115">
        <f>IW80/$OD80</f>
        <v>0.74896218597004016</v>
      </c>
      <c r="IZ80" s="73"/>
      <c r="JA80" s="115"/>
      <c r="JB80" s="115">
        <f>$IW80*JM78/$JK78</f>
        <v>0.35449875314212642</v>
      </c>
      <c r="JC80" s="115">
        <f>$IW80*JN78/$JK78</f>
        <v>1.0273234983558647E-2</v>
      </c>
      <c r="JD80" s="115">
        <f>$IW80*JO78/$JK78</f>
        <v>9.7091048593350368E-3</v>
      </c>
      <c r="JE80" s="115"/>
      <c r="JF80" s="73"/>
      <c r="JG80" s="73"/>
      <c r="JH80" s="73"/>
      <c r="JI80" s="73"/>
      <c r="JJ80" s="73"/>
      <c r="JQ80" s="643"/>
      <c r="JS80" s="643"/>
      <c r="JU80" s="643"/>
      <c r="JW80" s="115"/>
      <c r="KJ80" s="115">
        <f>BW80*44/12+$IW80+$GZ80</f>
        <v>5.7209428390558799</v>
      </c>
      <c r="KK80" s="74"/>
      <c r="KL80" s="74"/>
      <c r="KM80" s="143">
        <f>KJ80/$OD80</f>
        <v>11.44188567811176</v>
      </c>
      <c r="KN80" s="73"/>
      <c r="KO80" s="74"/>
      <c r="KP80" s="74"/>
      <c r="KQ80" s="74"/>
      <c r="KR80" s="74"/>
      <c r="KS80" s="73"/>
      <c r="KT80" s="115">
        <f>CK80*44/12+$IW80+$HN80</f>
        <v>5.7691665218018144</v>
      </c>
      <c r="KW80" s="143">
        <f>KT80/$OD80</f>
        <v>11.538333043603629</v>
      </c>
      <c r="KX80" s="73"/>
      <c r="LC80" s="73"/>
      <c r="LD80" s="115">
        <f>CY80*44/12+$IW80+$IB80</f>
        <v>4.8605545148842939</v>
      </c>
      <c r="LG80" s="143">
        <f>LD80/$OD80</f>
        <v>9.7211090297685878</v>
      </c>
      <c r="LH80" s="73"/>
      <c r="LM80" s="73"/>
      <c r="LN80" s="115">
        <f>DM80*44/12+$IW80+$GZ80</f>
        <v>5.3673100190620833</v>
      </c>
      <c r="LQ80" s="143">
        <f>LN80/$OD80</f>
        <v>10.734620038124167</v>
      </c>
      <c r="LR80" s="73"/>
      <c r="LW80" s="73"/>
      <c r="LX80" s="115">
        <f>EA80*44/12+$IW80+$HN80</f>
        <v>5.4174005768395306</v>
      </c>
      <c r="MA80" s="143">
        <f>LX80/$OD80</f>
        <v>10.834801153679061</v>
      </c>
      <c r="MB80" s="73"/>
      <c r="MG80" s="73"/>
      <c r="MH80" s="115">
        <f>EO80*44/12+$IW80+$IB80</f>
        <v>7.1508289384473152</v>
      </c>
      <c r="MK80" s="143">
        <f>MH80/$OD80</f>
        <v>14.30165787689463</v>
      </c>
      <c r="ML80" s="73"/>
      <c r="MQ80" s="73"/>
      <c r="MW80" s="73"/>
      <c r="MX80" s="73"/>
      <c r="MY80" s="73"/>
      <c r="MZ80" s="73"/>
      <c r="NA80" s="73"/>
      <c r="NB80" s="73"/>
      <c r="NC80" s="73"/>
      <c r="ND80" s="73"/>
      <c r="NE80" s="73"/>
      <c r="NF80" s="73"/>
      <c r="NG80" s="73"/>
      <c r="NH80" s="73"/>
      <c r="NI80" s="73"/>
      <c r="NJ80" s="73"/>
      <c r="NK80" s="73"/>
      <c r="NL80" s="73"/>
      <c r="NM80" s="73"/>
      <c r="NN80" s="73"/>
      <c r="NO80" s="73"/>
      <c r="NP80" s="73"/>
      <c r="NQ80" s="73"/>
      <c r="NT80" s="31">
        <v>0.92</v>
      </c>
      <c r="NU80" s="31"/>
      <c r="NV80" s="32">
        <f>$NT80*NW80</f>
        <v>17.940000000000001</v>
      </c>
      <c r="NW80" s="9">
        <v>19.5</v>
      </c>
      <c r="NX80" s="9"/>
      <c r="NY80" s="9"/>
      <c r="NZ80" s="9"/>
      <c r="OA80" s="32"/>
      <c r="OB80" s="26"/>
      <c r="OC80" s="38">
        <f>$NT80*OD80</f>
        <v>0.46</v>
      </c>
      <c r="OD80" s="40">
        <f>OD26/C80</f>
        <v>0.5</v>
      </c>
      <c r="OE80" s="38"/>
      <c r="OF80" s="683"/>
    </row>
    <row r="81" spans="1:494" s="4" customFormat="1" x14ac:dyDescent="0.25">
      <c r="B81" s="727"/>
      <c r="C81" s="14"/>
      <c r="D81" s="708"/>
      <c r="E81" s="102"/>
      <c r="F81" s="102"/>
      <c r="G81" s="102"/>
      <c r="H81" s="102"/>
      <c r="I81" s="102"/>
      <c r="J81" s="102"/>
      <c r="K81" s="102"/>
      <c r="L81" s="102"/>
      <c r="M81" s="102"/>
      <c r="N81" s="14"/>
      <c r="O81" s="14"/>
      <c r="P81" s="14"/>
      <c r="Q81" s="14"/>
      <c r="R81" s="14"/>
      <c r="S81" s="14"/>
      <c r="T81" s="14"/>
      <c r="U81" s="14"/>
      <c r="X81" s="60"/>
      <c r="Z81" s="32"/>
      <c r="AE81" s="97"/>
      <c r="AF81" s="97"/>
      <c r="AG81" s="97"/>
      <c r="AH81" s="97"/>
      <c r="AI81" s="97"/>
      <c r="AJ81" s="97"/>
      <c r="AL81" s="60"/>
      <c r="AO81" s="97"/>
      <c r="AP81" s="97"/>
      <c r="AQ81" s="97"/>
      <c r="AR81" s="97"/>
      <c r="AS81" s="97"/>
      <c r="AT81" s="97"/>
      <c r="AU81" s="97"/>
      <c r="AV81" s="97"/>
      <c r="AW81" s="97"/>
      <c r="AX81" s="97"/>
      <c r="AY81" s="97"/>
      <c r="AZ81" s="97"/>
      <c r="BA81" s="97"/>
      <c r="BB81" s="97"/>
      <c r="BC81" s="97"/>
      <c r="BD81" s="97"/>
      <c r="BE81" s="97"/>
      <c r="BF81" s="97"/>
      <c r="BG81" s="97"/>
      <c r="BH81" s="97"/>
      <c r="BI81" s="97"/>
      <c r="BJ81" s="97"/>
      <c r="BK81" s="97"/>
      <c r="BL81" s="97"/>
      <c r="BM81" s="97"/>
      <c r="BN81" s="97"/>
      <c r="BO81" s="97"/>
      <c r="BP81" s="97"/>
      <c r="BQ81" s="97"/>
      <c r="BR81" s="97"/>
      <c r="BS81" s="97"/>
      <c r="BT81" s="97"/>
      <c r="BU81" s="97"/>
      <c r="BW81" s="32"/>
      <c r="CA81" s="60"/>
      <c r="CB81" s="60"/>
      <c r="CC81" s="60"/>
      <c r="CD81" s="97"/>
      <c r="CE81" s="97"/>
      <c r="CF81" s="97"/>
      <c r="CG81" s="97"/>
      <c r="CH81" s="97"/>
      <c r="CI81" s="60"/>
      <c r="CK81" s="32"/>
      <c r="CO81" s="60"/>
      <c r="CP81" s="60"/>
      <c r="CQ81" s="60"/>
      <c r="CR81" s="97"/>
      <c r="CS81" s="97"/>
      <c r="CT81" s="97"/>
      <c r="CU81" s="97"/>
      <c r="CV81" s="97"/>
      <c r="CW81" s="60"/>
      <c r="CY81" s="32"/>
      <c r="DC81" s="60"/>
      <c r="DD81" s="60"/>
      <c r="DE81" s="60"/>
      <c r="DF81" s="97"/>
      <c r="DG81" s="97"/>
      <c r="DH81" s="97"/>
      <c r="DI81" s="97"/>
      <c r="DJ81" s="97"/>
      <c r="DK81" s="60"/>
      <c r="DM81" s="97"/>
      <c r="DQ81" s="60"/>
      <c r="DR81" s="60"/>
      <c r="DS81" s="60"/>
      <c r="DY81" s="60"/>
      <c r="EA81" s="97"/>
      <c r="EE81" s="60"/>
      <c r="EF81" s="60"/>
      <c r="EG81" s="60"/>
      <c r="EM81" s="60"/>
      <c r="EO81" s="97"/>
      <c r="ES81" s="60"/>
      <c r="ET81" s="60"/>
      <c r="EU81" s="60"/>
      <c r="FA81" s="60"/>
      <c r="FF81" s="32"/>
      <c r="FH81" s="60"/>
      <c r="FK81" s="60"/>
      <c r="FR81" s="60"/>
      <c r="FT81" s="32"/>
      <c r="FV81" s="60"/>
      <c r="FY81" s="60"/>
      <c r="GF81" s="60"/>
      <c r="GH81" s="32"/>
      <c r="GJ81" s="60"/>
      <c r="GM81" s="60"/>
      <c r="GT81" s="60"/>
      <c r="GU81" s="60"/>
      <c r="GV81" s="60"/>
      <c r="GW81" s="60"/>
      <c r="GX81" s="60"/>
      <c r="GY81" s="123"/>
      <c r="GZ81" s="123"/>
      <c r="HA81" s="123"/>
      <c r="HB81" s="60"/>
      <c r="HC81" s="123"/>
      <c r="HD81" s="60"/>
      <c r="HE81" s="60"/>
      <c r="HF81" s="60"/>
      <c r="HG81" s="60"/>
      <c r="HH81" s="60"/>
      <c r="HI81" s="60"/>
      <c r="HJ81" s="60"/>
      <c r="HK81" s="60"/>
      <c r="HL81" s="60"/>
      <c r="HM81" s="123"/>
      <c r="HN81" s="123"/>
      <c r="HO81" s="123"/>
      <c r="HP81" s="60"/>
      <c r="HQ81" s="123"/>
      <c r="HR81" s="60"/>
      <c r="HS81" s="60"/>
      <c r="HT81" s="60"/>
      <c r="HU81" s="60"/>
      <c r="HV81" s="60"/>
      <c r="HW81" s="60"/>
      <c r="HX81" s="60"/>
      <c r="HY81" s="60"/>
      <c r="HZ81" s="60"/>
      <c r="IA81" s="123"/>
      <c r="IB81" s="123"/>
      <c r="IC81" s="123"/>
      <c r="ID81" s="60"/>
      <c r="IE81" s="123"/>
      <c r="IF81" s="60"/>
      <c r="IG81" s="60"/>
      <c r="IH81" s="60"/>
      <c r="II81" s="60"/>
      <c r="IJ81" s="60"/>
      <c r="IK81" s="60"/>
      <c r="IL81" s="60"/>
      <c r="IM81" s="60"/>
      <c r="IN81" s="60"/>
      <c r="IO81" s="149"/>
      <c r="IP81" s="149"/>
      <c r="IQ81" s="149"/>
      <c r="IR81" s="149"/>
      <c r="IS81" s="149"/>
      <c r="IT81" s="149"/>
      <c r="IU81" s="149"/>
      <c r="IW81" s="60"/>
      <c r="IX81" s="60"/>
      <c r="IY81" s="60"/>
      <c r="IZ81" s="60"/>
      <c r="JA81" s="60"/>
      <c r="JB81" s="60"/>
      <c r="JC81" s="60"/>
      <c r="JD81" s="60"/>
      <c r="JE81" s="60"/>
      <c r="JF81" s="60"/>
      <c r="JG81" s="60"/>
      <c r="JH81" s="60"/>
      <c r="JI81" s="60"/>
      <c r="JJ81" s="60"/>
      <c r="JK81" s="60"/>
      <c r="JL81" s="60"/>
      <c r="JM81" s="123"/>
      <c r="JN81" s="123"/>
      <c r="JO81" s="123"/>
      <c r="JP81" s="123"/>
      <c r="JQ81" s="179"/>
      <c r="JR81" s="74"/>
      <c r="JS81" s="723"/>
      <c r="JT81" s="74"/>
      <c r="JU81" s="723"/>
      <c r="JV81" s="60"/>
      <c r="JW81" s="97"/>
      <c r="JX81" s="60"/>
      <c r="JY81" s="60"/>
      <c r="JZ81" s="60"/>
      <c r="KA81" s="60"/>
      <c r="KB81" s="60"/>
      <c r="KC81" s="60"/>
      <c r="KD81" s="123"/>
      <c r="KE81" s="123"/>
      <c r="KF81" s="123"/>
      <c r="KG81" s="123"/>
      <c r="KH81" s="123"/>
      <c r="KI81" s="123"/>
      <c r="KJ81" s="60"/>
      <c r="KK81" s="60"/>
      <c r="KL81" s="60"/>
      <c r="KM81" s="60"/>
      <c r="KN81" s="60"/>
      <c r="KO81" s="60"/>
      <c r="KP81" s="60"/>
      <c r="KQ81" s="60"/>
      <c r="KR81" s="60"/>
      <c r="KS81" s="60"/>
      <c r="KT81" s="60"/>
      <c r="KU81" s="60"/>
      <c r="KV81" s="60"/>
      <c r="KW81" s="60"/>
      <c r="KX81" s="60"/>
      <c r="KY81" s="60"/>
      <c r="KZ81" s="60"/>
      <c r="LA81" s="60"/>
      <c r="LB81" s="60"/>
      <c r="LC81" s="60"/>
      <c r="LD81" s="60"/>
      <c r="LE81" s="60"/>
      <c r="LF81" s="60"/>
      <c r="LG81" s="60"/>
      <c r="LH81" s="60"/>
      <c r="LI81" s="60"/>
      <c r="LJ81" s="60"/>
      <c r="LK81" s="60"/>
      <c r="LL81" s="60"/>
      <c r="LM81" s="60"/>
      <c r="LN81" s="60"/>
      <c r="LO81" s="60"/>
      <c r="LP81" s="60"/>
      <c r="LQ81" s="60"/>
      <c r="LR81" s="60"/>
      <c r="LS81" s="60"/>
      <c r="LT81" s="60"/>
      <c r="LU81" s="60"/>
      <c r="LV81" s="60"/>
      <c r="LW81" s="60"/>
      <c r="LX81" s="60"/>
      <c r="LY81" s="60"/>
      <c r="LZ81" s="60"/>
      <c r="MA81" s="60"/>
      <c r="MB81" s="60"/>
      <c r="MC81" s="60"/>
      <c r="MD81" s="60"/>
      <c r="ME81" s="60"/>
      <c r="MF81" s="60"/>
      <c r="MG81" s="60"/>
      <c r="MH81" s="60"/>
      <c r="MI81" s="60"/>
      <c r="MJ81" s="60"/>
      <c r="MK81" s="60"/>
      <c r="ML81" s="60"/>
      <c r="MM81" s="60"/>
      <c r="MN81" s="60"/>
      <c r="MO81" s="60"/>
      <c r="MP81" s="60"/>
      <c r="MQ81" s="60"/>
      <c r="MR81" s="60"/>
      <c r="MS81" s="60"/>
      <c r="MT81" s="60"/>
      <c r="MU81" s="60"/>
      <c r="MV81" s="60"/>
      <c r="MW81" s="60"/>
      <c r="MX81" s="60"/>
      <c r="MY81" s="60"/>
      <c r="MZ81" s="60"/>
      <c r="NA81" s="60"/>
      <c r="NB81" s="60"/>
      <c r="NC81" s="60"/>
      <c r="ND81" s="60"/>
      <c r="NE81" s="60"/>
      <c r="NF81" s="60"/>
      <c r="NG81" s="60"/>
      <c r="NH81" s="60"/>
      <c r="NI81" s="60"/>
      <c r="NJ81" s="60"/>
      <c r="NK81" s="60"/>
      <c r="NL81" s="60"/>
      <c r="NM81" s="60"/>
      <c r="NN81" s="60"/>
      <c r="NO81" s="60"/>
      <c r="NP81" s="60"/>
      <c r="NQ81" s="60"/>
      <c r="NR81" s="60"/>
      <c r="NS81" s="60"/>
      <c r="OB81" s="32"/>
      <c r="RU81" s="97"/>
      <c r="RV81" s="97"/>
      <c r="RW81" s="97"/>
      <c r="RX81" s="97"/>
      <c r="RY81" s="97"/>
      <c r="RZ81" s="97"/>
    </row>
    <row r="82" spans="1:494" x14ac:dyDescent="0.25">
      <c r="A82" s="9" t="s">
        <v>137</v>
      </c>
      <c r="B82" s="74"/>
      <c r="Z82" s="26"/>
      <c r="AE82" s="115"/>
      <c r="AF82" s="115"/>
      <c r="AG82" s="115"/>
      <c r="AH82" s="115"/>
      <c r="AI82" s="115"/>
      <c r="AJ82" s="115"/>
      <c r="AL82" s="74"/>
      <c r="AO82" s="115"/>
      <c r="AP82" s="115"/>
      <c r="AQ82" s="115"/>
      <c r="AR82" s="115"/>
      <c r="AS82" s="115"/>
      <c r="AT82" s="115"/>
      <c r="AU82" s="115"/>
      <c r="AV82" s="115"/>
      <c r="AW82" s="115"/>
      <c r="AX82" s="115"/>
      <c r="AY82" s="115"/>
      <c r="AZ82" s="115"/>
      <c r="BA82" s="115"/>
      <c r="BB82" s="115"/>
      <c r="BC82" s="115"/>
      <c r="BD82" s="115"/>
      <c r="BE82" s="115"/>
      <c r="BF82" s="115"/>
      <c r="BG82" s="115"/>
      <c r="BH82" s="115"/>
      <c r="BI82" s="115"/>
      <c r="BJ82" s="115"/>
      <c r="BK82" s="115"/>
      <c r="BL82" s="115"/>
      <c r="BM82" s="115"/>
      <c r="BN82" s="115"/>
      <c r="BO82" s="115"/>
      <c r="BP82" s="115"/>
      <c r="BQ82" s="115"/>
      <c r="BR82" s="115"/>
      <c r="BS82" s="115"/>
      <c r="BT82" s="115"/>
      <c r="BU82" s="115"/>
      <c r="BW82" s="26"/>
      <c r="CA82" s="74"/>
      <c r="CB82" s="74"/>
      <c r="CC82" s="74"/>
      <c r="CD82" s="115"/>
      <c r="CE82" s="115"/>
      <c r="CF82" s="115"/>
      <c r="CG82" s="115"/>
      <c r="CH82" s="115"/>
      <c r="CI82" s="74"/>
      <c r="CK82" s="26"/>
      <c r="CX82" s="37"/>
      <c r="CY82" s="26"/>
      <c r="CZ82" s="37"/>
      <c r="DA82" s="37"/>
      <c r="DB82" s="37"/>
      <c r="DF82" s="115"/>
      <c r="DG82" s="115"/>
      <c r="DH82" s="115"/>
      <c r="DI82" s="115"/>
      <c r="DJ82" s="115"/>
      <c r="DL82" s="37"/>
      <c r="DM82" s="115"/>
      <c r="DN82" s="37"/>
      <c r="DO82" s="37"/>
      <c r="DP82" s="37"/>
      <c r="DT82" s="37"/>
      <c r="DU82" s="37"/>
      <c r="DV82" s="37"/>
      <c r="DW82" s="37"/>
      <c r="DX82" s="37"/>
      <c r="EA82" s="115"/>
      <c r="EN82" s="37"/>
      <c r="EO82" s="115"/>
      <c r="EP82" s="37"/>
      <c r="EQ82" s="37"/>
      <c r="ER82" s="37"/>
      <c r="EV82" s="37"/>
      <c r="EW82" s="37"/>
      <c r="EX82" s="37"/>
      <c r="EY82" s="37"/>
      <c r="EZ82" s="37"/>
      <c r="FF82" s="26"/>
      <c r="FH82" s="74"/>
      <c r="FK82" s="74"/>
      <c r="FR82" s="74"/>
      <c r="FT82" s="26"/>
      <c r="FZ82" s="37"/>
      <c r="GH82" s="26"/>
      <c r="GJ82" s="74"/>
      <c r="GM82" s="74"/>
      <c r="GT82" s="74"/>
      <c r="GU82" s="74"/>
      <c r="GV82" s="74"/>
      <c r="GW82" s="74"/>
      <c r="GX82" s="55">
        <f>GX83+GX84+GX85</f>
        <v>86.167516987410551</v>
      </c>
      <c r="GY82" s="295"/>
      <c r="GZ82" s="60"/>
      <c r="HA82" s="60"/>
      <c r="HB82" s="74"/>
      <c r="HC82" s="60"/>
      <c r="HD82" s="74"/>
      <c r="HE82" s="74"/>
      <c r="HF82" s="74"/>
      <c r="HG82" s="74"/>
      <c r="HH82" s="74"/>
      <c r="HI82" s="74"/>
      <c r="HJ82" s="74"/>
      <c r="HK82" s="74"/>
      <c r="HL82" s="74"/>
      <c r="HM82" s="295"/>
      <c r="HN82" s="60"/>
      <c r="HO82" s="60"/>
      <c r="HQ82" s="60"/>
      <c r="IA82" s="295"/>
      <c r="IB82" s="60"/>
      <c r="IC82" s="60"/>
      <c r="IE82" s="60"/>
      <c r="IO82" s="68">
        <f>IP82+IQ82+IR82+IS82+IT82+IU82</f>
        <v>66.615976945384944</v>
      </c>
      <c r="IP82" s="97">
        <f>JS82*$W83</f>
        <v>7.0308159371052641</v>
      </c>
      <c r="IQ82" s="97">
        <f>JU82*$W83</f>
        <v>6.4702570082796749</v>
      </c>
      <c r="IR82" s="97">
        <f>JX82*$W83</f>
        <v>0.4731840000000001</v>
      </c>
      <c r="IS82" s="97">
        <f>KB82*$W83</f>
        <v>0.59148000000000012</v>
      </c>
      <c r="IT82" s="97">
        <f>KF82*$W83</f>
        <v>0</v>
      </c>
      <c r="IU82" s="97">
        <f>KH82*$W83</f>
        <v>52.050240000000009</v>
      </c>
      <c r="JK82" s="115">
        <f>JM82+JN82+JO82</f>
        <v>2.0948420423077025</v>
      </c>
      <c r="JL82" s="679">
        <f>10^3*JK82/NY83</f>
        <v>56.312958126551145</v>
      </c>
      <c r="JM82" s="469">
        <f>JS82+KB82</f>
        <v>0.2396948407894737</v>
      </c>
      <c r="JN82" s="469">
        <f>JU82+KF82</f>
        <v>0.20346720151822875</v>
      </c>
      <c r="JO82" s="179">
        <f>JX82+KH82</f>
        <v>1.6516800000000003</v>
      </c>
      <c r="JP82" s="469">
        <f>JK82*C83</f>
        <v>0.796039976076927</v>
      </c>
      <c r="JQ82" s="115">
        <f>JR82*$NY83/10^3</f>
        <v>0.43944204230770245</v>
      </c>
      <c r="JR82" s="73">
        <f>JT82+JV82+JY82</f>
        <v>11.812958126551141</v>
      </c>
      <c r="JS82" s="724">
        <f>'Crops; pasture DISCOUNTED'!KF39/C83</f>
        <v>0.2210948407894737</v>
      </c>
      <c r="JT82" s="73">
        <f>10^3*JS82/$NY83</f>
        <v>5.9434096986417657</v>
      </c>
      <c r="JU82" s="724">
        <f>'Crops; pasture DISCOUNTED'!KD39/C83</f>
        <v>0.20346720151822875</v>
      </c>
      <c r="JV82" s="115">
        <f>10^3*JU82/$NY83</f>
        <v>5.4695484279093751</v>
      </c>
      <c r="JW82" s="115">
        <f>10^3*JU82/'Discounting metrics'!$B$6</f>
        <v>0.68277584402090186</v>
      </c>
      <c r="JX82" s="127">
        <f>JY82*$NY83/10^3</f>
        <v>1.4880000000000003E-2</v>
      </c>
      <c r="JY82" s="84">
        <v>0.4</v>
      </c>
      <c r="JZ82" s="127">
        <f>KB82+KF82+KH82</f>
        <v>1.6554000000000002</v>
      </c>
      <c r="KA82" s="73">
        <f>KC82+KG82+KI82</f>
        <v>44.5</v>
      </c>
      <c r="KB82" s="115">
        <f>KC82*$NY83/10^3</f>
        <v>1.8600000000000002E-2</v>
      </c>
      <c r="KC82" s="80">
        <v>0.5</v>
      </c>
      <c r="KD82" s="252">
        <v>0.77</v>
      </c>
      <c r="KE82" s="115">
        <f>KC82/KD82</f>
        <v>0.64935064935064934</v>
      </c>
      <c r="KF82" s="127">
        <f>KG82*$NY83/10^3</f>
        <v>0</v>
      </c>
      <c r="KG82" s="84">
        <v>0</v>
      </c>
      <c r="KH82" s="127">
        <f>KI82*$NY83/10^3</f>
        <v>1.6368000000000003</v>
      </c>
      <c r="KI82" s="728">
        <v>44</v>
      </c>
      <c r="KJ82" s="74"/>
      <c r="KK82" s="74"/>
      <c r="KL82" s="74"/>
      <c r="KM82" s="74"/>
      <c r="KN82" s="74"/>
      <c r="KO82" s="74"/>
      <c r="KP82" s="74"/>
      <c r="KQ82" s="74"/>
      <c r="KR82" s="74"/>
      <c r="KS82" s="74"/>
      <c r="OB82" s="26"/>
      <c r="RK82" s="37"/>
      <c r="RL82" s="37"/>
      <c r="RU82" s="115"/>
      <c r="RV82" s="115"/>
      <c r="RW82" s="115"/>
      <c r="RX82" s="115"/>
      <c r="RY82" s="115"/>
      <c r="RZ82" s="115"/>
    </row>
    <row r="83" spans="1:494" x14ac:dyDescent="0.25">
      <c r="A83" s="37" t="s">
        <v>138</v>
      </c>
      <c r="B83" s="53">
        <f>C83*NT27/NT83</f>
        <v>0.1976</v>
      </c>
      <c r="C83" s="90">
        <v>0.38</v>
      </c>
      <c r="D83" s="722">
        <f>C83*NW83/NW27</f>
        <v>0.54305454545454546</v>
      </c>
      <c r="E83" s="104"/>
      <c r="F83" s="104"/>
      <c r="G83" s="104"/>
      <c r="H83" s="104"/>
      <c r="I83" s="104"/>
      <c r="J83" s="104"/>
      <c r="K83" s="104"/>
      <c r="L83" s="104"/>
      <c r="M83" s="104"/>
      <c r="N83" s="69"/>
      <c r="V83" s="55">
        <f>W83/NT83</f>
        <v>31.8</v>
      </c>
      <c r="W83" s="72">
        <v>31.8</v>
      </c>
      <c r="X83" s="252"/>
      <c r="Y83" s="26">
        <f>W83*NW83/10^3</f>
        <v>1.2497400000000001</v>
      </c>
      <c r="Z83" s="26">
        <f>W83*OB83/10^3</f>
        <v>1.1766000000000001</v>
      </c>
      <c r="AE83" s="115">
        <f>AB$27*$AN83/$C83</f>
        <v>2.9241641466522639</v>
      </c>
      <c r="AF83" s="115"/>
      <c r="AG83" s="115">
        <f>AC$27*$AN83/$C83</f>
        <v>2.9241641466522639</v>
      </c>
      <c r="AH83" s="115"/>
      <c r="AI83" s="115">
        <f>AD$27*$AN83/$C83</f>
        <v>3.7449821527300915</v>
      </c>
      <c r="AJ83" s="683"/>
      <c r="AK83" s="722">
        <f>Y83/(Y83+Y84+Y85)</f>
        <v>0.84360965965259138</v>
      </c>
      <c r="AL83" s="164">
        <v>0.995</v>
      </c>
      <c r="AM83" s="104">
        <f>V83*AL83/(V83*AL83+V84*AL84+V85*AL85)</f>
        <v>0.83367365524910597</v>
      </c>
      <c r="AN83" s="40">
        <f t="shared" ref="AN83:AN85" si="27">AK83</f>
        <v>0.84360965965259138</v>
      </c>
      <c r="AO83" s="115"/>
      <c r="AP83" s="115"/>
      <c r="AQ83" s="115"/>
      <c r="AR83" s="115"/>
      <c r="AS83" s="115"/>
      <c r="AT83" s="115"/>
      <c r="AU83" s="115"/>
      <c r="AV83" s="115"/>
      <c r="AW83" s="115"/>
      <c r="AX83" s="115"/>
      <c r="AY83" s="115"/>
      <c r="AZ83" s="115"/>
      <c r="BA83" s="115"/>
      <c r="BB83" s="115"/>
      <c r="BC83" s="115"/>
      <c r="BD83" s="115"/>
      <c r="BE83" s="115"/>
      <c r="BF83" s="115"/>
      <c r="BG83" s="115"/>
      <c r="BH83" s="115"/>
      <c r="BI83" s="115"/>
      <c r="BJ83" s="115"/>
      <c r="BK83" s="115"/>
      <c r="BL83" s="115"/>
      <c r="BM83" s="115"/>
      <c r="BN83" s="115"/>
      <c r="BO83" s="115"/>
      <c r="BP83" s="115"/>
      <c r="BQ83" s="115"/>
      <c r="BR83" s="115"/>
      <c r="BS83" s="115"/>
      <c r="BT83" s="115"/>
      <c r="BU83" s="115"/>
      <c r="BV83" s="26">
        <f>BW83*$NT83</f>
        <v>1.9073232785488607</v>
      </c>
      <c r="BW83" s="115">
        <f>BP$27*$AN83/$C83</f>
        <v>1.9073232785488607</v>
      </c>
      <c r="BX83" s="677">
        <f>10^3*BW83/$OB83</f>
        <v>51.549277798617858</v>
      </c>
      <c r="BZ83" s="73">
        <f>10^3*BW83/$NW83</f>
        <v>48.532398945263637</v>
      </c>
      <c r="CA83" s="73"/>
      <c r="CB83" s="73"/>
      <c r="CC83" s="73"/>
      <c r="CD83" s="115"/>
      <c r="CE83" s="115"/>
      <c r="CF83" s="115"/>
      <c r="CG83" s="115"/>
      <c r="CH83" s="115"/>
      <c r="CI83" s="73"/>
      <c r="CJ83" s="26">
        <f>CK83*$NT83</f>
        <v>1.9073232785488607</v>
      </c>
      <c r="CK83" s="115">
        <f>BQ$27*$AN83/$C83</f>
        <v>1.9073232785488607</v>
      </c>
      <c r="CL83" s="677">
        <f>10^3*CK83/$OB83</f>
        <v>51.549277798617858</v>
      </c>
      <c r="CN83" s="73">
        <f>10^3*CK83/$NW83</f>
        <v>48.532398945263637</v>
      </c>
      <c r="CO83" s="73"/>
      <c r="CP83" s="73"/>
      <c r="CQ83" s="73"/>
      <c r="CW83" s="73"/>
      <c r="CX83" s="26">
        <f>CY83*$NT83</f>
        <v>0.86227248327141504</v>
      </c>
      <c r="CY83" s="115">
        <f>BR$27*$AN83/$C83</f>
        <v>0.86227248327141504</v>
      </c>
      <c r="CZ83" s="677">
        <f>10^3*CY83/$OB83</f>
        <v>23.304661710038243</v>
      </c>
      <c r="DA83" s="37"/>
      <c r="DB83" s="73">
        <f>10^3*CY83/$NW83</f>
        <v>21.940775655761197</v>
      </c>
      <c r="DC83" s="73"/>
      <c r="DD83" s="73"/>
      <c r="DE83" s="73"/>
      <c r="DF83" s="115"/>
      <c r="DG83" s="115"/>
      <c r="DH83" s="115"/>
      <c r="DI83" s="115"/>
      <c r="DJ83" s="115"/>
      <c r="DK83" s="73"/>
      <c r="DL83" s="26">
        <f>DM83*$NT83</f>
        <v>1.4878536888412204</v>
      </c>
      <c r="DM83" s="115">
        <f>BS$27*$AN83/$C83</f>
        <v>1.4878536888412204</v>
      </c>
      <c r="DN83" s="677">
        <f>10^3*DM83/$OB83</f>
        <v>40.212261860573527</v>
      </c>
      <c r="DO83" s="37"/>
      <c r="DP83" s="73">
        <f>10^3*DM83/$NW83</f>
        <v>37.85887248959849</v>
      </c>
      <c r="DQ83" s="73"/>
      <c r="DR83" s="73"/>
      <c r="DS83" s="73"/>
      <c r="DT83" s="37"/>
      <c r="DU83" s="37"/>
      <c r="DV83" s="37"/>
      <c r="DW83" s="37"/>
      <c r="DX83" s="37"/>
      <c r="DY83" s="73"/>
      <c r="DZ83" s="26">
        <f>EA83*$NT83</f>
        <v>1.4878536888412204</v>
      </c>
      <c r="EA83" s="115">
        <f>BT$27*$AN83/$C83</f>
        <v>1.4878536888412204</v>
      </c>
      <c r="EB83" s="677">
        <f>10^3*EA83/$OB83</f>
        <v>40.212261860573527</v>
      </c>
      <c r="ED83" s="73">
        <f>10^3*EA83/$NW83</f>
        <v>37.85887248959849</v>
      </c>
      <c r="EE83" s="73"/>
      <c r="EF83" s="73"/>
      <c r="EG83" s="73"/>
      <c r="EM83" s="73"/>
      <c r="EN83" s="26">
        <f>EO83*$NT83</f>
        <v>16.854432989690718</v>
      </c>
      <c r="EO83" s="115">
        <f>BU$27*$AN83/$C83</f>
        <v>16.854432989690718</v>
      </c>
      <c r="EP83" s="677">
        <f>10^3*EO83/$OB83</f>
        <v>455.52521593758701</v>
      </c>
      <c r="EQ83" s="37"/>
      <c r="ER83" s="73">
        <f>10^3*EO83/$NW83</f>
        <v>428.86597938144325</v>
      </c>
      <c r="ES83" s="73"/>
      <c r="ET83" s="73"/>
      <c r="EU83" s="73"/>
      <c r="EV83" s="37"/>
      <c r="EW83" s="37"/>
      <c r="EX83" s="37"/>
      <c r="EY83" s="37"/>
      <c r="EZ83" s="37"/>
      <c r="FA83" s="73"/>
      <c r="FE83" s="26">
        <f>FF83*$NT83</f>
        <v>2.9826474295853087</v>
      </c>
      <c r="FF83" s="115">
        <f>FB$27*$AN83/$C83</f>
        <v>2.9826474295853087</v>
      </c>
      <c r="FG83" s="562">
        <f>10^3*FF83/$OB83</f>
        <v>80.612092691494823</v>
      </c>
      <c r="FH83" s="73"/>
      <c r="FI83" s="73">
        <f>10^3*FF83/$NW83</f>
        <v>75.894336630669429</v>
      </c>
      <c r="FJ83" s="73"/>
      <c r="FK83" s="73"/>
      <c r="FL83" s="26"/>
      <c r="FR83" s="73"/>
      <c r="FS83" s="26">
        <f>FT83*$NT83</f>
        <v>2.9826474295853087</v>
      </c>
      <c r="FT83" s="115">
        <f>FC$27*$AN83/$C83</f>
        <v>2.9826474295853087</v>
      </c>
      <c r="FU83" s="562">
        <f>10^3*FT83/$OB83</f>
        <v>80.612092691494823</v>
      </c>
      <c r="FV83" s="73"/>
      <c r="FW83" s="73">
        <f>10^3*FT83/$NW83</f>
        <v>75.894336630669429</v>
      </c>
      <c r="FX83" s="73"/>
      <c r="FY83" s="73"/>
      <c r="FZ83" s="26"/>
      <c r="GF83" s="73"/>
      <c r="GG83" s="26">
        <f>GH83*$NT83</f>
        <v>2.9210860791294708</v>
      </c>
      <c r="GH83" s="115">
        <f>FD$27*$AN83/$C83</f>
        <v>2.9210860791294708</v>
      </c>
      <c r="GI83" s="562">
        <f>10^3*GH83/$OB83</f>
        <v>78.948272408904614</v>
      </c>
      <c r="GJ83" s="73"/>
      <c r="GK83" s="73">
        <f>10^3*GH83/$NW83</f>
        <v>74.327890054185019</v>
      </c>
      <c r="GL83" s="73"/>
      <c r="GM83" s="73"/>
      <c r="GN83" s="26"/>
      <c r="GT83" s="73"/>
      <c r="GU83" s="73"/>
      <c r="GV83" s="73"/>
      <c r="GW83" s="73"/>
      <c r="GX83" s="68">
        <f>GZ83*$W83</f>
        <v>72.691749678858301</v>
      </c>
      <c r="GY83" s="26">
        <f>GZ83*$NT83</f>
        <v>2.285904077951519</v>
      </c>
      <c r="GZ83" s="127">
        <f>$AN83*GU$27/C83</f>
        <v>2.285904077951519</v>
      </c>
      <c r="HA83" s="673">
        <f>10^3*GZ83/$OB83</f>
        <v>61.781191295987</v>
      </c>
      <c r="HB83" s="74"/>
      <c r="HC83" s="73">
        <f>10^3*GZ83/$NW83</f>
        <v>58.165498166705319</v>
      </c>
      <c r="HD83" s="73"/>
      <c r="HE83" s="73"/>
      <c r="HF83" s="73"/>
      <c r="HG83" s="73"/>
      <c r="HH83" s="73"/>
      <c r="HI83" s="73"/>
      <c r="HJ83" s="73"/>
      <c r="HK83" s="73"/>
      <c r="HL83" s="73"/>
      <c r="HM83" s="115">
        <f>HN83*$NT83</f>
        <v>2.285904077951519</v>
      </c>
      <c r="HN83" s="127">
        <f>$AN83*GV$27/C83</f>
        <v>2.285904077951519</v>
      </c>
      <c r="HO83" s="73">
        <f>10^3*HN83/$OB83</f>
        <v>61.781191295987</v>
      </c>
      <c r="HQ83" s="73">
        <f>10^3*HN83/$NW83</f>
        <v>58.165498166705319</v>
      </c>
      <c r="HR83" s="73"/>
      <c r="HS83" s="73"/>
      <c r="HT83" s="73"/>
      <c r="HU83" s="73"/>
      <c r="HV83" s="73"/>
      <c r="HW83" s="73"/>
      <c r="HX83" s="73"/>
      <c r="HY83" s="73"/>
      <c r="HZ83" s="73"/>
      <c r="IA83" s="115">
        <f>IB83*$NT83</f>
        <v>0</v>
      </c>
      <c r="IB83" s="127">
        <f>$AN83*GW$27/C83</f>
        <v>0</v>
      </c>
      <c r="IC83" s="73">
        <f>10^3*IB83/$OB83</f>
        <v>0</v>
      </c>
      <c r="IE83" s="73">
        <f>10^3*IB83/$NW83</f>
        <v>0</v>
      </c>
      <c r="IF83" s="73"/>
      <c r="IG83" s="73"/>
      <c r="IH83" s="73"/>
      <c r="II83" s="73"/>
      <c r="IJ83" s="73"/>
      <c r="IK83" s="73"/>
      <c r="IL83" s="73"/>
      <c r="IM83" s="73"/>
      <c r="IN83" s="73"/>
      <c r="IO83" s="97"/>
      <c r="IP83" s="97"/>
      <c r="IQ83" s="97"/>
      <c r="IR83" s="97"/>
      <c r="IS83" s="97"/>
      <c r="IT83" s="97"/>
      <c r="IU83" s="97"/>
      <c r="IV83" s="335">
        <f>IW83*$NT83</f>
        <v>1.7672289823371403</v>
      </c>
      <c r="IW83" s="115">
        <f>AN83*JK82</f>
        <v>1.7672289823371403</v>
      </c>
      <c r="IX83" s="673">
        <f>10^3*IW83/OB83</f>
        <v>47.76294546857136</v>
      </c>
      <c r="IZ83" s="73">
        <f>AN83*JL82</f>
        <v>47.506155439170442</v>
      </c>
      <c r="JA83" s="115"/>
      <c r="JB83" s="115">
        <f>$IW83*JM82/$JK82</f>
        <v>0.20220888305888998</v>
      </c>
      <c r="JC83" s="127">
        <f>$IW83*JN82/$JK82</f>
        <v>0.17164689662325819</v>
      </c>
      <c r="JD83" s="127">
        <f>$IW83*JO82/$JK82</f>
        <v>1.3933732026549923</v>
      </c>
      <c r="JE83" s="115"/>
      <c r="JF83" s="73"/>
      <c r="JG83" s="73"/>
      <c r="JH83" s="73"/>
      <c r="JI83" s="73"/>
      <c r="JJ83" s="73"/>
      <c r="JW83" s="115"/>
      <c r="KJ83" s="115">
        <f>BW83*44/12+$IW83+$GZ83</f>
        <v>11.04665174830115</v>
      </c>
      <c r="KK83" s="74"/>
      <c r="KL83" s="677">
        <f>10^3*KJ83/$OB83</f>
        <v>298.55815535949057</v>
      </c>
      <c r="KM83" s="74"/>
      <c r="KN83" s="73"/>
      <c r="KO83" s="115"/>
      <c r="KP83" s="115"/>
      <c r="KQ83" s="115"/>
      <c r="KR83" s="115"/>
      <c r="KS83" s="73"/>
      <c r="KT83" s="115">
        <f>CK83*44/12+$IW83+$HN83</f>
        <v>11.04665174830115</v>
      </c>
      <c r="KV83" s="677">
        <f>10^3*KT83/$OB83</f>
        <v>298.55815535949057</v>
      </c>
      <c r="KX83" s="73"/>
      <c r="KY83" s="115"/>
      <c r="KZ83" s="115"/>
      <c r="LA83" s="115"/>
      <c r="LB83" s="115"/>
      <c r="LC83" s="73"/>
      <c r="LD83" s="115">
        <f>CY83*44/12+$IW83+$IB83</f>
        <v>4.9288947543323287</v>
      </c>
      <c r="LF83" s="677">
        <f>10^3*LD83/$OB83</f>
        <v>133.21337173871157</v>
      </c>
      <c r="LH83" s="73"/>
      <c r="LI83" s="115"/>
      <c r="LJ83" s="115"/>
      <c r="LK83" s="115"/>
      <c r="LL83" s="115"/>
      <c r="LM83" s="73"/>
      <c r="LN83" s="115">
        <f>DM83*44/12+$IW83+$GZ83</f>
        <v>9.5085965860398005</v>
      </c>
      <c r="LP83" s="677">
        <f>10^3*LN83/$OB83</f>
        <v>256.98909691999461</v>
      </c>
      <c r="LR83" s="73"/>
      <c r="LW83" s="73"/>
      <c r="LX83" s="115">
        <f>EA83*44/12+$IW83+$HN83</f>
        <v>9.5085965860398005</v>
      </c>
      <c r="LZ83" s="677">
        <f>10^3*LX83/$OB83</f>
        <v>256.98909691999461</v>
      </c>
      <c r="MB83" s="73"/>
      <c r="MG83" s="73"/>
      <c r="MH83" s="115">
        <f>EO83*44/12+$IW83+$IB83</f>
        <v>63.566816611203102</v>
      </c>
      <c r="MJ83" s="677">
        <f>10^3*MH83/$OB83</f>
        <v>1718.0220705730569</v>
      </c>
      <c r="ML83" s="73"/>
      <c r="MQ83" s="73"/>
      <c r="MW83" s="73"/>
      <c r="MX83" s="73"/>
      <c r="MY83" s="73"/>
      <c r="MZ83" s="73"/>
      <c r="NA83" s="73"/>
      <c r="NB83" s="73"/>
      <c r="NC83" s="73"/>
      <c r="ND83" s="73"/>
      <c r="NE83" s="73"/>
      <c r="NF83" s="73"/>
      <c r="NG83" s="73"/>
      <c r="NH83" s="73"/>
      <c r="NI83" s="73"/>
      <c r="NJ83" s="73"/>
      <c r="NK83" s="73"/>
      <c r="NL83" s="73"/>
      <c r="NM83" s="73"/>
      <c r="NN83" s="73"/>
      <c r="NO83" s="73"/>
      <c r="NP83" s="73"/>
      <c r="NQ83" s="73"/>
      <c r="NT83" s="31">
        <v>1</v>
      </c>
      <c r="NU83" s="31"/>
      <c r="NV83" s="32">
        <f>$NT83*NW83</f>
        <v>39.299999999999997</v>
      </c>
      <c r="NW83" s="9">
        <v>39.299999999999997</v>
      </c>
      <c r="NX83" s="9"/>
      <c r="NY83" s="9">
        <v>37.200000000000003</v>
      </c>
      <c r="NZ83" s="9"/>
      <c r="OA83" s="32">
        <f>$NT83*OB83</f>
        <v>37</v>
      </c>
      <c r="OB83" s="43">
        <v>37</v>
      </c>
      <c r="OC83" s="38">
        <f>$NT83*OD83</f>
        <v>0</v>
      </c>
      <c r="OD83" s="31">
        <v>0</v>
      </c>
      <c r="OE83" s="38">
        <f>$NT83*OF83</f>
        <v>1</v>
      </c>
      <c r="OF83" s="31">
        <v>1</v>
      </c>
    </row>
    <row r="84" spans="1:494" x14ac:dyDescent="0.25">
      <c r="A84" s="37" t="s">
        <v>139</v>
      </c>
      <c r="B84" s="468">
        <f>C84*NT27/NT84</f>
        <v>2.3400000000000001E-2</v>
      </c>
      <c r="C84" s="45">
        <v>4.4999999999999998E-2</v>
      </c>
      <c r="D84" s="722">
        <f>C84*NW84/NW27</f>
        <v>6.4309090909090899E-2</v>
      </c>
      <c r="E84" s="122"/>
      <c r="F84" s="122"/>
      <c r="G84" s="122"/>
      <c r="H84" s="122"/>
      <c r="I84" s="122"/>
      <c r="J84" s="122"/>
      <c r="K84" s="122"/>
      <c r="L84" s="122"/>
      <c r="M84" s="122"/>
      <c r="N84" s="683"/>
      <c r="V84" s="26">
        <f>W84/NT84</f>
        <v>3.7657894736842104</v>
      </c>
      <c r="W84" s="26">
        <f>C84/C83*W83</f>
        <v>3.7657894736842104</v>
      </c>
      <c r="X84" s="115"/>
      <c r="Y84" s="26">
        <f>W84*NW84/10^3</f>
        <v>0.14799552631578944</v>
      </c>
      <c r="Z84" s="26">
        <f>W84*OB84/10^3</f>
        <v>0.13933421052631578</v>
      </c>
      <c r="AE84" s="115">
        <f>AB$27*$AN84/$C84</f>
        <v>2.9241641466522625</v>
      </c>
      <c r="AF84" s="115"/>
      <c r="AG84" s="115">
        <f>AC$27*$AN84/$C84</f>
        <v>2.9241641466522625</v>
      </c>
      <c r="AH84" s="115"/>
      <c r="AI84" s="115">
        <f>AD$27*$AN84/$C84</f>
        <v>3.7449821527300902</v>
      </c>
      <c r="AJ84" s="683"/>
      <c r="AK84" s="722">
        <f>Y84/(Y83+Y84+Y85)</f>
        <v>9.9901143906227896E-2</v>
      </c>
      <c r="AL84" s="164">
        <v>1.25</v>
      </c>
      <c r="AM84" s="104">
        <f>V84*AL84/(V83*AL83+V84*AL84+V85*AL85)</f>
        <v>0.12402576860027031</v>
      </c>
      <c r="AN84" s="40">
        <f t="shared" si="27"/>
        <v>9.9901143906227896E-2</v>
      </c>
      <c r="AO84" s="115"/>
      <c r="AP84" s="115"/>
      <c r="AQ84" s="115"/>
      <c r="AR84" s="115"/>
      <c r="AS84" s="115"/>
      <c r="AT84" s="115"/>
      <c r="AU84" s="115"/>
      <c r="AV84" s="115"/>
      <c r="AW84" s="115"/>
      <c r="AX84" s="115"/>
      <c r="AY84" s="115"/>
      <c r="AZ84" s="115"/>
      <c r="BA84" s="115"/>
      <c r="BB84" s="115"/>
      <c r="BC84" s="115"/>
      <c r="BD84" s="115"/>
      <c r="BE84" s="115"/>
      <c r="BF84" s="115"/>
      <c r="BG84" s="115"/>
      <c r="BH84" s="115"/>
      <c r="BI84" s="115"/>
      <c r="BJ84" s="115"/>
      <c r="BK84" s="115"/>
      <c r="BL84" s="115"/>
      <c r="BM84" s="115"/>
      <c r="BN84" s="115"/>
      <c r="BO84" s="115"/>
      <c r="BP84" s="115"/>
      <c r="BQ84" s="115"/>
      <c r="BR84" s="115"/>
      <c r="BS84" s="115"/>
      <c r="BT84" s="115"/>
      <c r="BU84" s="115"/>
      <c r="BV84" s="26">
        <f>BW84*$NT84</f>
        <v>1.9073232785488603</v>
      </c>
      <c r="BW84" s="115">
        <f>BP$27*$AN84/$C84</f>
        <v>1.9073232785488603</v>
      </c>
      <c r="BX84" s="26">
        <f>10^3*BW84/$OB84</f>
        <v>51.549277798617844</v>
      </c>
      <c r="BY84" s="26"/>
      <c r="BZ84" s="335"/>
      <c r="CA84" s="127"/>
      <c r="CB84" s="127"/>
      <c r="CC84" s="127"/>
      <c r="CD84" s="115"/>
      <c r="CE84" s="115"/>
      <c r="CF84" s="115"/>
      <c r="CG84" s="115"/>
      <c r="CH84" s="115"/>
      <c r="CI84" s="127"/>
      <c r="CJ84" s="26">
        <f>CK84*$NT84</f>
        <v>1.9073232785488603</v>
      </c>
      <c r="CK84" s="115">
        <f>BQ$27*$AN84/$C84</f>
        <v>1.9073232785488603</v>
      </c>
      <c r="CL84" s="26">
        <f>10^3*CK84/$OB84</f>
        <v>51.549277798617844</v>
      </c>
      <c r="CM84" s="26"/>
      <c r="CN84" s="335"/>
      <c r="CO84" s="127"/>
      <c r="CP84" s="127"/>
      <c r="CQ84" s="127"/>
      <c r="CW84" s="127"/>
      <c r="CX84" s="26">
        <f>CY84*$NT84</f>
        <v>0.86227248327141492</v>
      </c>
      <c r="CY84" s="115">
        <f>BR$27*$AN84/$C84</f>
        <v>0.86227248327141492</v>
      </c>
      <c r="CZ84" s="26">
        <f>10^3*CY84/$OB84</f>
        <v>23.304661710038239</v>
      </c>
      <c r="DA84" s="26"/>
      <c r="DB84" s="335"/>
      <c r="DC84" s="127"/>
      <c r="DD84" s="127"/>
      <c r="DE84" s="127"/>
      <c r="DF84" s="115"/>
      <c r="DG84" s="115"/>
      <c r="DH84" s="115"/>
      <c r="DI84" s="115"/>
      <c r="DJ84" s="115"/>
      <c r="DK84" s="127"/>
      <c r="DL84" s="26">
        <f>DM84*$NT84</f>
        <v>1.4878536888412199</v>
      </c>
      <c r="DM84" s="115">
        <f>BS$27*$AN84/$C84</f>
        <v>1.4878536888412199</v>
      </c>
      <c r="DN84" s="26">
        <f>10^3*DM84/$OB84</f>
        <v>40.212261860573513</v>
      </c>
      <c r="DO84" s="26"/>
      <c r="DP84" s="335"/>
      <c r="DQ84" s="127"/>
      <c r="DR84" s="127"/>
      <c r="DS84" s="127"/>
      <c r="DT84" s="37"/>
      <c r="DU84" s="37"/>
      <c r="DV84" s="37"/>
      <c r="DW84" s="37"/>
      <c r="DX84" s="37"/>
      <c r="DY84" s="127"/>
      <c r="DZ84" s="26">
        <f>EA84*$NT84</f>
        <v>1.4878536888412199</v>
      </c>
      <c r="EA84" s="115">
        <f>BT$27*$AN84/$C84</f>
        <v>1.4878536888412199</v>
      </c>
      <c r="EB84" s="26">
        <f>10^3*EA84/$OB84</f>
        <v>40.212261860573513</v>
      </c>
      <c r="EC84" s="26"/>
      <c r="ED84" s="335"/>
      <c r="EE84" s="127"/>
      <c r="EF84" s="127"/>
      <c r="EG84" s="127"/>
      <c r="EM84" s="127"/>
      <c r="EN84" s="26">
        <f>EO84*$NT84</f>
        <v>16.854432989690714</v>
      </c>
      <c r="EO84" s="115">
        <f>BU$27*$AN84/$C84</f>
        <v>16.854432989690714</v>
      </c>
      <c r="EP84" s="26">
        <f>10^3*EO84/$OB84</f>
        <v>455.52521593758689</v>
      </c>
      <c r="EQ84" s="26"/>
      <c r="ER84" s="335"/>
      <c r="ES84" s="127"/>
      <c r="ET84" s="127"/>
      <c r="EU84" s="127"/>
      <c r="EV84" s="37"/>
      <c r="EW84" s="37"/>
      <c r="EX84" s="37"/>
      <c r="EY84" s="37"/>
      <c r="EZ84" s="37"/>
      <c r="FA84" s="127"/>
      <c r="FE84" s="26">
        <f>FF84*$NT84</f>
        <v>2.9826474295853083</v>
      </c>
      <c r="FF84" s="115">
        <f>FB$27*$AN84/$C84</f>
        <v>2.9826474295853083</v>
      </c>
      <c r="FG84" s="562">
        <f>10^3*FF84/$OB84</f>
        <v>80.612092691494809</v>
      </c>
      <c r="FH84" s="73"/>
      <c r="FI84" s="335"/>
      <c r="FJ84" s="335"/>
      <c r="FK84" s="127"/>
      <c r="FL84" s="26"/>
      <c r="FR84" s="127"/>
      <c r="FS84" s="26">
        <f>FT84*$NT84</f>
        <v>2.9826474295853083</v>
      </c>
      <c r="FT84" s="115">
        <f>FC$27*$AN84/$C84</f>
        <v>2.9826474295853083</v>
      </c>
      <c r="FU84" s="562">
        <f>10^3*FT84/$OB84</f>
        <v>80.612092691494809</v>
      </c>
      <c r="FV84" s="73"/>
      <c r="FW84" s="335"/>
      <c r="FX84" s="335"/>
      <c r="FY84" s="127"/>
      <c r="FZ84" s="26"/>
      <c r="GF84" s="127"/>
      <c r="GG84" s="26">
        <f>GH84*$NT84</f>
        <v>2.9210860791294704</v>
      </c>
      <c r="GH84" s="115">
        <f>FD$27*$AN84/$C84</f>
        <v>2.9210860791294704</v>
      </c>
      <c r="GI84" s="562">
        <f>10^3*GH84/$OB84</f>
        <v>78.9482724089046</v>
      </c>
      <c r="GJ84" s="73"/>
      <c r="GK84" s="335"/>
      <c r="GL84" s="335"/>
      <c r="GM84" s="127"/>
      <c r="GN84" s="26"/>
      <c r="GT84" s="127"/>
      <c r="GU84" s="127"/>
      <c r="GV84" s="127"/>
      <c r="GW84" s="127"/>
      <c r="GX84" s="68">
        <f>GZ84*$W84</f>
        <v>8.6082335146016398</v>
      </c>
      <c r="GY84" s="26">
        <f>GZ84*$NT84</f>
        <v>2.2859040779515185</v>
      </c>
      <c r="GZ84" s="127">
        <f>$AN84*GU$27/C84</f>
        <v>2.2859040779515185</v>
      </c>
      <c r="HA84" s="673">
        <f>10^3*GZ84/$OB84</f>
        <v>61.781191295986986</v>
      </c>
      <c r="HB84" s="115"/>
      <c r="HD84" s="115"/>
      <c r="HE84" s="127"/>
      <c r="HF84" s="127"/>
      <c r="HG84" s="127"/>
      <c r="HH84" s="127"/>
      <c r="HI84" s="127"/>
      <c r="HJ84" s="127"/>
      <c r="HK84" s="127"/>
      <c r="HL84" s="127"/>
      <c r="HM84" s="115">
        <f>HN84*$NT84</f>
        <v>2.2859040779515185</v>
      </c>
      <c r="HN84" s="127">
        <f>$AN84*GV$27/C84</f>
        <v>2.2859040779515185</v>
      </c>
      <c r="HO84" s="73">
        <f>10^3*HN84/$OB84</f>
        <v>61.781191295986986</v>
      </c>
      <c r="HP84" s="115"/>
      <c r="HR84" s="115"/>
      <c r="HS84" s="127"/>
      <c r="HT84" s="127"/>
      <c r="HU84" s="127"/>
      <c r="HV84" s="127"/>
      <c r="HW84" s="127"/>
      <c r="HX84" s="127"/>
      <c r="HY84" s="127"/>
      <c r="HZ84" s="127"/>
      <c r="IA84" s="115">
        <f>IB84*$NT84</f>
        <v>0</v>
      </c>
      <c r="IB84" s="127">
        <f>$AN84*GW$27/C84</f>
        <v>0</v>
      </c>
      <c r="IC84" s="73">
        <f>10^3*IB84/$OB84</f>
        <v>0</v>
      </c>
      <c r="ID84" s="115"/>
      <c r="IE84" s="133"/>
      <c r="IF84" s="115"/>
      <c r="IG84" s="127"/>
      <c r="IH84" s="127"/>
      <c r="II84" s="127"/>
      <c r="IJ84" s="127"/>
      <c r="IK84" s="127"/>
      <c r="IL84" s="127"/>
      <c r="IM84" s="127"/>
      <c r="IN84" s="127"/>
      <c r="IO84" s="97"/>
      <c r="IP84" s="97"/>
      <c r="IQ84" s="97"/>
      <c r="IR84" s="97"/>
      <c r="IS84" s="97"/>
      <c r="IT84" s="97"/>
      <c r="IU84" s="97"/>
      <c r="IV84" s="26">
        <f>IW84*$NT84</f>
        <v>1.7672289823371399</v>
      </c>
      <c r="IW84" s="91">
        <f>$AN84*JK82*$C83/$C84</f>
        <v>1.7672289823371399</v>
      </c>
      <c r="IX84" s="673">
        <f>10^3*IW84/OB84</f>
        <v>47.762945468571345</v>
      </c>
      <c r="IY84" s="115"/>
      <c r="IZ84" s="73"/>
      <c r="JA84" s="115"/>
      <c r="JB84" s="115">
        <f>$IW84*JM82/$JK82</f>
        <v>0.20220888305888995</v>
      </c>
      <c r="JC84" s="115">
        <f>$IW84*JN82/$JK82</f>
        <v>0.17164689662325813</v>
      </c>
      <c r="JD84" s="115">
        <f>$IW84*JO82/$JK82</f>
        <v>1.3933732026549919</v>
      </c>
      <c r="JE84" s="115"/>
      <c r="JF84" s="73"/>
      <c r="JG84" s="73"/>
      <c r="JH84" s="73"/>
      <c r="JI84" s="73"/>
      <c r="JJ84" s="73"/>
      <c r="JW84" s="115"/>
      <c r="KJ84" s="115">
        <f>BW84*44/12+$IW84+$GZ84</f>
        <v>11.046651748301148</v>
      </c>
      <c r="KK84" s="74"/>
      <c r="KL84" s="74"/>
      <c r="KM84" s="74"/>
      <c r="KN84" s="127"/>
      <c r="KO84" s="115"/>
      <c r="KP84" s="115"/>
      <c r="KQ84" s="115"/>
      <c r="KR84" s="115"/>
      <c r="KS84" s="127"/>
      <c r="KT84" s="115">
        <f>CK84*44/12+$IW84+$HN84</f>
        <v>11.046651748301148</v>
      </c>
      <c r="KX84" s="127"/>
      <c r="KY84" s="115"/>
      <c r="KZ84" s="115"/>
      <c r="LA84" s="115"/>
      <c r="LB84" s="115"/>
      <c r="LC84" s="127"/>
      <c r="LD84" s="115">
        <f>CY84*44/12+$IW84+$IB84</f>
        <v>4.9288947543323278</v>
      </c>
      <c r="LH84" s="127"/>
      <c r="LI84" s="115"/>
      <c r="LJ84" s="115"/>
      <c r="LK84" s="115"/>
      <c r="LL84" s="115"/>
      <c r="LM84" s="127"/>
      <c r="LN84" s="115">
        <f>DM84*44/12+$IW84+$GZ84</f>
        <v>9.508596586039797</v>
      </c>
      <c r="LR84" s="127"/>
      <c r="LW84" s="127"/>
      <c r="LX84" s="115">
        <f>EA84*44/12+$IW84+$HN84</f>
        <v>9.508596586039797</v>
      </c>
      <c r="MB84" s="127"/>
      <c r="MG84" s="127"/>
      <c r="MH84" s="115">
        <f>EO84*44/12+$IW84+$IB84</f>
        <v>63.566816611203095</v>
      </c>
      <c r="ML84" s="127"/>
      <c r="MQ84" s="127"/>
      <c r="MW84" s="127"/>
      <c r="MX84" s="127"/>
      <c r="MY84" s="127"/>
      <c r="MZ84" s="127"/>
      <c r="NA84" s="127"/>
      <c r="NB84" s="127"/>
      <c r="NC84" s="127"/>
      <c r="ND84" s="127"/>
      <c r="NE84" s="127"/>
      <c r="NF84" s="127"/>
      <c r="NG84" s="127"/>
      <c r="NH84" s="127"/>
      <c r="NI84" s="127"/>
      <c r="NJ84" s="127"/>
      <c r="NK84" s="127"/>
      <c r="NL84" s="127"/>
      <c r="NM84" s="127"/>
      <c r="NN84" s="127"/>
      <c r="NO84" s="127"/>
      <c r="NP84" s="127"/>
      <c r="NQ84" s="127"/>
      <c r="NT84" s="31">
        <v>1</v>
      </c>
      <c r="NU84" s="31"/>
      <c r="NV84" s="32">
        <f>$NT84*NW84</f>
        <v>39.299999999999997</v>
      </c>
      <c r="NW84" s="9">
        <v>39.299999999999997</v>
      </c>
      <c r="NX84" s="9"/>
      <c r="NY84" s="9"/>
      <c r="NZ84" s="9"/>
      <c r="OA84" s="32">
        <f>$NT84*OB84</f>
        <v>37</v>
      </c>
      <c r="OB84" s="43">
        <v>37</v>
      </c>
      <c r="OC84" s="38">
        <f>$NT84*OD84</f>
        <v>0</v>
      </c>
      <c r="OD84" s="31">
        <v>0</v>
      </c>
      <c r="OE84" s="38">
        <f>$NT84*OF84</f>
        <v>1</v>
      </c>
      <c r="OF84" s="31">
        <v>1</v>
      </c>
    </row>
    <row r="85" spans="1:494" x14ac:dyDescent="0.25">
      <c r="A85" s="37" t="s">
        <v>142</v>
      </c>
      <c r="B85" s="468">
        <f>C85*NT27/NT85</f>
        <v>2.8260869565217391E-2</v>
      </c>
      <c r="C85" s="45">
        <v>0.05</v>
      </c>
      <c r="D85" s="722">
        <f>C85*NW85/NW27</f>
        <v>3.6363636363636362E-2</v>
      </c>
      <c r="E85" s="122"/>
      <c r="F85" s="122"/>
      <c r="G85" s="122"/>
      <c r="H85" s="122"/>
      <c r="I85" s="122"/>
      <c r="J85" s="122"/>
      <c r="K85" s="122"/>
      <c r="L85" s="122"/>
      <c r="M85" s="122"/>
      <c r="N85" s="683"/>
      <c r="V85" s="26">
        <f>W85/NT85</f>
        <v>4.5480549199084663</v>
      </c>
      <c r="W85" s="26">
        <f>C85/C83*W83</f>
        <v>4.1842105263157894</v>
      </c>
      <c r="X85" s="115"/>
      <c r="Y85" s="26">
        <f>W85*NW85/10^3</f>
        <v>8.3684210526315778E-2</v>
      </c>
      <c r="Z85" s="26"/>
      <c r="AA85" s="26">
        <f>W85*OD85</f>
        <v>0.75315789473684203</v>
      </c>
      <c r="AB85" s="26"/>
      <c r="AE85" s="115">
        <f>AB$27*$AN85/$C85</f>
        <v>1.4881242476601877</v>
      </c>
      <c r="AF85" s="115"/>
      <c r="AG85" s="115">
        <f>AC$27*$AN85/$C85</f>
        <v>1.4881242476601877</v>
      </c>
      <c r="AH85" s="115"/>
      <c r="AI85" s="115">
        <f>AD$27*$AN85/$C85</f>
        <v>1.905843334722696</v>
      </c>
      <c r="AJ85" s="52"/>
      <c r="AK85" s="52">
        <f>1-AK83-AK84</f>
        <v>5.6489196441180722E-2</v>
      </c>
      <c r="AL85" s="164">
        <v>0.35299999999999998</v>
      </c>
      <c r="AM85" s="683">
        <f>V85*AL85/(V83*AL83+V84*AL84+V85*AL85)</f>
        <v>4.2300576150623596E-2</v>
      </c>
      <c r="AN85" s="40">
        <f t="shared" si="27"/>
        <v>5.6489196441180722E-2</v>
      </c>
      <c r="AO85" s="115"/>
      <c r="AP85" s="115"/>
      <c r="AQ85" s="115"/>
      <c r="AR85" s="115"/>
      <c r="AS85" s="115"/>
      <c r="AT85" s="115"/>
      <c r="AU85" s="115"/>
      <c r="AV85" s="115"/>
      <c r="AW85" s="115"/>
      <c r="AX85" s="115"/>
      <c r="AY85" s="115"/>
      <c r="AZ85" s="115"/>
      <c r="BA85" s="115"/>
      <c r="BB85" s="115"/>
      <c r="BC85" s="115"/>
      <c r="BD85" s="115"/>
      <c r="BE85" s="115"/>
      <c r="BF85" s="115"/>
      <c r="BG85" s="115"/>
      <c r="BH85" s="115"/>
      <c r="BI85" s="115"/>
      <c r="BJ85" s="115"/>
      <c r="BK85" s="115"/>
      <c r="BL85" s="115"/>
      <c r="BM85" s="115"/>
      <c r="BN85" s="115"/>
      <c r="BO85" s="115"/>
      <c r="BP85" s="115"/>
      <c r="BQ85" s="115"/>
      <c r="BR85" s="115"/>
      <c r="BS85" s="115"/>
      <c r="BT85" s="115"/>
      <c r="BU85" s="115"/>
      <c r="BV85" s="26">
        <f>BW85*$NT85</f>
        <v>0.89299614059285248</v>
      </c>
      <c r="BW85" s="115">
        <f>BP$27*$AN85/$C85</f>
        <v>0.97064797890527443</v>
      </c>
      <c r="BY85" s="143">
        <f>BW85/$OD85</f>
        <v>5.3924887716959695</v>
      </c>
      <c r="BZ85" s="335"/>
      <c r="CA85" s="127"/>
      <c r="CB85" s="127"/>
      <c r="CC85" s="127"/>
      <c r="CD85" s="115"/>
      <c r="CE85" s="115"/>
      <c r="CF85" s="115"/>
      <c r="CG85" s="115"/>
      <c r="CH85" s="115"/>
      <c r="CI85" s="127"/>
      <c r="CJ85" s="26">
        <f>CK85*$NT85</f>
        <v>0.89299614059285248</v>
      </c>
      <c r="CK85" s="115">
        <f>BQ$27*$AN85/$C85</f>
        <v>0.97064797890527443</v>
      </c>
      <c r="CM85" s="143">
        <f>CK85/$OD85</f>
        <v>5.3924887716959695</v>
      </c>
      <c r="CN85" s="335"/>
      <c r="CO85" s="127"/>
      <c r="CP85" s="127"/>
      <c r="CQ85" s="127"/>
      <c r="CW85" s="127"/>
      <c r="CX85" s="26">
        <f>CY85*$NT85</f>
        <v>0.40371027206600679</v>
      </c>
      <c r="CY85" s="115">
        <f>BR$27*$AN85/$C85</f>
        <v>0.43881551311522476</v>
      </c>
      <c r="CZ85" s="37"/>
      <c r="DA85" s="143">
        <f>CY85/$OD85</f>
        <v>2.437863961751249</v>
      </c>
      <c r="DB85" s="335"/>
      <c r="DC85" s="127"/>
      <c r="DD85" s="127"/>
      <c r="DE85" s="127"/>
      <c r="DF85" s="115"/>
      <c r="DG85" s="115"/>
      <c r="DH85" s="115"/>
      <c r="DI85" s="115"/>
      <c r="DJ85" s="115"/>
      <c r="DK85" s="127"/>
      <c r="DL85" s="26">
        <f>DM85*$NT85</f>
        <v>0.69660325380861332</v>
      </c>
      <c r="DM85" s="115">
        <f>BS$27*$AN85/$C85</f>
        <v>0.75717744979197099</v>
      </c>
      <c r="DN85" s="37"/>
      <c r="DO85" s="143">
        <f>DM85/$OD85</f>
        <v>4.2065413877331723</v>
      </c>
      <c r="DP85" s="335"/>
      <c r="DQ85" s="127"/>
      <c r="DR85" s="127"/>
      <c r="DS85" s="127"/>
      <c r="DT85" s="37"/>
      <c r="DU85" s="37"/>
      <c r="DV85" s="37"/>
      <c r="DW85" s="37"/>
      <c r="DX85" s="37"/>
      <c r="DY85" s="127"/>
      <c r="DZ85" s="26">
        <f>EA85*$NT85</f>
        <v>0.69660325380861332</v>
      </c>
      <c r="EA85" s="115">
        <f>BT$27*$AN85/$C85</f>
        <v>0.75717744979197099</v>
      </c>
      <c r="EC85" s="143">
        <f>EA85/$OD85</f>
        <v>4.2065413877331723</v>
      </c>
      <c r="ED85" s="335"/>
      <c r="EE85" s="127"/>
      <c r="EF85" s="127"/>
      <c r="EG85" s="127"/>
      <c r="EM85" s="127"/>
      <c r="EN85" s="26">
        <f>EO85*$NT85</f>
        <v>7.8911340206185701</v>
      </c>
      <c r="EO85" s="115">
        <f>BU$27*$AN85/$C85</f>
        <v>8.5773195876288799</v>
      </c>
      <c r="EP85" s="37"/>
      <c r="EQ85" s="143">
        <f>EO85/$OD85</f>
        <v>47.651775486827113</v>
      </c>
      <c r="ER85" s="335"/>
      <c r="ES85" s="127"/>
      <c r="ET85" s="127"/>
      <c r="EU85" s="127"/>
      <c r="EV85" s="37"/>
      <c r="EW85" s="37"/>
      <c r="EX85" s="37"/>
      <c r="EY85" s="37"/>
      <c r="EZ85" s="37"/>
      <c r="FA85" s="127"/>
      <c r="FE85" s="26">
        <f>FF85*$NT85</f>
        <v>1.3964557940043199</v>
      </c>
      <c r="FF85" s="115">
        <f>FB$27*$AN85/$C85</f>
        <v>1.5178867326133911</v>
      </c>
      <c r="FH85" s="115">
        <f>FF85/$OD85</f>
        <v>8.4327040700743954</v>
      </c>
      <c r="FI85" s="335"/>
      <c r="FJ85" s="335"/>
      <c r="FK85" s="127"/>
      <c r="FL85" s="26"/>
      <c r="FR85" s="127"/>
      <c r="FS85" s="26">
        <f>FT85*$NT85</f>
        <v>1.3964557940043199</v>
      </c>
      <c r="FT85" s="115">
        <f>FC$27*$AN85/$C85</f>
        <v>1.5178867326133911</v>
      </c>
      <c r="FV85" s="115">
        <f>FT85/$OD85</f>
        <v>8.4327040700743954</v>
      </c>
      <c r="FW85" s="335"/>
      <c r="FX85" s="335"/>
      <c r="FY85" s="127"/>
      <c r="FZ85" s="26"/>
      <c r="GF85" s="127"/>
      <c r="GG85" s="26">
        <f>GH85*$NT85</f>
        <v>1.3676331769970067</v>
      </c>
      <c r="GH85" s="115">
        <f>FD$27*$AN85/$C85</f>
        <v>1.4865578010837028</v>
      </c>
      <c r="GJ85" s="115">
        <f>GH85/$OD85</f>
        <v>8.2586544504650163</v>
      </c>
      <c r="GK85" s="335"/>
      <c r="GL85" s="335"/>
      <c r="GM85" s="127"/>
      <c r="GN85" s="26"/>
      <c r="GT85" s="127"/>
      <c r="GU85" s="127"/>
      <c r="GV85" s="127"/>
      <c r="GW85" s="127"/>
      <c r="GX85" s="68">
        <f>GZ85*$W85</f>
        <v>4.8675337939506118</v>
      </c>
      <c r="GY85" s="26">
        <f>GZ85*$NT85</f>
        <v>1.0702451662673798</v>
      </c>
      <c r="GZ85" s="330">
        <f>$AN85*GU$27/C85</f>
        <v>1.1633099633341084</v>
      </c>
      <c r="HB85" s="115">
        <f>GZ85/$OD85</f>
        <v>6.4628331296339354</v>
      </c>
      <c r="HD85" s="115"/>
      <c r="HE85" s="127"/>
      <c r="HF85" s="127"/>
      <c r="HG85" s="127"/>
      <c r="HH85" s="127"/>
      <c r="HI85" s="127"/>
      <c r="HJ85" s="127"/>
      <c r="HK85" s="127"/>
      <c r="HL85" s="127"/>
      <c r="HM85" s="115">
        <f>HN85*$NT85</f>
        <v>1.0702451662673798</v>
      </c>
      <c r="HN85" s="127">
        <f>$AN85*GV$27/C85</f>
        <v>1.1633099633341084</v>
      </c>
      <c r="HP85" s="115">
        <f>HN85/$OD85</f>
        <v>6.4628331296339354</v>
      </c>
      <c r="HR85" s="115"/>
      <c r="HS85" s="127"/>
      <c r="HT85" s="127"/>
      <c r="HU85" s="127"/>
      <c r="HV85" s="127"/>
      <c r="HW85" s="127"/>
      <c r="HX85" s="127"/>
      <c r="HY85" s="127"/>
      <c r="HZ85" s="127"/>
      <c r="IA85" s="115">
        <f>IB85*$NT85</f>
        <v>0</v>
      </c>
      <c r="IB85" s="127">
        <f>$AN85*GW$27/C85</f>
        <v>0</v>
      </c>
      <c r="IC85" s="133"/>
      <c r="ID85" s="115">
        <f>IB85/$OD85</f>
        <v>0</v>
      </c>
      <c r="IE85" s="133"/>
      <c r="IF85" s="115"/>
      <c r="IG85" s="127"/>
      <c r="IH85" s="127"/>
      <c r="II85" s="127"/>
      <c r="IJ85" s="127"/>
      <c r="IK85" s="127"/>
      <c r="IL85" s="127"/>
      <c r="IM85" s="127"/>
      <c r="IN85" s="127"/>
      <c r="IO85" s="97"/>
      <c r="IP85" s="97"/>
      <c r="IQ85" s="97"/>
      <c r="IR85" s="97"/>
      <c r="IS85" s="97"/>
      <c r="IT85" s="97"/>
      <c r="IU85" s="97"/>
      <c r="IV85" s="26">
        <f>IW85*$NT85</f>
        <v>0.82740491793901882</v>
      </c>
      <c r="IW85" s="91">
        <f>$AN85*JK82*$C83/$C85</f>
        <v>0.89935317167284656</v>
      </c>
      <c r="IY85" s="115">
        <f>IW85/$OD85</f>
        <v>4.9964065092935925</v>
      </c>
      <c r="JA85" s="115"/>
      <c r="JB85" s="115">
        <f>$IW85*JM82/$JK82</f>
        <v>0.10290528399943528</v>
      </c>
      <c r="JC85" s="115">
        <f>$IW85*JN82/$JK82</f>
        <v>8.7352110240844008E-2</v>
      </c>
      <c r="JD85" s="115">
        <f>$IW85*JO82/$JK82</f>
        <v>0.70909577743256735</v>
      </c>
      <c r="JE85" s="115"/>
      <c r="JW85" s="115"/>
      <c r="KJ85" s="115">
        <f>BW85*44/12+$IW85+$GZ85</f>
        <v>5.6217057243262945</v>
      </c>
      <c r="KK85" s="74"/>
      <c r="KL85" s="74"/>
      <c r="KM85" s="143">
        <f>KJ85/$OD85</f>
        <v>31.231698468479415</v>
      </c>
      <c r="KN85" s="127"/>
      <c r="KO85" s="74"/>
      <c r="KP85" s="74"/>
      <c r="KQ85" s="74"/>
      <c r="KR85" s="74"/>
      <c r="KS85" s="127"/>
      <c r="KT85" s="115">
        <f>CK85*44/12+$IW85+$HN85</f>
        <v>5.6217057243262945</v>
      </c>
      <c r="KW85" s="143">
        <f>KT85/$OD85</f>
        <v>31.231698468479415</v>
      </c>
      <c r="KX85" s="127"/>
      <c r="LC85" s="127"/>
      <c r="LD85" s="115">
        <f>CY85*44/12+$IW85+$IB85</f>
        <v>2.5083433864286708</v>
      </c>
      <c r="LG85" s="143">
        <f>LD85/$OD85</f>
        <v>13.935241035714839</v>
      </c>
      <c r="LH85" s="127"/>
      <c r="LM85" s="127"/>
      <c r="LN85" s="115">
        <f>DM85*44/12+$IW85+$GZ85</f>
        <v>4.8389804509108494</v>
      </c>
      <c r="LQ85" s="143">
        <f>LN85/$OD85</f>
        <v>26.883224727282499</v>
      </c>
      <c r="LR85" s="127"/>
      <c r="LW85" s="127"/>
      <c r="LX85" s="115">
        <f>EA85*44/12+$IW85+$HN85</f>
        <v>4.8389804509108494</v>
      </c>
      <c r="MA85" s="143">
        <f>LX85/$OD85</f>
        <v>26.883224727282499</v>
      </c>
      <c r="MB85" s="127"/>
      <c r="MG85" s="127"/>
      <c r="MH85" s="115">
        <f>EO85*44/12+$IW85+$IB85</f>
        <v>32.349524992978736</v>
      </c>
      <c r="MK85" s="143">
        <f>MH85/$OD85</f>
        <v>179.71958329432633</v>
      </c>
      <c r="ML85" s="127"/>
      <c r="MQ85" s="127"/>
      <c r="MW85" s="127"/>
      <c r="MX85" s="127"/>
      <c r="MY85" s="127"/>
      <c r="MZ85" s="127"/>
      <c r="NA85" s="127"/>
      <c r="NB85" s="127"/>
      <c r="NC85" s="127"/>
      <c r="ND85" s="127"/>
      <c r="NE85" s="127"/>
      <c r="NF85" s="127"/>
      <c r="NG85" s="127"/>
      <c r="NH85" s="127"/>
      <c r="NI85" s="127"/>
      <c r="NJ85" s="127"/>
      <c r="NK85" s="127"/>
      <c r="NL85" s="127"/>
      <c r="NM85" s="127"/>
      <c r="NN85" s="127"/>
      <c r="NO85" s="127"/>
      <c r="NP85" s="127"/>
      <c r="NQ85" s="127"/>
      <c r="NT85" s="31">
        <v>0.92</v>
      </c>
      <c r="NU85" s="31"/>
      <c r="NV85" s="32">
        <f>$NT85*NW85</f>
        <v>18.400000000000002</v>
      </c>
      <c r="NW85" s="9">
        <v>20</v>
      </c>
      <c r="NX85" s="9"/>
      <c r="NY85" s="9"/>
      <c r="NZ85" s="9"/>
      <c r="OA85" s="32"/>
      <c r="OB85" s="26"/>
      <c r="OC85" s="729">
        <f>$NT85*OD85</f>
        <v>0.1656</v>
      </c>
      <c r="OD85" s="730">
        <v>0.18</v>
      </c>
    </row>
    <row r="86" spans="1:494" x14ac:dyDescent="0.25">
      <c r="A86" s="37" t="s">
        <v>221</v>
      </c>
      <c r="B86" s="727"/>
      <c r="C86" s="69">
        <f>1-C83-C84-C85</f>
        <v>0.52499999999999991</v>
      </c>
      <c r="D86" s="722"/>
      <c r="E86" s="122"/>
      <c r="F86" s="122"/>
      <c r="G86" s="122"/>
      <c r="H86" s="122"/>
      <c r="I86" s="122"/>
      <c r="J86" s="122"/>
      <c r="K86" s="122"/>
      <c r="L86" s="122"/>
      <c r="M86" s="122"/>
      <c r="N86" s="683"/>
      <c r="V86" s="26"/>
      <c r="W86" s="26"/>
      <c r="X86" s="115"/>
      <c r="Y86" s="26"/>
      <c r="Z86" s="26"/>
      <c r="AA86" s="26"/>
      <c r="AB86" s="26"/>
      <c r="AE86" s="115"/>
      <c r="AF86" s="115"/>
      <c r="AG86" s="115"/>
      <c r="AH86" s="115"/>
      <c r="AI86" s="115"/>
      <c r="AJ86" s="115"/>
      <c r="AK86" s="40"/>
      <c r="AL86" s="74"/>
      <c r="AN86" s="69">
        <f>1-AN83-AN84-AN85</f>
        <v>0</v>
      </c>
      <c r="AO86" s="115"/>
      <c r="AP86" s="115"/>
      <c r="AQ86" s="115"/>
      <c r="AR86" s="115"/>
      <c r="AS86" s="115"/>
      <c r="AT86" s="115"/>
      <c r="AU86" s="115"/>
      <c r="AV86" s="115"/>
      <c r="AW86" s="115"/>
      <c r="AX86" s="115"/>
      <c r="AY86" s="115"/>
      <c r="AZ86" s="115"/>
      <c r="BA86" s="115"/>
      <c r="BB86" s="115"/>
      <c r="BC86" s="115"/>
      <c r="BD86" s="115"/>
      <c r="BE86" s="115"/>
      <c r="BF86" s="115"/>
      <c r="BG86" s="115"/>
      <c r="BH86" s="115"/>
      <c r="BI86" s="115"/>
      <c r="BJ86" s="115"/>
      <c r="BK86" s="115"/>
      <c r="BL86" s="115"/>
      <c r="BM86" s="115"/>
      <c r="BN86" s="115"/>
      <c r="BO86" s="115"/>
      <c r="BP86" s="115"/>
      <c r="BQ86" s="115"/>
      <c r="BR86" s="115"/>
      <c r="BS86" s="115"/>
      <c r="BT86" s="115"/>
      <c r="BU86" s="115"/>
      <c r="BW86" s="26"/>
      <c r="CA86" s="74"/>
      <c r="CB86" s="74"/>
      <c r="CC86" s="74"/>
      <c r="CD86" s="115"/>
      <c r="CE86" s="115"/>
      <c r="CF86" s="115"/>
      <c r="CG86" s="115"/>
      <c r="CH86" s="115"/>
      <c r="CI86" s="74"/>
      <c r="CK86" s="26"/>
      <c r="CX86" s="37"/>
      <c r="CY86" s="26"/>
      <c r="CZ86" s="37"/>
      <c r="DA86" s="37"/>
      <c r="DB86" s="37"/>
      <c r="DF86" s="115"/>
      <c r="DG86" s="115"/>
      <c r="DH86" s="115"/>
      <c r="DI86" s="115"/>
      <c r="DJ86" s="115"/>
      <c r="DL86" s="37"/>
      <c r="DM86" s="115"/>
      <c r="DN86" s="37"/>
      <c r="DO86" s="37"/>
      <c r="DP86" s="37"/>
      <c r="DT86" s="37"/>
      <c r="DU86" s="37"/>
      <c r="DV86" s="37"/>
      <c r="DW86" s="37"/>
      <c r="DX86" s="37"/>
      <c r="EA86" s="115"/>
      <c r="EN86" s="37"/>
      <c r="EO86" s="115"/>
      <c r="EP86" s="37"/>
      <c r="EQ86" s="37"/>
      <c r="ER86" s="37"/>
      <c r="EV86" s="37"/>
      <c r="EW86" s="37"/>
      <c r="EX86" s="37"/>
      <c r="EY86" s="37"/>
      <c r="EZ86" s="37"/>
      <c r="FF86" s="26"/>
      <c r="FH86" s="74"/>
      <c r="FK86" s="74"/>
      <c r="FR86" s="74"/>
      <c r="FT86" s="26"/>
      <c r="FZ86" s="37"/>
      <c r="GH86" s="26"/>
      <c r="GJ86" s="74"/>
      <c r="GM86" s="74"/>
      <c r="GT86" s="74"/>
      <c r="GU86" s="74"/>
      <c r="GV86" s="74"/>
      <c r="GW86" s="74"/>
      <c r="GX86" s="74"/>
      <c r="HB86" s="74"/>
      <c r="HD86" s="74"/>
      <c r="HE86" s="74"/>
      <c r="HF86" s="74"/>
      <c r="HG86" s="74"/>
      <c r="HH86" s="74"/>
      <c r="HI86" s="74"/>
      <c r="HJ86" s="74"/>
      <c r="HK86" s="74"/>
      <c r="HL86" s="74"/>
      <c r="IA86" s="133"/>
      <c r="IB86" s="133"/>
      <c r="IC86" s="133"/>
      <c r="IE86" s="133"/>
      <c r="JQ86" s="643"/>
      <c r="JW86" s="115"/>
      <c r="KJ86" s="74"/>
      <c r="KK86" s="74"/>
      <c r="KL86" s="74"/>
      <c r="KM86" s="74"/>
      <c r="KN86" s="74"/>
      <c r="KO86" s="74"/>
      <c r="KP86" s="74"/>
      <c r="KQ86" s="74"/>
      <c r="KR86" s="74"/>
      <c r="KS86" s="74"/>
      <c r="NT86" s="31"/>
      <c r="NU86" s="31"/>
      <c r="NV86" s="32"/>
      <c r="NW86" s="9"/>
      <c r="NX86" s="9"/>
      <c r="NY86" s="9"/>
      <c r="NZ86" s="9"/>
      <c r="OA86" s="32"/>
      <c r="OB86" s="26"/>
      <c r="OC86" s="729"/>
      <c r="OD86" s="730"/>
    </row>
    <row r="87" spans="1:494" x14ac:dyDescent="0.25">
      <c r="B87" s="727"/>
      <c r="Z87" s="26"/>
      <c r="AA87" s="26"/>
      <c r="AB87" s="26"/>
      <c r="AE87" s="115"/>
      <c r="AF87" s="115"/>
      <c r="AG87" s="115"/>
      <c r="AH87" s="115"/>
      <c r="AI87" s="115"/>
      <c r="AJ87" s="115"/>
      <c r="AL87" s="74"/>
      <c r="AO87" s="115"/>
      <c r="AP87" s="115"/>
      <c r="AQ87" s="115"/>
      <c r="AR87" s="115"/>
      <c r="AS87" s="115"/>
      <c r="AT87" s="115"/>
      <c r="AU87" s="115"/>
      <c r="AV87" s="115"/>
      <c r="AW87" s="115"/>
      <c r="AX87" s="115"/>
      <c r="AY87" s="115"/>
      <c r="AZ87" s="115"/>
      <c r="BA87" s="115"/>
      <c r="BB87" s="115"/>
      <c r="BC87" s="115"/>
      <c r="BD87" s="115"/>
      <c r="BE87" s="115"/>
      <c r="BF87" s="115"/>
      <c r="BG87" s="115"/>
      <c r="BH87" s="115"/>
      <c r="BI87" s="115"/>
      <c r="BJ87" s="115"/>
      <c r="BK87" s="115"/>
      <c r="BL87" s="115"/>
      <c r="BM87" s="115"/>
      <c r="BN87" s="115"/>
      <c r="BO87" s="115"/>
      <c r="BP87" s="115"/>
      <c r="BQ87" s="115"/>
      <c r="BR87" s="115"/>
      <c r="BS87" s="115"/>
      <c r="BT87" s="115"/>
      <c r="BU87" s="115"/>
      <c r="BW87" s="26"/>
      <c r="CA87" s="74"/>
      <c r="CB87" s="74"/>
      <c r="CC87" s="74"/>
      <c r="CD87" s="115"/>
      <c r="CE87" s="115"/>
      <c r="CF87" s="115"/>
      <c r="CG87" s="115"/>
      <c r="CH87" s="115"/>
      <c r="CI87" s="74"/>
      <c r="CK87" s="26"/>
      <c r="CX87" s="37"/>
      <c r="CY87" s="26"/>
      <c r="CZ87" s="37"/>
      <c r="DA87" s="37"/>
      <c r="DB87" s="37"/>
      <c r="DF87" s="115"/>
      <c r="DG87" s="115"/>
      <c r="DH87" s="115"/>
      <c r="DI87" s="115"/>
      <c r="DJ87" s="115"/>
      <c r="DL87" s="37"/>
      <c r="DM87" s="115"/>
      <c r="DN87" s="37"/>
      <c r="DO87" s="37"/>
      <c r="DP87" s="37"/>
      <c r="DT87" s="37"/>
      <c r="DU87" s="37"/>
      <c r="DV87" s="37"/>
      <c r="DW87" s="37"/>
      <c r="DX87" s="37"/>
      <c r="EA87" s="115"/>
      <c r="EN87" s="37"/>
      <c r="EO87" s="115"/>
      <c r="EP87" s="37"/>
      <c r="EQ87" s="37"/>
      <c r="ER87" s="37"/>
      <c r="EV87" s="37"/>
      <c r="EW87" s="37"/>
      <c r="EX87" s="37"/>
      <c r="EY87" s="37"/>
      <c r="EZ87" s="37"/>
      <c r="FF87" s="26"/>
      <c r="FH87" s="74"/>
      <c r="FK87" s="74"/>
      <c r="FR87" s="74"/>
      <c r="FT87" s="26"/>
      <c r="FZ87" s="37"/>
      <c r="GH87" s="26"/>
      <c r="GJ87" s="74"/>
      <c r="GM87" s="74"/>
      <c r="GT87" s="74"/>
      <c r="GU87" s="74"/>
      <c r="GV87" s="74"/>
      <c r="GW87" s="74"/>
      <c r="GX87" s="74"/>
      <c r="HB87" s="74"/>
      <c r="HD87" s="74"/>
      <c r="HE87" s="74"/>
      <c r="HF87" s="74"/>
      <c r="HG87" s="74"/>
      <c r="HH87" s="74"/>
      <c r="HI87" s="74"/>
      <c r="HJ87" s="74"/>
      <c r="HK87" s="74"/>
      <c r="HL87" s="74"/>
      <c r="IA87" s="133"/>
      <c r="IB87" s="133"/>
      <c r="IC87" s="133"/>
      <c r="IE87" s="133"/>
      <c r="JQ87" s="179"/>
      <c r="JS87" s="723"/>
      <c r="JU87" s="723"/>
      <c r="JW87" s="115"/>
      <c r="KJ87" s="74"/>
      <c r="KK87" s="74"/>
      <c r="KL87" s="74"/>
      <c r="KM87" s="74"/>
      <c r="KN87" s="74"/>
      <c r="KO87" s="74"/>
      <c r="KP87" s="74"/>
      <c r="KQ87" s="74"/>
      <c r="KR87" s="74"/>
      <c r="KS87" s="74"/>
      <c r="OB87" s="26"/>
    </row>
    <row r="88" spans="1:494" x14ac:dyDescent="0.25">
      <c r="A88" s="9" t="s">
        <v>140</v>
      </c>
      <c r="B88" s="74"/>
      <c r="Z88" s="26"/>
      <c r="AA88" s="26"/>
      <c r="AB88" s="26"/>
      <c r="AE88" s="115"/>
      <c r="AF88" s="115"/>
      <c r="AG88" s="115"/>
      <c r="AH88" s="115"/>
      <c r="AI88" s="115"/>
      <c r="AJ88" s="115"/>
      <c r="AL88" s="74"/>
      <c r="AO88" s="115"/>
      <c r="AP88" s="115"/>
      <c r="AQ88" s="115"/>
      <c r="AR88" s="115"/>
      <c r="AS88" s="115"/>
      <c r="AT88" s="115"/>
      <c r="AU88" s="115"/>
      <c r="AV88" s="115"/>
      <c r="AW88" s="115"/>
      <c r="AX88" s="115"/>
      <c r="AY88" s="115"/>
      <c r="AZ88" s="115"/>
      <c r="BA88" s="115"/>
      <c r="BB88" s="115"/>
      <c r="BC88" s="115"/>
      <c r="BD88" s="115"/>
      <c r="BE88" s="115"/>
      <c r="BF88" s="115"/>
      <c r="BG88" s="115"/>
      <c r="BH88" s="115"/>
      <c r="BI88" s="115"/>
      <c r="BJ88" s="115"/>
      <c r="BK88" s="115"/>
      <c r="BL88" s="115"/>
      <c r="BM88" s="115"/>
      <c r="BN88" s="115"/>
      <c r="BO88" s="115"/>
      <c r="BP88" s="115"/>
      <c r="BQ88" s="115"/>
      <c r="BR88" s="115"/>
      <c r="BS88" s="115"/>
      <c r="BT88" s="115"/>
      <c r="BU88" s="115"/>
      <c r="BW88" s="26"/>
      <c r="CA88" s="74"/>
      <c r="CB88" s="74"/>
      <c r="CC88" s="74"/>
      <c r="CD88" s="115"/>
      <c r="CE88" s="115"/>
      <c r="CF88" s="115"/>
      <c r="CG88" s="115"/>
      <c r="CH88" s="115"/>
      <c r="CI88" s="74"/>
      <c r="CK88" s="26"/>
      <c r="CX88" s="37"/>
      <c r="CY88" s="26"/>
      <c r="CZ88" s="37"/>
      <c r="DA88" s="37"/>
      <c r="DB88" s="37"/>
      <c r="DF88" s="115"/>
      <c r="DG88" s="115"/>
      <c r="DH88" s="115"/>
      <c r="DI88" s="115"/>
      <c r="DJ88" s="115"/>
      <c r="DL88" s="37"/>
      <c r="DM88" s="115"/>
      <c r="DN88" s="37"/>
      <c r="DO88" s="37"/>
      <c r="DP88" s="37"/>
      <c r="DT88" s="37"/>
      <c r="DU88" s="37"/>
      <c r="DV88" s="37"/>
      <c r="DW88" s="37"/>
      <c r="DX88" s="37"/>
      <c r="EA88" s="115"/>
      <c r="EN88" s="37"/>
      <c r="EO88" s="115"/>
      <c r="EP88" s="37"/>
      <c r="EQ88" s="37"/>
      <c r="ER88" s="37"/>
      <c r="EV88" s="37"/>
      <c r="EW88" s="37"/>
      <c r="EX88" s="37"/>
      <c r="EY88" s="37"/>
      <c r="EZ88" s="37"/>
      <c r="FF88" s="26"/>
      <c r="FH88" s="74"/>
      <c r="FK88" s="74"/>
      <c r="FR88" s="74"/>
      <c r="FT88" s="26"/>
      <c r="FZ88" s="37"/>
      <c r="GH88" s="26"/>
      <c r="GJ88" s="74"/>
      <c r="GM88" s="74"/>
      <c r="GT88" s="74"/>
      <c r="GU88" s="74"/>
      <c r="GV88" s="74"/>
      <c r="GW88" s="74"/>
      <c r="GX88" s="55">
        <f>GX89+GX90</f>
        <v>25.333626494179217</v>
      </c>
      <c r="GY88" s="474"/>
      <c r="GZ88" s="474"/>
      <c r="HA88" s="474"/>
      <c r="HB88" s="74"/>
      <c r="HC88" s="474"/>
      <c r="HD88" s="74"/>
      <c r="HE88" s="74"/>
      <c r="HF88" s="74"/>
      <c r="HG88" s="74"/>
      <c r="HH88" s="74"/>
      <c r="HI88" s="74"/>
      <c r="HJ88" s="74"/>
      <c r="HK88" s="74"/>
      <c r="HL88" s="74"/>
      <c r="HM88" s="474"/>
      <c r="HN88" s="474"/>
      <c r="HO88" s="474"/>
      <c r="HQ88" s="474"/>
      <c r="IA88" s="474"/>
      <c r="IB88" s="474"/>
      <c r="IC88" s="474"/>
      <c r="IE88" s="474"/>
      <c r="IO88" s="68">
        <f>IP88+IQ88+IR88+IS88+IT88+IU88</f>
        <v>45.715900546245052</v>
      </c>
      <c r="IP88" s="97">
        <f>JS88*$W89</f>
        <v>24.793220363241105</v>
      </c>
      <c r="IQ88" s="97">
        <f>JU88*$W89</f>
        <v>16.891688183003954</v>
      </c>
      <c r="IR88" s="97">
        <f>JX88*$W89</f>
        <v>0.56246400000000008</v>
      </c>
      <c r="IS88" s="97">
        <f>KB88*$W89</f>
        <v>3.2497920000000007</v>
      </c>
      <c r="IT88" s="97">
        <f>KF88*$W89</f>
        <v>3.1248000000000008E-2</v>
      </c>
      <c r="IU88" s="97">
        <f>KH88*$W89</f>
        <v>0.18748800000000002</v>
      </c>
      <c r="JK88" s="115">
        <f>JM88+JN88+JO88</f>
        <v>2.7211845563241099</v>
      </c>
      <c r="JL88" s="679">
        <f>10^3*JK88/NY89</f>
        <v>73.150122481830905</v>
      </c>
      <c r="JM88" s="179">
        <f>JS88+KB88</f>
        <v>1.669226926383399</v>
      </c>
      <c r="JN88" s="179">
        <f>JU88+KF88</f>
        <v>1.0073176299407114</v>
      </c>
      <c r="JO88" s="179">
        <f>JX88+KH88</f>
        <v>4.4639999999999999E-2</v>
      </c>
      <c r="JP88" s="469">
        <f>JK88*C89</f>
        <v>1.1973212047826083</v>
      </c>
      <c r="JQ88" s="115">
        <f>JR88*$NY89/10^3</f>
        <v>2.5147245563241105</v>
      </c>
      <c r="JR88" s="73">
        <f>JT88+JV88+JY88</f>
        <v>67.600122481830923</v>
      </c>
      <c r="JS88" s="680">
        <f>'Crops; pasture DISCOUNTED'!KF40/C89</f>
        <v>1.4757869263833989</v>
      </c>
      <c r="JT88" s="73">
        <f>10^3*JS88/$NY89</f>
        <v>39.671691569446203</v>
      </c>
      <c r="JU88" s="680">
        <f>'Crops; pasture DISCOUNTED'!KD40/C89</f>
        <v>1.0054576299407114</v>
      </c>
      <c r="JV88" s="115">
        <f>10^3*JU88/$NY89</f>
        <v>27.028430912384714</v>
      </c>
      <c r="JW88" s="115">
        <f>10^3*JU88/'Discounting metrics'!$B$6</f>
        <v>3.3740188924184946</v>
      </c>
      <c r="JX88" s="127">
        <f>JY88*$NY89/10^3</f>
        <v>3.3480000000000003E-2</v>
      </c>
      <c r="JY88" s="84">
        <v>0.9</v>
      </c>
      <c r="JZ88" s="127">
        <f>KB88+KF88+KH88</f>
        <v>0.20646000000000003</v>
      </c>
      <c r="KA88" s="115">
        <f>KC88+KG88+KI88</f>
        <v>5.55</v>
      </c>
      <c r="KB88" s="115">
        <f>KC88*$NY89/10^3</f>
        <v>0.19344000000000003</v>
      </c>
      <c r="KC88" s="80">
        <v>5.2</v>
      </c>
      <c r="KD88" s="725">
        <v>0.68</v>
      </c>
      <c r="KE88" s="474">
        <f>KC88/KD88</f>
        <v>7.6470588235294112</v>
      </c>
      <c r="KF88" s="127">
        <f>KG88*$NY89/10^3</f>
        <v>1.8600000000000003E-3</v>
      </c>
      <c r="KG88" s="84">
        <v>0.05</v>
      </c>
      <c r="KH88" s="127">
        <f>KI88*$NY89/10^3</f>
        <v>1.116E-2</v>
      </c>
      <c r="KI88" s="84">
        <v>0.3</v>
      </c>
      <c r="KJ88" s="74"/>
      <c r="KK88" s="74"/>
      <c r="KL88" s="74"/>
      <c r="KM88" s="74"/>
      <c r="KN88" s="74"/>
      <c r="KO88" s="74"/>
      <c r="KP88" s="74"/>
      <c r="KQ88" s="74"/>
      <c r="KR88" s="74"/>
      <c r="KS88" s="74"/>
      <c r="OB88" s="26"/>
    </row>
    <row r="89" spans="1:494" x14ac:dyDescent="0.25">
      <c r="A89" s="37" t="s">
        <v>141</v>
      </c>
      <c r="B89" s="53">
        <f>C89*NT28/NT89</f>
        <v>0.40479999999999999</v>
      </c>
      <c r="C89" s="90">
        <v>0.44</v>
      </c>
      <c r="D89" s="722">
        <f>C89*NW89/NW28</f>
        <v>0.62201438848920854</v>
      </c>
      <c r="E89" s="731"/>
      <c r="F89" s="731"/>
      <c r="G89" s="731"/>
      <c r="H89" s="731"/>
      <c r="I89" s="731"/>
      <c r="J89" s="731"/>
      <c r="K89" s="731"/>
      <c r="L89" s="731"/>
      <c r="M89" s="731"/>
      <c r="N89" s="69"/>
      <c r="V89" s="55">
        <f>W89/NT89</f>
        <v>16.8</v>
      </c>
      <c r="W89" s="72">
        <v>16.8</v>
      </c>
      <c r="X89" s="252"/>
      <c r="Y89" s="26">
        <f>W89*NW89/10^3</f>
        <v>0.66024000000000005</v>
      </c>
      <c r="Z89" s="26">
        <f>W89*OB89/10^3</f>
        <v>0.62160000000000004</v>
      </c>
      <c r="AA89" s="26"/>
      <c r="AB89" s="26"/>
      <c r="AE89" s="115">
        <f>AB$28*$AN89/$C89</f>
        <v>8.5630476540150262</v>
      </c>
      <c r="AF89" s="115"/>
      <c r="AG89" s="115">
        <f>AC$28*$AN89/$C89</f>
        <v>8.4493658443488684</v>
      </c>
      <c r="AH89" s="115"/>
      <c r="AI89" s="115">
        <f>AD$28*$AN89/$C89</f>
        <v>9.2686982898614865</v>
      </c>
      <c r="AJ89" s="115"/>
      <c r="AK89" s="722">
        <f>Y89/(Y89+Y90)</f>
        <v>0.61907489617642841</v>
      </c>
      <c r="AL89" s="164">
        <v>0.93500000000000005</v>
      </c>
      <c r="AM89" s="69">
        <f>V89*AL89/(V89*AL89+V90*AL90)</f>
        <v>0.74692537219178723</v>
      </c>
      <c r="AN89" s="40">
        <f t="shared" ref="AN89:AN90" si="28">AK89</f>
        <v>0.61907489617642841</v>
      </c>
      <c r="AO89" s="115"/>
      <c r="AP89" s="115"/>
      <c r="AQ89" s="115"/>
      <c r="AR89" s="115"/>
      <c r="AS89" s="115"/>
      <c r="AT89" s="115"/>
      <c r="AU89" s="115"/>
      <c r="AV89" s="115"/>
      <c r="AW89" s="115"/>
      <c r="AX89" s="115"/>
      <c r="AY89" s="115"/>
      <c r="AZ89" s="115"/>
      <c r="BA89" s="115"/>
      <c r="BB89" s="115"/>
      <c r="BC89" s="115"/>
      <c r="BD89" s="115"/>
      <c r="BE89" s="115"/>
      <c r="BF89" s="115"/>
      <c r="BG89" s="115"/>
      <c r="BH89" s="115"/>
      <c r="BI89" s="115"/>
      <c r="BJ89" s="115"/>
      <c r="BK89" s="115"/>
      <c r="BL89" s="115"/>
      <c r="BM89" s="115"/>
      <c r="BN89" s="115"/>
      <c r="BO89" s="115"/>
      <c r="BP89" s="115"/>
      <c r="BQ89" s="115"/>
      <c r="BR89" s="115"/>
      <c r="BS89" s="115"/>
      <c r="BT89" s="115"/>
      <c r="BU89" s="115"/>
      <c r="BV89" s="26">
        <f>BW89*$NT89</f>
        <v>2.1730545199132938</v>
      </c>
      <c r="BW89" s="115">
        <f>BP$28*$AN89/$C89</f>
        <v>2.1730545199132938</v>
      </c>
      <c r="BX89" s="677">
        <f>10^3*BW89/$OB89</f>
        <v>58.731203240899838</v>
      </c>
      <c r="BZ89" s="73">
        <f>10^3*BW89/$NW89</f>
        <v>55.294008140287382</v>
      </c>
      <c r="CA89" s="73"/>
      <c r="CB89" s="73"/>
      <c r="CC89" s="73"/>
      <c r="CD89" s="115"/>
      <c r="CE89" s="115"/>
      <c r="CF89" s="115"/>
      <c r="CG89" s="115"/>
      <c r="CH89" s="115"/>
      <c r="CI89" s="73"/>
      <c r="CJ89" s="26">
        <f>CK89*$NT89</f>
        <v>2.2137502524874164</v>
      </c>
      <c r="CK89" s="115">
        <f>BQ$28*$AN89/$C89</f>
        <v>2.2137502524874164</v>
      </c>
      <c r="CL89" s="677">
        <f>10^3*CK89/$OB89</f>
        <v>59.831087905065303</v>
      </c>
      <c r="CN89" s="73">
        <f>10^3*CK89/$NW89</f>
        <v>56.329522964056395</v>
      </c>
      <c r="CO89" s="73"/>
      <c r="CP89" s="73"/>
      <c r="CQ89" s="73"/>
      <c r="CW89" s="73"/>
      <c r="CX89" s="26">
        <f>CY89*$NT89</f>
        <v>1.9204462121154324</v>
      </c>
      <c r="CY89" s="115">
        <f>BR$28*$AN89/$C89</f>
        <v>1.9204462121154324</v>
      </c>
      <c r="CZ89" s="677">
        <f>10^3*CY89/$OB89</f>
        <v>51.903951678795472</v>
      </c>
      <c r="DA89" s="37"/>
      <c r="DB89" s="73">
        <f>10^3*CY89/$NW89</f>
        <v>48.866315829909226</v>
      </c>
      <c r="DC89" s="73"/>
      <c r="DD89" s="73"/>
      <c r="DE89" s="73"/>
      <c r="DF89" s="115"/>
      <c r="DG89" s="115"/>
      <c r="DH89" s="115"/>
      <c r="DI89" s="115"/>
      <c r="DJ89" s="115"/>
      <c r="DK89" s="73"/>
      <c r="DL89" s="26">
        <f>DM89*$NT89</f>
        <v>2.0865404604131195</v>
      </c>
      <c r="DM89" s="115">
        <f>BS$28*$AN89/$C89</f>
        <v>2.0865404604131195</v>
      </c>
      <c r="DN89" s="677">
        <f>10^3*DM89/$OB89</f>
        <v>56.392985416570795</v>
      </c>
      <c r="DO89" s="37"/>
      <c r="DP89" s="73">
        <f>10^3*DM89/$NW89</f>
        <v>53.092632580486502</v>
      </c>
      <c r="DQ89" s="73"/>
      <c r="DR89" s="73"/>
      <c r="DS89" s="73"/>
      <c r="DT89" s="37"/>
      <c r="DU89" s="37"/>
      <c r="DV89" s="37"/>
      <c r="DW89" s="37"/>
      <c r="DX89" s="37"/>
      <c r="DY89" s="73"/>
      <c r="DZ89" s="26">
        <f>EA89*$NT89</f>
        <v>2.1537898270375235</v>
      </c>
      <c r="EA89" s="115">
        <f>BT$28*$AN89/$C89</f>
        <v>2.1537898270375235</v>
      </c>
      <c r="EB89" s="677">
        <f>10^3*EA89/$OB89</f>
        <v>58.210535865879017</v>
      </c>
      <c r="ED89" s="73">
        <f>10^3*EA89/$NW89</f>
        <v>54.803812392812304</v>
      </c>
      <c r="EE89" s="73"/>
      <c r="EF89" s="73"/>
      <c r="EG89" s="73"/>
      <c r="EM89" s="73"/>
      <c r="EN89" s="26">
        <f>EO89*$NT89</f>
        <v>2.3429170843477016</v>
      </c>
      <c r="EO89" s="115">
        <f>BU$28*$AN89/$C89</f>
        <v>2.3429170843477016</v>
      </c>
      <c r="EP89" s="677">
        <f>10^3*EO89/$OB89</f>
        <v>63.322083360748699</v>
      </c>
      <c r="EQ89" s="37"/>
      <c r="ER89" s="73">
        <f>10^3*EO89/$NW89</f>
        <v>59.616210797651448</v>
      </c>
      <c r="ES89" s="73"/>
      <c r="ET89" s="73"/>
      <c r="EU89" s="73"/>
      <c r="EV89" s="37"/>
      <c r="EW89" s="37"/>
      <c r="EX89" s="37"/>
      <c r="EY89" s="37"/>
      <c r="EZ89" s="37"/>
      <c r="FA89" s="73"/>
      <c r="FE89" s="26">
        <f>FF89*$NT89</f>
        <v>4.1828135304244176</v>
      </c>
      <c r="FF89" s="115">
        <f>FB$28*$AN89/$C89</f>
        <v>4.1828135304244176</v>
      </c>
      <c r="FG89" s="562">
        <f>10^3*FF89/$OB89</f>
        <v>113.04901433579508</v>
      </c>
      <c r="FH89" s="73"/>
      <c r="FI89" s="73">
        <f>10^3*FF89/$NW89</f>
        <v>106.43291426016332</v>
      </c>
      <c r="FJ89" s="73"/>
      <c r="FK89" s="73"/>
      <c r="FL89" s="26"/>
      <c r="FR89" s="73"/>
      <c r="FS89" s="26">
        <f>FT89*$NT89</f>
        <v>4.3176259464622726</v>
      </c>
      <c r="FT89" s="115">
        <f>FC$28*$AN89/$C89</f>
        <v>4.3176259464622726</v>
      </c>
      <c r="FU89" s="562">
        <f>10^3*FT89/$OB89</f>
        <v>116.69259314762898</v>
      </c>
      <c r="FV89" s="73"/>
      <c r="FW89" s="73">
        <f>10^3*FT89/$NW89</f>
        <v>109.86325563517234</v>
      </c>
      <c r="FX89" s="73"/>
      <c r="FY89" s="73"/>
      <c r="FZ89" s="26"/>
      <c r="GF89" s="73"/>
      <c r="GG89" s="26">
        <f>GH89*$NT89</f>
        <v>3.3460000826399963</v>
      </c>
      <c r="GH89" s="115">
        <f>FD$28*$AN89/$C89</f>
        <v>3.3460000826399963</v>
      </c>
      <c r="GI89" s="562">
        <f>10^3*GH89/$OB89</f>
        <v>90.432434665945848</v>
      </c>
      <c r="GJ89" s="73"/>
      <c r="GK89" s="73">
        <f>10^3*GH89/$NW89</f>
        <v>85.13995121221366</v>
      </c>
      <c r="GL89" s="73"/>
      <c r="GM89" s="73"/>
      <c r="GN89" s="26"/>
      <c r="GT89" s="73"/>
      <c r="GU89" s="73"/>
      <c r="GV89" s="73"/>
      <c r="GW89" s="73"/>
      <c r="GX89" s="68">
        <f>GZ89*$W89</f>
        <v>15.683412191656416</v>
      </c>
      <c r="GY89" s="26">
        <f>GZ89*$NT89</f>
        <v>0.93353643997954849</v>
      </c>
      <c r="GZ89" s="127">
        <f>$AN89*GU$28/C89</f>
        <v>0.93353643997954849</v>
      </c>
      <c r="HA89" s="673">
        <f>10^3*GZ89/$OB89</f>
        <v>25.230714594041853</v>
      </c>
      <c r="HB89" s="74"/>
      <c r="HC89" s="73">
        <f>10^3*GZ89/$NW89</f>
        <v>23.75410788752032</v>
      </c>
      <c r="HD89" s="73"/>
      <c r="HE89" s="73"/>
      <c r="HF89" s="73"/>
      <c r="HG89" s="73"/>
      <c r="HH89" s="73"/>
      <c r="HI89" s="73"/>
      <c r="HJ89" s="73"/>
      <c r="HK89" s="73"/>
      <c r="HL89" s="73"/>
      <c r="HM89" s="115">
        <f>HN89*$NT89</f>
        <v>1.0643792029736849</v>
      </c>
      <c r="HN89" s="127">
        <f>$AN89*GV$28/C89</f>
        <v>1.0643792029736849</v>
      </c>
      <c r="HO89" s="73">
        <f>10^3*HN89/$OB89</f>
        <v>28.767005485775268</v>
      </c>
      <c r="HQ89" s="73">
        <f>10^3*HN89/$NW89</f>
        <v>27.083440279228626</v>
      </c>
      <c r="HR89" s="73"/>
      <c r="HS89" s="73"/>
      <c r="HT89" s="73"/>
      <c r="HU89" s="73"/>
      <c r="HV89" s="73"/>
      <c r="HW89" s="73"/>
      <c r="HX89" s="73"/>
      <c r="HY89" s="73"/>
      <c r="HZ89" s="73"/>
      <c r="IA89" s="115">
        <f>IB89*$NT89</f>
        <v>0.12136359391158309</v>
      </c>
      <c r="IB89" s="127">
        <f>$AN89*GW$28/C89</f>
        <v>0.12136359391158309</v>
      </c>
      <c r="IC89" s="73">
        <f>10^3*IB89/$OB89</f>
        <v>3.2800971327454889</v>
      </c>
      <c r="IE89" s="73">
        <f>10^3*IB89/$NW89</f>
        <v>3.0881321606000789</v>
      </c>
      <c r="IF89" s="73"/>
      <c r="IG89" s="73"/>
      <c r="IH89" s="73"/>
      <c r="II89" s="73"/>
      <c r="IJ89" s="73"/>
      <c r="IK89" s="73"/>
      <c r="IL89" s="73"/>
      <c r="IM89" s="73"/>
      <c r="IN89" s="73"/>
      <c r="IV89" s="26">
        <f>IW89*$NT89</f>
        <v>1.6846170466832489</v>
      </c>
      <c r="IW89" s="115">
        <f>AN89*JK88</f>
        <v>1.6846170466832489</v>
      </c>
      <c r="IX89" s="673">
        <f>10^3*IW89/OB89</f>
        <v>45.530190450898615</v>
      </c>
      <c r="IZ89" s="73">
        <f>AN89*JL88</f>
        <v>45.285404480732488</v>
      </c>
      <c r="JA89" s="115"/>
      <c r="JB89" s="115">
        <f>$IW89*JM88/$JK88</f>
        <v>1.0333764861457015</v>
      </c>
      <c r="JC89" s="115">
        <f>$IW89*JN88/$JK88</f>
        <v>0.62360505717223191</v>
      </c>
      <c r="JD89" s="115">
        <f>$IW89*JO88/$JK88</f>
        <v>2.7635503365315766E-2</v>
      </c>
      <c r="JE89" s="115"/>
      <c r="JF89" s="73"/>
      <c r="JG89" s="73"/>
      <c r="JH89" s="73"/>
      <c r="JI89" s="73"/>
      <c r="JJ89" s="73"/>
      <c r="JW89" s="115"/>
      <c r="KA89" s="115"/>
      <c r="KJ89" s="115">
        <f>BW89*44/12+$IW89+$GZ89</f>
        <v>10.586020059678207</v>
      </c>
      <c r="KK89" s="74"/>
      <c r="KL89" s="677">
        <f>10^3*KJ89/$OB89</f>
        <v>286.10865026157319</v>
      </c>
      <c r="KM89" s="74"/>
      <c r="KN89" s="73"/>
      <c r="KO89" s="115"/>
      <c r="KP89" s="115"/>
      <c r="KQ89" s="115"/>
      <c r="KR89" s="115"/>
      <c r="KS89" s="73"/>
      <c r="KT89" s="115">
        <f>CK89*44/12+$IW89+$HN89</f>
        <v>10.866080508777459</v>
      </c>
      <c r="KV89" s="677">
        <f>10^3*KT89/$OB89</f>
        <v>293.67785158857998</v>
      </c>
      <c r="KX89" s="73"/>
      <c r="KY89" s="115"/>
      <c r="KZ89" s="115"/>
      <c r="LA89" s="115"/>
      <c r="LB89" s="115"/>
      <c r="LC89" s="73"/>
      <c r="LD89" s="115">
        <f>CY89*44/12+$IW89+$IB89</f>
        <v>8.8476167516847521</v>
      </c>
      <c r="LF89" s="677">
        <f>10^3*LD89/$OB89</f>
        <v>239.12477707256087</v>
      </c>
      <c r="LH89" s="73"/>
      <c r="LI89" s="115"/>
      <c r="LJ89" s="115"/>
      <c r="LK89" s="115"/>
      <c r="LL89" s="115"/>
      <c r="LM89" s="73"/>
      <c r="LN89" s="115">
        <f>DM89*44/12+$IW89+$GZ89</f>
        <v>10.268801841510902</v>
      </c>
      <c r="LP89" s="677">
        <f>10^3*LN89/$OB89</f>
        <v>277.53518490570002</v>
      </c>
      <c r="LR89" s="73"/>
      <c r="LW89" s="73"/>
      <c r="LX89" s="115">
        <f>EA89*44/12+$IW89+$HN89</f>
        <v>10.646225615461187</v>
      </c>
      <c r="LZ89" s="677">
        <f>10^3*LX89/$OB89</f>
        <v>287.73582744489698</v>
      </c>
      <c r="MB89" s="73"/>
      <c r="MG89" s="73"/>
      <c r="MH89" s="115">
        <f>EO89*44/12+$IW89+$IB89</f>
        <v>10.396676616536405</v>
      </c>
      <c r="MJ89" s="677">
        <f>10^3*MH89/$OB89</f>
        <v>280.99125990638936</v>
      </c>
      <c r="ML89" s="73"/>
      <c r="MQ89" s="73"/>
      <c r="MW89" s="73"/>
      <c r="MX89" s="73"/>
      <c r="MY89" s="73"/>
      <c r="MZ89" s="73"/>
      <c r="NA89" s="73"/>
      <c r="NB89" s="73"/>
      <c r="NC89" s="73"/>
      <c r="ND89" s="73"/>
      <c r="NE89" s="73"/>
      <c r="NF89" s="73"/>
      <c r="NG89" s="73"/>
      <c r="NH89" s="73"/>
      <c r="NI89" s="73"/>
      <c r="NJ89" s="73"/>
      <c r="NK89" s="73"/>
      <c r="NL89" s="73"/>
      <c r="NM89" s="73"/>
      <c r="NN89" s="73"/>
      <c r="NO89" s="73"/>
      <c r="NP89" s="73"/>
      <c r="NQ89" s="73"/>
      <c r="NT89" s="31">
        <v>1</v>
      </c>
      <c r="NU89" s="31"/>
      <c r="NV89" s="32">
        <f>$NT89*NW89</f>
        <v>39.299999999999997</v>
      </c>
      <c r="NW89" s="9">
        <v>39.299999999999997</v>
      </c>
      <c r="NX89" s="9"/>
      <c r="NY89" s="9">
        <v>37.200000000000003</v>
      </c>
      <c r="NZ89" s="9"/>
      <c r="OA89" s="32">
        <f>$NT89*OB89</f>
        <v>37</v>
      </c>
      <c r="OB89" s="43">
        <v>37</v>
      </c>
      <c r="OC89" s="38">
        <f>$NT89*OD89</f>
        <v>0</v>
      </c>
      <c r="OD89" s="31">
        <v>0</v>
      </c>
      <c r="OE89" s="38">
        <f>$NT89*OF89</f>
        <v>1</v>
      </c>
      <c r="OF89" s="31">
        <v>1</v>
      </c>
    </row>
    <row r="90" spans="1:494" x14ac:dyDescent="0.25">
      <c r="A90" s="37" t="s">
        <v>91</v>
      </c>
      <c r="B90" s="468">
        <f>C90*NT28/NT90</f>
        <v>0.56000000000000005</v>
      </c>
      <c r="C90" s="52">
        <f>1-C89</f>
        <v>0.56000000000000005</v>
      </c>
      <c r="D90" s="722">
        <f>C90*NW90/NW28</f>
        <v>0.38273381294964032</v>
      </c>
      <c r="E90" s="104"/>
      <c r="F90" s="104"/>
      <c r="G90" s="104"/>
      <c r="H90" s="104"/>
      <c r="I90" s="104"/>
      <c r="J90" s="104"/>
      <c r="K90" s="104"/>
      <c r="L90" s="104"/>
      <c r="M90" s="104"/>
      <c r="N90" s="69"/>
      <c r="V90" s="55">
        <f>W90/NT90</f>
        <v>23.241106719367593</v>
      </c>
      <c r="W90" s="26">
        <f>C90/C89*W89</f>
        <v>21.381818181818186</v>
      </c>
      <c r="X90" s="115"/>
      <c r="Y90" s="26">
        <f>W90*NW90/10^3</f>
        <v>0.40625454545454559</v>
      </c>
      <c r="Z90" s="26"/>
      <c r="AA90" s="26">
        <f>W90*OD90</f>
        <v>8.7818181818181831</v>
      </c>
      <c r="AB90" s="26"/>
      <c r="AE90" s="115">
        <f>AB$28*$AN90/$C90</f>
        <v>4.1398958123736769</v>
      </c>
      <c r="AF90" s="115"/>
      <c r="AG90" s="115">
        <f>AC$28*$AN90/$C90</f>
        <v>4.0849351410338048</v>
      </c>
      <c r="AH90" s="115"/>
      <c r="AI90" s="115">
        <f>AD$28*$AN90/$C90</f>
        <v>4.4810500638007191</v>
      </c>
      <c r="AJ90" s="115"/>
      <c r="AK90" s="722">
        <f>1-AK89</f>
        <v>0.38092510382357159</v>
      </c>
      <c r="AL90" s="164">
        <v>0.22900000000000001</v>
      </c>
      <c r="AM90" s="69">
        <f>V90*AL90/(V89*AL89+V90*AL90)</f>
        <v>0.25307462780821272</v>
      </c>
      <c r="AN90" s="40">
        <f t="shared" si="28"/>
        <v>0.38092510382357159</v>
      </c>
      <c r="AO90" s="115"/>
      <c r="AP90" s="115"/>
      <c r="AQ90" s="115"/>
      <c r="AR90" s="115"/>
      <c r="AS90" s="115"/>
      <c r="AT90" s="115"/>
      <c r="AU90" s="115"/>
      <c r="AV90" s="115"/>
      <c r="AW90" s="115"/>
      <c r="AX90" s="115"/>
      <c r="AY90" s="115"/>
      <c r="AZ90" s="115"/>
      <c r="BA90" s="115"/>
      <c r="BB90" s="115"/>
      <c r="BC90" s="115"/>
      <c r="BD90" s="115"/>
      <c r="BE90" s="115"/>
      <c r="BF90" s="115"/>
      <c r="BG90" s="115"/>
      <c r="BH90" s="115"/>
      <c r="BI90" s="115"/>
      <c r="BJ90" s="115"/>
      <c r="BK90" s="115"/>
      <c r="BL90" s="115"/>
      <c r="BM90" s="115"/>
      <c r="BN90" s="115"/>
      <c r="BO90" s="115"/>
      <c r="BP90" s="115"/>
      <c r="BQ90" s="115"/>
      <c r="BR90" s="115"/>
      <c r="BS90" s="115"/>
      <c r="BT90" s="115"/>
      <c r="BU90" s="115"/>
      <c r="BV90" s="26">
        <f>BW90*$NT90</f>
        <v>0.96653926229222364</v>
      </c>
      <c r="BW90" s="115">
        <f>BP$28*$AN90/$C90</f>
        <v>1.0505861546654605</v>
      </c>
      <c r="BX90" s="26"/>
      <c r="BY90" s="143">
        <f>BW90/$OD90</f>
        <v>2.557948898315904</v>
      </c>
      <c r="BZ90" s="335"/>
      <c r="CA90" s="127"/>
      <c r="CB90" s="127"/>
      <c r="CC90" s="127"/>
      <c r="CD90" s="115"/>
      <c r="CE90" s="115"/>
      <c r="CF90" s="115"/>
      <c r="CG90" s="115"/>
      <c r="CH90" s="115"/>
      <c r="CI90" s="127"/>
      <c r="CJ90" s="26">
        <f>CK90*$NT90</f>
        <v>0.9846400614117059</v>
      </c>
      <c r="CK90" s="115">
        <f>BQ$28*$AN90/$C90</f>
        <v>1.0702609363170716</v>
      </c>
      <c r="CL90" s="26"/>
      <c r="CM90" s="143">
        <f>CK90/$OD90</f>
        <v>2.6058527145111312</v>
      </c>
      <c r="CN90" s="335"/>
      <c r="CO90" s="127"/>
      <c r="CP90" s="127"/>
      <c r="CQ90" s="127"/>
      <c r="CW90" s="127"/>
      <c r="CX90" s="26">
        <f>CY90*$NT90</f>
        <v>0.85418320070681331</v>
      </c>
      <c r="CY90" s="115">
        <f>BR$28*$AN90/$C90</f>
        <v>0.92846000076827528</v>
      </c>
      <c r="CZ90" s="26"/>
      <c r="DA90" s="143">
        <f>CY90/$OD90</f>
        <v>2.2605982627401486</v>
      </c>
      <c r="DB90" s="335"/>
      <c r="DC90" s="127"/>
      <c r="DD90" s="127"/>
      <c r="DE90" s="127"/>
      <c r="DF90" s="115"/>
      <c r="DG90" s="115"/>
      <c r="DH90" s="115"/>
      <c r="DI90" s="115"/>
      <c r="DJ90" s="115"/>
      <c r="DK90" s="127"/>
      <c r="DL90" s="26">
        <f>DM90*$NT90</f>
        <v>0.92805921750690434</v>
      </c>
      <c r="DM90" s="115">
        <f>BS$28*$AN90/$C90</f>
        <v>1.0087600190292438</v>
      </c>
      <c r="DN90" s="26"/>
      <c r="DO90" s="143">
        <f>DM90/$OD90</f>
        <v>2.4561113506798979</v>
      </c>
      <c r="DP90" s="335"/>
      <c r="DQ90" s="127"/>
      <c r="DR90" s="127"/>
      <c r="DS90" s="127"/>
      <c r="DT90" s="37"/>
      <c r="DU90" s="37"/>
      <c r="DV90" s="37"/>
      <c r="DW90" s="37"/>
      <c r="DX90" s="37"/>
      <c r="DY90" s="127"/>
      <c r="DZ90" s="26">
        <f>EA90*$NT90</f>
        <v>0.9579706406263595</v>
      </c>
      <c r="EA90" s="115">
        <f>BT$28*$AN90/$C90</f>
        <v>1.0412724354634342</v>
      </c>
      <c r="EB90" s="26"/>
      <c r="EC90" s="143">
        <f>EA90/$OD90</f>
        <v>2.5352720167805356</v>
      </c>
      <c r="ED90" s="335"/>
      <c r="EE90" s="127"/>
      <c r="EF90" s="127"/>
      <c r="EG90" s="127"/>
      <c r="EM90" s="127"/>
      <c r="EN90" s="26">
        <f>EO90*$NT90</f>
        <v>1.0420913647429471</v>
      </c>
      <c r="EO90" s="115">
        <f>BU$28*$AN90/$C90</f>
        <v>1.1327080051553773</v>
      </c>
      <c r="EP90" s="26"/>
      <c r="EQ90" s="143">
        <f>EO90/$OD90</f>
        <v>2.7578977516826577</v>
      </c>
      <c r="ER90" s="335"/>
      <c r="ES90" s="127"/>
      <c r="ET90" s="127"/>
      <c r="EU90" s="127"/>
      <c r="EV90" s="37"/>
      <c r="EW90" s="37"/>
      <c r="EX90" s="37"/>
      <c r="EY90" s="37"/>
      <c r="EZ90" s="37"/>
      <c r="FA90" s="127"/>
      <c r="FE90" s="26">
        <f>FF90*$NT90</f>
        <v>1.860447341267655</v>
      </c>
      <c r="FF90" s="115">
        <f>FB$28*$AN90/$C90</f>
        <v>2.0222253709431031</v>
      </c>
      <c r="FG90" s="26"/>
      <c r="FH90" s="115">
        <f>FF90/$OD90</f>
        <v>4.9236791640353816</v>
      </c>
      <c r="FI90" s="335"/>
      <c r="FJ90" s="335"/>
      <c r="FK90" s="127"/>
      <c r="FL90" s="26"/>
      <c r="FR90" s="127"/>
      <c r="FS90" s="26">
        <f>FT90*$NT90</f>
        <v>1.9204097085028125</v>
      </c>
      <c r="FT90" s="115">
        <f>FC$28*$AN90/$C90</f>
        <v>2.0874018570682744</v>
      </c>
      <c r="FU90" s="26"/>
      <c r="FV90" s="115">
        <f>FT90/$OD90</f>
        <v>5.0823697389488425</v>
      </c>
      <c r="FW90" s="335"/>
      <c r="FX90" s="335"/>
      <c r="FY90" s="127"/>
      <c r="FZ90" s="26"/>
      <c r="GF90" s="127"/>
      <c r="GG90" s="26">
        <f>GH90*$NT90</f>
        <v>1.4882463471894947</v>
      </c>
      <c r="GH90" s="115">
        <f>FD$28*$AN90/$C90</f>
        <v>1.6176590730320595</v>
      </c>
      <c r="GI90" s="26"/>
      <c r="GJ90" s="115">
        <f>GH90/$OD90</f>
        <v>3.9386481778171882</v>
      </c>
      <c r="GK90" s="335"/>
      <c r="GL90" s="335"/>
      <c r="GM90" s="127"/>
      <c r="GN90" s="26"/>
      <c r="GT90" s="127"/>
      <c r="GU90" s="127"/>
      <c r="GV90" s="127"/>
      <c r="GW90" s="127"/>
      <c r="GX90" s="68">
        <f>GZ90*$W90</f>
        <v>9.6502143025228015</v>
      </c>
      <c r="GY90" s="26">
        <f>GZ90*$NT90</f>
        <v>0.41522180587385521</v>
      </c>
      <c r="GZ90" s="127">
        <f>$AN90*GU$28/C90</f>
        <v>0.45132804986288605</v>
      </c>
      <c r="HA90" s="73"/>
      <c r="HB90" s="115">
        <f>GZ90/$OD90</f>
        <v>1.098885686622679</v>
      </c>
      <c r="HD90" s="115"/>
      <c r="HE90" s="127"/>
      <c r="HF90" s="127"/>
      <c r="HG90" s="127"/>
      <c r="HH90" s="127"/>
      <c r="HI90" s="127"/>
      <c r="HJ90" s="127"/>
      <c r="HK90" s="127"/>
      <c r="HL90" s="127"/>
      <c r="HM90" s="115">
        <f>HN90*$NT90</f>
        <v>0.47341853608091644</v>
      </c>
      <c r="HN90" s="127">
        <f>$AN90*GV$28/C90</f>
        <v>0.51458536530534393</v>
      </c>
      <c r="HO90" s="73"/>
      <c r="HP90" s="115">
        <f>HN90/$OD90</f>
        <v>1.2529034981347504</v>
      </c>
      <c r="HR90" s="115"/>
      <c r="HS90" s="127"/>
      <c r="HT90" s="127"/>
      <c r="HU90" s="127"/>
      <c r="HV90" s="127"/>
      <c r="HW90" s="127"/>
      <c r="HX90" s="127"/>
      <c r="HY90" s="127"/>
      <c r="HZ90" s="127"/>
      <c r="IA90" s="115">
        <f>IB90*$NT90</f>
        <v>5.3980550167289386E-2</v>
      </c>
      <c r="IB90" s="127">
        <f>$AN90*GW$28/C90</f>
        <v>5.8674511051401507E-2</v>
      </c>
      <c r="IC90" s="73"/>
      <c r="ID90" s="115">
        <f>IB90/$OD90</f>
        <v>0.14285967908167324</v>
      </c>
      <c r="IE90" s="133"/>
      <c r="IF90" s="115"/>
      <c r="IG90" s="127"/>
      <c r="IH90" s="127"/>
      <c r="II90" s="127"/>
      <c r="IJ90" s="127"/>
      <c r="IK90" s="127"/>
      <c r="IL90" s="127"/>
      <c r="IM90" s="127"/>
      <c r="IN90" s="127"/>
      <c r="IV90" s="335">
        <f>IW90*$NT90</f>
        <v>0.74929022839753667</v>
      </c>
      <c r="IW90" s="330">
        <f>AN90*JK88*C89/C90</f>
        <v>0.81444590043210507</v>
      </c>
      <c r="IX90" s="73"/>
      <c r="IY90" s="115">
        <f>IW90/$OD90</f>
        <v>1.9829987140955603</v>
      </c>
      <c r="IZ90" s="73"/>
      <c r="JA90" s="115"/>
      <c r="JB90" s="115">
        <f>$IW90*JM88/$JK88</f>
        <v>0.49959677447247658</v>
      </c>
      <c r="JC90" s="115">
        <f>$IW90*JN88/$JK88</f>
        <v>0.30148845003237679</v>
      </c>
      <c r="JD90" s="115">
        <f>$IW90*JO88/$JK88</f>
        <v>1.3360675927251899E-2</v>
      </c>
      <c r="JE90" s="115"/>
      <c r="JF90" s="73"/>
      <c r="JG90" s="73"/>
      <c r="JH90" s="73"/>
      <c r="JI90" s="73"/>
      <c r="JJ90" s="73"/>
      <c r="JQ90" s="643"/>
      <c r="JW90" s="115"/>
      <c r="KA90" s="115"/>
      <c r="KJ90" s="115">
        <f>BW90*44/12+$IW90+$GZ90</f>
        <v>5.1179231840683466</v>
      </c>
      <c r="KK90" s="74"/>
      <c r="KL90" s="74"/>
      <c r="KM90" s="143">
        <f>KJ90/$OD90</f>
        <v>12.461030361209888</v>
      </c>
      <c r="KN90" s="127"/>
      <c r="KO90" s="74"/>
      <c r="KP90" s="74"/>
      <c r="KQ90" s="74"/>
      <c r="KR90" s="74"/>
      <c r="KS90" s="127"/>
      <c r="KT90" s="115">
        <f>CK90*44/12+$IW90+$HN90</f>
        <v>5.2533213655667117</v>
      </c>
      <c r="KW90" s="143">
        <f>KT90/$OD90</f>
        <v>12.790695498771125</v>
      </c>
      <c r="KX90" s="127"/>
      <c r="LC90" s="127"/>
      <c r="LD90" s="115">
        <f>CY90*44/12+$IW90+$IB90</f>
        <v>4.2774737476338496</v>
      </c>
      <c r="LG90" s="143">
        <f>LD90/$OD90</f>
        <v>10.414718689891112</v>
      </c>
      <c r="LH90" s="127"/>
      <c r="LM90" s="127"/>
      <c r="LN90" s="115">
        <f>DM90*44/12+$IW90+$GZ90</f>
        <v>4.9645606867355525</v>
      </c>
      <c r="LQ90" s="143">
        <f>LN90/$OD90</f>
        <v>12.087626019877867</v>
      </c>
      <c r="LR90" s="127"/>
      <c r="LW90" s="127"/>
      <c r="LX90" s="115">
        <f>EA90*44/12+$IW90+$HN90</f>
        <v>5.1470301957700411</v>
      </c>
      <c r="MA90" s="143">
        <f>LX90/$OD90</f>
        <v>12.531899607092274</v>
      </c>
      <c r="MB90" s="127"/>
      <c r="MG90" s="127"/>
      <c r="MH90" s="115">
        <f>EO90*44/12+$IW90+$IB90</f>
        <v>5.0263830970532233</v>
      </c>
      <c r="MK90" s="143">
        <f>MH90/$OD90</f>
        <v>12.238150149346978</v>
      </c>
      <c r="ML90" s="127"/>
      <c r="MQ90" s="127"/>
      <c r="MW90" s="127"/>
      <c r="MX90" s="127"/>
      <c r="MY90" s="127"/>
      <c r="MZ90" s="127"/>
      <c r="NA90" s="127"/>
      <c r="NB90" s="127"/>
      <c r="NC90" s="127"/>
      <c r="ND90" s="127"/>
      <c r="NE90" s="127"/>
      <c r="NF90" s="127"/>
      <c r="NG90" s="127"/>
      <c r="NH90" s="127"/>
      <c r="NI90" s="127"/>
      <c r="NJ90" s="127"/>
      <c r="NK90" s="127"/>
      <c r="NL90" s="127"/>
      <c r="NM90" s="127"/>
      <c r="NN90" s="127"/>
      <c r="NO90" s="127"/>
      <c r="NP90" s="127"/>
      <c r="NQ90" s="127"/>
      <c r="NT90" s="31">
        <v>0.92</v>
      </c>
      <c r="NU90" s="31"/>
      <c r="NV90" s="32">
        <f>$NT90*NW90</f>
        <v>17.48</v>
      </c>
      <c r="NW90" s="9">
        <v>19</v>
      </c>
      <c r="NX90" s="9"/>
      <c r="NY90" s="9"/>
      <c r="NZ90" s="9"/>
      <c r="OA90" s="32"/>
      <c r="OB90" s="26"/>
      <c r="OC90" s="38">
        <f>$NT90*OD90</f>
        <v>0.37785714285714284</v>
      </c>
      <c r="OD90" s="40">
        <f>OD28/C90</f>
        <v>0.4107142857142857</v>
      </c>
      <c r="OE90" s="38"/>
      <c r="OF90" s="683"/>
    </row>
    <row r="91" spans="1:494" x14ac:dyDescent="0.25">
      <c r="B91" s="727"/>
      <c r="Z91" s="26"/>
      <c r="AA91" s="26"/>
      <c r="AB91" s="26"/>
      <c r="AE91" s="115"/>
      <c r="AF91" s="115"/>
      <c r="AG91" s="115"/>
      <c r="AH91" s="115"/>
      <c r="AI91" s="115"/>
      <c r="AJ91" s="115"/>
      <c r="AL91" s="74"/>
      <c r="AO91" s="115"/>
      <c r="AP91" s="115"/>
      <c r="AQ91" s="115"/>
      <c r="AR91" s="115"/>
      <c r="AS91" s="115"/>
      <c r="AT91" s="115"/>
      <c r="AU91" s="115"/>
      <c r="AV91" s="115"/>
      <c r="AW91" s="115"/>
      <c r="AX91" s="115"/>
      <c r="AY91" s="115"/>
      <c r="AZ91" s="115"/>
      <c r="BA91" s="115"/>
      <c r="BB91" s="115"/>
      <c r="BC91" s="115"/>
      <c r="BD91" s="115"/>
      <c r="BE91" s="115"/>
      <c r="BF91" s="115"/>
      <c r="BG91" s="115"/>
      <c r="BH91" s="115"/>
      <c r="BI91" s="115"/>
      <c r="BJ91" s="115"/>
      <c r="BK91" s="115"/>
      <c r="BL91" s="115"/>
      <c r="BM91" s="115"/>
      <c r="BN91" s="115"/>
      <c r="BO91" s="115"/>
      <c r="BP91" s="115"/>
      <c r="BQ91" s="115"/>
      <c r="BR91" s="115"/>
      <c r="BS91" s="115"/>
      <c r="BT91" s="115"/>
      <c r="BU91" s="115"/>
      <c r="BW91" s="26"/>
      <c r="CA91" s="74"/>
      <c r="CB91" s="74"/>
      <c r="CC91" s="74"/>
      <c r="CD91" s="115"/>
      <c r="CE91" s="115"/>
      <c r="CF91" s="115"/>
      <c r="CG91" s="115"/>
      <c r="CH91" s="115"/>
      <c r="CI91" s="74"/>
      <c r="CK91" s="26"/>
      <c r="CX91" s="37"/>
      <c r="CY91" s="26"/>
      <c r="CZ91" s="37"/>
      <c r="DA91" s="37"/>
      <c r="DB91" s="37"/>
      <c r="DF91" s="115"/>
      <c r="DG91" s="115"/>
      <c r="DH91" s="115"/>
      <c r="DI91" s="115"/>
      <c r="DJ91" s="115"/>
      <c r="DL91" s="37"/>
      <c r="DM91" s="115"/>
      <c r="DN91" s="37"/>
      <c r="DO91" s="37"/>
      <c r="DP91" s="37"/>
      <c r="DT91" s="37"/>
      <c r="DU91" s="37"/>
      <c r="DV91" s="37"/>
      <c r="DW91" s="37"/>
      <c r="DX91" s="37"/>
      <c r="EA91" s="115"/>
      <c r="EN91" s="37"/>
      <c r="EO91" s="115"/>
      <c r="EP91" s="37"/>
      <c r="EQ91" s="37"/>
      <c r="ER91" s="37"/>
      <c r="EV91" s="37"/>
      <c r="EW91" s="37"/>
      <c r="EX91" s="37"/>
      <c r="EY91" s="37"/>
      <c r="EZ91" s="37"/>
      <c r="FF91" s="26"/>
      <c r="FH91" s="74"/>
      <c r="FK91" s="74"/>
      <c r="FR91" s="74"/>
      <c r="FT91" s="26"/>
      <c r="FZ91" s="37"/>
      <c r="GH91" s="26"/>
      <c r="GJ91" s="74"/>
      <c r="GM91" s="74"/>
      <c r="GT91" s="74"/>
      <c r="GU91" s="74"/>
      <c r="GV91" s="74"/>
      <c r="GW91" s="74"/>
      <c r="GX91" s="74"/>
      <c r="HB91" s="74"/>
      <c r="HD91" s="74"/>
      <c r="HE91" s="74"/>
      <c r="HF91" s="74"/>
      <c r="HG91" s="74"/>
      <c r="HH91" s="74"/>
      <c r="HI91" s="74"/>
      <c r="HJ91" s="74"/>
      <c r="HK91" s="74"/>
      <c r="HL91" s="74"/>
      <c r="IA91" s="133"/>
      <c r="IB91" s="133"/>
      <c r="IC91" s="133"/>
      <c r="IE91" s="133"/>
      <c r="JQ91" s="179"/>
      <c r="JS91" s="723"/>
      <c r="JU91" s="723"/>
      <c r="JW91" s="115"/>
      <c r="KA91" s="115"/>
      <c r="KJ91" s="74"/>
      <c r="KK91" s="74"/>
      <c r="KL91" s="74"/>
      <c r="KM91" s="74"/>
      <c r="KN91" s="74"/>
      <c r="KO91" s="74"/>
      <c r="KP91" s="74"/>
      <c r="KQ91" s="74"/>
      <c r="KR91" s="74"/>
      <c r="KS91" s="74"/>
      <c r="OB91" s="26"/>
    </row>
    <row r="92" spans="1:494" x14ac:dyDescent="0.25">
      <c r="A92" s="9" t="s">
        <v>143</v>
      </c>
      <c r="B92" s="53"/>
      <c r="Z92" s="26"/>
      <c r="AA92" s="26"/>
      <c r="AB92" s="26"/>
      <c r="AE92" s="115"/>
      <c r="AF92" s="115"/>
      <c r="AG92" s="115"/>
      <c r="AH92" s="115"/>
      <c r="AI92" s="115"/>
      <c r="AJ92" s="115"/>
      <c r="AL92" s="74"/>
      <c r="AO92" s="115"/>
      <c r="AP92" s="115"/>
      <c r="AQ92" s="115"/>
      <c r="AR92" s="115"/>
      <c r="AS92" s="115"/>
      <c r="AT92" s="115"/>
      <c r="AU92" s="115"/>
      <c r="AV92" s="115"/>
      <c r="AW92" s="115"/>
      <c r="AX92" s="115"/>
      <c r="AY92" s="115"/>
      <c r="AZ92" s="115"/>
      <c r="BA92" s="115"/>
      <c r="BB92" s="115"/>
      <c r="BC92" s="115"/>
      <c r="BD92" s="115"/>
      <c r="BE92" s="115"/>
      <c r="BF92" s="115"/>
      <c r="BG92" s="115"/>
      <c r="BH92" s="115"/>
      <c r="BI92" s="115"/>
      <c r="BJ92" s="115"/>
      <c r="BK92" s="115"/>
      <c r="BL92" s="115"/>
      <c r="BM92" s="115"/>
      <c r="BN92" s="115"/>
      <c r="BO92" s="115"/>
      <c r="BP92" s="115"/>
      <c r="BQ92" s="115"/>
      <c r="BR92" s="115"/>
      <c r="BS92" s="115"/>
      <c r="BT92" s="115"/>
      <c r="BU92" s="115"/>
      <c r="BW92" s="26"/>
      <c r="CA92" s="74"/>
      <c r="CB92" s="74"/>
      <c r="CC92" s="74"/>
      <c r="CD92" s="115"/>
      <c r="CE92" s="115"/>
      <c r="CF92" s="115"/>
      <c r="CG92" s="115"/>
      <c r="CH92" s="115"/>
      <c r="CI92" s="74"/>
      <c r="CK92" s="26"/>
      <c r="CX92" s="37"/>
      <c r="CY92" s="26"/>
      <c r="CZ92" s="37"/>
      <c r="DA92" s="37"/>
      <c r="DB92" s="37"/>
      <c r="DF92" s="115"/>
      <c r="DG92" s="115"/>
      <c r="DH92" s="115"/>
      <c r="DI92" s="115"/>
      <c r="DJ92" s="115"/>
      <c r="DL92" s="37"/>
      <c r="DM92" s="115"/>
      <c r="DN92" s="37"/>
      <c r="DO92" s="37"/>
      <c r="DP92" s="37"/>
      <c r="DT92" s="37"/>
      <c r="DU92" s="37"/>
      <c r="DV92" s="37"/>
      <c r="DW92" s="37"/>
      <c r="DX92" s="37"/>
      <c r="EA92" s="115"/>
      <c r="EN92" s="37"/>
      <c r="EO92" s="115"/>
      <c r="EP92" s="37"/>
      <c r="EQ92" s="37"/>
      <c r="ER92" s="37"/>
      <c r="EV92" s="37"/>
      <c r="EW92" s="37"/>
      <c r="EX92" s="37"/>
      <c r="EY92" s="37"/>
      <c r="EZ92" s="37"/>
      <c r="FF92" s="26"/>
      <c r="FH92" s="74"/>
      <c r="FK92" s="74"/>
      <c r="FR92" s="74"/>
      <c r="FT92" s="26"/>
      <c r="FZ92" s="37"/>
      <c r="GH92" s="26"/>
      <c r="GJ92" s="74"/>
      <c r="GM92" s="74"/>
      <c r="GT92" s="74"/>
      <c r="GU92" s="74"/>
      <c r="GV92" s="74"/>
      <c r="GW92" s="74"/>
      <c r="GX92" s="55">
        <f>GX93+GX94</f>
        <v>4.0002578494011942</v>
      </c>
      <c r="HB92" s="74"/>
      <c r="HD92" s="74"/>
      <c r="HE92" s="74"/>
      <c r="HF92" s="74"/>
      <c r="HG92" s="74"/>
      <c r="HH92" s="74"/>
      <c r="HI92" s="74"/>
      <c r="HJ92" s="74"/>
      <c r="HK92" s="74"/>
      <c r="HL92" s="74"/>
      <c r="IA92" s="133"/>
      <c r="IB92" s="133"/>
      <c r="IC92" s="133"/>
      <c r="IE92" s="133"/>
      <c r="IO92" s="68">
        <f>IP92+IQ92+IR92+IS92+IT92+IU92</f>
        <v>22.159003173073121</v>
      </c>
      <c r="IP92" s="97">
        <f>JS92*$W93</f>
        <v>13.475400329871539</v>
      </c>
      <c r="IQ92" s="97">
        <f>JU92*$W93</f>
        <v>6.4426376432015804</v>
      </c>
      <c r="IR92" s="97">
        <f>JX92*$W93</f>
        <v>0.25076520000000002</v>
      </c>
      <c r="IS92" s="97">
        <f>KB92*$W93</f>
        <v>1.8707880000000001</v>
      </c>
      <c r="IT92" s="97">
        <f>KF92*$W93</f>
        <v>0</v>
      </c>
      <c r="IU92" s="97">
        <f>KH92*$W93</f>
        <v>0.11941199999999999</v>
      </c>
      <c r="JK92" s="115">
        <f>JM92+JN92+JO92</f>
        <v>2.0709348759881423</v>
      </c>
      <c r="JL92" s="679">
        <f>10^3*JK92/NY93</f>
        <v>55.670292365272637</v>
      </c>
      <c r="JM92" s="179">
        <f>JS92+KB92</f>
        <v>1.4342232083992095</v>
      </c>
      <c r="JN92" s="179">
        <f>JU92+KF92</f>
        <v>0.60211566758893276</v>
      </c>
      <c r="JO92" s="179">
        <f>JX92+KH92</f>
        <v>3.4596000000000002E-2</v>
      </c>
      <c r="JP92" s="469">
        <f>JK92*C93</f>
        <v>0.91121134543478266</v>
      </c>
      <c r="JQ92" s="115">
        <f>JR92*$NY93/10^3</f>
        <v>1.8849348759881421</v>
      </c>
      <c r="JR92" s="73">
        <f>JT92+JV92+JY92</f>
        <v>50.67029236527263</v>
      </c>
      <c r="JS92" s="680">
        <f>'Crops; pasture DISCOUNTED'!KF41/C93</f>
        <v>1.2593832083992094</v>
      </c>
      <c r="JT92" s="73">
        <f>10^3*JS92/$NY93</f>
        <v>33.854387322559383</v>
      </c>
      <c r="JU92" s="680">
        <f>'Crops; pasture DISCOUNTED'!KD41/C93</f>
        <v>0.60211566758893276</v>
      </c>
      <c r="JV92" s="115">
        <f>10^3*JU92/$NY93</f>
        <v>16.185905042713244</v>
      </c>
      <c r="JW92" s="115">
        <f>10^3*JU92/'Discounting metrics'!$B$6</f>
        <v>2.0205223744595058</v>
      </c>
      <c r="JX92" s="127">
        <f>JY92*$NY93/10^3</f>
        <v>2.3436000000000002E-2</v>
      </c>
      <c r="JY92" s="84">
        <v>0.63</v>
      </c>
      <c r="JZ92" s="127">
        <f>KB92+KF92+KH92</f>
        <v>0.18600000000000003</v>
      </c>
      <c r="KA92" s="115">
        <f>KC92+KG92+KI92</f>
        <v>5</v>
      </c>
      <c r="KB92" s="115">
        <f>KC92*$NY93/10^3</f>
        <v>0.17484000000000002</v>
      </c>
      <c r="KC92" s="80">
        <v>4.7</v>
      </c>
      <c r="KD92" s="725">
        <v>0.55000000000000004</v>
      </c>
      <c r="KE92" s="474">
        <f>KC92/KD92</f>
        <v>8.545454545454545</v>
      </c>
      <c r="KF92" s="127">
        <f>KG92*$NY93/10^3</f>
        <v>0</v>
      </c>
      <c r="KG92" s="84">
        <v>0</v>
      </c>
      <c r="KH92" s="127">
        <f>KI92*$NY93/10^3</f>
        <v>1.116E-2</v>
      </c>
      <c r="KI92" s="84">
        <v>0.3</v>
      </c>
      <c r="KJ92" s="74"/>
      <c r="KK92" s="74"/>
      <c r="KL92" s="74"/>
      <c r="KM92" s="74"/>
      <c r="KN92" s="74"/>
      <c r="KO92" s="74"/>
      <c r="KP92" s="74"/>
      <c r="KQ92" s="74"/>
      <c r="KR92" s="74"/>
      <c r="KS92" s="74"/>
      <c r="OB92" s="26"/>
    </row>
    <row r="93" spans="1:494" x14ac:dyDescent="0.25">
      <c r="A93" s="37" t="s">
        <v>144</v>
      </c>
      <c r="B93" s="53">
        <f>C93*NT29/NT93</f>
        <v>0.40479999999999999</v>
      </c>
      <c r="C93" s="90">
        <v>0.44</v>
      </c>
      <c r="D93" s="722">
        <f>C93*NW93/NW29</f>
        <v>0.60250871080139368</v>
      </c>
      <c r="E93" s="104"/>
      <c r="F93" s="104"/>
      <c r="G93" s="104"/>
      <c r="H93" s="104"/>
      <c r="I93" s="104"/>
      <c r="J93" s="104"/>
      <c r="K93" s="104"/>
      <c r="L93" s="104"/>
      <c r="M93" s="104"/>
      <c r="N93" s="69"/>
      <c r="V93" s="55">
        <f>W93/NT93</f>
        <v>10.7</v>
      </c>
      <c r="W93" s="72">
        <v>10.7</v>
      </c>
      <c r="X93" s="252"/>
      <c r="Y93" s="26">
        <f>W93*NW93/10^3</f>
        <v>0.42050999999999994</v>
      </c>
      <c r="Z93" s="26">
        <f>W93*OB93/10^3</f>
        <v>0.39589999999999997</v>
      </c>
      <c r="AA93" s="26"/>
      <c r="AB93" s="26"/>
      <c r="AE93" s="115">
        <f>AB$29*$AN93/$C93</f>
        <v>11.798902030614212</v>
      </c>
      <c r="AF93" s="115"/>
      <c r="AG93" s="115">
        <f>AC$29*$AN93/$C93</f>
        <v>11.855311766101901</v>
      </c>
      <c r="AH93" s="115"/>
      <c r="AI93" s="115">
        <f>AD$29*$AN93/$C93</f>
        <v>10.694651872917099</v>
      </c>
      <c r="AJ93" s="115"/>
      <c r="AK93" s="722">
        <f>Y93/(Y93+Y94)</f>
        <v>0.61907489617642841</v>
      </c>
      <c r="AL93" s="164">
        <v>1.137</v>
      </c>
      <c r="AM93" s="69">
        <f>V93*AL93/(V93*AL93+V94*AL94)</f>
        <v>0.82528165801681774</v>
      </c>
      <c r="AN93" s="40">
        <f t="shared" ref="AN93:AN94" si="29">AK93</f>
        <v>0.61907489617642841</v>
      </c>
      <c r="AO93" s="115"/>
      <c r="AP93" s="115"/>
      <c r="AQ93" s="115"/>
      <c r="AR93" s="115"/>
      <c r="AS93" s="115"/>
      <c r="AT93" s="115"/>
      <c r="AU93" s="115"/>
      <c r="AV93" s="115"/>
      <c r="AW93" s="115"/>
      <c r="AX93" s="115"/>
      <c r="AY93" s="115"/>
      <c r="AZ93" s="115"/>
      <c r="BA93" s="115"/>
      <c r="BB93" s="115"/>
      <c r="BC93" s="115"/>
      <c r="BD93" s="115"/>
      <c r="BE93" s="115"/>
      <c r="BF93" s="115"/>
      <c r="BG93" s="115"/>
      <c r="BH93" s="115"/>
      <c r="BI93" s="115"/>
      <c r="BJ93" s="115"/>
      <c r="BK93" s="115"/>
      <c r="BL93" s="115"/>
      <c r="BM93" s="115"/>
      <c r="BN93" s="115"/>
      <c r="BO93" s="115"/>
      <c r="BP93" s="115"/>
      <c r="BQ93" s="115"/>
      <c r="BR93" s="115"/>
      <c r="BS93" s="115"/>
      <c r="BT93" s="115"/>
      <c r="BU93" s="115"/>
      <c r="BV93" s="26">
        <f>BW93*$NT93</f>
        <v>1.9788059130310141</v>
      </c>
      <c r="BW93" s="115">
        <f>BP$29*$AN93/$C93</f>
        <v>1.9788059130310141</v>
      </c>
      <c r="BX93" s="677">
        <f>10^3*BW93/$OB93</f>
        <v>53.481240892730114</v>
      </c>
      <c r="BZ93" s="73">
        <f>10^3*BW93/$NW93</f>
        <v>50.351295496972376</v>
      </c>
      <c r="CA93" s="73"/>
      <c r="CB93" s="73"/>
      <c r="CC93" s="73"/>
      <c r="CD93" s="115"/>
      <c r="CE93" s="115"/>
      <c r="CF93" s="115"/>
      <c r="CG93" s="115"/>
      <c r="CH93" s="115"/>
      <c r="CI93" s="73"/>
      <c r="CJ93" s="26">
        <f>CK93*$NT93</f>
        <v>2.0360957614026911</v>
      </c>
      <c r="CK93" s="115">
        <f>BQ$29*$AN93/$C93</f>
        <v>2.0360957614026911</v>
      </c>
      <c r="CL93" s="677">
        <f>10^3*CK93/$OB93</f>
        <v>55.029615173045705</v>
      </c>
      <c r="CN93" s="73">
        <f>10^3*CK93/$NW93</f>
        <v>51.809052452994685</v>
      </c>
      <c r="CO93" s="73"/>
      <c r="CP93" s="73"/>
      <c r="CQ93" s="73"/>
      <c r="CW93" s="73"/>
      <c r="CX93" s="26">
        <f>CY93*$NT93</f>
        <v>0.85732708403216051</v>
      </c>
      <c r="CY93" s="115">
        <f>BR$29*$AN93/$C93</f>
        <v>0.85732708403216051</v>
      </c>
      <c r="CZ93" s="677">
        <f>10^3*CY93/$OB93</f>
        <v>23.171002271139475</v>
      </c>
      <c r="DA93" s="37"/>
      <c r="DB93" s="73">
        <f>10^3*CY93/$NW93</f>
        <v>21.814938524991366</v>
      </c>
      <c r="DC93" s="73"/>
      <c r="DD93" s="73"/>
      <c r="DE93" s="73"/>
      <c r="DF93" s="115"/>
      <c r="DG93" s="115"/>
      <c r="DH93" s="115"/>
      <c r="DI93" s="115"/>
      <c r="DJ93" s="115"/>
      <c r="DK93" s="73"/>
      <c r="DL93" s="26">
        <f>DM93*$NT93</f>
        <v>2.9838806295086546</v>
      </c>
      <c r="DM93" s="115">
        <f>BS$29*$AN93/$C93</f>
        <v>2.9838806295086546</v>
      </c>
      <c r="DN93" s="677">
        <f>10^3*DM93/$OB93</f>
        <v>80.645422419152823</v>
      </c>
      <c r="DO93" s="37"/>
      <c r="DP93" s="73">
        <f>10^3*DM93/$NW93</f>
        <v>75.925715763579007</v>
      </c>
      <c r="DQ93" s="73"/>
      <c r="DR93" s="73"/>
      <c r="DS93" s="73"/>
      <c r="DT93" s="37"/>
      <c r="DU93" s="37"/>
      <c r="DV93" s="37"/>
      <c r="DW93" s="37"/>
      <c r="DX93" s="37"/>
      <c r="DY93" s="73"/>
      <c r="DZ93" s="26">
        <f>EA93*$NT93</f>
        <v>3.0515534927106991</v>
      </c>
      <c r="EA93" s="115">
        <f>BT$29*$AN93/$C93</f>
        <v>3.0515534927106991</v>
      </c>
      <c r="EB93" s="677">
        <f>10^3*EA93/$OB93</f>
        <v>82.474418721910794</v>
      </c>
      <c r="ED93" s="73">
        <f>10^3*EA93/$NW93</f>
        <v>77.6476715702468</v>
      </c>
      <c r="EE93" s="73"/>
      <c r="EF93" s="73"/>
      <c r="EG93" s="73"/>
      <c r="EM93" s="73"/>
      <c r="EN93" s="26">
        <f>EO93*$NT93</f>
        <v>1.6698138335958757</v>
      </c>
      <c r="EO93" s="115">
        <f>BU$29*$AN93/$C93</f>
        <v>1.6698138335958757</v>
      </c>
      <c r="EP93" s="677">
        <f>10^3*EO93/$OB93</f>
        <v>45.130103610699344</v>
      </c>
      <c r="EQ93" s="37"/>
      <c r="ER93" s="73">
        <f>10^3*EO93/$NW93</f>
        <v>42.488901618215671</v>
      </c>
      <c r="ES93" s="73"/>
      <c r="ET93" s="73"/>
      <c r="EU93" s="73"/>
      <c r="EV93" s="37"/>
      <c r="EW93" s="37"/>
      <c r="EX93" s="37"/>
      <c r="EY93" s="37"/>
      <c r="EZ93" s="37"/>
      <c r="FA93" s="73"/>
      <c r="FE93" s="26">
        <f>FF93*$NT93</f>
        <v>5.9816794867275087</v>
      </c>
      <c r="FF93" s="115">
        <f>FB$29*$AN93/$C93</f>
        <v>5.9816794867275087</v>
      </c>
      <c r="FG93" s="562">
        <f>10^3*FF93/$OB93</f>
        <v>161.66701315479753</v>
      </c>
      <c r="FH93" s="73"/>
      <c r="FI93" s="73">
        <f>10^3*FF93/$NW93</f>
        <v>152.20558490400785</v>
      </c>
      <c r="FJ93" s="73"/>
      <c r="FK93" s="73"/>
      <c r="FL93" s="26"/>
      <c r="FR93" s="73"/>
      <c r="FS93" s="26">
        <f>FT93*$NT93</f>
        <v>6.1173408713085813</v>
      </c>
      <c r="FT93" s="115">
        <f>FC$29*$AN93/$C93</f>
        <v>6.1173408713085813</v>
      </c>
      <c r="FU93" s="562">
        <f>10^3*FT93/$OB93</f>
        <v>165.33353706239407</v>
      </c>
      <c r="FV93" s="73"/>
      <c r="FW93" s="73">
        <f>10^3*FT93/$NW93</f>
        <v>155.65752853202497</v>
      </c>
      <c r="FX93" s="73"/>
      <c r="FY93" s="73"/>
      <c r="FZ93" s="26"/>
      <c r="GF93" s="73"/>
      <c r="GG93" s="26">
        <f>GH93*$NT93</f>
        <v>3.3260367324772178</v>
      </c>
      <c r="GH93" s="115">
        <f>FD$29*$AN93/$C93</f>
        <v>3.3260367324772178</v>
      </c>
      <c r="GI93" s="562">
        <f>10^3*GH93/$OB93</f>
        <v>89.892884661546432</v>
      </c>
      <c r="GJ93" s="73"/>
      <c r="GK93" s="73">
        <f>10^3*GH93/$NW93</f>
        <v>84.631977925628959</v>
      </c>
      <c r="GL93" s="73"/>
      <c r="GM93" s="73"/>
      <c r="GN93" s="26"/>
      <c r="GT93" s="73"/>
      <c r="GU93" s="73"/>
      <c r="GV93" s="73"/>
      <c r="GW93" s="73"/>
      <c r="GX93" s="68">
        <f>GZ93*$W93</f>
        <v>2.4764592127969869</v>
      </c>
      <c r="GY93" s="26">
        <f>GZ93*$NT93</f>
        <v>0.23144478624270906</v>
      </c>
      <c r="GZ93" s="127">
        <f>$AN93*GU$29/C93</f>
        <v>0.23144478624270906</v>
      </c>
      <c r="HA93" s="673">
        <f>10^3*GZ93/$OB93</f>
        <v>6.2552644930461909</v>
      </c>
      <c r="HB93" s="74"/>
      <c r="HC93" s="73">
        <f>10^3*GZ93/$NW93</f>
        <v>5.8891803115193149</v>
      </c>
      <c r="HD93" s="73"/>
      <c r="HE93" s="73"/>
      <c r="HF93" s="73"/>
      <c r="HG93" s="73"/>
      <c r="HH93" s="73"/>
      <c r="HI93" s="73"/>
      <c r="HJ93" s="73"/>
      <c r="HK93" s="73"/>
      <c r="HL93" s="73"/>
      <c r="HM93" s="115">
        <f>HN93*$NT93</f>
        <v>0.24326795790444855</v>
      </c>
      <c r="HN93" s="127">
        <f>$AN93*GV$29/C93</f>
        <v>0.24326795790444855</v>
      </c>
      <c r="HO93" s="73">
        <f>10^3*HN93/$OB93</f>
        <v>6.5748096730932044</v>
      </c>
      <c r="HQ93" s="73">
        <f>10^3*HN93/$NW93</f>
        <v>6.1900243741589973</v>
      </c>
      <c r="HR93" s="73"/>
      <c r="HS93" s="73"/>
      <c r="HT93" s="73"/>
      <c r="HU93" s="73"/>
      <c r="HV93" s="73"/>
      <c r="HW93" s="73"/>
      <c r="HX93" s="73"/>
      <c r="HY93" s="73"/>
      <c r="HZ93" s="73"/>
      <c r="IA93" s="115">
        <f>IB93*$NT93</f>
        <v>0</v>
      </c>
      <c r="IB93" s="127">
        <f>$AN93*GW$29/C93</f>
        <v>0</v>
      </c>
      <c r="IC93" s="73">
        <f>10^3*IB93/$OB93</f>
        <v>0</v>
      </c>
      <c r="IE93" s="73">
        <f>10^3*IB93/$NW93</f>
        <v>0</v>
      </c>
      <c r="IF93" s="73"/>
      <c r="IG93" s="73"/>
      <c r="IH93" s="73"/>
      <c r="II93" s="73"/>
      <c r="IJ93" s="73"/>
      <c r="IK93" s="73"/>
      <c r="IL93" s="73"/>
      <c r="IM93" s="73"/>
      <c r="IN93" s="73"/>
      <c r="IV93" s="26">
        <f>IW93*$NT93</f>
        <v>1.2820637933405039</v>
      </c>
      <c r="IW93" s="115">
        <f>AN93*JK92</f>
        <v>1.2820637933405039</v>
      </c>
      <c r="IX93" s="673">
        <f>10^3*IW93/OB93</f>
        <v>34.650372792986595</v>
      </c>
      <c r="IZ93" s="73">
        <f>AN93*JL92</f>
        <v>34.464080466142576</v>
      </c>
      <c r="JA93" s="115"/>
      <c r="JB93" s="115">
        <f>$IW93*JM92/$JK92</f>
        <v>0.8878915838335647</v>
      </c>
      <c r="JC93" s="115">
        <f>$IW93*JN92/$JK92</f>
        <v>0.37275469439881942</v>
      </c>
      <c r="JD93" s="115">
        <f>$IW93*JO92/$JK92</f>
        <v>2.141751510811972E-2</v>
      </c>
      <c r="JE93" s="115"/>
      <c r="JF93" s="73"/>
      <c r="JG93" s="73"/>
      <c r="JH93" s="73"/>
      <c r="JI93" s="73"/>
      <c r="JJ93" s="73"/>
      <c r="KJ93" s="115">
        <f>BW93*44/12+$IW93+$GZ93</f>
        <v>8.769130260696933</v>
      </c>
      <c r="KK93" s="74"/>
      <c r="KL93" s="677">
        <f>10^3*KJ93/$OB93</f>
        <v>237.00352055937657</v>
      </c>
      <c r="KM93" s="74"/>
      <c r="KN93" s="73"/>
      <c r="KO93" s="115"/>
      <c r="KP93" s="115"/>
      <c r="KQ93" s="115"/>
      <c r="KR93" s="115"/>
      <c r="KS93" s="73"/>
      <c r="KT93" s="115">
        <f>CK93*44/12+$IW93+$HN93</f>
        <v>8.9910162097214865</v>
      </c>
      <c r="KV93" s="677">
        <f>10^3*KT93/$OB93</f>
        <v>243.00043810058074</v>
      </c>
      <c r="KX93" s="73"/>
      <c r="KY93" s="115"/>
      <c r="KZ93" s="115"/>
      <c r="LA93" s="115"/>
      <c r="LB93" s="115"/>
      <c r="LC93" s="73"/>
      <c r="LD93" s="115">
        <f>CY93*44/12+$IW93+$IB93</f>
        <v>4.4255964347917587</v>
      </c>
      <c r="LF93" s="677">
        <f>10^3*LD93/$OB93</f>
        <v>119.61071445383132</v>
      </c>
      <c r="LH93" s="73"/>
      <c r="LI93" s="115"/>
      <c r="LJ93" s="115"/>
      <c r="LK93" s="115"/>
      <c r="LL93" s="115"/>
      <c r="LM93" s="73"/>
      <c r="LN93" s="115">
        <f>DM93*44/12+$IW93+$GZ93</f>
        <v>12.454404221114947</v>
      </c>
      <c r="LP93" s="677">
        <f>10^3*LN93/$OB93</f>
        <v>336.60551948959312</v>
      </c>
      <c r="LR93" s="73"/>
      <c r="LW93" s="73"/>
      <c r="LX93" s="115">
        <f>EA93*44/12+$IW93+$HN93</f>
        <v>12.714361224517516</v>
      </c>
      <c r="LZ93" s="677">
        <f>10^3*LX93/$OB93</f>
        <v>343.63138444641936</v>
      </c>
      <c r="MB93" s="73"/>
      <c r="MG93" s="73"/>
      <c r="MH93" s="115">
        <f>EO93*44/12+$IW93+$IB93</f>
        <v>7.4047145165253809</v>
      </c>
      <c r="MJ93" s="677">
        <f>10^3*MH93/$OB93</f>
        <v>200.12741936555082</v>
      </c>
      <c r="ML93" s="73"/>
      <c r="MQ93" s="73"/>
      <c r="MW93" s="73"/>
      <c r="MX93" s="73"/>
      <c r="MY93" s="73"/>
      <c r="MZ93" s="73"/>
      <c r="NA93" s="73"/>
      <c r="NB93" s="73"/>
      <c r="NC93" s="73"/>
      <c r="ND93" s="73"/>
      <c r="NE93" s="73"/>
      <c r="NF93" s="73"/>
      <c r="NG93" s="73"/>
      <c r="NH93" s="73"/>
      <c r="NI93" s="73"/>
      <c r="NJ93" s="73"/>
      <c r="NK93" s="73"/>
      <c r="NL93" s="73"/>
      <c r="NM93" s="73"/>
      <c r="NN93" s="73"/>
      <c r="NO93" s="73"/>
      <c r="NP93" s="73"/>
      <c r="NQ93" s="73"/>
      <c r="NT93" s="31">
        <v>1</v>
      </c>
      <c r="NU93" s="31"/>
      <c r="NV93" s="32">
        <f>$NT93*NW93</f>
        <v>39.299999999999997</v>
      </c>
      <c r="NW93" s="9">
        <v>39.299999999999997</v>
      </c>
      <c r="NX93" s="9"/>
      <c r="NY93" s="9">
        <v>37.200000000000003</v>
      </c>
      <c r="NZ93" s="9"/>
      <c r="OA93" s="32">
        <f>$NT93*OB93</f>
        <v>37</v>
      </c>
      <c r="OB93" s="43">
        <v>37</v>
      </c>
      <c r="OC93" s="38">
        <f>$NT93*OD93</f>
        <v>0</v>
      </c>
      <c r="OD93" s="31">
        <v>0</v>
      </c>
      <c r="OE93" s="38">
        <f>$NT93*OF93</f>
        <v>1</v>
      </c>
      <c r="OF93" s="31">
        <v>1</v>
      </c>
    </row>
    <row r="94" spans="1:494" x14ac:dyDescent="0.25">
      <c r="A94" s="37" t="s">
        <v>92</v>
      </c>
      <c r="B94" s="468">
        <f>C94*NT29/NT94</f>
        <v>0.56000000000000005</v>
      </c>
      <c r="C94" s="40">
        <f>1-C93</f>
        <v>0.56000000000000005</v>
      </c>
      <c r="D94" s="722">
        <f>C94*NW94/NW30</f>
        <v>0.40923076923076923</v>
      </c>
      <c r="E94" s="104"/>
      <c r="F94" s="104"/>
      <c r="G94" s="104"/>
      <c r="H94" s="104"/>
      <c r="I94" s="104"/>
      <c r="J94" s="104"/>
      <c r="K94" s="104"/>
      <c r="L94" s="104"/>
      <c r="M94" s="104"/>
      <c r="N94" s="69"/>
      <c r="V94" s="55">
        <f>W94/NT94</f>
        <v>14.802371541501977</v>
      </c>
      <c r="W94" s="26">
        <f>C94/C93*W93</f>
        <v>13.618181818181819</v>
      </c>
      <c r="X94" s="115"/>
      <c r="Y94" s="26">
        <f>W94*NW94/10^3</f>
        <v>0.25874545454545456</v>
      </c>
      <c r="Z94" s="26"/>
      <c r="AA94" s="26">
        <f>W94*OD94</f>
        <v>5.3500000000000005</v>
      </c>
      <c r="AB94" s="26"/>
      <c r="AE94" s="115">
        <f>AB$29*$AN94/$C94</f>
        <v>5.7043037807040733</v>
      </c>
      <c r="AF94" s="115"/>
      <c r="AG94" s="115">
        <f>AC$29*$AN94/$C94</f>
        <v>5.7315756630009194</v>
      </c>
      <c r="AH94" s="115"/>
      <c r="AI94" s="115">
        <f>AD$29*$AN94/$C94</f>
        <v>5.1704423813085221</v>
      </c>
      <c r="AJ94" s="115"/>
      <c r="AK94" s="722">
        <f>1-AK93</f>
        <v>0.38092510382357159</v>
      </c>
      <c r="AL94" s="164">
        <v>0.17399999999999999</v>
      </c>
      <c r="AM94" s="69">
        <f>V94*AL94/(V93*AL93+V94*AL94)</f>
        <v>0.17471834198318231</v>
      </c>
      <c r="AN94" s="40">
        <f t="shared" si="29"/>
        <v>0.38092510382357159</v>
      </c>
      <c r="AO94" s="115"/>
      <c r="AP94" s="115"/>
      <c r="AQ94" s="115"/>
      <c r="AR94" s="115"/>
      <c r="AS94" s="115"/>
      <c r="AT94" s="115"/>
      <c r="AU94" s="115"/>
      <c r="AV94" s="115"/>
      <c r="AW94" s="115"/>
      <c r="AX94" s="115"/>
      <c r="AY94" s="115"/>
      <c r="AZ94" s="115"/>
      <c r="BA94" s="115"/>
      <c r="BB94" s="115"/>
      <c r="BC94" s="115"/>
      <c r="BD94" s="115"/>
      <c r="BE94" s="115"/>
      <c r="BF94" s="115"/>
      <c r="BG94" s="115"/>
      <c r="BH94" s="115"/>
      <c r="BI94" s="115"/>
      <c r="BJ94" s="115"/>
      <c r="BK94" s="115"/>
      <c r="BL94" s="115"/>
      <c r="BM94" s="115"/>
      <c r="BN94" s="115"/>
      <c r="BO94" s="115"/>
      <c r="BP94" s="115"/>
      <c r="BQ94" s="115"/>
      <c r="BR94" s="115"/>
      <c r="BS94" s="115"/>
      <c r="BT94" s="115"/>
      <c r="BU94" s="115"/>
      <c r="BV94" s="26">
        <f>BW94*$NT94</f>
        <v>0.88014064528707714</v>
      </c>
      <c r="BW94" s="115">
        <f>BP$29*$AN94/$C94</f>
        <v>0.95667461444247515</v>
      </c>
      <c r="BY94" s="143">
        <f>BW94/$OD94</f>
        <v>2.4351717458535731</v>
      </c>
      <c r="BZ94" s="335"/>
      <c r="CA94" s="127"/>
      <c r="CB94" s="127"/>
      <c r="CC94" s="127"/>
      <c r="CD94" s="115"/>
      <c r="CE94" s="115"/>
      <c r="CF94" s="115"/>
      <c r="CG94" s="115"/>
      <c r="CH94" s="115"/>
      <c r="CI94" s="127"/>
      <c r="CJ94" s="26">
        <f>CK94*$NT94</f>
        <v>0.90562223687834731</v>
      </c>
      <c r="CK94" s="115">
        <f>BQ$29*$AN94/$C94</f>
        <v>0.98437199660689922</v>
      </c>
      <c r="CM94" s="143">
        <f>CK94/$OD94</f>
        <v>2.5056741731811982</v>
      </c>
      <c r="CN94" s="335"/>
      <c r="CO94" s="127"/>
      <c r="CP94" s="127"/>
      <c r="CQ94" s="127"/>
      <c r="CW94" s="127"/>
      <c r="CX94" s="26">
        <f>CY94*$NT94</f>
        <v>0.38132512541684904</v>
      </c>
      <c r="CY94" s="115">
        <f>BR$29*$AN94/$C94</f>
        <v>0.4144838319748359</v>
      </c>
      <c r="CZ94" s="37"/>
      <c r="DA94" s="143">
        <f>CY94/$OD94</f>
        <v>1.0550497541177641</v>
      </c>
      <c r="DB94" s="335"/>
      <c r="DC94" s="127"/>
      <c r="DD94" s="127"/>
      <c r="DE94" s="127"/>
      <c r="DF94" s="115"/>
      <c r="DG94" s="115"/>
      <c r="DH94" s="115"/>
      <c r="DI94" s="115"/>
      <c r="DJ94" s="115"/>
      <c r="DK94" s="127"/>
      <c r="DL94" s="26">
        <f>DM94*$NT94</f>
        <v>1.3271815115473611</v>
      </c>
      <c r="DM94" s="115">
        <f>BS$29*$AN94/$C94</f>
        <v>1.4425885995080012</v>
      </c>
      <c r="DN94" s="37"/>
      <c r="DO94" s="143">
        <f>DM94/$OD94</f>
        <v>3.6720437078385486</v>
      </c>
      <c r="DP94" s="335"/>
      <c r="DQ94" s="127"/>
      <c r="DR94" s="127"/>
      <c r="DS94" s="127"/>
      <c r="DT94" s="37"/>
      <c r="DU94" s="37"/>
      <c r="DV94" s="37"/>
      <c r="DW94" s="37"/>
      <c r="DX94" s="37"/>
      <c r="DY94" s="127"/>
      <c r="DZ94" s="26">
        <f>EA94*$NT94</f>
        <v>1.3572812990479144</v>
      </c>
      <c r="EA94" s="115">
        <f>BT$29*$AN94/$C94</f>
        <v>1.4753057598346895</v>
      </c>
      <c r="EC94" s="143">
        <f>EA94/$OD94</f>
        <v>3.7553237523064822</v>
      </c>
      <c r="ED94" s="335"/>
      <c r="EE94" s="127"/>
      <c r="EF94" s="127"/>
      <c r="EG94" s="127"/>
      <c r="EM94" s="127"/>
      <c r="EN94" s="26">
        <f>EO94*$NT94</f>
        <v>0.74270600028640998</v>
      </c>
      <c r="EO94" s="115">
        <f>BU$29*$AN94/$C94</f>
        <v>0.80728913074609776</v>
      </c>
      <c r="EP94" s="37"/>
      <c r="EQ94" s="143">
        <f>EO94/$OD94</f>
        <v>2.0549177873537032</v>
      </c>
      <c r="ER94" s="335"/>
      <c r="ES94" s="127"/>
      <c r="ET94" s="127"/>
      <c r="EU94" s="127"/>
      <c r="EV94" s="37"/>
      <c r="EW94" s="37"/>
      <c r="EX94" s="37"/>
      <c r="EY94" s="37"/>
      <c r="EZ94" s="37"/>
      <c r="FA94" s="127"/>
      <c r="FE94" s="26">
        <f>FF94*$NT94</f>
        <v>2.6605536241220578</v>
      </c>
      <c r="FF94" s="115">
        <f>FB$29*$AN94/$C94</f>
        <v>2.8919061131761494</v>
      </c>
      <c r="FH94" s="115">
        <f>FF94/$OD94</f>
        <v>7.3612155608120169</v>
      </c>
      <c r="FI94" s="335"/>
      <c r="FJ94" s="335"/>
      <c r="FK94" s="127"/>
      <c r="FL94" s="26"/>
      <c r="FR94" s="127"/>
      <c r="FS94" s="26">
        <f>FT94*$NT94</f>
        <v>2.7208935987397971</v>
      </c>
      <c r="FT94" s="115">
        <f>FC$29*$AN94/$C94</f>
        <v>2.9574930421084749</v>
      </c>
      <c r="FV94" s="115">
        <f>FT94/$OD94</f>
        <v>7.5281641071852086</v>
      </c>
      <c r="FW94" s="335"/>
      <c r="FX94" s="335"/>
      <c r="FY94" s="127"/>
      <c r="FZ94" s="26"/>
      <c r="GF94" s="127"/>
      <c r="GG94" s="26">
        <f>GH94*$NT94</f>
        <v>1.4793669741399944</v>
      </c>
      <c r="GH94" s="115">
        <f>FD$29*$AN94/$C94</f>
        <v>1.6080075805869505</v>
      </c>
      <c r="GJ94" s="115">
        <f>GH94/$OD94</f>
        <v>4.0931102051304196</v>
      </c>
      <c r="GK94" s="335"/>
      <c r="GL94" s="335"/>
      <c r="GM94" s="127"/>
      <c r="GN94" s="26"/>
      <c r="GT94" s="127"/>
      <c r="GU94" s="127"/>
      <c r="GV94" s="127"/>
      <c r="GW94" s="127"/>
      <c r="GX94" s="68">
        <f>GZ94*$W94</f>
        <v>1.5237986366042069</v>
      </c>
      <c r="GY94" s="26">
        <f>GZ94*$NT94</f>
        <v>0.10294287184535764</v>
      </c>
      <c r="GZ94" s="127">
        <f>$AN94*GU$29/C94</f>
        <v>0.11189442591886699</v>
      </c>
      <c r="HA94" s="73"/>
      <c r="HB94" s="115">
        <f>GZ94/$OD94</f>
        <v>0.28482217506620688</v>
      </c>
      <c r="HD94" s="115"/>
      <c r="HE94" s="127"/>
      <c r="HF94" s="127"/>
      <c r="HG94" s="127"/>
      <c r="HH94" s="127"/>
      <c r="HI94" s="127"/>
      <c r="HJ94" s="127"/>
      <c r="HK94" s="127"/>
      <c r="HL94" s="127"/>
      <c r="HM94" s="115">
        <f>HN94*$NT94</f>
        <v>0.10820162606029927</v>
      </c>
      <c r="HN94" s="127">
        <f>$AN94*GV$29/C94</f>
        <v>0.11761046310902094</v>
      </c>
      <c r="HO94" s="73"/>
      <c r="HP94" s="115">
        <f>HN94/$OD94</f>
        <v>0.29937208791387149</v>
      </c>
      <c r="HR94" s="115"/>
      <c r="HS94" s="127"/>
      <c r="HT94" s="127"/>
      <c r="HU94" s="127"/>
      <c r="HV94" s="127"/>
      <c r="HW94" s="127"/>
      <c r="HX94" s="127"/>
      <c r="HY94" s="127"/>
      <c r="HZ94" s="127"/>
      <c r="IA94" s="115">
        <f>IB94*$NT94</f>
        <v>0</v>
      </c>
      <c r="IB94" s="127">
        <f>$AN94*GW$29/C94</f>
        <v>0</v>
      </c>
      <c r="IC94" s="73"/>
      <c r="ID94" s="115">
        <f>IB94/$OD94</f>
        <v>0</v>
      </c>
      <c r="IE94" s="133"/>
      <c r="IF94" s="115"/>
      <c r="IG94" s="127"/>
      <c r="IH94" s="127"/>
      <c r="II94" s="127"/>
      <c r="IJ94" s="127"/>
      <c r="IK94" s="127"/>
      <c r="IL94" s="127"/>
      <c r="IM94" s="127"/>
      <c r="IN94" s="127"/>
      <c r="IV94" s="335">
        <f>IW94*$NT94</f>
        <v>0.57024109688529301</v>
      </c>
      <c r="IW94" s="330">
        <f>AN94*JK92*C93/C94</f>
        <v>0.61982727922314451</v>
      </c>
      <c r="IX94" s="73"/>
      <c r="IY94" s="115">
        <f>IW94/$OD94</f>
        <v>1.577742165295277</v>
      </c>
      <c r="IZ94" s="73"/>
      <c r="JA94" s="115"/>
      <c r="JB94" s="115">
        <f>$IW94*JM92/$JK92</f>
        <v>0.42926056215872088</v>
      </c>
      <c r="JC94" s="115">
        <f>$IW94*JN92/$JK92</f>
        <v>0.18021219322080334</v>
      </c>
      <c r="JD94" s="115">
        <f>$IW94*JO92/$JK92</f>
        <v>1.0354523843620223E-2</v>
      </c>
      <c r="JE94" s="115"/>
      <c r="JF94" s="73"/>
      <c r="JG94" s="73"/>
      <c r="JH94" s="73"/>
      <c r="JI94" s="73"/>
      <c r="JJ94" s="73"/>
      <c r="KJ94" s="115">
        <f>BW94*44/12+$IW94+$GZ94</f>
        <v>4.2395286247644206</v>
      </c>
      <c r="KK94" s="74"/>
      <c r="KL94" s="74"/>
      <c r="KM94" s="143">
        <f>KJ94/$OD94</f>
        <v>10.791527408491252</v>
      </c>
      <c r="KN94" s="127"/>
      <c r="KO94" s="74"/>
      <c r="KP94" s="74"/>
      <c r="KQ94" s="74"/>
      <c r="KR94" s="74"/>
      <c r="KS94" s="127"/>
      <c r="KT94" s="115">
        <f>CK94*44/12+$IW94+$HN94</f>
        <v>4.3468017298907968</v>
      </c>
      <c r="KW94" s="143">
        <f>KT94/$OD94</f>
        <v>11.06458622154021</v>
      </c>
      <c r="KX94" s="127"/>
      <c r="LC94" s="127"/>
      <c r="LD94" s="115">
        <f>CY94*44/12+$IW94+$IB94</f>
        <v>2.1396013297975429</v>
      </c>
      <c r="LG94" s="143">
        <f>LD94/$OD94</f>
        <v>5.4462579303937453</v>
      </c>
      <c r="LH94" s="127"/>
      <c r="LM94" s="127"/>
      <c r="LN94" s="115">
        <f>DM94*44/12+$IW94+$GZ94</f>
        <v>6.0212132366713496</v>
      </c>
      <c r="LQ94" s="143">
        <f>LN94/$OD94</f>
        <v>15.326724602436164</v>
      </c>
      <c r="LR94" s="127"/>
      <c r="LW94" s="127"/>
      <c r="LX94" s="115">
        <f>EA94*44/12+$IW94+$HN94</f>
        <v>6.1468921950593609</v>
      </c>
      <c r="MA94" s="143">
        <f>LX94/$OD94</f>
        <v>15.646634678332919</v>
      </c>
      <c r="MB94" s="127"/>
      <c r="MG94" s="127"/>
      <c r="MH94" s="115">
        <f>EO94*44/12+$IW94+$IB94</f>
        <v>3.5798874252921697</v>
      </c>
      <c r="MK94" s="143">
        <f>MH94/$OD94</f>
        <v>9.112440718925523</v>
      </c>
      <c r="ML94" s="127"/>
      <c r="MQ94" s="127"/>
      <c r="MW94" s="127"/>
      <c r="MX94" s="127"/>
      <c r="MY94" s="127"/>
      <c r="MZ94" s="127"/>
      <c r="NA94" s="127"/>
      <c r="NB94" s="127"/>
      <c r="NC94" s="127"/>
      <c r="ND94" s="127"/>
      <c r="NE94" s="127"/>
      <c r="NF94" s="127"/>
      <c r="NG94" s="127"/>
      <c r="NH94" s="127"/>
      <c r="NI94" s="127"/>
      <c r="NJ94" s="127"/>
      <c r="NK94" s="127"/>
      <c r="NL94" s="127"/>
      <c r="NM94" s="127"/>
      <c r="NN94" s="127"/>
      <c r="NO94" s="127"/>
      <c r="NP94" s="127"/>
      <c r="NQ94" s="127"/>
      <c r="NT94" s="31">
        <v>0.92</v>
      </c>
      <c r="NU94" s="31"/>
      <c r="NV94" s="32">
        <f>$NT94*NW94</f>
        <v>17.48</v>
      </c>
      <c r="NW94" s="9">
        <v>19</v>
      </c>
      <c r="NX94" s="9"/>
      <c r="NY94" s="9"/>
      <c r="NZ94" s="9"/>
      <c r="OA94" s="32"/>
      <c r="OB94" s="26"/>
      <c r="OC94" s="38">
        <f>$NT94*OD94</f>
        <v>0.36142857142857143</v>
      </c>
      <c r="OD94" s="40">
        <f>OD29/C94</f>
        <v>0.39285714285714285</v>
      </c>
      <c r="OE94" s="38"/>
      <c r="OF94" s="683"/>
    </row>
    <row r="95" spans="1:494" x14ac:dyDescent="0.25">
      <c r="B95" s="727"/>
      <c r="Z95" s="26"/>
      <c r="AA95" s="26"/>
      <c r="AB95" s="26"/>
      <c r="AE95" s="115"/>
      <c r="AF95" s="115"/>
      <c r="AG95" s="115"/>
      <c r="AH95" s="115"/>
      <c r="AI95" s="115"/>
      <c r="AJ95" s="115"/>
      <c r="AL95" s="74"/>
      <c r="AO95" s="115"/>
      <c r="AP95" s="115"/>
      <c r="AQ95" s="115"/>
      <c r="AR95" s="115"/>
      <c r="AS95" s="115"/>
      <c r="AT95" s="115"/>
      <c r="AU95" s="115"/>
      <c r="AV95" s="115"/>
      <c r="AW95" s="115"/>
      <c r="AX95" s="115"/>
      <c r="AY95" s="115"/>
      <c r="AZ95" s="115"/>
      <c r="BA95" s="115"/>
      <c r="BB95" s="115"/>
      <c r="BC95" s="115"/>
      <c r="BD95" s="115"/>
      <c r="BE95" s="115"/>
      <c r="BF95" s="115"/>
      <c r="BG95" s="115"/>
      <c r="BH95" s="115"/>
      <c r="BI95" s="115"/>
      <c r="BJ95" s="115"/>
      <c r="BK95" s="115"/>
      <c r="BL95" s="115"/>
      <c r="BM95" s="115"/>
      <c r="BN95" s="115"/>
      <c r="BO95" s="115"/>
      <c r="BP95" s="115"/>
      <c r="BQ95" s="115"/>
      <c r="BR95" s="115"/>
      <c r="BS95" s="115"/>
      <c r="BT95" s="115"/>
      <c r="BU95" s="115"/>
      <c r="BW95" s="26"/>
      <c r="CA95" s="74"/>
      <c r="CB95" s="74"/>
      <c r="CC95" s="74"/>
      <c r="CD95" s="115"/>
      <c r="CE95" s="115"/>
      <c r="CF95" s="115"/>
      <c r="CG95" s="115"/>
      <c r="CH95" s="115"/>
      <c r="CI95" s="74"/>
      <c r="CK95" s="26"/>
      <c r="CX95" s="37"/>
      <c r="CY95" s="26"/>
      <c r="CZ95" s="37"/>
      <c r="DA95" s="37"/>
      <c r="DB95" s="37"/>
      <c r="DF95" s="115"/>
      <c r="DG95" s="115"/>
      <c r="DH95" s="115"/>
      <c r="DI95" s="115"/>
      <c r="DJ95" s="115"/>
      <c r="DL95" s="37"/>
      <c r="DM95" s="115"/>
      <c r="DN95" s="37"/>
      <c r="DO95" s="37"/>
      <c r="DP95" s="37"/>
      <c r="DT95" s="37"/>
      <c r="DU95" s="37"/>
      <c r="DV95" s="37"/>
      <c r="DW95" s="37"/>
      <c r="DX95" s="37"/>
      <c r="EA95" s="115"/>
      <c r="EN95" s="37"/>
      <c r="EO95" s="115"/>
      <c r="EP95" s="37"/>
      <c r="EQ95" s="37"/>
      <c r="ER95" s="37"/>
      <c r="EV95" s="37"/>
      <c r="EW95" s="37"/>
      <c r="EX95" s="37"/>
      <c r="EY95" s="37"/>
      <c r="EZ95" s="37"/>
      <c r="FF95" s="26"/>
      <c r="FH95" s="74"/>
      <c r="FK95" s="74"/>
      <c r="FR95" s="74"/>
      <c r="FT95" s="26"/>
      <c r="FZ95" s="37"/>
      <c r="GH95" s="26"/>
      <c r="GJ95" s="74"/>
      <c r="GM95" s="74"/>
      <c r="GT95" s="74"/>
      <c r="GU95" s="74"/>
      <c r="GV95" s="74"/>
      <c r="GW95" s="74"/>
      <c r="GX95" s="74"/>
      <c r="HB95" s="74"/>
      <c r="HD95" s="74"/>
      <c r="HE95" s="74"/>
      <c r="HF95" s="74"/>
      <c r="HG95" s="74"/>
      <c r="HH95" s="74"/>
      <c r="HI95" s="74"/>
      <c r="HJ95" s="74"/>
      <c r="HK95" s="74"/>
      <c r="HL95" s="74"/>
      <c r="IA95" s="133"/>
      <c r="IB95" s="133"/>
      <c r="IC95" s="133"/>
      <c r="IE95" s="133"/>
      <c r="KJ95" s="74"/>
      <c r="KK95" s="74"/>
      <c r="KL95" s="74"/>
      <c r="KM95" s="74"/>
      <c r="KN95" s="74"/>
      <c r="KO95" s="74"/>
      <c r="KP95" s="74"/>
      <c r="KQ95" s="74"/>
      <c r="KR95" s="74"/>
      <c r="KS95" s="74"/>
      <c r="OB95" s="26"/>
    </row>
    <row r="96" spans="1:494" x14ac:dyDescent="0.25">
      <c r="A96" s="9" t="s">
        <v>145</v>
      </c>
      <c r="B96" s="53"/>
      <c r="Z96" s="26"/>
      <c r="AA96" s="26"/>
      <c r="AB96" s="26"/>
      <c r="AE96" s="115"/>
      <c r="AF96" s="115"/>
      <c r="AG96" s="115"/>
      <c r="AH96" s="115"/>
      <c r="AI96" s="115"/>
      <c r="AJ96" s="115"/>
      <c r="AL96" s="74"/>
      <c r="AO96" s="115"/>
      <c r="AP96" s="115"/>
      <c r="AQ96" s="115"/>
      <c r="AR96" s="115"/>
      <c r="AS96" s="115"/>
      <c r="AT96" s="115"/>
      <c r="AU96" s="115"/>
      <c r="AV96" s="115"/>
      <c r="AW96" s="115"/>
      <c r="AX96" s="115"/>
      <c r="AY96" s="115"/>
      <c r="AZ96" s="115"/>
      <c r="BA96" s="115"/>
      <c r="BB96" s="115"/>
      <c r="BC96" s="115"/>
      <c r="BD96" s="115"/>
      <c r="BE96" s="115"/>
      <c r="BF96" s="115"/>
      <c r="BG96" s="115"/>
      <c r="BH96" s="115"/>
      <c r="BI96" s="115"/>
      <c r="BJ96" s="115"/>
      <c r="BK96" s="115"/>
      <c r="BL96" s="115"/>
      <c r="BM96" s="115"/>
      <c r="BN96" s="115"/>
      <c r="BO96" s="115"/>
      <c r="BP96" s="115"/>
      <c r="BQ96" s="115"/>
      <c r="BR96" s="115"/>
      <c r="BS96" s="115"/>
      <c r="BT96" s="115"/>
      <c r="BU96" s="115"/>
      <c r="BW96" s="26"/>
      <c r="CA96" s="74"/>
      <c r="CB96" s="74"/>
      <c r="CC96" s="74"/>
      <c r="CD96" s="115"/>
      <c r="CE96" s="115"/>
      <c r="CF96" s="115"/>
      <c r="CG96" s="115"/>
      <c r="CH96" s="115"/>
      <c r="CI96" s="74"/>
      <c r="CK96" s="26"/>
      <c r="CX96" s="37"/>
      <c r="CY96" s="26"/>
      <c r="CZ96" s="37"/>
      <c r="DA96" s="37"/>
      <c r="DB96" s="37"/>
      <c r="DF96" s="115"/>
      <c r="DG96" s="115"/>
      <c r="DH96" s="115"/>
      <c r="DI96" s="115"/>
      <c r="DJ96" s="115"/>
      <c r="DL96" s="37"/>
      <c r="DM96" s="115"/>
      <c r="DN96" s="37"/>
      <c r="DO96" s="37"/>
      <c r="DP96" s="37"/>
      <c r="DT96" s="37"/>
      <c r="DU96" s="37"/>
      <c r="DV96" s="37"/>
      <c r="DW96" s="37"/>
      <c r="DX96" s="37"/>
      <c r="EA96" s="115"/>
      <c r="EN96" s="37"/>
      <c r="EO96" s="115"/>
      <c r="EP96" s="37"/>
      <c r="EQ96" s="37"/>
      <c r="ER96" s="37"/>
      <c r="EV96" s="37"/>
      <c r="EW96" s="37"/>
      <c r="EX96" s="37"/>
      <c r="EY96" s="37"/>
      <c r="EZ96" s="37"/>
      <c r="FF96" s="26"/>
      <c r="FH96" s="74"/>
      <c r="FK96" s="74"/>
      <c r="FR96" s="74"/>
      <c r="FT96" s="26"/>
      <c r="FZ96" s="37"/>
      <c r="GH96" s="26"/>
      <c r="GJ96" s="74"/>
      <c r="GM96" s="74"/>
      <c r="GT96" s="74"/>
      <c r="GU96" s="74"/>
      <c r="GV96" s="74"/>
      <c r="GW96" s="74"/>
      <c r="GX96" s="55">
        <f>GX97+GX98</f>
        <v>7.9606149100087524</v>
      </c>
      <c r="HB96" s="74"/>
      <c r="HD96" s="74"/>
      <c r="HE96" s="74"/>
      <c r="HF96" s="74"/>
      <c r="HG96" s="74"/>
      <c r="HH96" s="74"/>
      <c r="HI96" s="74"/>
      <c r="HJ96" s="74"/>
      <c r="HK96" s="74"/>
      <c r="HL96" s="74"/>
      <c r="IA96" s="133"/>
      <c r="IB96" s="133"/>
      <c r="IC96" s="133"/>
      <c r="IE96" s="133"/>
      <c r="IO96" s="68">
        <f>IP96+IQ96+IR96+IS96+IT96+IU96</f>
        <v>7.6674930616491768</v>
      </c>
      <c r="IP96" s="97">
        <f>JS96*$W97</f>
        <v>5.9103488112743632</v>
      </c>
      <c r="IQ96" s="97">
        <f>JU96*$W97</f>
        <v>0.7155442503748124</v>
      </c>
      <c r="IR96" s="97">
        <f>JX96*$W97</f>
        <v>0</v>
      </c>
      <c r="IS96" s="97">
        <f>KB96*$W97</f>
        <v>0.97910400000000009</v>
      </c>
      <c r="IT96" s="97">
        <f>KF96*$W97</f>
        <v>0</v>
      </c>
      <c r="IU96" s="97">
        <f>KH96*$W97</f>
        <v>6.2495999999999996E-2</v>
      </c>
      <c r="JK96" s="115">
        <f>JM96+JN96+JO96</f>
        <v>1.3691951895802101</v>
      </c>
      <c r="JM96" s="179">
        <f>JS96+KB96</f>
        <v>1.2302594305847079</v>
      </c>
      <c r="JN96" s="179">
        <f>JU96+KF96</f>
        <v>0.12777575899550223</v>
      </c>
      <c r="JO96" s="179">
        <f>JX96+KH96</f>
        <v>1.116E-2</v>
      </c>
      <c r="JQ96" s="115">
        <f>JS96+JU96+JX96</f>
        <v>1.18319518958021</v>
      </c>
      <c r="JS96" s="172">
        <f>'Crops; pasture DISCOUNTED'!KF42/$C97</f>
        <v>1.0554194305847078</v>
      </c>
      <c r="JU96" s="172">
        <f>'Crops; pasture DISCOUNTED'!KD42/$C97</f>
        <v>0.12777575899550223</v>
      </c>
      <c r="JZ96" s="127">
        <f>KB96+KF96+KH96</f>
        <v>0.18600000000000003</v>
      </c>
      <c r="KA96" s="115">
        <f>KC96+KG96+KI96</f>
        <v>5</v>
      </c>
      <c r="KB96" s="115">
        <f>KC96*$NY97/10^3</f>
        <v>0.17484000000000002</v>
      </c>
      <c r="KC96" s="80">
        <v>4.7</v>
      </c>
      <c r="KD96" s="725">
        <v>0.55000000000000004</v>
      </c>
      <c r="KE96" s="474">
        <f>KC96/KD96</f>
        <v>8.545454545454545</v>
      </c>
      <c r="KF96" s="127">
        <f>KG96*$NY97/10^3</f>
        <v>0</v>
      </c>
      <c r="KG96" s="84">
        <v>0</v>
      </c>
      <c r="KH96" s="127">
        <f>KI96*$NY97/10^3</f>
        <v>1.116E-2</v>
      </c>
      <c r="KI96" s="80">
        <v>0.3</v>
      </c>
      <c r="KJ96" s="74"/>
      <c r="KK96" s="74"/>
      <c r="KL96" s="74"/>
      <c r="KM96" s="74"/>
      <c r="KN96" s="74"/>
      <c r="KO96" s="74"/>
      <c r="KP96" s="74"/>
      <c r="KQ96" s="74"/>
      <c r="KR96" s="74"/>
      <c r="KS96" s="74"/>
      <c r="OB96" s="26"/>
    </row>
    <row r="97" spans="1:494" x14ac:dyDescent="0.25">
      <c r="A97" s="37" t="s">
        <v>146</v>
      </c>
      <c r="B97" s="53">
        <f>C97*NT30/NT97</f>
        <v>0.26679999999999998</v>
      </c>
      <c r="C97" s="39">
        <v>0.28999999999999998</v>
      </c>
      <c r="D97" s="722">
        <f>C97*NW97/NW30</f>
        <v>0.43834615384615377</v>
      </c>
      <c r="E97" s="104"/>
      <c r="F97" s="104"/>
      <c r="G97" s="104"/>
      <c r="H97" s="104"/>
      <c r="I97" s="104"/>
      <c r="J97" s="104"/>
      <c r="K97" s="104"/>
      <c r="L97" s="104"/>
      <c r="M97" s="104"/>
      <c r="N97" s="69"/>
      <c r="V97" s="26">
        <f>W97/NT97</f>
        <v>5.6</v>
      </c>
      <c r="W97" s="72">
        <v>5.6</v>
      </c>
      <c r="X97" s="252"/>
      <c r="Y97" s="26">
        <f>W97*NW97/10^3</f>
        <v>0.22008</v>
      </c>
      <c r="Z97" s="26">
        <f>W97*OB97/10^3</f>
        <v>0.2072</v>
      </c>
      <c r="AA97" s="26"/>
      <c r="AB97" s="26"/>
      <c r="AE97" s="115">
        <f>AB$30*$AN97/$C97</f>
        <v>13.543749166777626</v>
      </c>
      <c r="AF97" s="115"/>
      <c r="AG97" s="115">
        <f>AC$30*$AN97/$C97</f>
        <v>15.636021306239424</v>
      </c>
      <c r="AH97" s="115"/>
      <c r="AI97" s="115">
        <f>AD$30*$AN97/$C97</f>
        <v>7.5977850009191581</v>
      </c>
      <c r="AJ97" s="115"/>
      <c r="AK97" s="722">
        <f>Y97/(Y97+Y98)</f>
        <v>0.57569328686164567</v>
      </c>
      <c r="AL97" s="164">
        <v>1.395</v>
      </c>
      <c r="AM97" s="69">
        <f>V97*AL97/(V97*AL97+V98*AL98)</f>
        <v>0.7969960555562694</v>
      </c>
      <c r="AN97" s="40">
        <f t="shared" ref="AN97:AN98" si="30">AK97</f>
        <v>0.57569328686164567</v>
      </c>
      <c r="AO97" s="115"/>
      <c r="AP97" s="115"/>
      <c r="AQ97" s="115"/>
      <c r="AR97" s="115"/>
      <c r="AS97" s="115"/>
      <c r="AT97" s="115"/>
      <c r="AU97" s="115"/>
      <c r="AV97" s="115"/>
      <c r="AW97" s="115"/>
      <c r="AX97" s="115"/>
      <c r="AY97" s="115"/>
      <c r="AZ97" s="115"/>
      <c r="BA97" s="115"/>
      <c r="BB97" s="115"/>
      <c r="BC97" s="115"/>
      <c r="BD97" s="115"/>
      <c r="BE97" s="115"/>
      <c r="BF97" s="115"/>
      <c r="BG97" s="115"/>
      <c r="BH97" s="115"/>
      <c r="BI97" s="115"/>
      <c r="BJ97" s="115"/>
      <c r="BK97" s="115"/>
      <c r="BL97" s="115"/>
      <c r="BM97" s="115"/>
      <c r="BN97" s="115"/>
      <c r="BO97" s="115"/>
      <c r="BP97" s="115"/>
      <c r="BQ97" s="115"/>
      <c r="BR97" s="115"/>
      <c r="BS97" s="115"/>
      <c r="BT97" s="115"/>
      <c r="BU97" s="115"/>
      <c r="BV97" s="26">
        <f>BW97*$NT97</f>
        <v>3.287184597248642</v>
      </c>
      <c r="BW97" s="115">
        <f>BP$30*$AN97/$C97</f>
        <v>3.287184597248642</v>
      </c>
      <c r="BX97" s="677">
        <f>10^3*BW97/$OB97</f>
        <v>88.842826952666002</v>
      </c>
      <c r="BZ97" s="73">
        <f>10^3*BW97/$NW97</f>
        <v>83.643373975792429</v>
      </c>
      <c r="CA97" s="73"/>
      <c r="CB97" s="73"/>
      <c r="CC97" s="73"/>
      <c r="CD97" s="115"/>
      <c r="CE97" s="115"/>
      <c r="CF97" s="115"/>
      <c r="CG97" s="115"/>
      <c r="CH97" s="115"/>
      <c r="CI97" s="73"/>
      <c r="CJ97" s="26">
        <f>CK97*$NT97</f>
        <v>3.8318008997559909</v>
      </c>
      <c r="CK97" s="115">
        <f>BQ$30*$AN97/$C97</f>
        <v>3.8318008997559909</v>
      </c>
      <c r="CL97" s="677">
        <f>10^3*CK97/$OB97</f>
        <v>103.56218647989165</v>
      </c>
      <c r="CN97" s="73">
        <f>10^3*CK97/$NW97</f>
        <v>97.501295159185531</v>
      </c>
      <c r="CO97" s="73"/>
      <c r="CP97" s="73"/>
      <c r="CQ97" s="73"/>
      <c r="CW97" s="73"/>
      <c r="CX97" s="26">
        <f>CY97*$NT97</f>
        <v>1.7394561933881276</v>
      </c>
      <c r="CY97" s="115">
        <f>BR$30*$AN97/$C97</f>
        <v>1.7394561933881276</v>
      </c>
      <c r="CZ97" s="677">
        <f>10^3*CY97/$OB97</f>
        <v>47.012329551030476</v>
      </c>
      <c r="DA97" s="37"/>
      <c r="DB97" s="73">
        <f>10^3*CY97/$NW97</f>
        <v>44.260971841937092</v>
      </c>
      <c r="DC97" s="73"/>
      <c r="DD97" s="73"/>
      <c r="DE97" s="73"/>
      <c r="DF97" s="115"/>
      <c r="DG97" s="115"/>
      <c r="DH97" s="115"/>
      <c r="DI97" s="115"/>
      <c r="DJ97" s="115"/>
      <c r="DK97" s="73"/>
      <c r="DL97" s="26">
        <f>DM97*$NT97</f>
        <v>4.007394216442</v>
      </c>
      <c r="DM97" s="115">
        <f>BS$30*$AN97/$C97</f>
        <v>4.007394216442</v>
      </c>
      <c r="DN97" s="677">
        <f>10^3*DM97/$OB97</f>
        <v>108.30795179572974</v>
      </c>
      <c r="DO97" s="37"/>
      <c r="DP97" s="73">
        <f>10^3*DM97/$NW97</f>
        <v>101.96931848452927</v>
      </c>
      <c r="DQ97" s="73"/>
      <c r="DR97" s="73"/>
      <c r="DS97" s="73"/>
      <c r="DT97" s="37"/>
      <c r="DU97" s="37"/>
      <c r="DV97" s="37"/>
      <c r="DW97" s="37"/>
      <c r="DX97" s="37"/>
      <c r="DY97" s="73"/>
      <c r="DZ97" s="26">
        <f>EA97*$NT97</f>
        <v>4.7266906975353757</v>
      </c>
      <c r="EA97" s="115">
        <f>BT$30*$AN97/$C97</f>
        <v>4.7266906975353757</v>
      </c>
      <c r="EB97" s="677">
        <f>10^3*EA97/$OB97</f>
        <v>127.74839723068584</v>
      </c>
      <c r="ED97" s="73">
        <f>10^3*EA97/$NW97</f>
        <v>120.27202792710881</v>
      </c>
      <c r="EE97" s="73"/>
      <c r="EF97" s="73"/>
      <c r="EG97" s="73"/>
      <c r="EM97" s="73"/>
      <c r="EN97" s="26">
        <f>EO97*$NT97</f>
        <v>2.520345506894984</v>
      </c>
      <c r="EO97" s="115">
        <f>BU$30*$AN97/$C97</f>
        <v>2.520345506894984</v>
      </c>
      <c r="EP97" s="677">
        <f>10^3*EO97/$OB97</f>
        <v>68.117446132296863</v>
      </c>
      <c r="EQ97" s="37"/>
      <c r="ER97" s="73">
        <f>10^3*EO97/$NW97</f>
        <v>64.130928928625551</v>
      </c>
      <c r="ES97" s="73"/>
      <c r="ET97" s="73"/>
      <c r="EU97" s="73"/>
      <c r="EV97" s="37"/>
      <c r="EW97" s="37"/>
      <c r="EX97" s="37"/>
      <c r="EY97" s="37"/>
      <c r="EZ97" s="37"/>
      <c r="FA97" s="73"/>
      <c r="FE97" s="26">
        <f>FF97*$NT97</f>
        <v>8.0334808110835141</v>
      </c>
      <c r="FF97" s="115">
        <f>FB$30*$AN97/$C97</f>
        <v>8.0334808110835141</v>
      </c>
      <c r="FG97" s="562">
        <f>10^3*FF97/$OB97</f>
        <v>217.12110300225714</v>
      </c>
      <c r="FH97" s="73"/>
      <c r="FI97" s="73">
        <f>10^3*FF97/$NW97</f>
        <v>204.41427000212505</v>
      </c>
      <c r="FJ97" s="73"/>
      <c r="FK97" s="73"/>
      <c r="FL97" s="26"/>
      <c r="FR97" s="73"/>
      <c r="FS97" s="26">
        <f>FT97*$NT97</f>
        <v>9.4754289115810924</v>
      </c>
      <c r="FT97" s="115">
        <f>FC$30*$AN97/$C97</f>
        <v>9.4754289115810924</v>
      </c>
      <c r="FU97" s="562">
        <f>10^3*FT97/$OB97</f>
        <v>256.09267328597542</v>
      </c>
      <c r="FV97" s="73"/>
      <c r="FW97" s="73">
        <f>10^3*FT97/$NW97</f>
        <v>241.10506136338657</v>
      </c>
      <c r="FX97" s="73"/>
      <c r="FY97" s="73"/>
      <c r="FZ97" s="26"/>
      <c r="GF97" s="73"/>
      <c r="GG97" s="26">
        <f>GH97*$NT97</f>
        <v>3.9356526304761239</v>
      </c>
      <c r="GH97" s="115">
        <f>FD$30*$AN97/$C97</f>
        <v>3.9356526304761239</v>
      </c>
      <c r="GI97" s="562">
        <f>10^3*GH97/$OB97</f>
        <v>106.36899001286821</v>
      </c>
      <c r="GJ97" s="73"/>
      <c r="GK97" s="73">
        <f>10^3*GH97/$NW97</f>
        <v>100.1438328365426</v>
      </c>
      <c r="GL97" s="73"/>
      <c r="GM97" s="73"/>
      <c r="GN97" s="26"/>
      <c r="GT97" s="73"/>
      <c r="GU97" s="73"/>
      <c r="GV97" s="73"/>
      <c r="GW97" s="73"/>
      <c r="GX97" s="68">
        <f>GZ97*$W97</f>
        <v>4.5828725629827618</v>
      </c>
      <c r="GY97" s="26">
        <f>GZ97*$NT97</f>
        <v>0.81837010053263615</v>
      </c>
      <c r="GZ97" s="127">
        <f>$AN97*GU$30/C97</f>
        <v>0.81837010053263615</v>
      </c>
      <c r="HA97" s="673">
        <f>10^3*GZ97/$OB97</f>
        <v>22.118110825206383</v>
      </c>
      <c r="HB97" s="74"/>
      <c r="HC97" s="73">
        <f>10^3*GZ97/$NW97</f>
        <v>20.823666680219748</v>
      </c>
      <c r="HD97" s="73"/>
      <c r="HE97" s="73"/>
      <c r="HF97" s="73"/>
      <c r="HG97" s="73"/>
      <c r="HH97" s="73"/>
      <c r="HI97" s="73"/>
      <c r="HJ97" s="73"/>
      <c r="HK97" s="73"/>
      <c r="HL97" s="73"/>
      <c r="HM97" s="115">
        <f>HN97*$NT97</f>
        <v>0.92984635496413348</v>
      </c>
      <c r="HN97" s="127">
        <f>$AN97*GV$30/C97</f>
        <v>0.92984635496413348</v>
      </c>
      <c r="HO97" s="73">
        <f>10^3*HN97/$OB97</f>
        <v>25.130982566598203</v>
      </c>
      <c r="HQ97" s="73">
        <f>10^3*HN97/$NW97</f>
        <v>23.660212594507215</v>
      </c>
      <c r="HR97" s="73"/>
      <c r="HS97" s="73"/>
      <c r="HT97" s="73"/>
      <c r="HU97" s="73"/>
      <c r="HV97" s="73"/>
      <c r="HW97" s="73"/>
      <c r="HX97" s="73"/>
      <c r="HY97" s="73"/>
      <c r="HZ97" s="73"/>
      <c r="IA97" s="115">
        <f>IB97*$NT97</f>
        <v>0.50156914443697842</v>
      </c>
      <c r="IB97" s="127">
        <f>$AN97*GW$30/C97</f>
        <v>0.50156914443697842</v>
      </c>
      <c r="IC97" s="73">
        <f>10^3*IB97/$OB97</f>
        <v>13.555922822621039</v>
      </c>
      <c r="IE97" s="73">
        <f>10^3*IB97/$NW97</f>
        <v>12.76257364979589</v>
      </c>
      <c r="IF97" s="73"/>
      <c r="IG97" s="73"/>
      <c r="IH97" s="73"/>
      <c r="II97" s="73"/>
      <c r="IJ97" s="73"/>
      <c r="IK97" s="73"/>
      <c r="IL97" s="73"/>
      <c r="IM97" s="73"/>
      <c r="IN97" s="73"/>
      <c r="IV97" s="335">
        <f>IW97*$NT97</f>
        <v>0.78823647904458527</v>
      </c>
      <c r="IW97" s="127">
        <f>AN97*JK96</f>
        <v>0.78823647904458527</v>
      </c>
      <c r="IX97" s="673">
        <f>10^3*IW97/$OB97</f>
        <v>21.30368862282663</v>
      </c>
      <c r="IY97" s="73"/>
      <c r="IZ97" s="73"/>
      <c r="JA97" s="115"/>
      <c r="JB97" s="115">
        <f>$IW97*JM96/$JK96</f>
        <v>0.70825209528584709</v>
      </c>
      <c r="JC97" s="115">
        <f>$IW97*JN96/$JK96</f>
        <v>7.3559646677362159E-2</v>
      </c>
      <c r="JD97" s="115">
        <f>$IW97*JO96/$JK96</f>
        <v>6.4247370813759648E-3</v>
      </c>
      <c r="KJ97" s="115">
        <f>BW97*44/12+$IW97+$GZ97</f>
        <v>13.659616769488908</v>
      </c>
      <c r="KK97" s="74"/>
      <c r="KL97" s="677">
        <f>10^3*KJ97/$OB97</f>
        <v>369.17883160780832</v>
      </c>
      <c r="KM97" s="74"/>
      <c r="KN97" s="73"/>
      <c r="KO97" s="115"/>
      <c r="KP97" s="115"/>
      <c r="KQ97" s="115"/>
      <c r="KR97" s="115"/>
      <c r="KS97" s="73"/>
      <c r="KT97" s="115">
        <f>CK97*44/12+$IW97+$HN97</f>
        <v>15.768019466447351</v>
      </c>
      <c r="KV97" s="677">
        <f>10^3*KT97/$OB97</f>
        <v>426.16268828236082</v>
      </c>
      <c r="KX97" s="73"/>
      <c r="KY97" s="115"/>
      <c r="KZ97" s="115"/>
      <c r="LA97" s="115"/>
      <c r="LB97" s="115"/>
      <c r="LC97" s="73"/>
      <c r="LD97" s="115">
        <f>CY97*44/12+$IW97+$IB97</f>
        <v>7.667811665904698</v>
      </c>
      <c r="LF97" s="677">
        <f>10^3*LD97/$OB97</f>
        <v>207.2381531325594</v>
      </c>
      <c r="LH97" s="73"/>
      <c r="LI97" s="115"/>
      <c r="LJ97" s="115"/>
      <c r="LK97" s="115"/>
      <c r="LL97" s="115"/>
      <c r="LM97" s="73"/>
      <c r="LN97" s="115">
        <f>DM97*44/12+$IW97+$GZ97</f>
        <v>16.300385373197887</v>
      </c>
      <c r="LP97" s="677">
        <f>10^3*LN97/$OB97</f>
        <v>440.55095603237532</v>
      </c>
      <c r="LR97" s="73"/>
      <c r="LW97" s="73"/>
      <c r="LX97" s="115">
        <f>EA97*44/12+$IW97+$HN97</f>
        <v>19.049282058305096</v>
      </c>
      <c r="LZ97" s="677">
        <f>10^3*LX97/$OB97</f>
        <v>514.84546103527282</v>
      </c>
      <c r="MB97" s="73"/>
      <c r="MG97" s="73"/>
      <c r="MH97" s="115">
        <f>EO97*44/12+$IW97+$IB97</f>
        <v>10.531072482096503</v>
      </c>
      <c r="MJ97" s="677">
        <f>10^3*MH97/$OB97</f>
        <v>284.62358059720276</v>
      </c>
      <c r="ML97" s="73"/>
      <c r="MQ97" s="73"/>
      <c r="MW97" s="73"/>
      <c r="MX97" s="73"/>
      <c r="MY97" s="73"/>
      <c r="MZ97" s="73"/>
      <c r="NA97" s="73"/>
      <c r="NB97" s="73"/>
      <c r="NC97" s="73"/>
      <c r="ND97" s="73"/>
      <c r="NE97" s="73"/>
      <c r="NF97" s="73"/>
      <c r="NG97" s="73"/>
      <c r="NH97" s="73"/>
      <c r="NI97" s="73"/>
      <c r="NJ97" s="73"/>
      <c r="NK97" s="73"/>
      <c r="NL97" s="73"/>
      <c r="NM97" s="73"/>
      <c r="NN97" s="73"/>
      <c r="NO97" s="73"/>
      <c r="NP97" s="73"/>
      <c r="NQ97" s="73"/>
      <c r="NT97" s="31">
        <v>1</v>
      </c>
      <c r="NU97" s="31"/>
      <c r="NV97" s="32">
        <f>$NT97*NW97</f>
        <v>39.299999999999997</v>
      </c>
      <c r="NW97" s="9">
        <v>39.299999999999997</v>
      </c>
      <c r="NX97" s="9"/>
      <c r="NY97" s="9">
        <v>37.200000000000003</v>
      </c>
      <c r="NZ97" s="9"/>
      <c r="OA97" s="32">
        <f>$NT97*OB97</f>
        <v>37</v>
      </c>
      <c r="OB97" s="43">
        <v>37</v>
      </c>
      <c r="OC97" s="38">
        <f>$NT97*OD97</f>
        <v>0</v>
      </c>
      <c r="OD97" s="31">
        <v>0</v>
      </c>
      <c r="OE97" s="38">
        <f>$NT97*OF97</f>
        <v>1</v>
      </c>
      <c r="OF97" s="31">
        <v>1</v>
      </c>
    </row>
    <row r="98" spans="1:494" x14ac:dyDescent="0.25">
      <c r="A98" s="37" t="s">
        <v>147</v>
      </c>
      <c r="B98" s="468">
        <f>C98*NT30/NT98</f>
        <v>0.4</v>
      </c>
      <c r="C98" s="39">
        <v>0.4</v>
      </c>
      <c r="D98" s="722">
        <f>C98*NW98/NW30</f>
        <v>0.32307692307692309</v>
      </c>
      <c r="E98" s="104"/>
      <c r="F98" s="104"/>
      <c r="G98" s="104"/>
      <c r="H98" s="104"/>
      <c r="I98" s="104"/>
      <c r="J98" s="104"/>
      <c r="K98" s="104"/>
      <c r="L98" s="104"/>
      <c r="M98" s="104"/>
      <c r="N98" s="69"/>
      <c r="V98" s="26">
        <f>W98/NT98</f>
        <v>8.395802098950524</v>
      </c>
      <c r="W98" s="26">
        <f>C98/C97*W97</f>
        <v>7.7241379310344831</v>
      </c>
      <c r="X98" s="115"/>
      <c r="Y98" s="26">
        <f>W98*NW98/10^3</f>
        <v>0.16220689655172416</v>
      </c>
      <c r="AA98" s="26">
        <f>W98*OD98</f>
        <v>3.6689655172413791</v>
      </c>
      <c r="AB98" s="26"/>
      <c r="AE98" s="115">
        <f>AB$30*$AN98/$C98</f>
        <v>7.2371178753773577</v>
      </c>
      <c r="AF98" s="115"/>
      <c r="AG98" s="115">
        <f>AC$30*$AN98/$C98</f>
        <v>8.3551258888302282</v>
      </c>
      <c r="AH98" s="115"/>
      <c r="AI98" s="115">
        <f>AD$30*$AN98/$C98</f>
        <v>4.0598851149949695</v>
      </c>
      <c r="AJ98" s="115"/>
      <c r="AK98" s="722">
        <f>1-AK97</f>
        <v>0.42430671313835433</v>
      </c>
      <c r="AL98" s="164">
        <v>0.23699999999999999</v>
      </c>
      <c r="AM98" s="69">
        <f>V98*AL98/(V97*AL97+V98*AL98)</f>
        <v>0.20300394444373063</v>
      </c>
      <c r="AN98" s="40">
        <f t="shared" si="30"/>
        <v>0.42430671313835433</v>
      </c>
      <c r="AO98" s="115"/>
      <c r="AP98" s="115"/>
      <c r="AQ98" s="115"/>
      <c r="AR98" s="115"/>
      <c r="AS98" s="115"/>
      <c r="AT98" s="115"/>
      <c r="AU98" s="115"/>
      <c r="AV98" s="115"/>
      <c r="AW98" s="115"/>
      <c r="AX98" s="115"/>
      <c r="AY98" s="115"/>
      <c r="AZ98" s="115"/>
      <c r="BA98" s="115"/>
      <c r="BB98" s="115"/>
      <c r="BC98" s="115"/>
      <c r="BD98" s="115"/>
      <c r="BE98" s="115"/>
      <c r="BF98" s="115"/>
      <c r="BG98" s="115"/>
      <c r="BH98" s="115"/>
      <c r="BI98" s="115"/>
      <c r="BJ98" s="115"/>
      <c r="BK98" s="115"/>
      <c r="BL98" s="115"/>
      <c r="BM98" s="115"/>
      <c r="BN98" s="115"/>
      <c r="BO98" s="115"/>
      <c r="BP98" s="115"/>
      <c r="BQ98" s="115"/>
      <c r="BR98" s="115"/>
      <c r="BS98" s="115"/>
      <c r="BT98" s="115"/>
      <c r="BU98" s="115"/>
      <c r="BV98" s="26">
        <f>BW98*$NT98</f>
        <v>1.6159899852123096</v>
      </c>
      <c r="BW98" s="115">
        <f>BP$30*$AN98/$C98</f>
        <v>1.7565108534916407</v>
      </c>
      <c r="BY98" s="143">
        <f>BW98/$OD98</f>
        <v>3.6979175862981912</v>
      </c>
      <c r="BZ98" s="335"/>
      <c r="CA98" s="127"/>
      <c r="CB98" s="127"/>
      <c r="CC98" s="127"/>
      <c r="CD98" s="115"/>
      <c r="CE98" s="115"/>
      <c r="CF98" s="115"/>
      <c r="CG98" s="115"/>
      <c r="CH98" s="115"/>
      <c r="CI98" s="127"/>
      <c r="CJ98" s="26">
        <f>CK98*$NT98</f>
        <v>1.8837250224754645</v>
      </c>
      <c r="CK98" s="115">
        <f>BQ$30*$AN98/$C98</f>
        <v>2.047527198342896</v>
      </c>
      <c r="CM98" s="143">
        <f>CK98/$OD98</f>
        <v>4.3105835754587289</v>
      </c>
      <c r="CN98" s="335"/>
      <c r="CO98" s="127"/>
      <c r="CP98" s="127"/>
      <c r="CQ98" s="127"/>
      <c r="CW98" s="127"/>
      <c r="CX98" s="26">
        <f>CY98*$NT98</f>
        <v>0.85512197598622453</v>
      </c>
      <c r="CY98" s="115">
        <f>BR$30*$AN98/$C98</f>
        <v>0.92948040868067883</v>
      </c>
      <c r="CZ98" s="37"/>
      <c r="DA98" s="143">
        <f>CY98/$OD98</f>
        <v>1.9568008603803766</v>
      </c>
      <c r="DB98" s="335"/>
      <c r="DC98" s="127"/>
      <c r="DD98" s="127"/>
      <c r="DE98" s="127"/>
      <c r="DF98" s="115"/>
      <c r="DG98" s="115"/>
      <c r="DH98" s="115"/>
      <c r="DI98" s="115"/>
      <c r="DJ98" s="115"/>
      <c r="DK98" s="127"/>
      <c r="DL98" s="26">
        <f>DM98*$NT98</f>
        <v>1.9700472331211054</v>
      </c>
      <c r="DM98" s="115">
        <f>BS$30*$AN98/$C98</f>
        <v>2.1413556881751146</v>
      </c>
      <c r="DN98" s="37"/>
      <c r="DO98" s="143">
        <f>DM98/$OD98</f>
        <v>4.5081172382633996</v>
      </c>
      <c r="DP98" s="335"/>
      <c r="DQ98" s="127"/>
      <c r="DR98" s="127"/>
      <c r="DS98" s="127"/>
      <c r="DT98" s="37"/>
      <c r="DU98" s="37"/>
      <c r="DV98" s="37"/>
      <c r="DW98" s="37"/>
      <c r="DX98" s="37"/>
      <c r="DY98" s="127"/>
      <c r="DZ98" s="26">
        <f>EA98*$NT98</f>
        <v>2.3236555795517422</v>
      </c>
      <c r="EA98" s="115">
        <f>BT$30*$AN98/$C98</f>
        <v>2.5257125864692846</v>
      </c>
      <c r="EC98" s="143">
        <f>EA98/$OD98</f>
        <v>5.3172896557248102</v>
      </c>
      <c r="ED98" s="335"/>
      <c r="EE98" s="127"/>
      <c r="EF98" s="127"/>
      <c r="EG98" s="127"/>
      <c r="EM98" s="127"/>
      <c r="EN98" s="26">
        <f>EO98*$NT98</f>
        <v>1.2390095469010458</v>
      </c>
      <c r="EO98" s="115">
        <f>BU$30*$AN98/$C98</f>
        <v>1.3467495075011366</v>
      </c>
      <c r="EP98" s="37"/>
      <c r="EQ98" s="143">
        <f>EO98/$OD98</f>
        <v>2.8352621210550248</v>
      </c>
      <c r="ER98" s="335"/>
      <c r="ES98" s="127"/>
      <c r="ET98" s="127"/>
      <c r="EU98" s="127"/>
      <c r="EV98" s="37"/>
      <c r="EW98" s="37"/>
      <c r="EX98" s="37"/>
      <c r="EY98" s="37"/>
      <c r="EZ98" s="37"/>
      <c r="FA98" s="127"/>
      <c r="FE98" s="26">
        <f>FF98*$NT98</f>
        <v>3.9492836964410558</v>
      </c>
      <c r="FF98" s="115">
        <f>FB$30*$AN98/$C98</f>
        <v>4.2926996700446258</v>
      </c>
      <c r="FH98" s="115">
        <f>FF98/$OD98</f>
        <v>9.0372624632518441</v>
      </c>
      <c r="FI98" s="335"/>
      <c r="FJ98" s="335"/>
      <c r="FK98" s="127"/>
      <c r="FL98" s="26"/>
      <c r="FR98" s="127"/>
      <c r="FS98" s="26">
        <f>FT98*$NT98</f>
        <v>4.658149785540628</v>
      </c>
      <c r="FT98" s="115">
        <f>FC$30*$AN98/$C98</f>
        <v>5.0632062886311173</v>
      </c>
      <c r="FV98" s="115">
        <f>FT98/$OD98</f>
        <v>10.659381660276036</v>
      </c>
      <c r="FW98" s="335"/>
      <c r="FX98" s="335"/>
      <c r="FY98" s="127"/>
      <c r="FZ98" s="26"/>
      <c r="GF98" s="127"/>
      <c r="GG98" s="26">
        <f>GH98*$NT98</f>
        <v>1.9347788504020029</v>
      </c>
      <c r="GH98" s="115">
        <f>FD$30*$AN98/$C98</f>
        <v>2.1030204895673945</v>
      </c>
      <c r="GJ98" s="115">
        <f>GH98/$OD98</f>
        <v>4.4274115569839889</v>
      </c>
      <c r="GK98" s="335"/>
      <c r="GL98" s="335"/>
      <c r="GM98" s="127"/>
      <c r="GN98" s="26"/>
      <c r="GT98" s="127"/>
      <c r="GU98" s="127"/>
      <c r="GV98" s="127"/>
      <c r="GW98" s="127"/>
      <c r="GX98" s="68">
        <f>GZ98*$W98</f>
        <v>3.3777423470259902</v>
      </c>
      <c r="GY98" s="26">
        <f>GZ98*$NT98</f>
        <v>0.40231324026184562</v>
      </c>
      <c r="GZ98" s="127">
        <f>$AN98*GU$30/C98</f>
        <v>0.43729700028461477</v>
      </c>
      <c r="HA98" s="73"/>
      <c r="HB98" s="115">
        <f>GZ98/$OD98</f>
        <v>0.92062526375708376</v>
      </c>
      <c r="HD98" s="115"/>
      <c r="HE98" s="127"/>
      <c r="HF98" s="127"/>
      <c r="HG98" s="127"/>
      <c r="HH98" s="127"/>
      <c r="HI98" s="127"/>
      <c r="HJ98" s="127"/>
      <c r="HK98" s="127"/>
      <c r="HL98" s="127"/>
      <c r="HM98" s="115">
        <f>HN98*$NT98</f>
        <v>0.45711530732587946</v>
      </c>
      <c r="HN98" s="127">
        <f>$AN98*GV$30/C98</f>
        <v>0.49686446448465155</v>
      </c>
      <c r="HO98" s="73"/>
      <c r="HP98" s="115">
        <f>HN98/$OD98</f>
        <v>1.046030451546635</v>
      </c>
      <c r="HR98" s="115"/>
      <c r="HS98" s="127"/>
      <c r="HT98" s="127"/>
      <c r="HU98" s="127"/>
      <c r="HV98" s="127"/>
      <c r="HW98" s="127"/>
      <c r="HX98" s="127"/>
      <c r="HY98" s="127"/>
      <c r="HZ98" s="127"/>
      <c r="IA98" s="115">
        <f>IB98*$NT98</f>
        <v>0.24657292291405652</v>
      </c>
      <c r="IB98" s="127">
        <f>$AN98*GW$30/C98</f>
        <v>0.2680140466457136</v>
      </c>
      <c r="IC98" s="73"/>
      <c r="ID98" s="115">
        <f>IB98/$OD98</f>
        <v>0.56424009820150234</v>
      </c>
      <c r="IE98" s="133"/>
      <c r="IF98" s="115"/>
      <c r="IG98" s="127"/>
      <c r="IH98" s="127"/>
      <c r="II98" s="127"/>
      <c r="IJ98" s="127"/>
      <c r="IK98" s="127"/>
      <c r="IL98" s="127"/>
      <c r="IM98" s="127"/>
      <c r="IN98" s="127"/>
      <c r="IV98" s="335">
        <f>IW98*$NT98</f>
        <v>0.3874994599272617</v>
      </c>
      <c r="IW98" s="330">
        <f>AN98*JK96*C97/C98</f>
        <v>0.42119506513832794</v>
      </c>
      <c r="IX98" s="73"/>
      <c r="IY98" s="115">
        <f>IW98/$OD98</f>
        <v>0.88672645292279573</v>
      </c>
      <c r="IZ98" s="73"/>
      <c r="JA98" s="115"/>
      <c r="JB98" s="115">
        <f>$IW98*JM96/$JK96</f>
        <v>0.37845531809167399</v>
      </c>
      <c r="JC98" s="115">
        <f>$IW98*JN96/$JK96</f>
        <v>3.9306681430651538E-2</v>
      </c>
      <c r="JD98" s="115">
        <f>$IW98*JO96/$JK96</f>
        <v>3.4330656160024239E-3</v>
      </c>
      <c r="JE98" s="60"/>
      <c r="JF98" s="60"/>
      <c r="JG98" s="60"/>
      <c r="JH98" s="60"/>
      <c r="JI98" s="60"/>
      <c r="JJ98" s="60"/>
      <c r="JK98" s="60"/>
      <c r="JL98" s="60"/>
      <c r="JM98" s="123"/>
      <c r="JN98" s="123"/>
      <c r="JO98" s="123"/>
      <c r="JP98" s="123"/>
      <c r="JQ98" s="60"/>
      <c r="JR98" s="60"/>
      <c r="JS98" s="60"/>
      <c r="JT98" s="60"/>
      <c r="JU98" s="60"/>
      <c r="JV98" s="60"/>
      <c r="JW98" s="60"/>
      <c r="JX98" s="60"/>
      <c r="JY98" s="60"/>
      <c r="JZ98" s="60"/>
      <c r="KJ98" s="115">
        <f>BW98*44/12+$IW98+$GZ98</f>
        <v>7.2990318615589587</v>
      </c>
      <c r="KK98" s="74"/>
      <c r="KL98" s="74"/>
      <c r="KM98" s="143">
        <f>KJ98/$OD98</f>
        <v>15.366382866439913</v>
      </c>
      <c r="KN98" s="127"/>
      <c r="KO98" s="74"/>
      <c r="KP98" s="74"/>
      <c r="KQ98" s="74"/>
      <c r="KR98" s="74"/>
      <c r="KS98" s="127"/>
      <c r="KT98" s="115">
        <f>CK98*44/12+$IW98+$HN98</f>
        <v>8.4256592568802642</v>
      </c>
      <c r="KW98" s="143">
        <f>KT98/$OD98</f>
        <v>17.738230014484767</v>
      </c>
      <c r="KX98" s="127"/>
      <c r="LC98" s="127"/>
      <c r="LD98" s="115">
        <f>CY98*44/12+$IW98+$IB98</f>
        <v>4.0973039436131975</v>
      </c>
      <c r="LG98" s="143">
        <f>LD98/$OD98</f>
        <v>8.6259030391856797</v>
      </c>
      <c r="LH98" s="127"/>
      <c r="LM98" s="127"/>
      <c r="LN98" s="115">
        <f>DM98*44/12+$IW98+$GZ98</f>
        <v>8.7101295887316947</v>
      </c>
      <c r="LQ98" s="143">
        <f>LN98/$OD98</f>
        <v>18.337114923645675</v>
      </c>
      <c r="LR98" s="127"/>
      <c r="LW98" s="127"/>
      <c r="LX98" s="115">
        <f>EA98*44/12+$IW98+$HN98</f>
        <v>10.179005680010357</v>
      </c>
      <c r="MA98" s="143">
        <f>LX98/$OD98</f>
        <v>21.429485642127069</v>
      </c>
      <c r="MB98" s="127"/>
      <c r="MG98" s="127"/>
      <c r="MH98" s="115">
        <f>EO98*44/12+$IW98+$IB98</f>
        <v>5.6272906392882094</v>
      </c>
      <c r="MK98" s="143">
        <f>MH98/$OD98</f>
        <v>11.846927661659389</v>
      </c>
      <c r="ML98" s="127"/>
      <c r="MQ98" s="127"/>
      <c r="MW98" s="127"/>
      <c r="MX98" s="127"/>
      <c r="MY98" s="127"/>
      <c r="MZ98" s="127"/>
      <c r="NA98" s="127"/>
      <c r="NB98" s="127"/>
      <c r="NC98" s="127"/>
      <c r="ND98" s="127"/>
      <c r="NE98" s="127"/>
      <c r="NF98" s="127"/>
      <c r="NG98" s="127"/>
      <c r="NH98" s="127"/>
      <c r="NI98" s="127"/>
      <c r="NJ98" s="127"/>
      <c r="NK98" s="127"/>
      <c r="NL98" s="127"/>
      <c r="NM98" s="127"/>
      <c r="NN98" s="127"/>
      <c r="NO98" s="127"/>
      <c r="NP98" s="127"/>
      <c r="NQ98" s="127"/>
      <c r="NT98" s="31">
        <v>0.92</v>
      </c>
      <c r="NU98" s="31"/>
      <c r="NV98" s="32">
        <f>$NT98*NW98</f>
        <v>19.32</v>
      </c>
      <c r="NW98" s="9">
        <v>21</v>
      </c>
      <c r="NX98" s="9"/>
      <c r="NY98" s="9"/>
      <c r="NZ98" s="9"/>
      <c r="OA98" s="32"/>
      <c r="OC98" s="38">
        <f>$NT98*OD98</f>
        <v>0.437</v>
      </c>
      <c r="OD98" s="40">
        <f>OD30/C98</f>
        <v>0.47499999999999998</v>
      </c>
      <c r="OE98" s="38"/>
      <c r="OF98" s="683"/>
    </row>
    <row r="99" spans="1:494" x14ac:dyDescent="0.25">
      <c r="A99" s="37" t="s">
        <v>222</v>
      </c>
      <c r="B99" s="727"/>
      <c r="C99" s="69">
        <f>1-C97-C98</f>
        <v>0.30999999999999994</v>
      </c>
      <c r="D99" s="722"/>
      <c r="E99" s="104"/>
      <c r="F99" s="104"/>
      <c r="G99" s="104"/>
      <c r="H99" s="104"/>
      <c r="I99" s="104"/>
      <c r="J99" s="104"/>
      <c r="K99" s="104"/>
      <c r="L99" s="104"/>
      <c r="M99" s="104"/>
      <c r="N99" s="69"/>
      <c r="V99" s="26"/>
      <c r="W99" s="26"/>
      <c r="X99" s="115"/>
      <c r="Y99" s="26"/>
      <c r="AA99" s="55"/>
      <c r="AB99" s="55"/>
      <c r="AE99" s="74"/>
      <c r="AF99" s="74"/>
      <c r="AG99" s="74"/>
      <c r="AK99" s="722"/>
      <c r="AL99" s="74"/>
      <c r="AO99" s="74"/>
      <c r="AP99" s="74"/>
      <c r="AQ99" s="74"/>
      <c r="AR99" s="74"/>
      <c r="AS99" s="74"/>
      <c r="AT99" s="74"/>
      <c r="AU99" s="74"/>
      <c r="AV99" s="74"/>
      <c r="AW99" s="74"/>
      <c r="AX99" s="74"/>
      <c r="AY99" s="74"/>
      <c r="BJ99" s="74"/>
      <c r="BK99" s="74"/>
      <c r="BL99" s="74"/>
      <c r="BM99" s="74"/>
      <c r="BN99" s="74"/>
      <c r="BO99" s="74"/>
      <c r="BP99" s="74"/>
      <c r="BQ99" s="74"/>
      <c r="BR99" s="74"/>
      <c r="BS99" s="74"/>
      <c r="BT99" s="74"/>
      <c r="BU99" s="74"/>
      <c r="BW99" s="26"/>
      <c r="CA99" s="74"/>
      <c r="CB99" s="74"/>
      <c r="CC99" s="74"/>
      <c r="CD99" s="115"/>
      <c r="CE99" s="115"/>
      <c r="CF99" s="115"/>
      <c r="CG99" s="115"/>
      <c r="CH99" s="115"/>
      <c r="CI99" s="74"/>
      <c r="CK99" s="26"/>
      <c r="CX99" s="37"/>
      <c r="CY99" s="26"/>
      <c r="CZ99" s="37"/>
      <c r="DA99" s="37"/>
      <c r="DB99" s="37"/>
      <c r="DF99" s="115"/>
      <c r="DG99" s="115"/>
      <c r="DH99" s="115"/>
      <c r="DI99" s="115"/>
      <c r="DJ99" s="115"/>
      <c r="DL99" s="37"/>
      <c r="DM99" s="115"/>
      <c r="DN99" s="37"/>
      <c r="DO99" s="37"/>
      <c r="DP99" s="37"/>
      <c r="DT99" s="37"/>
      <c r="DU99" s="37"/>
      <c r="DV99" s="37"/>
      <c r="DW99" s="37"/>
      <c r="DX99" s="37"/>
      <c r="EA99" s="115"/>
      <c r="EN99" s="37"/>
      <c r="EO99" s="115"/>
      <c r="EP99" s="37"/>
      <c r="EQ99" s="37"/>
      <c r="ER99" s="37"/>
      <c r="EV99" s="37"/>
      <c r="EW99" s="37"/>
      <c r="EX99" s="37"/>
      <c r="EY99" s="37"/>
      <c r="EZ99" s="37"/>
      <c r="FF99" s="26"/>
      <c r="FH99" s="74"/>
      <c r="FK99" s="74"/>
      <c r="FR99" s="74"/>
      <c r="FT99" s="26"/>
      <c r="FZ99" s="37"/>
      <c r="GH99" s="26"/>
      <c r="GJ99" s="74"/>
      <c r="GM99" s="74"/>
      <c r="GT99" s="74"/>
      <c r="GU99" s="74"/>
      <c r="GV99" s="74"/>
      <c r="GW99" s="74"/>
      <c r="GX99" s="74"/>
      <c r="HB99" s="74"/>
      <c r="HD99" s="74"/>
      <c r="HE99" s="74"/>
      <c r="HF99" s="74"/>
      <c r="HG99" s="74"/>
      <c r="HH99" s="74"/>
      <c r="HI99" s="74"/>
      <c r="HJ99" s="74"/>
      <c r="HK99" s="74"/>
      <c r="HL99" s="74"/>
      <c r="IA99" s="133"/>
      <c r="IB99" s="133"/>
      <c r="IC99" s="133"/>
      <c r="IE99" s="133"/>
      <c r="KJ99" s="74"/>
      <c r="KK99" s="74"/>
      <c r="KL99" s="74"/>
      <c r="KM99" s="74"/>
      <c r="KN99" s="74"/>
      <c r="KO99" s="74"/>
      <c r="KP99" s="74"/>
      <c r="KQ99" s="74"/>
      <c r="KR99" s="74"/>
      <c r="KS99" s="74"/>
      <c r="NT99" s="31"/>
      <c r="NU99" s="31"/>
      <c r="NV99" s="32"/>
      <c r="NW99" s="9"/>
      <c r="NX99" s="9"/>
      <c r="NY99" s="9"/>
      <c r="NZ99" s="9"/>
      <c r="OA99" s="32"/>
      <c r="OC99" s="38"/>
      <c r="OD99" s="40"/>
      <c r="OE99" s="38"/>
      <c r="OF99" s="683"/>
    </row>
    <row r="100" spans="1:494" x14ac:dyDescent="0.25">
      <c r="B100" s="727"/>
      <c r="AE100" s="74"/>
      <c r="AF100" s="74"/>
      <c r="AG100" s="74"/>
      <c r="AL100" s="74"/>
      <c r="AO100" s="74"/>
      <c r="AP100" s="74"/>
      <c r="AQ100" s="74"/>
      <c r="AR100" s="74"/>
      <c r="AS100" s="74"/>
      <c r="AT100" s="74"/>
      <c r="AU100" s="74"/>
      <c r="AV100" s="74"/>
      <c r="AW100" s="74"/>
      <c r="AX100" s="74"/>
      <c r="AY100" s="74"/>
      <c r="BJ100" s="74"/>
      <c r="BK100" s="74"/>
      <c r="BL100" s="74"/>
      <c r="BM100" s="74"/>
      <c r="BN100" s="74"/>
      <c r="BO100" s="74"/>
      <c r="BP100" s="74"/>
      <c r="BQ100" s="74"/>
      <c r="BR100" s="74"/>
      <c r="BS100" s="74"/>
      <c r="BT100" s="74"/>
      <c r="BU100" s="74"/>
      <c r="BW100" s="26"/>
      <c r="CA100" s="74"/>
      <c r="CB100" s="74"/>
      <c r="CC100" s="74"/>
      <c r="CD100" s="115"/>
      <c r="CE100" s="115"/>
      <c r="CF100" s="115"/>
      <c r="CG100" s="115"/>
      <c r="CH100" s="115"/>
      <c r="CI100" s="74"/>
      <c r="CK100" s="26"/>
      <c r="CX100" s="37"/>
      <c r="CY100" s="26"/>
      <c r="CZ100" s="37"/>
      <c r="DA100" s="37"/>
      <c r="DB100" s="37"/>
      <c r="DF100" s="115"/>
      <c r="DG100" s="115"/>
      <c r="DH100" s="115"/>
      <c r="DI100" s="115"/>
      <c r="DJ100" s="115"/>
      <c r="DL100" s="37"/>
      <c r="DM100" s="115"/>
      <c r="DN100" s="37"/>
      <c r="DO100" s="37"/>
      <c r="DP100" s="37"/>
      <c r="DT100" s="37"/>
      <c r="DU100" s="37"/>
      <c r="DV100" s="37"/>
      <c r="DW100" s="37"/>
      <c r="DX100" s="37"/>
      <c r="EA100" s="115"/>
      <c r="EN100" s="37"/>
      <c r="EO100" s="115"/>
      <c r="EP100" s="37"/>
      <c r="EQ100" s="37"/>
      <c r="ER100" s="37"/>
      <c r="EV100" s="37"/>
      <c r="EW100" s="37"/>
      <c r="EX100" s="37"/>
      <c r="EY100" s="37"/>
      <c r="EZ100" s="37"/>
      <c r="FF100" s="26"/>
      <c r="FH100" s="74"/>
      <c r="FK100" s="74"/>
      <c r="FR100" s="74"/>
      <c r="FT100" s="26"/>
      <c r="FZ100" s="37"/>
      <c r="GH100" s="26"/>
      <c r="GJ100" s="74"/>
      <c r="GM100" s="74"/>
      <c r="GT100" s="74"/>
      <c r="GU100" s="74"/>
      <c r="GV100" s="74"/>
      <c r="GW100" s="74"/>
      <c r="GX100" s="74"/>
      <c r="HB100" s="74"/>
      <c r="HD100" s="74"/>
      <c r="HE100" s="74"/>
      <c r="HF100" s="74"/>
      <c r="HG100" s="74"/>
      <c r="HH100" s="74"/>
      <c r="HI100" s="74"/>
      <c r="HJ100" s="74"/>
      <c r="HK100" s="74"/>
      <c r="HL100" s="74"/>
      <c r="IA100" s="133"/>
      <c r="IB100" s="133"/>
      <c r="IC100" s="133"/>
      <c r="IE100" s="133"/>
      <c r="KJ100" s="74"/>
      <c r="KK100" s="74"/>
      <c r="KL100" s="74"/>
      <c r="KM100" s="74"/>
      <c r="KN100" s="74"/>
      <c r="KO100" s="74"/>
      <c r="KP100" s="74"/>
      <c r="KQ100" s="74"/>
      <c r="KR100" s="74"/>
      <c r="KS100" s="74"/>
    </row>
    <row r="101" spans="1:494" x14ac:dyDescent="0.25">
      <c r="AE101" s="74"/>
      <c r="AF101" s="74"/>
      <c r="AG101" s="74"/>
      <c r="AL101" s="74"/>
      <c r="AO101" s="74"/>
      <c r="AP101" s="74"/>
      <c r="AQ101" s="74"/>
      <c r="AR101" s="74"/>
      <c r="AS101" s="74"/>
      <c r="AT101" s="74"/>
      <c r="AU101" s="74"/>
      <c r="AV101" s="74"/>
      <c r="AW101" s="74"/>
      <c r="AX101" s="74"/>
      <c r="AY101" s="74"/>
      <c r="BJ101" s="74"/>
      <c r="BK101" s="74"/>
      <c r="BL101" s="74"/>
      <c r="BM101" s="74"/>
      <c r="BN101" s="74"/>
      <c r="BO101" s="74"/>
      <c r="BP101" s="74"/>
      <c r="BQ101" s="74"/>
      <c r="BR101" s="74"/>
      <c r="BS101" s="74"/>
      <c r="BT101" s="74"/>
      <c r="BU101" s="74"/>
      <c r="BW101" s="26"/>
      <c r="CA101" s="74"/>
      <c r="CB101" s="74"/>
      <c r="CC101" s="74"/>
      <c r="CD101" s="115"/>
      <c r="CE101" s="115"/>
      <c r="CF101" s="115"/>
      <c r="CG101" s="115"/>
      <c r="CH101" s="115"/>
      <c r="CI101" s="74"/>
      <c r="CK101" s="26"/>
      <c r="CX101" s="37"/>
      <c r="CY101" s="26"/>
      <c r="CZ101" s="37"/>
      <c r="DA101" s="37"/>
      <c r="DB101" s="37"/>
      <c r="DF101" s="115"/>
      <c r="DG101" s="115"/>
      <c r="DH101" s="115"/>
      <c r="DI101" s="115"/>
      <c r="DJ101" s="115"/>
      <c r="DL101" s="37"/>
      <c r="DM101" s="115"/>
      <c r="DN101" s="37"/>
      <c r="DO101" s="37"/>
      <c r="DP101" s="37"/>
      <c r="DT101" s="37"/>
      <c r="DU101" s="37"/>
      <c r="DV101" s="37"/>
      <c r="DW101" s="37"/>
      <c r="DX101" s="37"/>
      <c r="EA101" s="115"/>
      <c r="EN101" s="37"/>
      <c r="EO101" s="115"/>
      <c r="EP101" s="37"/>
      <c r="EQ101" s="37"/>
      <c r="ER101" s="37"/>
      <c r="EV101" s="37"/>
      <c r="EW101" s="37"/>
      <c r="EX101" s="37"/>
      <c r="EY101" s="37"/>
      <c r="EZ101" s="37"/>
      <c r="FF101" s="26"/>
      <c r="FH101" s="74"/>
      <c r="FK101" s="74"/>
      <c r="FR101" s="74"/>
      <c r="FT101" s="26"/>
      <c r="FZ101" s="37"/>
      <c r="GH101" s="26"/>
      <c r="GJ101" s="74"/>
      <c r="GM101" s="74"/>
      <c r="GT101" s="74"/>
      <c r="GU101" s="74"/>
      <c r="GV101" s="74"/>
      <c r="GW101" s="74"/>
      <c r="GX101" s="74"/>
      <c r="HB101" s="74"/>
      <c r="HD101" s="74"/>
      <c r="HE101" s="74"/>
      <c r="HF101" s="74"/>
      <c r="HG101" s="74"/>
      <c r="HH101" s="74"/>
      <c r="HI101" s="74"/>
      <c r="HJ101" s="74"/>
      <c r="HK101" s="74"/>
      <c r="HL101" s="74"/>
      <c r="IA101" s="133"/>
      <c r="IB101" s="133"/>
      <c r="IC101" s="133"/>
      <c r="IE101" s="133"/>
      <c r="KJ101" s="74"/>
      <c r="KK101" s="74"/>
      <c r="KL101" s="74"/>
      <c r="KM101" s="74"/>
      <c r="KN101" s="74"/>
      <c r="KO101" s="74"/>
      <c r="KP101" s="74"/>
      <c r="KQ101" s="74"/>
      <c r="KR101" s="74"/>
      <c r="KS101" s="74"/>
    </row>
    <row r="102" spans="1:494" x14ac:dyDescent="0.25">
      <c r="A102" s="9" t="s">
        <v>223</v>
      </c>
      <c r="AE102" s="74"/>
      <c r="AF102" s="74"/>
      <c r="AG102" s="74"/>
      <c r="AL102" s="74"/>
      <c r="AO102" s="74"/>
      <c r="AP102" s="74"/>
      <c r="AQ102" s="74"/>
      <c r="AR102" s="74"/>
      <c r="AS102" s="74"/>
      <c r="AT102" s="74"/>
      <c r="AU102" s="74"/>
      <c r="AV102" s="74"/>
      <c r="AW102" s="74"/>
      <c r="AX102" s="74"/>
      <c r="AY102" s="74"/>
      <c r="BJ102" s="74"/>
      <c r="BK102" s="74"/>
      <c r="BL102" s="74"/>
      <c r="BM102" s="74"/>
      <c r="BN102" s="74"/>
      <c r="BO102" s="74"/>
      <c r="BP102" s="74"/>
      <c r="BQ102" s="74"/>
      <c r="BR102" s="74"/>
      <c r="BS102" s="74"/>
      <c r="BT102" s="74"/>
      <c r="BU102" s="74"/>
      <c r="BW102" s="26"/>
      <c r="CA102" s="74"/>
      <c r="CB102" s="74"/>
      <c r="CC102" s="74"/>
      <c r="CD102" s="115"/>
      <c r="CE102" s="115"/>
      <c r="CF102" s="115"/>
      <c r="CG102" s="115"/>
      <c r="CH102" s="115"/>
      <c r="CI102" s="74"/>
      <c r="CK102" s="26"/>
      <c r="CX102" s="37"/>
      <c r="CY102" s="26"/>
      <c r="CZ102" s="37"/>
      <c r="DA102" s="37"/>
      <c r="DB102" s="37"/>
      <c r="DF102" s="115"/>
      <c r="DG102" s="115"/>
      <c r="DH102" s="115"/>
      <c r="DI102" s="115"/>
      <c r="DJ102" s="115"/>
      <c r="DL102" s="37"/>
      <c r="DM102" s="115"/>
      <c r="DN102" s="37"/>
      <c r="DO102" s="37"/>
      <c r="DP102" s="37"/>
      <c r="DT102" s="37"/>
      <c r="DU102" s="37"/>
      <c r="DV102" s="37"/>
      <c r="DW102" s="37"/>
      <c r="DX102" s="37"/>
      <c r="EA102" s="115"/>
      <c r="EN102" s="37"/>
      <c r="EO102" s="115"/>
      <c r="EP102" s="37"/>
      <c r="EQ102" s="37"/>
      <c r="ER102" s="37"/>
      <c r="EV102" s="37"/>
      <c r="EW102" s="37"/>
      <c r="EX102" s="37"/>
      <c r="EY102" s="37"/>
      <c r="EZ102" s="37"/>
      <c r="FF102" s="26"/>
      <c r="FH102" s="74"/>
      <c r="FK102" s="74"/>
      <c r="FR102" s="74"/>
      <c r="FT102" s="26"/>
      <c r="FZ102" s="37"/>
      <c r="GH102" s="26"/>
      <c r="GJ102" s="74"/>
      <c r="GM102" s="74"/>
      <c r="GT102" s="74"/>
      <c r="GU102" s="74"/>
      <c r="GV102" s="74"/>
      <c r="GW102" s="74"/>
      <c r="GX102" s="471">
        <f t="shared" ref="GX102" si="31">GX106+GX112+GX116+GX121+GX125</f>
        <v>26.722022849260899</v>
      </c>
      <c r="HB102" s="74"/>
      <c r="HD102" s="74"/>
      <c r="HE102" s="74"/>
      <c r="HF102" s="74"/>
      <c r="HG102" s="74"/>
      <c r="HH102" s="74"/>
      <c r="HI102" s="74"/>
      <c r="HJ102" s="74"/>
      <c r="HK102" s="74"/>
      <c r="HL102" s="74"/>
      <c r="IA102" s="133"/>
      <c r="IB102" s="133"/>
      <c r="IC102" s="133"/>
      <c r="IE102" s="133"/>
      <c r="IO102" s="471">
        <f>IO106+IO112+IO116+IO121+IO125</f>
        <v>106.94642513394446</v>
      </c>
      <c r="IP102" s="68">
        <f t="shared" ref="IP102:IU102" si="32">IP106+IP112+IP116+IP121+IP125</f>
        <v>41.27590420225502</v>
      </c>
      <c r="IQ102" s="68">
        <f t="shared" si="32"/>
        <v>27.626369211689443</v>
      </c>
      <c r="IR102" s="68">
        <f t="shared" si="32"/>
        <v>1.9135199999999997</v>
      </c>
      <c r="IS102" s="589">
        <f t="shared" si="32"/>
        <v>32.983456799999999</v>
      </c>
      <c r="IT102" s="589">
        <f t="shared" si="32"/>
        <v>0.92727731999999996</v>
      </c>
      <c r="IU102" s="589">
        <f t="shared" si="32"/>
        <v>2.2198975999999999</v>
      </c>
      <c r="KJ102" s="74"/>
      <c r="KK102" s="74"/>
      <c r="KL102" s="74"/>
      <c r="KM102" s="74"/>
      <c r="KN102" s="74"/>
      <c r="KO102" s="74"/>
      <c r="KP102" s="74"/>
      <c r="KQ102" s="74"/>
      <c r="KR102" s="74"/>
      <c r="KS102" s="74"/>
    </row>
    <row r="103" spans="1:494" s="54" customFormat="1" x14ac:dyDescent="0.25">
      <c r="A103" s="54" t="s">
        <v>245</v>
      </c>
      <c r="D103" s="131"/>
      <c r="E103" s="133"/>
      <c r="F103" s="133"/>
      <c r="G103" s="133"/>
      <c r="H103" s="133"/>
      <c r="I103" s="133"/>
      <c r="J103" s="133"/>
      <c r="K103" s="133"/>
      <c r="L103" s="133"/>
      <c r="M103" s="133"/>
      <c r="X103" s="732">
        <f>X107+X112+X117</f>
        <v>44.936708860759495</v>
      </c>
      <c r="Y103" s="691">
        <f>Y107+Y112+Y117</f>
        <v>1.0579000000000001</v>
      </c>
      <c r="AE103" s="133"/>
      <c r="AF103" s="133"/>
      <c r="AG103" s="133"/>
      <c r="AH103" s="133"/>
      <c r="AI103" s="133"/>
      <c r="AJ103" s="133"/>
      <c r="AO103" s="133"/>
      <c r="AP103" s="133"/>
      <c r="AQ103" s="133"/>
      <c r="AR103" s="133"/>
      <c r="AS103" s="133"/>
      <c r="AT103" s="133"/>
      <c r="AU103" s="133"/>
      <c r="AV103" s="133"/>
      <c r="AW103" s="133"/>
      <c r="AX103" s="133"/>
      <c r="AY103" s="133"/>
      <c r="AZ103" s="133"/>
      <c r="BA103" s="133"/>
      <c r="BB103" s="133"/>
      <c r="BC103" s="133"/>
      <c r="BD103" s="133"/>
      <c r="BE103" s="133"/>
      <c r="BF103" s="133"/>
      <c r="BG103" s="133"/>
      <c r="BH103" s="133"/>
      <c r="BI103" s="133"/>
      <c r="BJ103" s="133"/>
      <c r="BK103" s="133"/>
      <c r="BL103" s="133"/>
      <c r="BM103" s="133"/>
      <c r="BN103" s="133"/>
      <c r="BO103" s="133"/>
      <c r="BP103" s="133"/>
      <c r="BQ103" s="133"/>
      <c r="BR103" s="133"/>
      <c r="BS103" s="133"/>
      <c r="BT103" s="133"/>
      <c r="BU103" s="133"/>
      <c r="BW103" s="693"/>
      <c r="CA103" s="133"/>
      <c r="CB103" s="133"/>
      <c r="CC103" s="133"/>
      <c r="CD103" s="179"/>
      <c r="CE103" s="179"/>
      <c r="CF103" s="179"/>
      <c r="CG103" s="179"/>
      <c r="CH103" s="179"/>
      <c r="CI103" s="133"/>
      <c r="CK103" s="693"/>
      <c r="CO103" s="133"/>
      <c r="CP103" s="133"/>
      <c r="CQ103" s="133"/>
      <c r="CR103" s="179"/>
      <c r="CS103" s="179"/>
      <c r="CT103" s="179"/>
      <c r="CU103" s="179"/>
      <c r="CV103" s="179"/>
      <c r="CW103" s="133"/>
      <c r="CY103" s="693"/>
      <c r="DC103" s="133"/>
      <c r="DD103" s="133"/>
      <c r="DE103" s="133"/>
      <c r="DF103" s="179"/>
      <c r="DG103" s="179"/>
      <c r="DH103" s="179"/>
      <c r="DI103" s="179"/>
      <c r="DJ103" s="179"/>
      <c r="DK103" s="133"/>
      <c r="DM103" s="179"/>
      <c r="DQ103" s="133"/>
      <c r="DR103" s="133"/>
      <c r="DS103" s="133"/>
      <c r="DY103" s="133"/>
      <c r="EA103" s="179"/>
      <c r="EE103" s="133"/>
      <c r="EF103" s="133"/>
      <c r="EG103" s="133"/>
      <c r="EM103" s="133"/>
      <c r="EO103" s="179"/>
      <c r="ES103" s="133"/>
      <c r="ET103" s="133"/>
      <c r="EU103" s="133"/>
      <c r="FA103" s="133"/>
      <c r="FF103" s="693"/>
      <c r="FH103" s="133"/>
      <c r="FK103" s="133"/>
      <c r="FR103" s="133"/>
      <c r="FT103" s="693"/>
      <c r="FV103" s="133"/>
      <c r="FY103" s="133"/>
      <c r="GF103" s="133"/>
      <c r="GH103" s="693"/>
      <c r="GJ103" s="133"/>
      <c r="GM103" s="133"/>
      <c r="GT103" s="133"/>
      <c r="GU103" s="133"/>
      <c r="GV103" s="133"/>
      <c r="GW103" s="133"/>
      <c r="GX103" s="133"/>
      <c r="GY103" s="133"/>
      <c r="GZ103" s="133"/>
      <c r="HA103" s="133"/>
      <c r="HB103" s="133"/>
      <c r="HC103" s="133"/>
      <c r="HD103" s="133"/>
      <c r="HE103" s="133"/>
      <c r="HF103" s="133"/>
      <c r="HG103" s="133"/>
      <c r="HH103" s="133"/>
      <c r="HI103" s="133"/>
      <c r="HJ103" s="133"/>
      <c r="HK103" s="133"/>
      <c r="HL103" s="133"/>
      <c r="HM103" s="133"/>
      <c r="HN103" s="133"/>
      <c r="HO103" s="133"/>
      <c r="HP103" s="133"/>
      <c r="HQ103" s="133"/>
      <c r="HR103" s="133"/>
      <c r="HS103" s="133"/>
      <c r="HT103" s="133"/>
      <c r="HU103" s="133"/>
      <c r="HV103" s="133"/>
      <c r="HW103" s="133"/>
      <c r="HX103" s="133"/>
      <c r="HY103" s="133"/>
      <c r="HZ103" s="133"/>
      <c r="IA103" s="133"/>
      <c r="IB103" s="133"/>
      <c r="IC103" s="133"/>
      <c r="ID103" s="133"/>
      <c r="IE103" s="133"/>
      <c r="IF103" s="133"/>
      <c r="IG103" s="133"/>
      <c r="IH103" s="133"/>
      <c r="II103" s="133"/>
      <c r="IJ103" s="133"/>
      <c r="IK103" s="133"/>
      <c r="IL103" s="133"/>
      <c r="IM103" s="133"/>
      <c r="IN103" s="133"/>
      <c r="IO103" s="115"/>
      <c r="IP103" s="115"/>
      <c r="IQ103" s="115"/>
      <c r="IR103" s="115"/>
      <c r="IS103" s="115"/>
      <c r="IT103" s="115"/>
      <c r="IU103" s="115"/>
      <c r="IW103" s="133"/>
      <c r="IX103" s="133"/>
      <c r="IY103" s="133"/>
      <c r="IZ103" s="133"/>
      <c r="JA103" s="133"/>
      <c r="JB103" s="133"/>
      <c r="JC103" s="133"/>
      <c r="JD103" s="133"/>
      <c r="JE103" s="133"/>
      <c r="JF103" s="133"/>
      <c r="JG103" s="133"/>
      <c r="JH103" s="133"/>
      <c r="JI103" s="133"/>
      <c r="JJ103" s="133"/>
      <c r="JK103" s="133"/>
      <c r="JL103" s="133"/>
      <c r="JM103" s="133"/>
      <c r="JN103" s="133"/>
      <c r="JO103" s="133"/>
      <c r="JP103" s="133"/>
      <c r="JQ103" s="133"/>
      <c r="JR103" s="133"/>
      <c r="JS103" s="133"/>
      <c r="JT103" s="133"/>
      <c r="JU103" s="133"/>
      <c r="JV103" s="133"/>
      <c r="JW103" s="133"/>
      <c r="JX103" s="133"/>
      <c r="JY103" s="133"/>
      <c r="JZ103" s="133"/>
      <c r="KA103" s="133"/>
      <c r="KB103" s="133"/>
      <c r="KC103" s="133"/>
      <c r="KD103" s="133"/>
      <c r="KE103" s="133"/>
      <c r="KF103" s="133"/>
      <c r="KG103" s="133"/>
      <c r="KH103" s="133"/>
      <c r="KI103" s="133"/>
      <c r="KJ103" s="133"/>
      <c r="KK103" s="133"/>
      <c r="KL103" s="133"/>
      <c r="KM103" s="133"/>
      <c r="KN103" s="133"/>
      <c r="KO103" s="133"/>
      <c r="KP103" s="133"/>
      <c r="KQ103" s="133"/>
      <c r="KR103" s="133"/>
      <c r="KS103" s="133"/>
      <c r="KT103" s="133"/>
      <c r="KU103" s="133"/>
      <c r="KV103" s="133"/>
      <c r="KW103" s="133"/>
      <c r="KX103" s="133"/>
      <c r="KY103" s="133"/>
      <c r="KZ103" s="133"/>
      <c r="LA103" s="133"/>
      <c r="LB103" s="133"/>
      <c r="LC103" s="133"/>
      <c r="LD103" s="133"/>
      <c r="LE103" s="133"/>
      <c r="LF103" s="133"/>
      <c r="LG103" s="133"/>
      <c r="LH103" s="133"/>
      <c r="LI103" s="133"/>
      <c r="LJ103" s="133"/>
      <c r="LK103" s="133"/>
      <c r="LL103" s="133"/>
      <c r="LM103" s="133"/>
      <c r="LN103" s="133"/>
      <c r="LO103" s="133"/>
      <c r="LP103" s="133"/>
      <c r="LQ103" s="133"/>
      <c r="LR103" s="133"/>
      <c r="LS103" s="133"/>
      <c r="LT103" s="133"/>
      <c r="LU103" s="133"/>
      <c r="LV103" s="133"/>
      <c r="LW103" s="133"/>
      <c r="LX103" s="133"/>
      <c r="LY103" s="133"/>
      <c r="LZ103" s="133"/>
      <c r="MA103" s="133"/>
      <c r="MB103" s="133"/>
      <c r="MC103" s="133"/>
      <c r="MD103" s="133"/>
      <c r="ME103" s="133"/>
      <c r="MF103" s="133"/>
      <c r="MG103" s="133"/>
      <c r="MH103" s="133"/>
      <c r="MI103" s="133"/>
      <c r="MJ103" s="133"/>
      <c r="MK103" s="133"/>
      <c r="ML103" s="133"/>
      <c r="MM103" s="133"/>
      <c r="MN103" s="133"/>
      <c r="MO103" s="133"/>
      <c r="MP103" s="133"/>
      <c r="MQ103" s="133"/>
      <c r="MR103" s="133"/>
      <c r="MS103" s="133"/>
      <c r="MT103" s="133"/>
      <c r="MU103" s="133"/>
      <c r="MV103" s="133"/>
      <c r="MW103" s="133"/>
      <c r="MX103" s="133"/>
      <c r="MY103" s="133"/>
      <c r="MZ103" s="133"/>
      <c r="NA103" s="133"/>
      <c r="NB103" s="133"/>
      <c r="NC103" s="133"/>
      <c r="ND103" s="133"/>
      <c r="NE103" s="133"/>
      <c r="NF103" s="133"/>
      <c r="NG103" s="133"/>
      <c r="NH103" s="133"/>
      <c r="NI103" s="133"/>
      <c r="NJ103" s="133"/>
      <c r="NK103" s="133"/>
      <c r="NL103" s="133"/>
      <c r="NM103" s="133"/>
      <c r="NN103" s="133"/>
      <c r="NO103" s="133"/>
      <c r="NP103" s="133"/>
      <c r="NQ103" s="133"/>
      <c r="NR103" s="133"/>
      <c r="NS103" s="133"/>
      <c r="RU103" s="179"/>
      <c r="RV103" s="179"/>
      <c r="RW103" s="179"/>
      <c r="RX103" s="179"/>
      <c r="RY103" s="179"/>
      <c r="RZ103" s="179"/>
    </row>
    <row r="104" spans="1:494" s="133" customFormat="1" x14ac:dyDescent="0.25">
      <c r="A104" s="54" t="s">
        <v>299</v>
      </c>
      <c r="D104" s="132"/>
      <c r="V104" s="690">
        <f>V108+V113+V127</f>
        <v>41.962820699665272</v>
      </c>
      <c r="W104" s="474">
        <f>W108+W113+W127</f>
        <v>38.102856587263005</v>
      </c>
      <c r="X104" s="474"/>
      <c r="Y104" s="179">
        <f>Y108+Y113+Y127</f>
        <v>0.75800363636363632</v>
      </c>
      <c r="AA104" s="474">
        <f>AA108+AA113+AA127</f>
        <v>11.4308569761789</v>
      </c>
      <c r="AB104" s="474"/>
      <c r="BW104" s="179"/>
      <c r="CD104" s="179"/>
      <c r="CE104" s="179"/>
      <c r="CF104" s="179"/>
      <c r="CG104" s="179"/>
      <c r="CH104" s="179"/>
      <c r="CK104" s="179"/>
      <c r="CR104" s="179"/>
      <c r="CS104" s="179"/>
      <c r="CT104" s="179"/>
      <c r="CU104" s="179"/>
      <c r="CV104" s="179"/>
      <c r="CY104" s="179"/>
      <c r="DF104" s="179"/>
      <c r="DG104" s="179"/>
      <c r="DH104" s="179"/>
      <c r="DI104" s="179"/>
      <c r="DJ104" s="179"/>
      <c r="DM104" s="179"/>
      <c r="EA104" s="179"/>
      <c r="EO104" s="179"/>
      <c r="FF104" s="179"/>
      <c r="FT104" s="179"/>
      <c r="GH104" s="179"/>
      <c r="IO104" s="115"/>
      <c r="IP104" s="115"/>
      <c r="IQ104" s="115"/>
      <c r="IR104" s="115"/>
      <c r="IS104" s="115"/>
      <c r="IT104" s="115"/>
      <c r="IU104" s="115"/>
      <c r="JQ104" s="643"/>
      <c r="RU104" s="179"/>
      <c r="RV104" s="179"/>
      <c r="RW104" s="179"/>
      <c r="RX104" s="179"/>
      <c r="RY104" s="179"/>
      <c r="RZ104" s="179"/>
    </row>
    <row r="105" spans="1:494" x14ac:dyDescent="0.25">
      <c r="AE105" s="74"/>
      <c r="AF105" s="74"/>
      <c r="AG105" s="74"/>
      <c r="AN105" s="74"/>
      <c r="AO105" s="74"/>
      <c r="AP105" s="74"/>
      <c r="AQ105" s="74"/>
      <c r="AR105" s="74"/>
      <c r="AS105" s="74"/>
      <c r="AT105" s="74"/>
      <c r="AU105" s="74"/>
      <c r="AV105" s="74"/>
      <c r="AW105" s="74"/>
      <c r="AX105" s="74"/>
      <c r="AY105" s="74"/>
      <c r="BJ105" s="74"/>
      <c r="BK105" s="74"/>
      <c r="BL105" s="74"/>
      <c r="BM105" s="74"/>
      <c r="BN105" s="74"/>
      <c r="BO105" s="74"/>
      <c r="BP105" s="74"/>
      <c r="BQ105" s="74"/>
      <c r="BR105" s="74"/>
      <c r="BS105" s="74"/>
      <c r="BT105" s="74"/>
      <c r="BU105" s="74"/>
      <c r="BW105" s="26"/>
      <c r="CA105" s="74"/>
      <c r="CB105" s="74"/>
      <c r="CC105" s="74"/>
      <c r="CD105" s="115"/>
      <c r="CE105" s="115"/>
      <c r="CF105" s="115"/>
      <c r="CG105" s="115"/>
      <c r="CH105" s="115"/>
      <c r="CI105" s="74"/>
      <c r="CK105" s="26"/>
      <c r="CX105" s="37"/>
      <c r="CY105" s="26"/>
      <c r="CZ105" s="37"/>
      <c r="DA105" s="37"/>
      <c r="DB105" s="37"/>
      <c r="DF105" s="115"/>
      <c r="DG105" s="115"/>
      <c r="DH105" s="115"/>
      <c r="DI105" s="115"/>
      <c r="DJ105" s="115"/>
      <c r="DL105" s="37"/>
      <c r="DM105" s="115"/>
      <c r="DN105" s="37"/>
      <c r="DO105" s="37"/>
      <c r="DP105" s="37"/>
      <c r="DT105" s="133"/>
      <c r="DU105" s="133"/>
      <c r="DV105" s="133"/>
      <c r="DW105" s="133"/>
      <c r="DX105" s="133"/>
      <c r="EA105" s="115"/>
      <c r="EH105" s="133"/>
      <c r="EI105" s="133"/>
      <c r="EJ105" s="133"/>
      <c r="EK105" s="133"/>
      <c r="EL105" s="133"/>
      <c r="EN105" s="37"/>
      <c r="EO105" s="115"/>
      <c r="EP105" s="37"/>
      <c r="EQ105" s="37"/>
      <c r="ER105" s="37"/>
      <c r="EV105" s="133"/>
      <c r="EW105" s="133"/>
      <c r="EX105" s="133"/>
      <c r="EY105" s="133"/>
      <c r="EZ105" s="133"/>
      <c r="FF105" s="26"/>
      <c r="FH105" s="74"/>
      <c r="FK105" s="74"/>
      <c r="FR105" s="74"/>
      <c r="FT105" s="26"/>
      <c r="FZ105" s="37"/>
      <c r="GH105" s="26"/>
      <c r="GJ105" s="74"/>
      <c r="GK105" s="74"/>
      <c r="GM105" s="74"/>
      <c r="GT105" s="74"/>
      <c r="GU105" s="74"/>
      <c r="GV105" s="74"/>
      <c r="GW105" s="74"/>
      <c r="GX105" s="74"/>
      <c r="HB105" s="74"/>
      <c r="HD105" s="74"/>
      <c r="HE105" s="74"/>
      <c r="HF105" s="74"/>
      <c r="HG105" s="74"/>
      <c r="HH105" s="74"/>
      <c r="HI105" s="74"/>
      <c r="HJ105" s="74"/>
      <c r="HK105" s="74"/>
      <c r="HL105" s="74"/>
      <c r="IA105" s="133"/>
      <c r="IB105" s="133"/>
      <c r="IC105" s="133"/>
      <c r="IE105" s="133"/>
      <c r="JQ105" s="179"/>
      <c r="JS105" s="723"/>
      <c r="JU105" s="723"/>
      <c r="JX105" s="723"/>
      <c r="KJ105" s="74"/>
      <c r="KK105" s="74"/>
      <c r="KL105" s="74"/>
      <c r="KM105" s="74"/>
      <c r="KN105" s="74"/>
      <c r="KO105" s="74"/>
      <c r="KP105" s="74"/>
      <c r="KQ105" s="74"/>
      <c r="KR105" s="74"/>
      <c r="KS105" s="74"/>
    </row>
    <row r="106" spans="1:494" x14ac:dyDescent="0.25">
      <c r="A106" s="9" t="s">
        <v>241</v>
      </c>
      <c r="AE106" s="74"/>
      <c r="AF106" s="127"/>
      <c r="AG106" s="74"/>
      <c r="AH106" s="127"/>
      <c r="AJ106" s="127"/>
      <c r="AN106" s="74"/>
      <c r="AO106" s="66"/>
      <c r="AP106" s="66"/>
      <c r="AQ106" s="74"/>
      <c r="AR106" s="74"/>
      <c r="AS106" s="74"/>
      <c r="AT106" s="74"/>
      <c r="AU106" s="74"/>
      <c r="AV106" s="74"/>
      <c r="AW106" s="74"/>
      <c r="AX106" s="74"/>
      <c r="AY106" s="74"/>
      <c r="BJ106" s="74"/>
      <c r="BK106" s="74"/>
      <c r="BL106" s="74"/>
      <c r="BM106" s="74"/>
      <c r="BN106" s="74"/>
      <c r="BO106" s="74"/>
      <c r="BP106" s="74"/>
      <c r="BQ106" s="74"/>
      <c r="BR106" s="74"/>
      <c r="BS106" s="74"/>
      <c r="BT106" s="74"/>
      <c r="BU106" s="74"/>
      <c r="BW106" s="26"/>
      <c r="CA106" s="74"/>
      <c r="CB106" s="74"/>
      <c r="CC106" s="74"/>
      <c r="CD106" s="127"/>
      <c r="CE106" s="115"/>
      <c r="CF106" s="115"/>
      <c r="CG106" s="115"/>
      <c r="CH106" s="115"/>
      <c r="CI106" s="74"/>
      <c r="CK106" s="26"/>
      <c r="CR106" s="127"/>
      <c r="CX106" s="37"/>
      <c r="CY106" s="26"/>
      <c r="CZ106" s="37"/>
      <c r="DA106" s="37"/>
      <c r="DB106" s="37"/>
      <c r="DF106" s="127"/>
      <c r="DG106" s="115"/>
      <c r="DH106" s="115"/>
      <c r="DI106" s="115"/>
      <c r="DJ106" s="115"/>
      <c r="DL106" s="37"/>
      <c r="DM106" s="115"/>
      <c r="DN106" s="37"/>
      <c r="DO106" s="37"/>
      <c r="DP106" s="37"/>
      <c r="EA106" s="115"/>
      <c r="EH106" s="74"/>
      <c r="EI106" s="74"/>
      <c r="EJ106" s="74"/>
      <c r="EK106" s="74"/>
      <c r="EL106" s="74"/>
      <c r="EN106" s="37"/>
      <c r="EO106" s="115"/>
      <c r="EP106" s="37"/>
      <c r="EQ106" s="37"/>
      <c r="ER106" s="37"/>
      <c r="FF106" s="26"/>
      <c r="FH106" s="74"/>
      <c r="FI106" s="74"/>
      <c r="FK106" s="74"/>
      <c r="FR106" s="74"/>
      <c r="FT106" s="26"/>
      <c r="FW106" s="74"/>
      <c r="FZ106" s="37"/>
      <c r="GH106" s="26"/>
      <c r="GJ106" s="74"/>
      <c r="GK106" s="74"/>
      <c r="GM106" s="74"/>
      <c r="GT106" s="74"/>
      <c r="GU106" s="74"/>
      <c r="GV106" s="74"/>
      <c r="GW106" s="74"/>
      <c r="GX106" s="55">
        <f>GX107+GX108</f>
        <v>4.7988111132271563</v>
      </c>
      <c r="GY106" s="73"/>
      <c r="GZ106" s="73"/>
      <c r="HA106" s="73"/>
      <c r="HB106" s="74"/>
      <c r="HC106" s="73"/>
      <c r="HD106" s="74"/>
      <c r="HE106" s="74"/>
      <c r="HF106" s="74"/>
      <c r="HG106" s="74"/>
      <c r="HH106" s="74"/>
      <c r="HI106" s="74"/>
      <c r="HJ106" s="74"/>
      <c r="HK106" s="74"/>
      <c r="HL106" s="74"/>
      <c r="HM106" s="73"/>
      <c r="HN106" s="73"/>
      <c r="HO106" s="73"/>
      <c r="HQ106" s="73"/>
      <c r="IA106" s="73"/>
      <c r="IB106" s="73"/>
      <c r="IC106" s="73"/>
      <c r="IE106" s="73"/>
      <c r="IO106" s="68">
        <f>IP106+IQ106+IR106+IS106+IT106+IU106</f>
        <v>33.741080695764026</v>
      </c>
      <c r="IP106" s="97">
        <f>JS106*$W107</f>
        <v>10.69666827250677</v>
      </c>
      <c r="IQ106" s="97">
        <f>JU106*$W107</f>
        <v>9.2670684232572551</v>
      </c>
      <c r="IR106" s="97">
        <f>JX106*$W107</f>
        <v>0.4631039999999999</v>
      </c>
      <c r="IS106" s="97">
        <f>KB106*$W107</f>
        <v>11.847743999999999</v>
      </c>
      <c r="IT106" s="97">
        <f>KF106*$W107</f>
        <v>0.57888000000000006</v>
      </c>
      <c r="IU106" s="97">
        <f>KH106*$W107</f>
        <v>0.88761599999999996</v>
      </c>
      <c r="JK106" s="115">
        <f>JM106+JN106+JO106</f>
        <v>2.3431306038725017</v>
      </c>
      <c r="JL106" s="673">
        <f>10^3*JK106/NY107</f>
        <v>87.430246413153043</v>
      </c>
      <c r="JM106" s="115">
        <f>JS106+KB106</f>
        <v>1.565584185590748</v>
      </c>
      <c r="JN106" s="115">
        <f>JU106+KF106</f>
        <v>0.68374641828175386</v>
      </c>
      <c r="JO106" s="179">
        <f>JX106+KH106</f>
        <v>9.3799999999999994E-2</v>
      </c>
      <c r="JP106" s="469">
        <f>JK106*C107</f>
        <v>0.88692997354636971</v>
      </c>
      <c r="JQ106" s="115">
        <f>JR106*$NY107/10^3</f>
        <v>1.4185306038725021</v>
      </c>
      <c r="JR106" s="679">
        <f>JT106+JV106+JY106</f>
        <v>52.930246413153057</v>
      </c>
      <c r="JS106" s="724">
        <f>'Crops; pasture DISCOUNTED'!KF20/$C107</f>
        <v>0.74282418559074792</v>
      </c>
      <c r="JT106" s="73">
        <f>10^3*JS106/$NY107</f>
        <v>27.717320357863727</v>
      </c>
      <c r="JU106" s="724">
        <f>'Crops; pasture DISCOUNTED'!KD20/$C107</f>
        <v>0.64354641828175385</v>
      </c>
      <c r="JV106" s="115">
        <f>10^3*JU106/$NY107</f>
        <v>24.012926055289324</v>
      </c>
      <c r="JW106" s="115">
        <f>10^3*JU106/'Discounting metrics'!$B$6</f>
        <v>2.1595517392005164</v>
      </c>
      <c r="JX106" s="127">
        <f>JY106*$NY107/10^3</f>
        <v>3.2159999999999994E-2</v>
      </c>
      <c r="JY106" s="84">
        <v>1.2</v>
      </c>
      <c r="JZ106" s="115">
        <f>KB106+KF106+KH106</f>
        <v>0.92459999999999998</v>
      </c>
      <c r="KA106" s="679">
        <f>KC106+KG106+KI106</f>
        <v>34.5</v>
      </c>
      <c r="KB106" s="115">
        <f>KC106*$NY107/10^3</f>
        <v>0.82275999999999994</v>
      </c>
      <c r="KC106" s="80">
        <v>30.7</v>
      </c>
      <c r="KD106" s="252">
        <v>1.2</v>
      </c>
      <c r="KE106" s="73">
        <f>KC106/KD106</f>
        <v>25.583333333333332</v>
      </c>
      <c r="KF106" s="127">
        <f>KG106*$NY107/10^3</f>
        <v>4.02E-2</v>
      </c>
      <c r="KG106" s="84">
        <v>1.5</v>
      </c>
      <c r="KH106" s="127">
        <f>KI106*$NY107/10^3</f>
        <v>6.1639999999999993E-2</v>
      </c>
      <c r="KI106" s="84">
        <v>2.2999999999999998</v>
      </c>
      <c r="KJ106" s="74"/>
      <c r="KK106" s="74"/>
      <c r="KL106" s="74"/>
      <c r="KM106" s="74"/>
      <c r="KN106" s="74"/>
      <c r="KO106" s="74"/>
      <c r="KP106" s="74"/>
      <c r="KQ106" s="74"/>
      <c r="KR106" s="74"/>
      <c r="KS106" s="74"/>
      <c r="RK106" s="37"/>
      <c r="RL106" s="37"/>
      <c r="RU106" s="115"/>
      <c r="RV106" s="115"/>
      <c r="RW106" s="115"/>
      <c r="RX106" s="115"/>
      <c r="RY106" s="115"/>
      <c r="RZ106" s="115"/>
    </row>
    <row r="107" spans="1:494" x14ac:dyDescent="0.25">
      <c r="A107" s="37" t="s">
        <v>239</v>
      </c>
      <c r="B107" s="733">
        <f>C107*NT14/NT107</f>
        <v>0.33310067114093955</v>
      </c>
      <c r="C107" s="683">
        <f>D107*NW14/NW107</f>
        <v>0.37852348993288587</v>
      </c>
      <c r="D107" s="134">
        <v>0.6</v>
      </c>
      <c r="E107" s="207">
        <f>X107/((Y107/D107)/NV14)/10^3</f>
        <v>0.4216464191657463</v>
      </c>
      <c r="F107" s="117">
        <f>X107/((Y107/D107)/NW14)/10^3</f>
        <v>0.4791436581428935</v>
      </c>
      <c r="G107" s="460">
        <f>H107*'Crops; pasture DISCOUNTED'!LI20</f>
        <v>8.9270979865771807</v>
      </c>
      <c r="H107" s="458">
        <f>F107*NZ107</f>
        <v>10.144429530201341</v>
      </c>
      <c r="I107" s="459"/>
      <c r="K107" s="679">
        <f>10^4*($C107/$NU107)/AB14</f>
        <v>2209.501699372292</v>
      </c>
      <c r="L107" s="73">
        <f>10^4*($C107/$NU107)/AC14</f>
        <v>1985.9546342706649</v>
      </c>
      <c r="M107" s="73">
        <f>10^4*($C107/$NU107)/AD14</f>
        <v>3373.1713533259704</v>
      </c>
      <c r="N107" s="141"/>
      <c r="V107" s="55">
        <f>W107/NT107</f>
        <v>14.4</v>
      </c>
      <c r="W107" s="72">
        <v>14.4</v>
      </c>
      <c r="X107" s="115">
        <f>V107/NU107</f>
        <v>18.227848101265824</v>
      </c>
      <c r="Y107" s="26">
        <f>W107*NW107/10^3</f>
        <v>0.42912</v>
      </c>
      <c r="Z107" s="26"/>
      <c r="AA107" s="26"/>
      <c r="AB107" s="26"/>
      <c r="AE107" s="734">
        <f>AB$14*$AN107/$C107</f>
        <v>3.8622449369255087</v>
      </c>
      <c r="AF107" s="734">
        <f>(AB$14-$C108*$AY108)/$C107</f>
        <v>3.7381016779268701</v>
      </c>
      <c r="AG107" s="115">
        <f>AC$14*$AN107/$C107</f>
        <v>4.2969948075691526</v>
      </c>
      <c r="AH107" s="115">
        <f>(AC$14-$C108*$AY108)/$C107</f>
        <v>4.3829806527149424</v>
      </c>
      <c r="AI107" s="115">
        <f>AD$14*$AN107/$C107</f>
        <v>2.5298556929563385</v>
      </c>
      <c r="AJ107" s="115">
        <f>(AD$14-$C108*$AY108)/$C107</f>
        <v>1.7617242993726012</v>
      </c>
      <c r="AK107" s="722">
        <f>Y107/(Y107+Y108)</f>
        <v>0.6741573033707865</v>
      </c>
      <c r="AL107" s="164">
        <v>0.9</v>
      </c>
      <c r="AM107" s="69">
        <f>V107*AL107/(V107*AL107+V108*AL108)</f>
        <v>0.82219679373420262</v>
      </c>
      <c r="AN107" s="53">
        <f t="shared" ref="AN107:AN108" si="33">AK107</f>
        <v>0.6741573033707865</v>
      </c>
      <c r="AO107" s="252"/>
      <c r="AP107" s="252"/>
      <c r="AQ107" s="115"/>
      <c r="AR107" s="115"/>
      <c r="AS107" s="115"/>
      <c r="AT107" s="115"/>
      <c r="AU107" s="115"/>
      <c r="AV107" s="115"/>
      <c r="AW107" s="115"/>
      <c r="AX107" s="115"/>
      <c r="AY107" s="115"/>
      <c r="AZ107" s="115"/>
      <c r="BA107" s="115"/>
      <c r="BB107" s="115"/>
      <c r="BC107" s="115"/>
      <c r="BD107" s="115"/>
      <c r="BE107" s="115"/>
      <c r="BF107" s="115"/>
      <c r="BG107" s="115"/>
      <c r="BH107" s="115"/>
      <c r="BI107" s="115"/>
      <c r="BJ107" s="252"/>
      <c r="BK107" s="252"/>
      <c r="BL107" s="115"/>
      <c r="BM107" s="115"/>
      <c r="BN107" s="115"/>
      <c r="BO107" s="115"/>
      <c r="BP107" s="115"/>
      <c r="BQ107" s="115"/>
      <c r="BR107" s="115"/>
      <c r="BS107" s="115"/>
      <c r="BT107" s="115"/>
      <c r="BU107" s="115"/>
      <c r="BV107" s="26">
        <f>BW107*$NT107</f>
        <v>1.104669852102504</v>
      </c>
      <c r="BW107" s="115">
        <f>BP$14*$AN107/$C107</f>
        <v>1.104669852102504</v>
      </c>
      <c r="BX107" s="74"/>
      <c r="BY107" s="74"/>
      <c r="BZ107" s="73">
        <f>10^3*BW107/$NW107</f>
        <v>37.069458124245095</v>
      </c>
      <c r="CA107" s="115">
        <f>10^3*BW107/$NY107</f>
        <v>41.219024332182983</v>
      </c>
      <c r="CB107" s="115">
        <f>BW107*$NT107*$NU107</f>
        <v>0.87268918316097821</v>
      </c>
      <c r="CC107" s="115">
        <f>CD107*$NT107</f>
        <v>1.0990870579397118</v>
      </c>
      <c r="CD107" s="115">
        <f>BP$14/$C107-$AZ108*$C108/$C107</f>
        <v>1.0990870579397118</v>
      </c>
      <c r="CE107" s="127"/>
      <c r="CF107" s="127"/>
      <c r="CG107" s="73">
        <f>10^3*CD107/$NW107</f>
        <v>36.882116038245364</v>
      </c>
      <c r="CH107" s="685">
        <f>10^3*CD107/$NY107</f>
        <v>41.010711117153427</v>
      </c>
      <c r="CI107" s="115">
        <f>CD107*$NT107*$NU107</f>
        <v>0.86827877577237245</v>
      </c>
      <c r="CJ107" s="115">
        <f>CK107*$NT107</f>
        <v>1.2865195495148376</v>
      </c>
      <c r="CK107" s="115">
        <f>BQ$14*$AN107/$C107</f>
        <v>1.2865195495148376</v>
      </c>
      <c r="CL107" s="74"/>
      <c r="CM107" s="74"/>
      <c r="CN107" s="73">
        <f>10^3*CK107/$NW107</f>
        <v>43.171796963585152</v>
      </c>
      <c r="CO107" s="73">
        <f>10^3*CK107/$NY107</f>
        <v>48.004460802792444</v>
      </c>
      <c r="CP107" s="115">
        <f>CK107*$NT107*$NU107</f>
        <v>1.0163504441167217</v>
      </c>
      <c r="CQ107" s="115">
        <f>CR107*$NT107</f>
        <v>1.3688307757680069</v>
      </c>
      <c r="CR107" s="115">
        <f>BQ$14/$C107-$AZ108*$C108/$C107</f>
        <v>1.3688307757680069</v>
      </c>
      <c r="CS107" s="127"/>
      <c r="CT107" s="127"/>
      <c r="CU107" s="73">
        <f>10^3*CR107/$NW107</f>
        <v>45.933918649933119</v>
      </c>
      <c r="CV107" s="677">
        <f>10^3*CR107/$NY107</f>
        <v>51.075775215224141</v>
      </c>
      <c r="CW107" s="115">
        <f>CR107*$NT107*$NU107</f>
        <v>1.0813763128567255</v>
      </c>
      <c r="CX107" s="115">
        <f>CY107*$NT107</f>
        <v>0.54735035136860832</v>
      </c>
      <c r="CY107" s="115">
        <f>BR$14*$AN107/$C107</f>
        <v>0.54735035136860832</v>
      </c>
      <c r="DB107" s="73">
        <f>10^3*CY107/$NW107</f>
        <v>18.367461455322427</v>
      </c>
      <c r="DC107" s="73">
        <f>10^3*CY107/$NY107</f>
        <v>20.423520573455534</v>
      </c>
      <c r="DD107" s="127">
        <f>CY107*$NT107*$NU107</f>
        <v>0.43240677758120061</v>
      </c>
      <c r="DE107" s="115">
        <f>DF107*$NT107</f>
        <v>0.27239646518443328</v>
      </c>
      <c r="DF107" s="115">
        <f>BR$14/$C107-$AZ108*$C108/$C107</f>
        <v>0.27239646518443328</v>
      </c>
      <c r="DG107" s="127"/>
      <c r="DH107" s="127"/>
      <c r="DI107" s="73">
        <f>10^3*DF107/$NW107</f>
        <v>9.140820979343399</v>
      </c>
      <c r="DJ107" s="677">
        <f>10^3*DF107/$NY107</f>
        <v>10.164047208374376</v>
      </c>
      <c r="DK107" s="127">
        <f>DF107*$NT107*$NU107</f>
        <v>0.21519320749570231</v>
      </c>
      <c r="DL107" s="26">
        <f>DM107*$NT107</f>
        <v>1.2790222964274409</v>
      </c>
      <c r="DM107" s="115">
        <f>BS$14*$AN107/$C107</f>
        <v>1.2790222964274409</v>
      </c>
      <c r="DP107" s="73">
        <f>10^3*DM107/$NW107</f>
        <v>42.920211289511442</v>
      </c>
      <c r="DQ107" s="73">
        <f>10^3*DM107/$NY107</f>
        <v>47.724712553262719</v>
      </c>
      <c r="DR107" s="115">
        <f>DM107*$NT107*$NU107</f>
        <v>1.0104276141776785</v>
      </c>
      <c r="DS107" s="26">
        <f>DT107*$NT107</f>
        <v>1.1811689550035398</v>
      </c>
      <c r="DT107" s="115">
        <f>BS$14/$C107-$BB108*$C108/$C107</f>
        <v>1.1811689550035398</v>
      </c>
      <c r="DU107" s="133"/>
      <c r="DV107" s="133"/>
      <c r="DW107" s="73">
        <f>10^3*DT107/$NW107</f>
        <v>39.636542114212745</v>
      </c>
      <c r="DX107" s="677">
        <f>10^3*DT107/$NY107</f>
        <v>44.073468470281334</v>
      </c>
      <c r="DY107" s="115">
        <f>DT107*$NT107*$NU107</f>
        <v>0.93312347445279653</v>
      </c>
      <c r="DZ107" s="26">
        <f>EA107*$NT107</f>
        <v>1.4875877924082981</v>
      </c>
      <c r="EA107" s="115">
        <f>BT$14*$AN107/$C107</f>
        <v>1.4875877924082981</v>
      </c>
      <c r="EB107" s="74"/>
      <c r="EC107" s="74"/>
      <c r="ED107" s="73">
        <f>10^3*EA107/$NW107</f>
        <v>49.919053436520073</v>
      </c>
      <c r="EE107" s="73">
        <f>10^3*EA107/$NY107</f>
        <v>55.50700717941411</v>
      </c>
      <c r="EF107" s="115">
        <f>EA107*$NT107*$NU107</f>
        <v>1.1751943560025555</v>
      </c>
      <c r="EG107" s="115">
        <f>EH107*$NT107</f>
        <v>1.4905411073751447</v>
      </c>
      <c r="EH107" s="115">
        <f>BT$14/$C107-$BB108*$C108/$C107</f>
        <v>1.4905411073751447</v>
      </c>
      <c r="EI107" s="133"/>
      <c r="EJ107" s="133"/>
      <c r="EK107" s="73">
        <f>10^3*EH107/$NW107</f>
        <v>50.018157965608886</v>
      </c>
      <c r="EL107" s="677">
        <f>10^3*EH107/$NY107</f>
        <v>55.617205499072561</v>
      </c>
      <c r="EM107" s="115">
        <f>EH107*$NT107*$NU107</f>
        <v>1.1775274748263644</v>
      </c>
      <c r="EN107" s="26">
        <f>EO107*$NT107</f>
        <v>7.3819650968204646</v>
      </c>
      <c r="EO107" s="115">
        <f>BU$14*$AN107/$C107</f>
        <v>7.3819650968204646</v>
      </c>
      <c r="EP107" s="37"/>
      <c r="ER107" s="73">
        <f>10^3*EO107/$NW107</f>
        <v>247.71694955773373</v>
      </c>
      <c r="ES107" s="73">
        <f>10^3*EO107/$NY107</f>
        <v>275.4464588365845</v>
      </c>
      <c r="ET107" s="115">
        <f>EO107*$NT107*$NU107</f>
        <v>5.8317524264881673</v>
      </c>
      <c r="EU107" s="115">
        <f>EV107*$NT107</f>
        <v>10.233867442253191</v>
      </c>
      <c r="EV107" s="115">
        <f>BU$14/$C107-$BB108*$C108/$C107</f>
        <v>10.233867442253191</v>
      </c>
      <c r="EW107" s="133"/>
      <c r="EX107" s="133"/>
      <c r="EY107" s="73">
        <f>10^3*EV107/$NW107</f>
        <v>343.41837054540912</v>
      </c>
      <c r="EZ107" s="677">
        <f>10^3*EV107/$NY107</f>
        <v>381.86072545720862</v>
      </c>
      <c r="FA107" s="115">
        <f>EV107*$NT107*$NU107</f>
        <v>8.0847552793800208</v>
      </c>
      <c r="FE107" s="26">
        <f>FF107*$NT107</f>
        <v>2.5640105565707398</v>
      </c>
      <c r="FF107" s="115">
        <f>FB$14*$AN107/$C107</f>
        <v>2.5640105565707398</v>
      </c>
      <c r="FH107" s="74"/>
      <c r="FI107" s="73">
        <f>10^3*FF107/$NW107</f>
        <v>86.04062270371611</v>
      </c>
      <c r="FJ107" s="73">
        <f>10^3*FE107/$NY107</f>
        <v>95.672035692938053</v>
      </c>
      <c r="FK107" s="115">
        <f>FF107*$NT107*$NU107</f>
        <v>2.0255683396908846</v>
      </c>
      <c r="FL107" s="26">
        <f>FM107*$NT107</f>
        <v>2.5933043672129612</v>
      </c>
      <c r="FM107" s="115">
        <f>FB$14/$C107-$BC108*$C108/$C107</f>
        <v>2.5933043672129612</v>
      </c>
      <c r="FP107" s="73">
        <f>10^3*FM107/$NW107</f>
        <v>87.023636483656404</v>
      </c>
      <c r="FQ107" s="562">
        <f>10^3*FL107/$NY107</f>
        <v>96.765088328841827</v>
      </c>
      <c r="FR107" s="115">
        <f>FM107*$NT107*$NU107</f>
        <v>2.0487104500982394</v>
      </c>
      <c r="FS107" s="26">
        <f>FT107*$NT107</f>
        <v>2.9821143964529924</v>
      </c>
      <c r="FT107" s="115">
        <f>FC$14*$AN107/$C107</f>
        <v>2.9821143964529924</v>
      </c>
      <c r="FW107" s="73">
        <f>10^3*FT107/$NW107</f>
        <v>100.07095290110712</v>
      </c>
      <c r="FX107" s="73">
        <f>10^3*FS107/$NY107</f>
        <v>111.27292524078329</v>
      </c>
      <c r="FY107" s="115">
        <f>FT107*$NT107*$NU107</f>
        <v>2.3558703731978641</v>
      </c>
      <c r="FZ107" s="26">
        <f>GA107*$NT107</f>
        <v>3.2134917297049688</v>
      </c>
      <c r="GA107" s="115">
        <f>FC$14/$C107-$BC108*$C108/$C107</f>
        <v>3.2134917297049688</v>
      </c>
      <c r="GD107" s="562">
        <f>10^3*GA107/$NW107</f>
        <v>107.83529294311975</v>
      </c>
      <c r="GE107" s="73">
        <f>10^3*FZ107/$NY107</f>
        <v>119.90640782481226</v>
      </c>
      <c r="GF107" s="115">
        <f>GA107*$NT107*$NU107</f>
        <v>2.5386584664669254</v>
      </c>
      <c r="GG107" s="26">
        <f>GH107*$NT107</f>
        <v>1.2826368363288636</v>
      </c>
      <c r="GH107" s="115">
        <f>FD$14*$AN107/$C107</f>
        <v>1.2826368363288636</v>
      </c>
      <c r="GJ107" s="74"/>
      <c r="GK107" s="73">
        <f>10^3*GH107/$NW107</f>
        <v>43.041504574794082</v>
      </c>
      <c r="GL107" s="73">
        <f>10^3*GG107/$NY107</f>
        <v>47.85958344510685</v>
      </c>
      <c r="GM107" s="115">
        <f>GH107*$NT107*$NU107</f>
        <v>1.0132831006998022</v>
      </c>
      <c r="GN107" s="26">
        <f>GO107*$NT107</f>
        <v>0.69260001552084471</v>
      </c>
      <c r="GO107" s="115">
        <f>FD$14/$C107-$BC108*$C108/$C107</f>
        <v>0.69260001552084471</v>
      </c>
      <c r="GR107" s="562">
        <f>10^3*GO107/$NW107</f>
        <v>23.241611259088749</v>
      </c>
      <c r="GS107" s="73">
        <f>10^3*GN107/$NY107</f>
        <v>25.843284161225551</v>
      </c>
      <c r="GT107" s="115">
        <f>GO107*$NT107*$NU107</f>
        <v>0.54715401226146732</v>
      </c>
      <c r="GU107" s="115"/>
      <c r="GV107" s="115"/>
      <c r="GW107" s="115"/>
      <c r="GX107" s="68">
        <f>GZ107*$W107</f>
        <v>3.2351535594789818</v>
      </c>
      <c r="GY107" s="26">
        <f>GZ107*$NT107</f>
        <v>0.22466344163048485</v>
      </c>
      <c r="GZ107" s="127">
        <f>$AN107*GU$14/C107</f>
        <v>0.22466344163048485</v>
      </c>
      <c r="HB107" s="74"/>
      <c r="HC107" s="73">
        <f>10^3*GZ107/$NW107</f>
        <v>7.539041665452511</v>
      </c>
      <c r="HD107" s="115">
        <f>10^3*GZ107/$NY107</f>
        <v>8.3829642399434636</v>
      </c>
      <c r="HE107" s="115">
        <f>GZ107*$NT107*$NU107</f>
        <v>0.17748411888808305</v>
      </c>
      <c r="HF107" s="335">
        <f>HG107*$NT107</f>
        <v>0.21912026813441726</v>
      </c>
      <c r="HG107" s="127">
        <f>GU$14/$C107-$BI108*$C108/$C107</f>
        <v>0.21912026813441726</v>
      </c>
      <c r="HH107" s="115"/>
      <c r="HI107" s="115"/>
      <c r="HJ107" s="73">
        <f>10^3*HG107/$NW107</f>
        <v>7.3530291320274248</v>
      </c>
      <c r="HK107" s="110">
        <f>10^3*HG107/$NY107</f>
        <v>8.1761294080006444</v>
      </c>
      <c r="HL107" s="115">
        <f>HG107*$NT107*$NU107</f>
        <v>0.17310501182618965</v>
      </c>
      <c r="HM107" s="115">
        <f>HN107*$NT107</f>
        <v>0.27615149160744423</v>
      </c>
      <c r="HN107" s="127">
        <f>$AN107*GV$14/C107</f>
        <v>0.27615149160744423</v>
      </c>
      <c r="HQ107" s="73">
        <f>10^3*HN107/$NW107</f>
        <v>9.2668285774310153</v>
      </c>
      <c r="HR107" s="73">
        <f>10^3*HN107/$NY107</f>
        <v>10.304160134606128</v>
      </c>
      <c r="HS107" s="115">
        <f>HN107*$NT107*$NU107</f>
        <v>0.21815967836988095</v>
      </c>
      <c r="HT107" s="335">
        <f>HU107*$NT107</f>
        <v>0.29549420893357364</v>
      </c>
      <c r="HU107" s="127">
        <f>GV$14/$C107-$BI108*$C108/$C107</f>
        <v>0.29549420893357364</v>
      </c>
      <c r="HV107" s="115"/>
      <c r="HW107" s="115"/>
      <c r="HX107" s="73">
        <f>10^3*HU107/$NW107</f>
        <v>9.9159130514622031</v>
      </c>
      <c r="HY107" s="110">
        <f>10^3*HU107/$NY107</f>
        <v>11.025903318416926</v>
      </c>
      <c r="HZ107" s="115">
        <f>HU107*$NT107*$NU107</f>
        <v>0.23344042505752319</v>
      </c>
      <c r="IA107" s="115">
        <f>IB107*$NT107</f>
        <v>6.6866674766166631E-2</v>
      </c>
      <c r="IB107" s="127">
        <f>$AN107*GW$14/C107</f>
        <v>6.6866674766166631E-2</v>
      </c>
      <c r="IC107" s="133"/>
      <c r="IE107" s="73">
        <f>10^3*IB107/$NW107</f>
        <v>2.2438481465156586</v>
      </c>
      <c r="IF107" s="73">
        <f>10^3*IB107/$NY107</f>
        <v>2.495025177842038</v>
      </c>
      <c r="IG107" s="115">
        <f>IB107*$NT107*$NU107</f>
        <v>5.2824673065271638E-2</v>
      </c>
      <c r="IH107" s="335">
        <f>II107*$NT107</f>
        <v>-1.4944936047654789E-2</v>
      </c>
      <c r="II107" s="127">
        <f>GW$14/$C107-$BI108*$C108/$C107</f>
        <v>-1.4944936047654789E-2</v>
      </c>
      <c r="IJ107" s="115"/>
      <c r="IK107" s="115"/>
      <c r="IL107" s="73">
        <f>10^3*II107/$NW107</f>
        <v>-0.50150792106224118</v>
      </c>
      <c r="IM107" s="110">
        <f>10^3*II107/$NY107</f>
        <v>-0.55764686744980552</v>
      </c>
      <c r="IN107" s="115">
        <f>II107*$NT107*$NU107</f>
        <v>-1.1806499477647284E-2</v>
      </c>
      <c r="IV107" s="26">
        <f>IW107*$NT107</f>
        <v>1.5796386093522483</v>
      </c>
      <c r="IW107" s="115">
        <f>AN107*JK106</f>
        <v>1.5796386093522483</v>
      </c>
      <c r="IX107" s="73"/>
      <c r="IZ107" s="679">
        <f>AN107*JL106</f>
        <v>58.941739154934631</v>
      </c>
      <c r="JA107" s="115">
        <f>IW107*$NT107*$NU107</f>
        <v>1.2479145013882762</v>
      </c>
      <c r="JB107" s="115">
        <f>$IW107*JM106/$JK106</f>
        <v>1.0554500127578075</v>
      </c>
      <c r="JC107" s="115">
        <f>$IW107*JN106/$JK106</f>
        <v>0.46095264153826099</v>
      </c>
      <c r="JD107" s="115">
        <f>$IW107*JO106/$JK106</f>
        <v>6.323595505617978E-2</v>
      </c>
      <c r="JE107" s="115">
        <f>JF107*$NT107</f>
        <v>1.9276583820096276</v>
      </c>
      <c r="JF107" s="115">
        <f>JK106-BO108*C108/C107</f>
        <v>1.9276583820096276</v>
      </c>
      <c r="JG107" s="73"/>
      <c r="JH107" s="73"/>
      <c r="JI107" s="673">
        <f>10^3*JF107/NY107</f>
        <v>71.927551567523409</v>
      </c>
      <c r="JJ107" s="115">
        <f>JF107*$NT107*$NU107</f>
        <v>1.5228501217876058</v>
      </c>
      <c r="JL107" s="115"/>
      <c r="JQ107" s="133"/>
      <c r="JS107" s="133"/>
      <c r="JU107" s="133"/>
      <c r="KJ107" s="115">
        <f>BW107*44/12+$IW107+$GZ107</f>
        <v>5.8547581753585813</v>
      </c>
      <c r="KK107" s="73">
        <f>10^3*KJ107/$NY107</f>
        <v>218.4611259462157</v>
      </c>
      <c r="KL107" s="74"/>
      <c r="KM107" s="74"/>
      <c r="KN107" s="115">
        <f>KJ107*$NT107*$NU107</f>
        <v>4.6252589585332791</v>
      </c>
      <c r="KO107" s="115">
        <f>CD107*44/12+$JF107+$HF107</f>
        <v>6.1767645292563218</v>
      </c>
      <c r="KP107" s="677">
        <f>10^3*KO107/$NY107</f>
        <v>230.47628840508665</v>
      </c>
      <c r="KQ107" s="74"/>
      <c r="KR107" s="74"/>
      <c r="KS107" s="115">
        <f>KO107*$NT107*$NU107</f>
        <v>4.8796439781124947</v>
      </c>
      <c r="KT107" s="115">
        <f>CK107*44/12+$IW107+$HN107</f>
        <v>6.5730284491807636</v>
      </c>
      <c r="KU107" s="73">
        <f>10^3*KT107/$NY107</f>
        <v>245.26225556644638</v>
      </c>
      <c r="KX107" s="115">
        <f>KT107*$NT107*$NU107</f>
        <v>5.1926924748528034</v>
      </c>
      <c r="KY107" s="115">
        <f>CR107*44/12+$JF107+$HU107</f>
        <v>7.2421987687592262</v>
      </c>
      <c r="KZ107" s="677">
        <f>10^3*KY107/$NY107</f>
        <v>270.23129734176217</v>
      </c>
      <c r="LC107" s="115">
        <f>KY107*$NT107*$NU107</f>
        <v>5.7213370273197892</v>
      </c>
      <c r="LD107" s="115">
        <f>CY107*44/12+$IW107+$IB107</f>
        <v>3.6534565724699788</v>
      </c>
      <c r="LE107" s="73">
        <f>10^3*LD107/$NY107</f>
        <v>136.32300643544696</v>
      </c>
      <c r="LH107" s="115">
        <f>LD107*$NT107*$NU107</f>
        <v>2.8862306922512833</v>
      </c>
      <c r="LI107" s="115">
        <f>DF107*44/12+$JF107+$II107</f>
        <v>2.9115004849715613</v>
      </c>
      <c r="LJ107" s="677">
        <f>10^3*LI107/$NY107</f>
        <v>108.63807779744631</v>
      </c>
      <c r="LM107" s="115">
        <f>LI107*$NT107*$NU107</f>
        <v>2.3000853831275334</v>
      </c>
      <c r="LN107" s="115">
        <f>DM107*44/12+$IW107+$GZ107</f>
        <v>6.4940504712166831</v>
      </c>
      <c r="LO107" s="73">
        <f>10^3*LN107/$NY107</f>
        <v>242.31531609017475</v>
      </c>
      <c r="LR107" s="115">
        <f>LN107*$NT107*$NU107</f>
        <v>5.1302998722611797</v>
      </c>
      <c r="LS107" s="115">
        <f>DT107*44/12+$JF107+$HN107</f>
        <v>6.5347627086300513</v>
      </c>
      <c r="LT107" s="677">
        <f>10^3*LS107/$NY107</f>
        <v>243.83442942649444</v>
      </c>
      <c r="LW107" s="115">
        <f>LS107*$NT107*$NU107</f>
        <v>5.1624625398177404</v>
      </c>
      <c r="LX107" s="115">
        <f>EA107*44/12+$IW107+$HN107</f>
        <v>7.3102786731234533</v>
      </c>
      <c r="LY107" s="73">
        <f>10^3*LX107/$NY107</f>
        <v>272.77159228072588</v>
      </c>
      <c r="MB107" s="115">
        <f>LX107*$NT107*$NU107</f>
        <v>5.7751201517675286</v>
      </c>
      <c r="MC107" s="115">
        <f>EH107*44/12+$JF107+$HN107</f>
        <v>7.6691272673259361</v>
      </c>
      <c r="MD107" s="677">
        <f>10^3*MC107/$NY107</f>
        <v>286.16146519872893</v>
      </c>
      <c r="MG107" s="115">
        <f>MC107*$NT107*$NU107</f>
        <v>6.0586105411874902</v>
      </c>
      <c r="MH107" s="115">
        <f>EO107*44/12+$IW107+$IB107</f>
        <v>28.713710639126784</v>
      </c>
      <c r="MI107" s="73">
        <f>10^3*MH107/$NY107</f>
        <v>1071.4071134002531</v>
      </c>
      <c r="ML107" s="115">
        <f>MH107*$NT107*$NU107</f>
        <v>22.683831404910162</v>
      </c>
      <c r="MM107" s="115">
        <f>EV107*44/12+$JF107+$HN107</f>
        <v>39.727990495212097</v>
      </c>
      <c r="MN107" s="677">
        <f>10^3*MM107/$NY107</f>
        <v>1482.3877050452274</v>
      </c>
      <c r="MQ107" s="115">
        <f>MM107*$NT107*$NU107</f>
        <v>31.385112491217559</v>
      </c>
      <c r="MR107" s="295">
        <v>86</v>
      </c>
      <c r="MS107" s="73">
        <f>KK107-$MR107</f>
        <v>132.4611259462157</v>
      </c>
      <c r="MT107" s="115">
        <f>MS107*$NZ107/10^3</f>
        <v>2.8044669585332791</v>
      </c>
      <c r="MU107" s="676">
        <f>KP107-$MR107</f>
        <v>144.47628840508665</v>
      </c>
      <c r="MV107" s="115">
        <f>MU107*$NZ107/10^3</f>
        <v>3.0588519781124948</v>
      </c>
      <c r="MW107" s="73">
        <f>KU107-$MR107</f>
        <v>159.26225556644638</v>
      </c>
      <c r="MX107" s="115">
        <f>MW107*$NZ107/10^3</f>
        <v>3.3719004748528025</v>
      </c>
      <c r="MY107" s="676">
        <f>KZ107-$MR107</f>
        <v>184.23129734176217</v>
      </c>
      <c r="MZ107" s="115">
        <f>MY107*$NZ107/10^3</f>
        <v>3.9005450273197888</v>
      </c>
      <c r="NA107" s="73">
        <f>LE107-$MR107</f>
        <v>50.323006435446956</v>
      </c>
      <c r="NB107" s="115">
        <f>NA107*$NZ107/10^3</f>
        <v>1.0654386922512828</v>
      </c>
      <c r="NC107" s="676">
        <f>LJ107-$MR107</f>
        <v>22.638077797446314</v>
      </c>
      <c r="ND107" s="115">
        <f>NC107*$NZ107/10^3</f>
        <v>0.47929338312753339</v>
      </c>
      <c r="NE107" s="73">
        <f>LO107-$MR107</f>
        <v>156.31531609017475</v>
      </c>
      <c r="NF107" s="115">
        <f>NE107*$NZ107/10^3</f>
        <v>3.3095078722611797</v>
      </c>
      <c r="NG107" s="676">
        <f>LT107-$MR107</f>
        <v>157.83442942649444</v>
      </c>
      <c r="NH107" s="115">
        <f>NG107*$NZ107/10^3</f>
        <v>3.3416705398177404</v>
      </c>
      <c r="NI107" s="73">
        <f>LY107-$MR107</f>
        <v>186.77159228072588</v>
      </c>
      <c r="NJ107" s="115">
        <f>NI107*$NZ107/10^3</f>
        <v>3.9543281517675286</v>
      </c>
      <c r="NK107" s="676">
        <f>MD107-$MR107</f>
        <v>200.16146519872893</v>
      </c>
      <c r="NL107" s="115">
        <f>NK107*$NZ107/10^3</f>
        <v>4.2378185411874894</v>
      </c>
      <c r="NM107" s="73">
        <f>MI107-$MR107</f>
        <v>985.40711340025314</v>
      </c>
      <c r="NN107" s="115">
        <f>NM107*$NZ107/10^3</f>
        <v>20.863039404910161</v>
      </c>
      <c r="NO107" s="676">
        <f>MN107-$MR107</f>
        <v>1396.3877050452274</v>
      </c>
      <c r="NP107" s="115">
        <f>NO107*$NZ107/10^3</f>
        <v>29.564320491217558</v>
      </c>
      <c r="NQ107" s="73"/>
      <c r="NR107" s="73"/>
      <c r="NS107" s="73"/>
      <c r="NT107" s="31">
        <v>1</v>
      </c>
      <c r="NU107" s="103">
        <v>0.79</v>
      </c>
      <c r="NV107" s="32">
        <f>$NT107*NW107</f>
        <v>29.8</v>
      </c>
      <c r="NW107" s="9">
        <v>29.8</v>
      </c>
      <c r="NX107" s="26">
        <f>NV107*NU107</f>
        <v>23.542000000000002</v>
      </c>
      <c r="NY107" s="9">
        <v>26.8</v>
      </c>
      <c r="NZ107" s="26">
        <f>NY107*NT107*NU107</f>
        <v>21.172000000000001</v>
      </c>
    </row>
    <row r="108" spans="1:494" x14ac:dyDescent="0.25">
      <c r="A108" s="37" t="s">
        <v>300</v>
      </c>
      <c r="B108" s="468">
        <f>C108*NT14/NT108</f>
        <v>0.25932346616065777</v>
      </c>
      <c r="C108" s="683">
        <f>D108*NW14/NW108</f>
        <v>0.27405775401069515</v>
      </c>
      <c r="D108" s="134">
        <v>0.28999999999999998</v>
      </c>
      <c r="E108" s="468"/>
      <c r="F108" s="468"/>
      <c r="G108" s="468"/>
      <c r="H108" s="468"/>
      <c r="I108" s="127">
        <f>J108*NZ107</f>
        <v>0.61502589461982249</v>
      </c>
      <c r="J108" s="117">
        <f>V108/(10^3*Y107*NY107/NW107)</f>
        <v>2.9049022039477731E-2</v>
      </c>
      <c r="K108" s="122"/>
      <c r="L108" s="122"/>
      <c r="M108" s="122"/>
      <c r="V108" s="55">
        <f>W108/NT108</f>
        <v>11.210598585475246</v>
      </c>
      <c r="W108" s="26">
        <f>10^3*Y108/NW108</f>
        <v>10.425856684491979</v>
      </c>
      <c r="X108" s="115"/>
      <c r="Y108" s="26">
        <f>D108/D107*Y107</f>
        <v>0.20740800000000001</v>
      </c>
      <c r="Z108" s="26"/>
      <c r="AA108" s="26">
        <f>W108*OD108</f>
        <v>3.1277570053475938</v>
      </c>
      <c r="AB108" s="26"/>
      <c r="AE108" s="115">
        <f>AB$14*$AN108/$C108</f>
        <v>2.5783228730725054</v>
      </c>
      <c r="AF108" s="115"/>
      <c r="AG108" s="115">
        <f>AC$14*$AN108/$C108</f>
        <v>2.8685492967850625</v>
      </c>
      <c r="AH108" s="115"/>
      <c r="AI108" s="115">
        <f>AD$14*$AN108/$C108</f>
        <v>1.6888583984822052</v>
      </c>
      <c r="AJ108" s="115"/>
      <c r="AK108" s="722">
        <f>1-AK107</f>
        <v>0.3258426966292135</v>
      </c>
      <c r="AL108" s="164">
        <v>0.25</v>
      </c>
      <c r="AM108" s="69">
        <f>V108*AL108/(V107*AL107+V108*AL108)</f>
        <v>0.17780320626579735</v>
      </c>
      <c r="AN108" s="53">
        <f t="shared" si="33"/>
        <v>0.3258426966292135</v>
      </c>
      <c r="AO108" s="453">
        <v>0.68799999999999994</v>
      </c>
      <c r="AP108" s="453">
        <v>9.5000000000000001E-2</v>
      </c>
      <c r="AQ108" s="453">
        <v>0.114</v>
      </c>
      <c r="AR108" s="83">
        <v>6.8000000000000005E-2</v>
      </c>
      <c r="AS108" s="122">
        <f>1-AO108-AP108-AQ108-AR108</f>
        <v>3.5000000000000045E-2</v>
      </c>
      <c r="AT108" s="115">
        <f>AO108*AB$14</f>
        <v>1.4919691480480091</v>
      </c>
      <c r="AU108" s="115">
        <f>AP108*AB$16</f>
        <v>0.34274388308262443</v>
      </c>
      <c r="AV108" s="115">
        <f>AQ108*AE$80</f>
        <v>0.4352282739756092</v>
      </c>
      <c r="AW108" s="115">
        <f>AR108*AE$90</f>
        <v>0.28151291524141003</v>
      </c>
      <c r="AX108" s="115">
        <f>AS108*AE$127</f>
        <v>0.19833302094693517</v>
      </c>
      <c r="AY108" s="91">
        <f>AT108+AU108+AV108+AW108+AX108</f>
        <v>2.7497872412945878</v>
      </c>
      <c r="AZ108" s="735">
        <f>AT108*BP$14/AB$14+AU108*BP$16/AB$16+AV108*BW$80/AE$80+AW108*BW$90/AE$90+AX108*BW$127/AE$127</f>
        <v>0.7451564549255254</v>
      </c>
      <c r="BA108" s="127" t="e">
        <f>AT108*#REF!/AB$14+AU108*#REF!/AB$16+AV108*#REF!/AE$80+AW108*#REF!/AE$90+AX108*#REF!/AE$127</f>
        <v>#REF!</v>
      </c>
      <c r="BB108" s="735">
        <f>AU108*BS$14/AB$14+AV108*BS$16/AB$16+AW108*DM$80/AE$80+AX108*DM$90/AE$90+AY108*DM$127/AE$127</f>
        <v>0.98899146724090947</v>
      </c>
      <c r="BC108" s="115">
        <f>AT108*FB$14/AB$14+AU108*FB$16/AB$16+AV108*FF$80/AE$80+AW108*FF$90/AE$90+AX108*FF$127/AE$127</f>
        <v>1.6711991280679466</v>
      </c>
      <c r="BD108" s="172">
        <f>AO108*'Crops; pasture DISCOUNTED'!IR$20</f>
        <v>8.678655266068977E-2</v>
      </c>
      <c r="BE108" s="172">
        <f>AP108*'Crops; pasture DISCOUNTED'!IR$22</f>
        <v>1.2093902463332829E-2</v>
      </c>
      <c r="BF108" s="127">
        <f>AQ108*GZ$80</f>
        <v>1.7275633084001072E-2</v>
      </c>
      <c r="BG108" s="127">
        <f>AR108*GZ$90</f>
        <v>3.0690307390676255E-2</v>
      </c>
      <c r="BH108" s="127">
        <f>AS108*GZ$127</f>
        <v>1.0788540486327422E-2</v>
      </c>
      <c r="BI108" s="735">
        <f>BD108+BE108+BF108+BG108+BH108</f>
        <v>0.15763493608502738</v>
      </c>
      <c r="BJ108" s="172">
        <f>AO108*'Crops; pasture DISCOUNTED'!JZ$20</f>
        <v>0.36104440145090905</v>
      </c>
      <c r="BK108" s="172">
        <f>AP108*'Crops; pasture DISCOUNTED'!JZ$22</f>
        <v>7.4330646369659095E-2</v>
      </c>
      <c r="BL108" s="127">
        <f>AQ108*IW$80</f>
        <v>4.2690844600292294E-2</v>
      </c>
      <c r="BM108" s="127">
        <f>AR108*IW$90</f>
        <v>5.538232122938315E-2</v>
      </c>
      <c r="BN108" s="127">
        <f>AS108*IW$127</f>
        <v>4.0394318035862443E-2</v>
      </c>
      <c r="BO108" s="735">
        <f>BJ108+BK108+BL108+BM108+BN108</f>
        <v>0.57384253168610599</v>
      </c>
      <c r="BP108" s="127"/>
      <c r="BQ108" s="127"/>
      <c r="BR108" s="127"/>
      <c r="BS108" s="127"/>
      <c r="BT108" s="127"/>
      <c r="BU108" s="127"/>
      <c r="BV108" s="26">
        <f>BW108*$NT108</f>
        <v>0.68582441089228363</v>
      </c>
      <c r="BW108" s="127">
        <f>BP$14*$AN108/$C108</f>
        <v>0.73744560310998242</v>
      </c>
      <c r="BX108" s="74"/>
      <c r="BY108" s="115">
        <f>BW108/$OD108</f>
        <v>2.4581520103666081</v>
      </c>
      <c r="BZ108" s="74"/>
      <c r="CA108" s="74"/>
      <c r="CB108" s="74"/>
      <c r="CC108" s="335">
        <f>CD108*$NT108</f>
        <v>0.69299550308073865</v>
      </c>
      <c r="CD108" s="127">
        <f>AZ108</f>
        <v>0.7451564549255254</v>
      </c>
      <c r="CE108" s="115"/>
      <c r="CF108" s="143">
        <f>CD108/$OD108</f>
        <v>2.4838548497517516</v>
      </c>
      <c r="CG108" s="115"/>
      <c r="CH108" s="74"/>
      <c r="CI108" s="74"/>
      <c r="CJ108" s="115">
        <f>CK108*$NT108</f>
        <v>0.79872417126990369</v>
      </c>
      <c r="CK108" s="127">
        <f>BQ$14*$AN108/$C108</f>
        <v>0.85884319491387495</v>
      </c>
      <c r="CL108" s="74"/>
      <c r="CM108" s="115">
        <f>CK108/$OD108</f>
        <v>2.8628106497129164</v>
      </c>
      <c r="CN108" s="74"/>
      <c r="CQ108" s="115"/>
      <c r="CR108" s="127"/>
      <c r="CV108" s="74"/>
      <c r="CX108" s="115">
        <f>CY108*$NT108</f>
        <v>0.33981757677607699</v>
      </c>
      <c r="CY108" s="127">
        <f>BR$14*$AN108/$C108</f>
        <v>0.36539524384524408</v>
      </c>
      <c r="DA108" s="115">
        <f>CY108/$OD108</f>
        <v>1.2179841461508136</v>
      </c>
      <c r="DE108" s="115"/>
      <c r="DF108" s="127"/>
      <c r="DG108" s="115"/>
      <c r="DH108" s="115"/>
      <c r="DI108" s="115"/>
      <c r="DL108" s="26">
        <f>DM108*$NT108</f>
        <v>0.79406956865520606</v>
      </c>
      <c r="DM108" s="115">
        <f>BS$14*$AN108/$C108</f>
        <v>0.85383824586581292</v>
      </c>
      <c r="DO108" s="115">
        <f>DM108/$OD108</f>
        <v>2.8461274862193764</v>
      </c>
      <c r="DS108" s="335">
        <f>DT108*$NT108</f>
        <v>0.91976206453404585</v>
      </c>
      <c r="DT108" s="127">
        <f>BB108</f>
        <v>0.98899146724090947</v>
      </c>
      <c r="DU108" s="133"/>
      <c r="DV108" s="143">
        <f>DT108/$OD108</f>
        <v>3.2966382241363652</v>
      </c>
      <c r="DW108" s="115"/>
      <c r="DZ108" s="26">
        <f>EA108*$NT108</f>
        <v>0.92355559395161768</v>
      </c>
      <c r="EA108" s="115">
        <f>BT$14*$AN108/$C108</f>
        <v>0.99307053113077171</v>
      </c>
      <c r="EB108" s="74"/>
      <c r="EC108" s="115">
        <f>EA108/$OD108</f>
        <v>3.310235103769239</v>
      </c>
      <c r="ED108" s="74"/>
      <c r="EG108" s="115"/>
      <c r="EH108" s="133"/>
      <c r="EI108" s="133"/>
      <c r="EJ108" s="133"/>
      <c r="EK108" s="115"/>
      <c r="EL108" s="74"/>
      <c r="EN108" s="26">
        <f>EO108*$NT108</f>
        <v>4.5830270954878172</v>
      </c>
      <c r="EO108" s="115">
        <f>BU$14*$AN108/$C108</f>
        <v>4.9279861241804479</v>
      </c>
      <c r="EP108" s="37"/>
      <c r="EQ108" s="115">
        <f>EO108/$OD108</f>
        <v>16.426620413934828</v>
      </c>
      <c r="EU108" s="115"/>
      <c r="EV108" s="133"/>
      <c r="EW108" s="133"/>
      <c r="EX108" s="133"/>
      <c r="EY108" s="115"/>
      <c r="FE108" s="26">
        <f>FF108*$NT108</f>
        <v>1.5918430525960927</v>
      </c>
      <c r="FF108" s="115">
        <f>FB$14*$AN108/$C108</f>
        <v>1.7116591963398846</v>
      </c>
      <c r="FH108" s="115">
        <f>FF108/$OD108</f>
        <v>5.7055306544662825</v>
      </c>
      <c r="FI108" s="74"/>
      <c r="FJ108" s="74"/>
      <c r="FK108" s="74"/>
      <c r="FL108" s="26">
        <f>FM108*$NT108</f>
        <v>1.5542151891031903</v>
      </c>
      <c r="FM108" s="26">
        <f>BC108</f>
        <v>1.6711991280679466</v>
      </c>
      <c r="FO108" s="115">
        <f>FM108/$OD108</f>
        <v>5.5706637602264886</v>
      </c>
      <c r="FP108" s="74"/>
      <c r="FQ108" s="74"/>
      <c r="FR108" s="74"/>
      <c r="FS108" s="26">
        <f>FT108*$NT108</f>
        <v>1.8514190871310152</v>
      </c>
      <c r="FT108" s="115">
        <f>FC$14*$AN108/$C108</f>
        <v>1.9907732119688335</v>
      </c>
      <c r="FV108" s="115">
        <f>FT108/$OD108</f>
        <v>6.6359107065627789</v>
      </c>
      <c r="FW108" s="74"/>
      <c r="FX108" s="74"/>
      <c r="FZ108" s="26"/>
      <c r="GA108" s="26"/>
      <c r="GE108" s="74"/>
      <c r="GG108" s="26">
        <f>GH108*$NT108</f>
        <v>0.79631362346834478</v>
      </c>
      <c r="GH108" s="115">
        <f>FD$14*$AN108/$C108</f>
        <v>0.85625120803047816</v>
      </c>
      <c r="GJ108" s="115">
        <f>GH108/$OD108</f>
        <v>2.8541706934349271</v>
      </c>
      <c r="GK108" s="74"/>
      <c r="GL108" s="74"/>
      <c r="GM108" s="74"/>
      <c r="GN108" s="26"/>
      <c r="GO108" s="26"/>
      <c r="GS108" s="74"/>
      <c r="GT108" s="74"/>
      <c r="GU108" s="74"/>
      <c r="GV108" s="74"/>
      <c r="GW108" s="74"/>
      <c r="GX108" s="68">
        <f>GZ108*$W108</f>
        <v>1.5636575537481749</v>
      </c>
      <c r="GY108" s="26">
        <f>GZ108*$NT108</f>
        <v>0.13948029106796242</v>
      </c>
      <c r="GZ108" s="127">
        <f>$AN108*GU$14/C108</f>
        <v>0.14997880759995957</v>
      </c>
      <c r="HB108" s="115">
        <f>GZ108/$OD108</f>
        <v>0.49992935866653193</v>
      </c>
      <c r="HC108" s="115"/>
      <c r="HD108" s="73"/>
      <c r="HE108" s="115"/>
      <c r="HF108" s="335">
        <f>HG108*$NT108</f>
        <v>0.14660049055907548</v>
      </c>
      <c r="HG108" s="330">
        <f>$BI108</f>
        <v>0.15763493608502738</v>
      </c>
      <c r="HH108" s="115"/>
      <c r="HI108" s="115">
        <f>HG108/$OD108</f>
        <v>0.52544978695009126</v>
      </c>
      <c r="HJ108" s="115"/>
      <c r="HK108" s="115"/>
      <c r="HL108" s="115"/>
      <c r="HM108" s="115">
        <f>HN108*$NT108</f>
        <v>0.17144618701074765</v>
      </c>
      <c r="HN108" s="127">
        <f>$AN108*GV$14/C108</f>
        <v>0.18435073872123403</v>
      </c>
      <c r="HP108" s="115">
        <f>HN108/$OD108</f>
        <v>0.61450246240411344</v>
      </c>
      <c r="HQ108" s="115"/>
      <c r="HR108" s="73"/>
      <c r="HS108" s="115"/>
      <c r="HT108" s="115"/>
      <c r="HU108" s="115"/>
      <c r="HV108" s="115"/>
      <c r="HW108" s="115"/>
      <c r="HX108" s="115"/>
      <c r="HY108" s="115"/>
      <c r="HZ108" s="115"/>
      <c r="IA108" s="115">
        <f>IB108*$NT108</f>
        <v>4.1513577783035993E-2</v>
      </c>
      <c r="IB108" s="127">
        <f>$AN108*GW$14/C108</f>
        <v>4.4638255680683858E-2</v>
      </c>
      <c r="IC108" s="133"/>
      <c r="ID108" s="115">
        <f>IB108/$OD108</f>
        <v>0.14879418560227953</v>
      </c>
      <c r="IE108" s="115"/>
      <c r="IF108" s="73"/>
      <c r="IG108" s="115"/>
      <c r="IH108" s="115"/>
      <c r="II108" s="115"/>
      <c r="IJ108" s="115"/>
      <c r="IK108" s="115"/>
      <c r="IL108" s="115"/>
      <c r="IM108" s="115"/>
      <c r="IN108" s="115"/>
      <c r="IV108" s="335">
        <f>IW108*$NT108</f>
        <v>0.98070452146383524</v>
      </c>
      <c r="IW108" s="127">
        <f>AN108*JK106*C107/C108</f>
        <v>1.0545209908213282</v>
      </c>
      <c r="IY108" s="115">
        <f>IW108/$OD108</f>
        <v>3.5150699694044274</v>
      </c>
      <c r="IZ108" s="474">
        <f>IZ107/3.67</f>
        <v>16.060419388265569</v>
      </c>
      <c r="JA108" s="115"/>
      <c r="JB108" s="115">
        <f>$IW108*JM106/$JK106</f>
        <v>0.70458786372165516</v>
      </c>
      <c r="JC108" s="115">
        <f>$IW108*JN106/$JK106</f>
        <v>0.30771863475530065</v>
      </c>
      <c r="JD108" s="115">
        <f>$IW108*JO106/$JK106</f>
        <v>4.2214492344372474E-2</v>
      </c>
      <c r="JE108" s="26">
        <f>JF108*$NT108</f>
        <v>0.53367355446807863</v>
      </c>
      <c r="JF108" s="115">
        <f>BO108</f>
        <v>0.57384253168610599</v>
      </c>
      <c r="JH108" s="115">
        <f>JF108/$OD108</f>
        <v>1.9128084389536868</v>
      </c>
      <c r="KJ108" s="115">
        <f>BW108*44/12+$IW108+$GZ108</f>
        <v>3.9084670098245566</v>
      </c>
      <c r="KK108" s="74"/>
      <c r="KL108" s="74"/>
      <c r="KM108" s="115">
        <f>KJ108/$OD108</f>
        <v>13.028223366081855</v>
      </c>
      <c r="KN108" s="74"/>
      <c r="KO108" s="115">
        <f>44/12*AZ108+BI108+BO108</f>
        <v>3.4637178024980599</v>
      </c>
      <c r="KP108" s="74"/>
      <c r="KQ108" s="74"/>
      <c r="KR108" s="143">
        <f>KO108/$OD108</f>
        <v>11.545726008326866</v>
      </c>
      <c r="KS108" s="74"/>
      <c r="KT108" s="115">
        <f>CK108*44/12+$IW108+$HN108</f>
        <v>4.3879634442267701</v>
      </c>
      <c r="KW108" s="115">
        <f>KT108/$OD108</f>
        <v>14.626544814089234</v>
      </c>
      <c r="LD108" s="115">
        <f>CY108*44/12+$IW108+$IB108</f>
        <v>2.4389418072679065</v>
      </c>
      <c r="LG108" s="115">
        <f>LD108/$OD108</f>
        <v>8.1298060242263563</v>
      </c>
      <c r="LN108" s="115">
        <f>DM108*44/12+$IW108+$GZ108</f>
        <v>4.3352400332626013</v>
      </c>
      <c r="LQ108" s="115">
        <f>LN108/$OD108</f>
        <v>14.450800110875338</v>
      </c>
      <c r="LS108" s="115">
        <f>44/12*BB108+BI108+BO108</f>
        <v>4.3577795143211349</v>
      </c>
      <c r="LV108" s="143">
        <f>LS108/$OD108</f>
        <v>14.525931714403784</v>
      </c>
      <c r="LX108" s="115">
        <f>EA108*44/12+$IW108+$HN108</f>
        <v>4.8801303436887249</v>
      </c>
      <c r="MA108" s="115">
        <f>LX108/$OD108</f>
        <v>16.267101145629084</v>
      </c>
      <c r="MH108" s="115">
        <f>EO108*44/12+$IW108+$IB108</f>
        <v>19.168441701830321</v>
      </c>
      <c r="MK108" s="115">
        <f>MH108/$OD108</f>
        <v>63.894805672767738</v>
      </c>
      <c r="NT108" s="31">
        <v>0.93</v>
      </c>
      <c r="NU108" s="31"/>
      <c r="NV108" s="32">
        <f>$NT108*NW108</f>
        <v>18.501063829787235</v>
      </c>
      <c r="NW108" s="43">
        <f>18.7/0.94</f>
        <v>19.893617021276597</v>
      </c>
      <c r="OC108" s="38">
        <f>$NT108*OD108</f>
        <v>0.27900000000000003</v>
      </c>
      <c r="OD108" s="31">
        <v>0.3</v>
      </c>
    </row>
    <row r="109" spans="1:494" x14ac:dyDescent="0.25">
      <c r="A109" s="37" t="s">
        <v>233</v>
      </c>
      <c r="B109" s="727"/>
      <c r="C109" s="40">
        <f>1-C107-C108</f>
        <v>0.34741875605641898</v>
      </c>
      <c r="D109" s="40">
        <f>1-D107-D108</f>
        <v>0.11000000000000004</v>
      </c>
      <c r="E109" s="468"/>
      <c r="F109" s="468"/>
      <c r="G109" s="468"/>
      <c r="H109" s="468"/>
      <c r="I109" s="445"/>
      <c r="J109" s="445"/>
      <c r="K109" s="468"/>
      <c r="L109" s="468"/>
      <c r="M109" s="468"/>
      <c r="N109" s="40"/>
      <c r="V109" s="26"/>
      <c r="W109" s="26"/>
      <c r="X109" s="115"/>
      <c r="Y109" s="26">
        <f>D109/D107*Y107</f>
        <v>7.8672000000000034E-2</v>
      </c>
      <c r="Z109" s="26"/>
      <c r="AA109" s="26"/>
      <c r="AB109" s="26"/>
      <c r="AE109" s="115"/>
      <c r="AF109" s="74"/>
      <c r="AG109" s="74"/>
      <c r="AK109" s="722"/>
      <c r="AL109" s="74"/>
      <c r="AN109" s="74"/>
      <c r="AO109" s="104"/>
      <c r="AP109" s="104"/>
      <c r="AQ109" s="74"/>
      <c r="AR109" s="74"/>
      <c r="AS109" s="74"/>
      <c r="AT109" s="74"/>
      <c r="AU109" s="74"/>
      <c r="AV109" s="74"/>
      <c r="AW109" s="74"/>
      <c r="AX109" s="74"/>
      <c r="AY109" s="74"/>
      <c r="AZ109" s="115"/>
      <c r="BA109" s="127"/>
      <c r="BJ109" s="74"/>
      <c r="BK109" s="74"/>
      <c r="BL109" s="74"/>
      <c r="BM109" s="74"/>
      <c r="BN109" s="74"/>
      <c r="BO109" s="74"/>
      <c r="BP109" s="74"/>
      <c r="BQ109" s="74"/>
      <c r="BR109" s="74"/>
      <c r="BS109" s="74"/>
      <c r="BT109" s="74"/>
      <c r="BU109" s="74"/>
      <c r="BW109" s="115"/>
      <c r="BX109" s="74"/>
      <c r="BY109" s="74"/>
      <c r="BZ109" s="74"/>
      <c r="CA109" s="74"/>
      <c r="CB109" s="74"/>
      <c r="CC109" s="74"/>
      <c r="CD109" s="115"/>
      <c r="CE109" s="115"/>
      <c r="CF109" s="115"/>
      <c r="CG109" s="115"/>
      <c r="CH109" s="74"/>
      <c r="CI109" s="74"/>
      <c r="CJ109" s="74"/>
      <c r="CK109" s="115"/>
      <c r="CL109" s="74"/>
      <c r="CM109" s="74"/>
      <c r="CN109" s="74"/>
      <c r="CV109" s="74"/>
      <c r="CY109" s="115"/>
      <c r="DF109" s="115"/>
      <c r="DG109" s="115"/>
      <c r="DH109" s="115"/>
      <c r="DI109" s="115"/>
      <c r="DL109" s="37"/>
      <c r="DM109" s="115"/>
      <c r="DS109" s="37"/>
      <c r="DT109" s="133"/>
      <c r="DU109" s="133"/>
      <c r="DV109" s="133"/>
      <c r="DW109" s="115"/>
      <c r="EA109" s="115"/>
      <c r="EB109" s="74"/>
      <c r="EC109" s="74"/>
      <c r="ED109" s="74"/>
      <c r="EH109" s="133"/>
      <c r="EI109" s="133"/>
      <c r="EJ109" s="133"/>
      <c r="EK109" s="115"/>
      <c r="EL109" s="74"/>
      <c r="EN109" s="37"/>
      <c r="EO109" s="115"/>
      <c r="EP109" s="37"/>
      <c r="EV109" s="133"/>
      <c r="EW109" s="133"/>
      <c r="EX109" s="133"/>
      <c r="EY109" s="115"/>
      <c r="FF109" s="26"/>
      <c r="FH109" s="74"/>
      <c r="FI109" s="74"/>
      <c r="FJ109" s="74"/>
      <c r="FK109" s="74"/>
      <c r="FM109" s="26"/>
      <c r="FP109" s="74"/>
      <c r="FQ109" s="74"/>
      <c r="FR109" s="74"/>
      <c r="FT109" s="26"/>
      <c r="FW109" s="74"/>
      <c r="FX109" s="74"/>
      <c r="FZ109" s="37"/>
      <c r="GA109" s="26"/>
      <c r="GE109" s="74"/>
      <c r="GH109" s="26"/>
      <c r="GJ109" s="74"/>
      <c r="GK109" s="74"/>
      <c r="GL109" s="74"/>
      <c r="GM109" s="74"/>
      <c r="GO109" s="26"/>
      <c r="GS109" s="74"/>
      <c r="GT109" s="74"/>
      <c r="GU109" s="74"/>
      <c r="GV109" s="74"/>
      <c r="GW109" s="74"/>
      <c r="GX109" s="74"/>
      <c r="GY109" s="26"/>
      <c r="GZ109" s="127"/>
      <c r="HB109" s="115"/>
      <c r="HD109" s="73"/>
      <c r="HE109" s="74"/>
      <c r="HF109" s="74"/>
      <c r="HG109" s="74"/>
      <c r="HH109" s="74"/>
      <c r="HI109" s="74"/>
      <c r="HJ109" s="74"/>
      <c r="HK109" s="74"/>
      <c r="HL109" s="74"/>
      <c r="HM109" s="115"/>
      <c r="HN109" s="127"/>
      <c r="HP109" s="115"/>
      <c r="HR109" s="73"/>
      <c r="IA109" s="115"/>
      <c r="IB109" s="127"/>
      <c r="IC109" s="133"/>
      <c r="ID109" s="115"/>
      <c r="IE109" s="133"/>
      <c r="IF109" s="73"/>
      <c r="JF109" s="115"/>
      <c r="JQ109" s="643"/>
      <c r="KJ109" s="74"/>
      <c r="KK109" s="74"/>
      <c r="KL109" s="74"/>
      <c r="KM109" s="74"/>
      <c r="KN109" s="74"/>
      <c r="KO109" s="74"/>
      <c r="KP109" s="74"/>
      <c r="KQ109" s="74"/>
      <c r="KR109" s="74"/>
      <c r="KS109" s="74"/>
    </row>
    <row r="110" spans="1:494" x14ac:dyDescent="0.25">
      <c r="I110" s="445"/>
      <c r="J110" s="445"/>
      <c r="V110" s="26"/>
      <c r="Y110" s="26"/>
      <c r="AA110" s="26"/>
      <c r="AB110" s="26"/>
      <c r="AE110" s="115"/>
      <c r="AF110" s="74"/>
      <c r="AG110" s="74"/>
      <c r="AL110" s="74"/>
      <c r="AN110" s="74"/>
      <c r="AO110" s="74"/>
      <c r="AP110" s="74"/>
      <c r="AQ110" s="74"/>
      <c r="AR110" s="74"/>
      <c r="AS110" s="74"/>
      <c r="AT110" s="74"/>
      <c r="AU110" s="74"/>
      <c r="AV110" s="74"/>
      <c r="AW110" s="74"/>
      <c r="AX110" s="74"/>
      <c r="AY110" s="74"/>
      <c r="AZ110" s="115"/>
      <c r="BA110" s="127"/>
      <c r="BJ110" s="74"/>
      <c r="BK110" s="74"/>
      <c r="BL110" s="74"/>
      <c r="BM110" s="74"/>
      <c r="BN110" s="74"/>
      <c r="BO110" s="74"/>
      <c r="BP110" s="74"/>
      <c r="BQ110" s="74"/>
      <c r="BR110" s="74"/>
      <c r="BS110" s="74"/>
      <c r="BT110" s="74"/>
      <c r="BU110" s="74"/>
      <c r="BW110" s="115"/>
      <c r="BX110" s="74"/>
      <c r="BY110" s="74"/>
      <c r="BZ110" s="74"/>
      <c r="CA110" s="74"/>
      <c r="CB110" s="74"/>
      <c r="CC110" s="74"/>
      <c r="CD110" s="115"/>
      <c r="CE110" s="115"/>
      <c r="CF110" s="115"/>
      <c r="CG110" s="115"/>
      <c r="CH110" s="74"/>
      <c r="CI110" s="74"/>
      <c r="CJ110" s="74"/>
      <c r="CK110" s="115"/>
      <c r="CL110" s="74"/>
      <c r="CM110" s="74"/>
      <c r="CN110" s="74"/>
      <c r="CV110" s="74"/>
      <c r="CY110" s="115"/>
      <c r="DF110" s="115"/>
      <c r="DG110" s="115"/>
      <c r="DH110" s="115"/>
      <c r="DI110" s="115"/>
      <c r="DL110" s="37"/>
      <c r="DM110" s="115"/>
      <c r="DS110" s="37"/>
      <c r="DT110" s="133"/>
      <c r="DU110" s="133"/>
      <c r="DV110" s="133"/>
      <c r="DW110" s="115"/>
      <c r="EA110" s="115"/>
      <c r="EB110" s="74"/>
      <c r="EC110" s="74"/>
      <c r="ED110" s="74"/>
      <c r="EH110" s="133"/>
      <c r="EI110" s="133"/>
      <c r="EJ110" s="133"/>
      <c r="EK110" s="115"/>
      <c r="EL110" s="74"/>
      <c r="EN110" s="37"/>
      <c r="EO110" s="115"/>
      <c r="EP110" s="37"/>
      <c r="EV110" s="133"/>
      <c r="EW110" s="133"/>
      <c r="EX110" s="133"/>
      <c r="EY110" s="115"/>
      <c r="FF110" s="26"/>
      <c r="FH110" s="74"/>
      <c r="FI110" s="74"/>
      <c r="FJ110" s="74"/>
      <c r="FK110" s="74"/>
      <c r="FM110" s="26"/>
      <c r="FP110" s="74"/>
      <c r="FQ110" s="74"/>
      <c r="FR110" s="74"/>
      <c r="FT110" s="26"/>
      <c r="FW110" s="74"/>
      <c r="FX110" s="74"/>
      <c r="FZ110" s="37"/>
      <c r="GA110" s="26"/>
      <c r="GE110" s="74"/>
      <c r="GH110" s="26"/>
      <c r="GJ110" s="74"/>
      <c r="GK110" s="74"/>
      <c r="GL110" s="74"/>
      <c r="GM110" s="74"/>
      <c r="GO110" s="26"/>
      <c r="GS110" s="74"/>
      <c r="GT110" s="74"/>
      <c r="GU110" s="74"/>
      <c r="GV110" s="74"/>
      <c r="GW110" s="74"/>
      <c r="GX110" s="74"/>
      <c r="HB110" s="74"/>
      <c r="HD110" s="73"/>
      <c r="HE110" s="74"/>
      <c r="HF110" s="74"/>
      <c r="HG110" s="74"/>
      <c r="HH110" s="74"/>
      <c r="HI110" s="74"/>
      <c r="HJ110" s="74"/>
      <c r="HK110" s="74"/>
      <c r="HL110" s="74"/>
      <c r="HR110" s="73"/>
      <c r="IA110" s="133"/>
      <c r="IB110" s="133"/>
      <c r="IC110" s="133"/>
      <c r="IE110" s="133"/>
      <c r="IF110" s="73"/>
      <c r="JF110" s="115"/>
      <c r="JQ110" s="179"/>
      <c r="JS110" s="723"/>
      <c r="JU110" s="723"/>
      <c r="JX110" s="723"/>
      <c r="KJ110" s="74"/>
      <c r="KK110" s="74"/>
      <c r="KL110" s="74"/>
      <c r="KM110" s="74"/>
      <c r="KN110" s="74"/>
      <c r="KO110" s="74"/>
      <c r="KP110" s="74"/>
      <c r="KQ110" s="74"/>
      <c r="KR110" s="74"/>
      <c r="KS110" s="74"/>
    </row>
    <row r="111" spans="1:494" x14ac:dyDescent="0.25">
      <c r="A111" s="9" t="s">
        <v>242</v>
      </c>
      <c r="I111" s="445"/>
      <c r="J111" s="445"/>
      <c r="V111" s="26"/>
      <c r="Y111" s="26"/>
      <c r="AA111" s="26"/>
      <c r="AB111" s="26"/>
      <c r="AE111" s="115"/>
      <c r="AF111" s="74"/>
      <c r="AG111" s="74"/>
      <c r="AL111" s="74"/>
      <c r="AN111" s="74"/>
      <c r="AO111" s="74"/>
      <c r="AP111" s="74"/>
      <c r="AQ111" s="74"/>
      <c r="AR111" s="74"/>
      <c r="AS111" s="74"/>
      <c r="AT111" s="74"/>
      <c r="AU111" s="74"/>
      <c r="AV111" s="74"/>
      <c r="AW111" s="74"/>
      <c r="AX111" s="74"/>
      <c r="AY111" s="74"/>
      <c r="AZ111" s="115"/>
      <c r="BA111" s="127"/>
      <c r="BJ111" s="74"/>
      <c r="BK111" s="74"/>
      <c r="BL111" s="74"/>
      <c r="BM111" s="74"/>
      <c r="BN111" s="74"/>
      <c r="BO111" s="74"/>
      <c r="BP111" s="74"/>
      <c r="BQ111" s="74"/>
      <c r="BR111" s="74"/>
      <c r="BS111" s="74"/>
      <c r="BT111" s="74"/>
      <c r="BU111" s="74"/>
      <c r="BW111" s="115"/>
      <c r="BX111" s="74"/>
      <c r="BY111" s="74"/>
      <c r="BZ111" s="74"/>
      <c r="CA111" s="74"/>
      <c r="CB111" s="74"/>
      <c r="CC111" s="74"/>
      <c r="CD111" s="115"/>
      <c r="CE111" s="115"/>
      <c r="CF111" s="115"/>
      <c r="CG111" s="115"/>
      <c r="CH111" s="74"/>
      <c r="CI111" s="74"/>
      <c r="CJ111" s="74"/>
      <c r="CK111" s="115"/>
      <c r="CL111" s="74"/>
      <c r="CM111" s="74"/>
      <c r="CN111" s="74"/>
      <c r="CV111" s="74"/>
      <c r="CY111" s="115"/>
      <c r="DF111" s="115"/>
      <c r="DG111" s="115"/>
      <c r="DH111" s="115"/>
      <c r="DI111" s="115"/>
      <c r="DL111" s="37"/>
      <c r="DM111" s="115"/>
      <c r="DS111" s="37"/>
      <c r="DT111" s="133"/>
      <c r="DU111" s="133"/>
      <c r="DV111" s="133"/>
      <c r="DW111" s="115"/>
      <c r="EA111" s="115"/>
      <c r="EB111" s="74"/>
      <c r="EC111" s="74"/>
      <c r="ED111" s="74"/>
      <c r="EH111" s="133"/>
      <c r="EI111" s="133"/>
      <c r="EJ111" s="133"/>
      <c r="EK111" s="115"/>
      <c r="EL111" s="74"/>
      <c r="EN111" s="37"/>
      <c r="EO111" s="115"/>
      <c r="EP111" s="37"/>
      <c r="EV111" s="133"/>
      <c r="EW111" s="133"/>
      <c r="EX111" s="133"/>
      <c r="EY111" s="115"/>
      <c r="FF111" s="26"/>
      <c r="FH111" s="74"/>
      <c r="FI111" s="74"/>
      <c r="FJ111" s="74"/>
      <c r="FK111" s="74"/>
      <c r="FM111" s="26"/>
      <c r="FP111" s="74"/>
      <c r="FQ111" s="74"/>
      <c r="FR111" s="74"/>
      <c r="FT111" s="26"/>
      <c r="FW111" s="74"/>
      <c r="FX111" s="74"/>
      <c r="FZ111" s="37"/>
      <c r="GA111" s="26"/>
      <c r="GE111" s="74"/>
      <c r="GH111" s="26"/>
      <c r="GJ111" s="74"/>
      <c r="GK111" s="74"/>
      <c r="GL111" s="74"/>
      <c r="GM111" s="74"/>
      <c r="GO111" s="26"/>
      <c r="GS111" s="74"/>
      <c r="GT111" s="74"/>
      <c r="GU111" s="74"/>
      <c r="GV111" s="74"/>
      <c r="GW111" s="74"/>
      <c r="GX111" s="74"/>
      <c r="GY111" s="474"/>
      <c r="GZ111" s="474"/>
      <c r="HA111" s="474"/>
      <c r="HB111" s="74"/>
      <c r="HC111" s="474"/>
      <c r="HD111" s="73"/>
      <c r="HE111" s="74"/>
      <c r="HF111" s="74"/>
      <c r="HG111" s="74"/>
      <c r="HH111" s="74"/>
      <c r="HI111" s="74"/>
      <c r="HJ111" s="74"/>
      <c r="HK111" s="74"/>
      <c r="HL111" s="74"/>
      <c r="HM111" s="474"/>
      <c r="HN111" s="474"/>
      <c r="HO111" s="474"/>
      <c r="HQ111" s="474"/>
      <c r="HR111" s="73"/>
      <c r="IA111" s="474"/>
      <c r="IB111" s="474"/>
      <c r="IC111" s="474"/>
      <c r="IE111" s="474"/>
      <c r="IF111" s="73"/>
      <c r="IO111" s="68">
        <f>IP111+IQ111+IR111+IS111+IT111+IU111</f>
        <v>15.705910882270082</v>
      </c>
      <c r="IP111" s="97">
        <f>JS111*$W112</f>
        <v>6.1780116526268873</v>
      </c>
      <c r="IQ111" s="97">
        <f>JU111*$W112</f>
        <v>4.6507280296431919</v>
      </c>
      <c r="IR111" s="97">
        <f>JX111*$W112</f>
        <v>0.1032872</v>
      </c>
      <c r="IS111" s="97">
        <f>KB111*$W112</f>
        <v>4.4589840000000001</v>
      </c>
      <c r="IT111" s="97">
        <f>KF111*$W112</f>
        <v>3.7787999999999995E-2</v>
      </c>
      <c r="IU111" s="97">
        <f>KH111*$W112</f>
        <v>0.27711200000000002</v>
      </c>
      <c r="JF111" s="115"/>
      <c r="JK111" s="115">
        <f>JM111+JN111+JO111</f>
        <v>3.3416831664404421</v>
      </c>
      <c r="JL111" s="673">
        <f>10^3*JK111/NY112</f>
        <v>124.68967038956873</v>
      </c>
      <c r="JM111" s="179">
        <f>JS111+KB111</f>
        <v>2.2631905643886991</v>
      </c>
      <c r="JN111" s="179">
        <f>JU111+KF111</f>
        <v>0.99755660205174301</v>
      </c>
      <c r="JO111" s="179">
        <f>JX111+KH111</f>
        <v>8.0936000000000008E-2</v>
      </c>
      <c r="JP111" s="469">
        <f>JK111*C112</f>
        <v>1.1348266323616534</v>
      </c>
      <c r="JQ111" s="115">
        <f>JR111*$NY112/10^3</f>
        <v>2.3259631664404425</v>
      </c>
      <c r="JR111" s="679">
        <f>JT111+JV111+JY111</f>
        <v>86.789670389568741</v>
      </c>
      <c r="JS111" s="724">
        <f>'Crops; pasture DISCOUNTED'!KF22/$C112</f>
        <v>1.3144705643886994</v>
      </c>
      <c r="JT111" s="73">
        <f>10^3*JS111/$NY112</f>
        <v>49.047409118981321</v>
      </c>
      <c r="JU111" s="724">
        <f>'Crops; pasture DISCOUNTED'!KD22/$C112</f>
        <v>0.98951660205174297</v>
      </c>
      <c r="JV111" s="115">
        <f>10^3*JU111/$NY112</f>
        <v>36.922261270587427</v>
      </c>
      <c r="JW111" s="115">
        <f>10^3*JU111/'Discounting metrics'!$B$6</f>
        <v>3.3205255102407483</v>
      </c>
      <c r="JX111" s="127">
        <f>JY111*$NY112/10^3</f>
        <v>2.1975999999999999E-2</v>
      </c>
      <c r="JY111" s="84">
        <v>0.82</v>
      </c>
      <c r="JZ111" s="115">
        <f>KB111+KF111+KH111</f>
        <v>1.01572</v>
      </c>
      <c r="KA111" s="679">
        <f>KC111+KG111+KI111</f>
        <v>37.9</v>
      </c>
      <c r="KB111" s="115">
        <f>KC111*$NY112/10^3</f>
        <v>0.94872000000000001</v>
      </c>
      <c r="KC111" s="80">
        <v>35.4</v>
      </c>
      <c r="KD111" s="725">
        <v>1.5</v>
      </c>
      <c r="KE111" s="474">
        <f>KC111/KD111</f>
        <v>23.599999999999998</v>
      </c>
      <c r="KF111" s="127">
        <f>KG111*$NY112/10^3</f>
        <v>8.0399999999999985E-3</v>
      </c>
      <c r="KG111" s="84">
        <v>0.3</v>
      </c>
      <c r="KH111" s="127">
        <f>KI111*$NY112/10^3</f>
        <v>5.8960000000000005E-2</v>
      </c>
      <c r="KI111" s="84">
        <v>2.2000000000000002</v>
      </c>
      <c r="KJ111" s="74"/>
      <c r="KK111" s="74"/>
      <c r="KL111" s="74"/>
      <c r="KM111" s="74"/>
      <c r="KN111" s="74"/>
      <c r="KO111" s="74"/>
      <c r="KP111" s="74"/>
      <c r="KQ111" s="74"/>
      <c r="KR111" s="74"/>
      <c r="KS111" s="74"/>
      <c r="NQ111" s="66"/>
      <c r="NR111" s="66"/>
      <c r="NS111" s="66"/>
    </row>
    <row r="112" spans="1:494" x14ac:dyDescent="0.25">
      <c r="A112" s="37" t="s">
        <v>240</v>
      </c>
      <c r="B112" s="671">
        <f>C112*NT16/NT112</f>
        <v>0.29884563758389254</v>
      </c>
      <c r="C112" s="69">
        <f>D112*NW16/NW112</f>
        <v>0.33959731543624155</v>
      </c>
      <c r="D112" s="134">
        <v>0.55000000000000004</v>
      </c>
      <c r="E112" s="207">
        <f>X112/((Y112/D112)/NV16)/10^3</f>
        <v>0.37828561719480081</v>
      </c>
      <c r="F112" s="117">
        <f>X112/((Y112/D112)/NW16)/10^3</f>
        <v>0.4298700195395464</v>
      </c>
      <c r="G112" s="460">
        <f>H112*'Crops; pasture DISCOUNTED'!LI22</f>
        <v>8.0090630872483235</v>
      </c>
      <c r="H112" s="458">
        <f>F112*NZ112</f>
        <v>9.1012080536912769</v>
      </c>
      <c r="I112" s="251"/>
      <c r="J112" s="445"/>
      <c r="K112" s="679">
        <f>10^4*($C112/$NU112)/AB16</f>
        <v>1191.4917777369133</v>
      </c>
      <c r="L112" s="73">
        <f>10^4*($C112/$NU112)/AC16</f>
        <v>1006.2397417381699</v>
      </c>
      <c r="M112" s="73">
        <f>10^4*($C112/$NU112)/AD16</f>
        <v>1827.1195310508874</v>
      </c>
      <c r="N112" s="141"/>
      <c r="V112" s="26">
        <f>W112/NT112</f>
        <v>4.7</v>
      </c>
      <c r="W112" s="72">
        <v>4.7</v>
      </c>
      <c r="X112" s="115">
        <f>V112/NU112</f>
        <v>5.9493670886075947</v>
      </c>
      <c r="Y112" s="26">
        <f>W112*NW112/10^3</f>
        <v>0.14005999999999999</v>
      </c>
      <c r="Z112" s="26"/>
      <c r="AA112" s="26"/>
      <c r="AB112" s="26"/>
      <c r="AE112" s="734">
        <f>AB$16*$AN112/$C112</f>
        <v>6.4210071892915055</v>
      </c>
      <c r="AF112" s="734">
        <f>(AB$16-$C113*$AY113)/$C112</f>
        <v>7.9277146200332211</v>
      </c>
      <c r="AG112" s="127">
        <f>AC$16*$AN112/$C112</f>
        <v>7.6031356678627047</v>
      </c>
      <c r="AH112" s="115">
        <f>(AC$16-$C113*$AY113)/$C112</f>
        <v>9.8835999209419327</v>
      </c>
      <c r="AI112" s="127">
        <f>AD$16*$AN112/$C112</f>
        <v>4.1872341359243874</v>
      </c>
      <c r="AJ112" s="115">
        <f>(AD$16-$C113*$AY113)/$C112</f>
        <v>4.2318355680985373</v>
      </c>
      <c r="AK112" s="722">
        <f>Y112/(Y112+Y113)</f>
        <v>0.60439560439560447</v>
      </c>
      <c r="AL112" s="164">
        <v>0.9</v>
      </c>
      <c r="AM112" s="69">
        <f>V112*AL112/(V112*AL112+V113*AL113)</f>
        <v>0.76768372077593572</v>
      </c>
      <c r="AN112" s="53">
        <f t="shared" ref="AN112:AN113" si="34">AK112</f>
        <v>0.60439560439560447</v>
      </c>
      <c r="AO112" s="252"/>
      <c r="AP112" s="252"/>
      <c r="AQ112" s="115"/>
      <c r="AR112" s="115"/>
      <c r="AS112" s="115"/>
      <c r="AT112" s="115"/>
      <c r="AU112" s="115"/>
      <c r="AV112" s="115"/>
      <c r="AW112" s="115"/>
      <c r="AX112" s="115"/>
      <c r="AY112" s="115"/>
      <c r="AZ112" s="115"/>
      <c r="BA112" s="127"/>
      <c r="BB112" s="115"/>
      <c r="BC112" s="115"/>
      <c r="BD112" s="115"/>
      <c r="BE112" s="115"/>
      <c r="BF112" s="115"/>
      <c r="BG112" s="115"/>
      <c r="BH112" s="115"/>
      <c r="BI112" s="115"/>
      <c r="BJ112" s="252"/>
      <c r="BK112" s="252"/>
      <c r="BL112" s="115"/>
      <c r="BM112" s="115"/>
      <c r="BN112" s="115"/>
      <c r="BO112" s="115"/>
      <c r="BP112" s="115"/>
      <c r="BQ112" s="115"/>
      <c r="BR112" s="115"/>
      <c r="BS112" s="115"/>
      <c r="BT112" s="115"/>
      <c r="BU112" s="115"/>
      <c r="BV112" s="26">
        <f>BW112*$NT112</f>
        <v>0.98483082290979107</v>
      </c>
      <c r="BW112" s="115">
        <f>BP$16*$AN112/$C112</f>
        <v>0.98483082290979107</v>
      </c>
      <c r="BX112" s="74"/>
      <c r="BY112" s="74"/>
      <c r="BZ112" s="73">
        <f>10^3*BW112/$NW112</f>
        <v>33.048014191603727</v>
      </c>
      <c r="CA112" s="115">
        <f>10^3*BW112/$NY112</f>
        <v>36.74741876529071</v>
      </c>
      <c r="CB112" s="115">
        <f>BW112*$NT112*$NU112</f>
        <v>0.77801635009873493</v>
      </c>
      <c r="CC112" s="115">
        <f>CD112*$NT112</f>
        <v>0.89883033270990154</v>
      </c>
      <c r="CD112" s="115">
        <f>BP$16/$C112-$AZ113*$C113/$C112</f>
        <v>0.89883033270990154</v>
      </c>
      <c r="CE112" s="127"/>
      <c r="CF112" s="127"/>
      <c r="CG112" s="73">
        <f>10^3*CD112/$NW112</f>
        <v>30.162091701674548</v>
      </c>
      <c r="CH112" s="685">
        <f>10^3*CD112/$NY112</f>
        <v>33.538445250369456</v>
      </c>
      <c r="CI112" s="115">
        <f>CD112*$NT112*$NU112</f>
        <v>0.71007596284082219</v>
      </c>
      <c r="CJ112" s="115">
        <f>CK112*$NT112</f>
        <v>1.3123844925228918</v>
      </c>
      <c r="CK112" s="115">
        <f>BQ$16*$AN112/$C112</f>
        <v>1.3123844925228918</v>
      </c>
      <c r="CL112" s="74"/>
      <c r="CM112" s="74"/>
      <c r="CN112" s="73">
        <f>10^3*CK112/$NW112</f>
        <v>44.03974807123798</v>
      </c>
      <c r="CO112" s="115">
        <f>10^3*CK112/$NY112</f>
        <v>48.969570616525814</v>
      </c>
      <c r="CP112" s="115">
        <f>CK112*$NT112*$NU112</f>
        <v>1.0367837490930845</v>
      </c>
      <c r="CQ112" s="115">
        <f>CR112*$NT112</f>
        <v>1.4407827678879404</v>
      </c>
      <c r="CR112" s="115">
        <f>BQ$16/$C112-$AZ113*$C113/$C112</f>
        <v>1.4407827678879404</v>
      </c>
      <c r="CS112" s="127"/>
      <c r="CT112" s="127"/>
      <c r="CU112" s="73">
        <f>10^3*CR112/$NW112</f>
        <v>48.348415029796655</v>
      </c>
      <c r="CV112" s="677">
        <f>10^3*CR112/$NY112</f>
        <v>53.760551040594784</v>
      </c>
      <c r="CW112" s="115">
        <f>CR112*$NT112*$NU112</f>
        <v>1.138218386631473</v>
      </c>
      <c r="CX112" s="115">
        <f>CY112*$NT112</f>
        <v>0.36587901354502844</v>
      </c>
      <c r="CY112" s="115">
        <f>BR$16*$AN112/$C112</f>
        <v>0.36587901354502844</v>
      </c>
      <c r="DB112" s="73">
        <f>10^3*CY112/$NW112</f>
        <v>12.277819246477463</v>
      </c>
      <c r="DC112" s="115">
        <f>10^3*CY112/$NY112</f>
        <v>13.652201997948822</v>
      </c>
      <c r="DD112" s="115">
        <f>CY112*$NT112*$NU112</f>
        <v>0.28904442070057246</v>
      </c>
      <c r="DE112" s="115">
        <f>DF112*$NT112</f>
        <v>-0.12525357005725091</v>
      </c>
      <c r="DF112" s="115">
        <f>BR$16/$C112-$AZ113*$C113/$C112</f>
        <v>-0.12525357005725091</v>
      </c>
      <c r="DG112" s="127"/>
      <c r="DH112" s="127"/>
      <c r="DI112" s="73">
        <f>10^3*DF112/$NW112</f>
        <v>-4.2031399348070773</v>
      </c>
      <c r="DJ112" s="677">
        <f>10^3*DF112/$NY112</f>
        <v>-4.673640673778019</v>
      </c>
      <c r="DK112" s="115">
        <f>DF112*$NT112*$NU112</f>
        <v>-9.8950320345228215E-2</v>
      </c>
      <c r="DL112" s="26">
        <f>DM112*$NT112</f>
        <v>1.3986568148662453</v>
      </c>
      <c r="DM112" s="115">
        <f>BS$16*$AN112/$C112</f>
        <v>1.3986568148662453</v>
      </c>
      <c r="DP112" s="73">
        <f>10^3*DM112/$NW112</f>
        <v>46.934792445176015</v>
      </c>
      <c r="DQ112" s="115">
        <f>10^3*DM112/$NY112</f>
        <v>52.188687121874821</v>
      </c>
      <c r="DR112" s="115">
        <f>DM112*$NT112*$NU112</f>
        <v>1.1049388837443339</v>
      </c>
      <c r="DS112" s="26">
        <f>DT112*$NT112</f>
        <v>1.3444469213079282</v>
      </c>
      <c r="DT112" s="115">
        <f>BS$16/$C112-$BB113*$C113/$C112</f>
        <v>1.3444469213079282</v>
      </c>
      <c r="DU112" s="133"/>
      <c r="DV112" s="133"/>
      <c r="DW112" s="73">
        <f>10^3*DT112/$NW112</f>
        <v>45.115668500266047</v>
      </c>
      <c r="DX112" s="677">
        <f>10^3*DT112/$NY112</f>
        <v>50.16592989954956</v>
      </c>
      <c r="DY112" s="115">
        <f>DT112*$NT112*$NU112</f>
        <v>1.0621130678332633</v>
      </c>
      <c r="DZ112" s="26">
        <f>EA112*$NT112</f>
        <v>1.793957652810378</v>
      </c>
      <c r="EA112" s="115">
        <f>BT$16*$AN112/$C112</f>
        <v>1.793957652810378</v>
      </c>
      <c r="EB112" s="74"/>
      <c r="EC112" s="74"/>
      <c r="ED112" s="73">
        <f>10^3*EA112/$NW112</f>
        <v>60.199921235247587</v>
      </c>
      <c r="EE112" s="115">
        <f>10^3*EA112/$NY112</f>
        <v>66.938718388446944</v>
      </c>
      <c r="EF112" s="115">
        <f>EA112*$NT112*$NU112</f>
        <v>1.4172265457201987</v>
      </c>
      <c r="EG112" s="115">
        <f>EH112*$NT112</f>
        <v>1.9984901259064025</v>
      </c>
      <c r="EH112" s="115">
        <f>BT$16/$C112-$BB113*$C113/$C112</f>
        <v>1.9984901259064025</v>
      </c>
      <c r="EI112" s="133"/>
      <c r="EJ112" s="133"/>
      <c r="EK112" s="73">
        <f>10^3*EH112/$NW112</f>
        <v>67.063427043839013</v>
      </c>
      <c r="EL112" s="677">
        <f>10^3*EH112/$NY112</f>
        <v>74.570527086059798</v>
      </c>
      <c r="EM112" s="115">
        <f>EH112*$NT112*$NU112</f>
        <v>1.578807199466058</v>
      </c>
      <c r="EN112" s="26">
        <f>EO112*$NT112</f>
        <v>4.1660200668896339</v>
      </c>
      <c r="EO112" s="115">
        <f>BU$16*$AN112/$C112</f>
        <v>4.1660200668896339</v>
      </c>
      <c r="EP112" s="37"/>
      <c r="ER112" s="73">
        <f>10^3*EO112/$NW112</f>
        <v>139.79933110367898</v>
      </c>
      <c r="ES112" s="115">
        <f>10^3*EO112/$NY112</f>
        <v>155.44850995856842</v>
      </c>
      <c r="ET112" s="115">
        <f>EO112*$NT112*$NU112</f>
        <v>3.2911558528428109</v>
      </c>
      <c r="EU112" s="115">
        <f>EV112*$NT112</f>
        <v>5.9231752110193518</v>
      </c>
      <c r="EV112" s="115">
        <f>BU$16/$C112-$BB113*$C113/$C112</f>
        <v>5.9231752110193518</v>
      </c>
      <c r="EW112" s="133"/>
      <c r="EX112" s="133"/>
      <c r="EY112" s="73">
        <f>10^3*EV112/$NW112</f>
        <v>198.76426882615274</v>
      </c>
      <c r="EZ112" s="677">
        <f>10^3*EV112/$NY112</f>
        <v>221.01400041116983</v>
      </c>
      <c r="FA112" s="115">
        <f>EV112*$NT112*$NU112</f>
        <v>4.6793084167052879</v>
      </c>
      <c r="FE112" s="26">
        <f>FF112*$NT112</f>
        <v>2.8038376253123456</v>
      </c>
      <c r="FF112" s="115">
        <f>FB$16*$AN112/$C112</f>
        <v>2.8038376253123456</v>
      </c>
      <c r="FH112" s="74"/>
      <c r="FI112" s="73">
        <f>10^3*FF112/$NW112</f>
        <v>94.088510916521656</v>
      </c>
      <c r="FJ112" s="73">
        <f>10^3*FE112/$NY112</f>
        <v>104.62080691463976</v>
      </c>
      <c r="FK112" s="115">
        <f>FF112*$NT112*$NU112</f>
        <v>2.215031723996753</v>
      </c>
      <c r="FL112" s="26">
        <f>FM112*$NT112</f>
        <v>3.0004859580731185</v>
      </c>
      <c r="FM112" s="115">
        <f>FB$16/$C112-$BC113*$C113/$C112</f>
        <v>3.0004859580731185</v>
      </c>
      <c r="FP112" s="73">
        <f>10^3*FM112/$NW112</f>
        <v>100.6874482574872</v>
      </c>
      <c r="FQ112" s="562">
        <f>10^3*FL112/$NY112</f>
        <v>111.95843127138502</v>
      </c>
      <c r="FR112" s="115">
        <f>FM112*$NT112*$NU112</f>
        <v>2.3703839068777639</v>
      </c>
      <c r="FS112" s="26">
        <f>FT112*$NT112</f>
        <v>3.5962831708990599</v>
      </c>
      <c r="FT112" s="115">
        <f>FC$16*$AN112/$C112</f>
        <v>3.5962831708990599</v>
      </c>
      <c r="FW112" s="73">
        <f>10^3*FT112/$NW112</f>
        <v>120.68064331876039</v>
      </c>
      <c r="FX112" s="73">
        <f>10^3*FS112/$NY112</f>
        <v>134.18967055593507</v>
      </c>
      <c r="FY112" s="115">
        <f>FT112*$NT112*$NU112</f>
        <v>2.8410637050102574</v>
      </c>
      <c r="FZ112" s="26">
        <f>GA112*$NT112</f>
        <v>4.3116231334984096</v>
      </c>
      <c r="GA112" s="115">
        <f>FC$16/$C112-$BC113*$C113/$C112</f>
        <v>4.3116231334984096</v>
      </c>
      <c r="GD112" s="562">
        <f>10^3*GA112/$NW112</f>
        <v>144.68534005028221</v>
      </c>
      <c r="GE112" s="73">
        <f>10^3*FZ112/$NY112</f>
        <v>160.88146020516453</v>
      </c>
      <c r="GF112" s="115">
        <f>GA112*$NT112*$NU112</f>
        <v>3.4061822754637436</v>
      </c>
      <c r="GG112" s="26">
        <f>GH112*$NT112</f>
        <v>1.3064170504084092</v>
      </c>
      <c r="GH112" s="115">
        <f>FD$16*$AN112/$C112</f>
        <v>1.3064170504084092</v>
      </c>
      <c r="GJ112" s="74"/>
      <c r="GK112" s="73">
        <f>10^3*GH112/$NW112</f>
        <v>43.839498335852653</v>
      </c>
      <c r="GL112" s="73">
        <f>10^3*GG112/$NY112</f>
        <v>48.746904865985414</v>
      </c>
      <c r="GM112" s="115">
        <f>GH112*$NT112*$NU112</f>
        <v>1.0320694698226434</v>
      </c>
      <c r="GN112" s="26">
        <f>GO112*$NT112</f>
        <v>0.52293555232296951</v>
      </c>
      <c r="GO112" s="115">
        <f>FD$16/$C112-$BC113*$C113/$C112</f>
        <v>0.52293555232296951</v>
      </c>
      <c r="GR112" s="562">
        <f>10^3*GO112/$NW112</f>
        <v>17.548172896743946</v>
      </c>
      <c r="GS112" s="73">
        <f>10^3*GN112/$NY112</f>
        <v>19.512520609066026</v>
      </c>
      <c r="GT112" s="115">
        <f>GO112*$NT112*$NU112</f>
        <v>0.41311908633514594</v>
      </c>
      <c r="GU112" s="115"/>
      <c r="GV112" s="115"/>
      <c r="GW112" s="115"/>
      <c r="GX112" s="55">
        <f>GX113+GX114</f>
        <v>0.69700769761723647</v>
      </c>
      <c r="GY112" s="26">
        <f>GZ112*$NT112</f>
        <v>0.22656869603397189</v>
      </c>
      <c r="GZ112" s="127">
        <f>$AN112*GU$16/C112</f>
        <v>0.22656869603397189</v>
      </c>
      <c r="HB112" s="74"/>
      <c r="HC112" s="73">
        <f>10^3*GZ112/$NW112</f>
        <v>7.6029763769789227</v>
      </c>
      <c r="HD112" s="115">
        <f>10^3*GZ112/$NY112</f>
        <v>8.4540558221631308</v>
      </c>
      <c r="HE112" s="115">
        <f>GZ112*$NT112*$NU112</f>
        <v>0.1789892698668378</v>
      </c>
      <c r="HF112" s="335">
        <f>HG112*$NT112</f>
        <v>0.22030902885261405</v>
      </c>
      <c r="HG112" s="127">
        <f>GU$16/$C112-$BI113*$C113/$C112</f>
        <v>0.22030902885261405</v>
      </c>
      <c r="HH112" s="115"/>
      <c r="HI112" s="115"/>
      <c r="HJ112" s="73">
        <f>10^3*HG112/$NW112</f>
        <v>7.3929204312957735</v>
      </c>
      <c r="HK112" s="110">
        <f>10^3*HG112/$NY112</f>
        <v>8.2204861512169423</v>
      </c>
      <c r="HL112" s="115">
        <f>HG112*$NT112*$NU112</f>
        <v>0.17404413279356512</v>
      </c>
      <c r="HM112" s="115">
        <f>HN112*$NT112</f>
        <v>0.34151709621512033</v>
      </c>
      <c r="HN112" s="127">
        <f>$AN112*GV$16/C112</f>
        <v>0.34151709621512033</v>
      </c>
      <c r="HQ112" s="73">
        <f>10^3*HN112/$NW112</f>
        <v>11.460305242118132</v>
      </c>
      <c r="HR112" s="73">
        <f>10^3*HN112/$NY112</f>
        <v>12.743175231907474</v>
      </c>
      <c r="HS112" s="115">
        <f>HN112*$NT112*$NU112</f>
        <v>0.26979850600994509</v>
      </c>
      <c r="HT112" s="335">
        <f>HU112*$NT112</f>
        <v>0.41049638187960519</v>
      </c>
      <c r="HU112" s="127">
        <f>GV$16/$C112-$BI113*$C113/$C112</f>
        <v>0.41049638187960519</v>
      </c>
      <c r="HV112" s="115"/>
      <c r="HW112" s="115"/>
      <c r="HX112" s="73">
        <f>10^3*HU112/$NW112</f>
        <v>13.775046371798831</v>
      </c>
      <c r="HY112" s="110">
        <f>10^3*HU112/$NY112</f>
        <v>15.317029174612133</v>
      </c>
      <c r="HZ112" s="115">
        <f>HU112*$NT112*$NU112</f>
        <v>0.32429214168488812</v>
      </c>
      <c r="IA112" s="115">
        <f>IB112*$NT112</f>
        <v>9.3599547619092633E-3</v>
      </c>
      <c r="IB112" s="127">
        <f>$AN112*GW$16/C112</f>
        <v>9.3599547619092633E-3</v>
      </c>
      <c r="IC112" s="133"/>
      <c r="IE112" s="73">
        <f>10^3*IB112/$NW112</f>
        <v>0.31409244167480749</v>
      </c>
      <c r="IF112" s="73">
        <f>10^3*IB112/$NY112</f>
        <v>0.34925204335482324</v>
      </c>
      <c r="IG112" s="115">
        <f>IB112*$NT112*$NU112</f>
        <v>7.3943642619083184E-3</v>
      </c>
      <c r="IH112" s="335">
        <f>II112*$NT112</f>
        <v>-0.13907270670661676</v>
      </c>
      <c r="II112" s="127">
        <f>GW$16/$C112-$BI113*$C113/$C112</f>
        <v>-0.13907270670661676</v>
      </c>
      <c r="IJ112" s="115"/>
      <c r="IK112" s="115"/>
      <c r="IL112" s="73">
        <f>10^3*II112/$NW112</f>
        <v>-4.6668693525710312</v>
      </c>
      <c r="IM112" s="110">
        <f>10^3*II112/$NY112</f>
        <v>-5.1892801009931615</v>
      </c>
      <c r="IN112" s="115">
        <f>II112*$NT112*$NU112</f>
        <v>-0.10986743829822725</v>
      </c>
      <c r="IO112" s="68"/>
      <c r="IP112" s="97"/>
      <c r="IQ112" s="97"/>
      <c r="IR112" s="97"/>
      <c r="IS112" s="97"/>
      <c r="IT112" s="97"/>
      <c r="IU112" s="97"/>
      <c r="IV112" s="26">
        <f>IW112*$NT112</f>
        <v>2.0196986170793885</v>
      </c>
      <c r="IW112" s="115">
        <f>AN112*JK111</f>
        <v>2.0196986170793885</v>
      </c>
      <c r="IX112" s="73"/>
      <c r="IZ112" s="679">
        <f>AN112*JL111</f>
        <v>75.361888696992096</v>
      </c>
      <c r="JA112" s="115">
        <f>IW112*$NT112*$NU112</f>
        <v>1.595561907492717</v>
      </c>
      <c r="JB112" s="115">
        <f>$IW112*JM111/$JK111</f>
        <v>1.3678624290261372</v>
      </c>
      <c r="JC112" s="115">
        <f>$IW112*JN111/$JK111</f>
        <v>0.6029188254158887</v>
      </c>
      <c r="JD112" s="115">
        <f>$IW112*JO111/$JK111</f>
        <v>4.8917362637362655E-2</v>
      </c>
      <c r="JE112" s="115">
        <f>JF112*$NT112</f>
        <v>2.7790373989020045</v>
      </c>
      <c r="JF112" s="115">
        <f>JK111-BO113*C113/C112</f>
        <v>2.7790373989020045</v>
      </c>
      <c r="JG112" s="73"/>
      <c r="JH112" s="73"/>
      <c r="JI112" s="673">
        <f>10^3*JF112/NY112</f>
        <v>103.69542533216435</v>
      </c>
      <c r="JJ112" s="115">
        <f>JF112*$NT112*$NU112</f>
        <v>2.1954395451325839</v>
      </c>
      <c r="JU112" s="736"/>
      <c r="KJ112" s="115">
        <f>BW112*44/12+$IW112+$GZ112</f>
        <v>5.8573136637825947</v>
      </c>
      <c r="KK112" s="73">
        <f>10^3*KJ112/$NY112</f>
        <v>218.55647999188784</v>
      </c>
      <c r="KL112" s="74"/>
      <c r="KM112" s="74"/>
      <c r="KN112" s="115">
        <f>KJ112*$NT112*$NU112</f>
        <v>4.6272777943882497</v>
      </c>
      <c r="KO112" s="115">
        <f>CD112*44/12+$JF112+$HF112</f>
        <v>6.2950576476909239</v>
      </c>
      <c r="KP112" s="677">
        <f>10^3*KO112/$NY112</f>
        <v>234.89021073473594</v>
      </c>
      <c r="KQ112" s="74"/>
      <c r="KR112" s="74"/>
      <c r="KS112" s="115">
        <f>KO112*$NT112*$NU112</f>
        <v>4.9730955416758302</v>
      </c>
      <c r="KT112" s="115">
        <f>CK112*44/12+$IW112+$HN112</f>
        <v>7.1732921858784451</v>
      </c>
      <c r="KU112" s="73">
        <f>10^3*KT112/$NY112</f>
        <v>267.66015618949422</v>
      </c>
      <c r="KX112" s="115">
        <f>KT112*$NT112*$NU112</f>
        <v>5.666900826843972</v>
      </c>
      <c r="KY112" s="115">
        <f>CR112*44/12+$JF112+$HU112</f>
        <v>8.4724039297040576</v>
      </c>
      <c r="KZ112" s="677">
        <f>10^3*KY112/$NY112</f>
        <v>316.13447498895738</v>
      </c>
      <c r="LC112" s="115">
        <f>KY112*$NT112*$NU112</f>
        <v>6.6931991044662063</v>
      </c>
      <c r="LD112" s="115">
        <f>CY112*44/12+$IW112+$IB112</f>
        <v>3.3706149548397359</v>
      </c>
      <c r="LE112" s="73">
        <f>10^3*LD112/$NY112</f>
        <v>125.76921473282597</v>
      </c>
      <c r="LH112" s="115">
        <f>LD112*$NT112*$NU112</f>
        <v>2.6627858143233913</v>
      </c>
      <c r="LI112" s="115">
        <f>DF112*44/12+$JF112+$II112</f>
        <v>2.1807016019854677</v>
      </c>
      <c r="LJ112" s="677">
        <f>10^3*LI112/$NY112</f>
        <v>81.369462760651786</v>
      </c>
      <c r="LM112" s="115">
        <f>LI112*$NT112*$NU112</f>
        <v>1.7227542655685195</v>
      </c>
      <c r="LN112" s="115">
        <f>DM112*44/12+$IW112+$GZ112</f>
        <v>7.3746756342895932</v>
      </c>
      <c r="LO112" s="73">
        <f>10^3*LN112/$NY112</f>
        <v>275.17446396602958</v>
      </c>
      <c r="LR112" s="115">
        <f>LN112*$NT112*$NU112</f>
        <v>5.8259937510887791</v>
      </c>
      <c r="LS112" s="115">
        <f>DT112*44/12+$JF112+$HN112</f>
        <v>8.0501932065795287</v>
      </c>
      <c r="LT112" s="677">
        <f>10^3*LS112/$NY112</f>
        <v>300.38034352908687</v>
      </c>
      <c r="LW112" s="115">
        <f>LS112*$NT112*$NU112</f>
        <v>6.359652633197828</v>
      </c>
      <c r="LX112" s="115">
        <f>EA112*44/12+$IW112+$HN112</f>
        <v>8.9390604402658944</v>
      </c>
      <c r="LY112" s="73">
        <f>10^3*LX112/$NY112</f>
        <v>333.547031353205</v>
      </c>
      <c r="MB112" s="115">
        <f>LX112*$NT112*$NU112</f>
        <v>7.0618577478100573</v>
      </c>
      <c r="MC112" s="115">
        <f>EH112*44/12+$JF112+$HN112</f>
        <v>10.448351623440601</v>
      </c>
      <c r="MD112" s="677">
        <f>10^3*MC112/$NY112</f>
        <v>389.86386654629109</v>
      </c>
      <c r="MG112" s="115">
        <f>MC112*$NT112*$NU112</f>
        <v>8.2541977825180748</v>
      </c>
      <c r="MH112" s="115">
        <f>EO112*44/12+$IW112+$IB112</f>
        <v>17.304465483769956</v>
      </c>
      <c r="MI112" s="73">
        <f>10^3*MH112/$NY112</f>
        <v>645.68901058843119</v>
      </c>
      <c r="ML112" s="115">
        <f>MH112*$NT112*$NU112</f>
        <v>13.670527732178266</v>
      </c>
      <c r="MM112" s="115">
        <f>EV112*44/12+$JF112+$HN112</f>
        <v>24.838863602188081</v>
      </c>
      <c r="MN112" s="677">
        <f>10^3*MM112/$NY112</f>
        <v>926.82326873836121</v>
      </c>
      <c r="MQ112" s="115">
        <f>MM112*$NT112*$NU112</f>
        <v>19.622702245728586</v>
      </c>
      <c r="MR112" s="295">
        <v>86</v>
      </c>
      <c r="MS112" s="73">
        <f>KK112-$MR112</f>
        <v>132.55647999188784</v>
      </c>
      <c r="MT112" s="115">
        <f>MS112*$NZ112/10^3</f>
        <v>2.8064857943882493</v>
      </c>
      <c r="MU112" s="676">
        <f>KP112-$MR112</f>
        <v>148.89021073473594</v>
      </c>
      <c r="MV112" s="115">
        <f>MU112*$NZ112/10^3</f>
        <v>3.1523035416758294</v>
      </c>
      <c r="MW112" s="73">
        <f>KU112-$MR112</f>
        <v>181.66015618949422</v>
      </c>
      <c r="MX112" s="115">
        <f>MW112*$NZ112/10^3</f>
        <v>3.8461088268439716</v>
      </c>
      <c r="MY112" s="676">
        <f>KZ112-$MR112</f>
        <v>230.13447498895738</v>
      </c>
      <c r="MZ112" s="115">
        <f>MY112*$NZ112/10^3</f>
        <v>4.8724071044662063</v>
      </c>
      <c r="NA112" s="73">
        <f>LE112-$MR112</f>
        <v>39.769214732825972</v>
      </c>
      <c r="NB112" s="115">
        <f>NA112*$NZ112/10^3</f>
        <v>0.84199381432339149</v>
      </c>
      <c r="NC112" s="676">
        <f>LJ112-$MR112</f>
        <v>-4.6305372393482145</v>
      </c>
      <c r="ND112" s="115">
        <f>NC112*$NZ112/10^3</f>
        <v>-9.8037734431480408E-2</v>
      </c>
      <c r="NE112" s="73">
        <f>LO112-$MR112</f>
        <v>189.17446396602958</v>
      </c>
      <c r="NF112" s="115">
        <f>NE112*$NZ112/10^3</f>
        <v>4.0052017510887783</v>
      </c>
      <c r="NG112" s="676">
        <f>LT112-$MR112</f>
        <v>214.38034352908687</v>
      </c>
      <c r="NH112" s="115">
        <f>NG112*$NZ112/10^3</f>
        <v>4.5388606331978272</v>
      </c>
      <c r="NI112" s="73">
        <f>LY112-$MR112</f>
        <v>247.547031353205</v>
      </c>
      <c r="NJ112" s="115">
        <f>NI112*$NZ112/10^3</f>
        <v>5.2410657478100564</v>
      </c>
      <c r="NK112" s="676">
        <f>MD112-$MR112</f>
        <v>303.86386654629109</v>
      </c>
      <c r="NL112" s="115">
        <f>NK112*$NZ112/10^3</f>
        <v>6.4334057825180757</v>
      </c>
      <c r="NM112" s="73">
        <f>MI112-$MR112</f>
        <v>559.68901058843119</v>
      </c>
      <c r="NN112" s="115">
        <f>NM112*$NZ112/10^3</f>
        <v>11.849735732178265</v>
      </c>
      <c r="NO112" s="676">
        <f>MN112-$MR112</f>
        <v>840.82326873836121</v>
      </c>
      <c r="NP112" s="115">
        <f>NO112*$NZ112/10^3</f>
        <v>17.801910245728585</v>
      </c>
      <c r="NQ112" s="73"/>
      <c r="NR112" s="73"/>
      <c r="NS112" s="73"/>
      <c r="NT112" s="31">
        <v>1</v>
      </c>
      <c r="NU112" s="103">
        <v>0.79</v>
      </c>
      <c r="NV112" s="32">
        <f>$NT112*NW112</f>
        <v>29.8</v>
      </c>
      <c r="NW112" s="9">
        <v>29.8</v>
      </c>
      <c r="NX112" s="26">
        <f>NV112*NU112</f>
        <v>23.542000000000002</v>
      </c>
      <c r="NY112" s="9">
        <v>26.8</v>
      </c>
      <c r="NZ112" s="26">
        <f>NY112*NT112*NU112</f>
        <v>21.172000000000001</v>
      </c>
    </row>
    <row r="113" spans="1:494" x14ac:dyDescent="0.25">
      <c r="A113" s="37" t="s">
        <v>301</v>
      </c>
      <c r="B113" s="468">
        <f>C113*NT16/NT113</f>
        <v>0.32557176470588228</v>
      </c>
      <c r="C113" s="69">
        <f>D113*NW16/NW113</f>
        <v>0.33297112299465237</v>
      </c>
      <c r="D113" s="134">
        <v>0.36</v>
      </c>
      <c r="E113" s="453"/>
      <c r="F113" s="453"/>
      <c r="G113" s="453"/>
      <c r="H113" s="453"/>
      <c r="I113" s="127">
        <f>J113*NZ112</f>
        <v>0.86065065629557558</v>
      </c>
      <c r="J113" s="117">
        <f>V113/(10^3*Y112*NY112/NW112)</f>
        <v>4.0650418302265991E-2</v>
      </c>
      <c r="K113" s="122"/>
      <c r="L113" s="122"/>
      <c r="M113" s="122"/>
      <c r="N113" s="45"/>
      <c r="V113" s="26">
        <f>W113/NT113</f>
        <v>5.1203266893534245</v>
      </c>
      <c r="W113" s="26">
        <f>10^3*Y113/NW113</f>
        <v>4.6082940204180822</v>
      </c>
      <c r="X113" s="115"/>
      <c r="Y113" s="26">
        <f>D113/D112*Y112</f>
        <v>9.1675636363636334E-2</v>
      </c>
      <c r="Z113" s="26"/>
      <c r="AA113" s="26">
        <f>W113*OD113</f>
        <v>1.3824882061254247</v>
      </c>
      <c r="AB113" s="26"/>
      <c r="AE113" s="115">
        <f>AB$16*$AN113/$C113</f>
        <v>4.2864784535110347</v>
      </c>
      <c r="AF113" s="115"/>
      <c r="AG113" s="115">
        <f>AC$16*$AN113/$C113</f>
        <v>5.0756331925257934</v>
      </c>
      <c r="AH113" s="115"/>
      <c r="AI113" s="115">
        <f>AD$16*$AN113/$C113</f>
        <v>2.7952762509562339</v>
      </c>
      <c r="AJ113" s="115"/>
      <c r="AK113" s="722">
        <f>1-AK112</f>
        <v>0.39560439560439553</v>
      </c>
      <c r="AL113" s="164">
        <v>0.25</v>
      </c>
      <c r="AM113" s="69">
        <f>V113*AL113/(V112*AL112+V113*AL113)</f>
        <v>0.23231627922406414</v>
      </c>
      <c r="AN113" s="53">
        <f t="shared" si="34"/>
        <v>0.39560439560439553</v>
      </c>
      <c r="AO113" s="453">
        <v>0.68799999999999994</v>
      </c>
      <c r="AP113" s="453">
        <v>9.5000000000000001E-2</v>
      </c>
      <c r="AQ113" s="453">
        <v>0.114</v>
      </c>
      <c r="AR113" s="83">
        <v>6.8000000000000005E-2</v>
      </c>
      <c r="AS113" s="122">
        <f>1-AO113-AP113-AQ113-AR113</f>
        <v>3.5000000000000045E-2</v>
      </c>
      <c r="AT113" s="115">
        <f>AO113*AB$14</f>
        <v>1.4919691480480091</v>
      </c>
      <c r="AU113" s="115">
        <f>AP113*AB$16</f>
        <v>0.34274388308262443</v>
      </c>
      <c r="AV113" s="115">
        <f>AQ113*AE$80</f>
        <v>0.4352282739756092</v>
      </c>
      <c r="AW113" s="115">
        <f>AR113*AE$90</f>
        <v>0.28151291524141003</v>
      </c>
      <c r="AX113" s="115">
        <f>AS113*AE$127</f>
        <v>0.19833302094693517</v>
      </c>
      <c r="AY113" s="91">
        <f>AT113+AU113+AV113+AW113+AX113</f>
        <v>2.7497872412945878</v>
      </c>
      <c r="AZ113" s="735">
        <f>AT113*BP$14/AB$14+AU113*BP$16/AB$16+AV113*BW$80/AE$80+AW113*BW$90/AE$90+AX113*BW$127/AE$127</f>
        <v>0.7451564549255254</v>
      </c>
      <c r="BA113" s="127" t="e">
        <f>AT113*#REF!/AB$14+AU113*#REF!/AB$16+AV113*#REF!/AE$80+AW113*#REF!/AE$90+AX113*#REF!/AE$127</f>
        <v>#REF!</v>
      </c>
      <c r="BB113" s="735">
        <f>AU113*BS$14/AB$14+AV113*BS$16/AB$16+AW113*DM$80/AE$80+AX113*DM$90/AE$90+AY113*DM$127/AE$127</f>
        <v>0.98899146724090947</v>
      </c>
      <c r="BC113" s="115">
        <f>AT113*FB$14/AB$14+AU113*FB$16/AB$16+AV113*FF$80/AE$80+AW113*FF$90/AE$90+AX113*FF$127/AE$127</f>
        <v>1.6711991280679466</v>
      </c>
      <c r="BD113" s="172">
        <f>AO113*'Crops; pasture DISCOUNTED'!IR$20</f>
        <v>8.678655266068977E-2</v>
      </c>
      <c r="BE113" s="172">
        <f>AP113*'Crops; pasture DISCOUNTED'!IR$22</f>
        <v>1.2093902463332829E-2</v>
      </c>
      <c r="BF113" s="127">
        <f>AQ113*GZ$80</f>
        <v>1.7275633084001072E-2</v>
      </c>
      <c r="BG113" s="127">
        <f>AR113*GZ$90</f>
        <v>3.0690307390676255E-2</v>
      </c>
      <c r="BH113" s="127">
        <f>AS113*GZ$127</f>
        <v>1.0788540486327422E-2</v>
      </c>
      <c r="BI113" s="735">
        <f>BD113+BE113+BF113+BG113+BH113</f>
        <v>0.15763493608502738</v>
      </c>
      <c r="BJ113" s="172">
        <f>AO113*'Crops; pasture DISCOUNTED'!JZ$20</f>
        <v>0.36104440145090905</v>
      </c>
      <c r="BK113" s="172">
        <f>AP113*'Crops; pasture DISCOUNTED'!JZ$22</f>
        <v>7.4330646369659095E-2</v>
      </c>
      <c r="BL113" s="127">
        <f>AQ113*IW$80</f>
        <v>4.2690844600292294E-2</v>
      </c>
      <c r="BM113" s="127">
        <f>AR113*IW$90</f>
        <v>5.538232122938315E-2</v>
      </c>
      <c r="BN113" s="127">
        <f>AS113*IW$127</f>
        <v>4.0394318035862443E-2</v>
      </c>
      <c r="BO113" s="735">
        <f>BJ113+BK113+BL113+BM113+BN113</f>
        <v>0.57384253168610599</v>
      </c>
      <c r="BP113" s="127"/>
      <c r="BQ113" s="127"/>
      <c r="BR113" s="127"/>
      <c r="BS113" s="127"/>
      <c r="BT113" s="127"/>
      <c r="BU113" s="127"/>
      <c r="BV113" s="26">
        <f>BW113*$NT113</f>
        <v>0.59170008387733031</v>
      </c>
      <c r="BW113" s="127">
        <f>BP$16*$AN113/$C113</f>
        <v>0.65744453764147814</v>
      </c>
      <c r="BX113" s="74"/>
      <c r="BY113" s="115">
        <f>BW113/$OD113</f>
        <v>2.1914817921382608</v>
      </c>
      <c r="BZ113" s="74"/>
      <c r="CA113" s="74"/>
      <c r="CB113" s="74"/>
      <c r="CC113" s="335">
        <f>CD113*$NT113</f>
        <v>0.67064080943297288</v>
      </c>
      <c r="CD113" s="127">
        <f>AZ113</f>
        <v>0.7451564549255254</v>
      </c>
      <c r="CE113" s="115"/>
      <c r="CF113" s="143">
        <f>CD113/$OD113</f>
        <v>2.4838548497517516</v>
      </c>
      <c r="CG113" s="115"/>
      <c r="CH113" s="115"/>
      <c r="CI113" s="74"/>
      <c r="CJ113" s="115">
        <f>CK113*$NT113</f>
        <v>0.78849889365844128</v>
      </c>
      <c r="CK113" s="115">
        <f>BQ$16*$AN113/$C113</f>
        <v>0.87610988184271255</v>
      </c>
      <c r="CL113" s="74"/>
      <c r="CM113" s="115">
        <f>CK113/$OD113</f>
        <v>2.920366272809042</v>
      </c>
      <c r="CN113" s="74"/>
      <c r="CX113" s="115">
        <f>CY113*$NT113</f>
        <v>0.21982521055129328</v>
      </c>
      <c r="CY113" s="115">
        <f>BR$16*$AN113/$C113</f>
        <v>0.24425023394588141</v>
      </c>
      <c r="DA113" s="115">
        <f>CY113/$OD113</f>
        <v>0.81416744648627137</v>
      </c>
      <c r="DF113" s="115"/>
      <c r="DG113" s="115"/>
      <c r="DH113" s="115"/>
      <c r="DI113" s="115"/>
      <c r="DJ113" s="115"/>
      <c r="DL113" s="26">
        <f>DM113*$NT113</f>
        <v>0.84033250728969366</v>
      </c>
      <c r="DM113" s="115">
        <f>BS$16*$AN113/$C113</f>
        <v>0.93370278587743738</v>
      </c>
      <c r="DO113" s="115">
        <f>DM113/$OD113</f>
        <v>3.1123426195914581</v>
      </c>
      <c r="DS113" s="335">
        <f>DT113*$NT113</f>
        <v>0.89009232051681852</v>
      </c>
      <c r="DT113" s="127">
        <f>BB113</f>
        <v>0.98899146724090947</v>
      </c>
      <c r="DU113" s="133"/>
      <c r="DV113" s="143">
        <f>DT113/$OD113</f>
        <v>3.2966382241363652</v>
      </c>
      <c r="DW113" s="37"/>
      <c r="DX113" s="37"/>
      <c r="DZ113" s="26">
        <f>EA113*$NT113</f>
        <v>1.0778347599885281</v>
      </c>
      <c r="EA113" s="115">
        <f>BT$16*$AN113/$C113</f>
        <v>1.1975941777650312</v>
      </c>
      <c r="EB113" s="74"/>
      <c r="EC113" s="115">
        <f>EA113/$OD113</f>
        <v>3.991980592550104</v>
      </c>
      <c r="ED113" s="74"/>
      <c r="EH113" s="74"/>
      <c r="EI113" s="74"/>
      <c r="EJ113" s="74"/>
      <c r="EN113" s="26">
        <f>EO113*$NT113</f>
        <v>2.5030029175265067</v>
      </c>
      <c r="EO113" s="115">
        <f>BU$16*$AN113/$C113</f>
        <v>2.7811143528072297</v>
      </c>
      <c r="EP113" s="37"/>
      <c r="EQ113" s="115">
        <f>EO113/$OD113</f>
        <v>9.2703811760240988</v>
      </c>
      <c r="EW113" s="37"/>
      <c r="EX113" s="37"/>
      <c r="EY113" s="37"/>
      <c r="EZ113" s="37"/>
      <c r="FE113" s="26">
        <f>FF113*$NT113</f>
        <v>1.6845847220479351</v>
      </c>
      <c r="FF113" s="115">
        <f>FB$16*$AN113/$C113</f>
        <v>1.8717608022754835</v>
      </c>
      <c r="FH113" s="115">
        <f>FF113/$OD113</f>
        <v>6.2392026742516116</v>
      </c>
      <c r="FI113" s="74"/>
      <c r="FJ113" s="74"/>
      <c r="FK113" s="74"/>
      <c r="FL113" s="26">
        <f>FM113*$NT113</f>
        <v>1.504079215261152</v>
      </c>
      <c r="FM113" s="26">
        <f>BC113</f>
        <v>1.6711991280679466</v>
      </c>
      <c r="FO113" s="115">
        <f>FM113/$OD113</f>
        <v>5.5706637602264886</v>
      </c>
      <c r="FQ113" s="74"/>
      <c r="FR113" s="74"/>
      <c r="FS113" s="26">
        <f>FT113*$NT113</f>
        <v>2.1606970500582303</v>
      </c>
      <c r="FT113" s="115">
        <f>FC$16*$AN113/$C113</f>
        <v>2.4007745000647005</v>
      </c>
      <c r="FV113" s="115">
        <f>FT113/$OD113</f>
        <v>8.0025816668823353</v>
      </c>
      <c r="FW113" s="74"/>
      <c r="FX113" s="74"/>
      <c r="FZ113" s="26"/>
      <c r="GE113" s="74"/>
      <c r="GG113" s="26">
        <f>GH113*$NT113</f>
        <v>0.78491357126851069</v>
      </c>
      <c r="GH113" s="115">
        <f>FD$16*$AN113/$C113</f>
        <v>0.87212619029834515</v>
      </c>
      <c r="GJ113" s="115">
        <f>GH113/$OD113</f>
        <v>2.9070873009944838</v>
      </c>
      <c r="GK113" s="74"/>
      <c r="GL113" s="74"/>
      <c r="GM113" s="74"/>
      <c r="GN113" s="26"/>
      <c r="GS113" s="74"/>
      <c r="GT113" s="74"/>
      <c r="GU113" s="74"/>
      <c r="GV113" s="74"/>
      <c r="GW113" s="74"/>
      <c r="GX113" s="68">
        <f>GZ113*$W113</f>
        <v>0.69700769761723647</v>
      </c>
      <c r="GY113" s="26">
        <f>GZ113*$NT113</f>
        <v>0.13612563023888852</v>
      </c>
      <c r="GZ113" s="127">
        <f>$AN113*GU$16/C113</f>
        <v>0.15125070026543169</v>
      </c>
      <c r="HB113" s="115">
        <f>GZ113/$OD113</f>
        <v>0.50416900088477234</v>
      </c>
      <c r="HC113" s="115"/>
      <c r="HD113" s="115"/>
      <c r="HE113" s="115"/>
      <c r="HF113" s="335">
        <f>HG113*$NT113</f>
        <v>0.14187144247652464</v>
      </c>
      <c r="HG113" s="330">
        <f>$BI113</f>
        <v>0.15763493608502738</v>
      </c>
      <c r="HH113" s="115"/>
      <c r="HI113" s="115">
        <f>HG113/$OD113</f>
        <v>0.52544978695009126</v>
      </c>
      <c r="HJ113" s="115"/>
      <c r="HK113" s="115"/>
      <c r="HL113" s="115"/>
      <c r="HM113" s="115">
        <f>HN113*$NT113</f>
        <v>0.20518823109026396</v>
      </c>
      <c r="HN113" s="127">
        <f>$AN113*GV$16/C113</f>
        <v>0.22798692343362661</v>
      </c>
      <c r="HP113" s="115">
        <f>HN113/$OD113</f>
        <v>0.75995641144542203</v>
      </c>
      <c r="HQ113" s="115"/>
      <c r="HR113" s="115"/>
      <c r="HS113" s="115"/>
      <c r="HT113" s="115"/>
      <c r="HU113" s="115"/>
      <c r="HV113" s="115"/>
      <c r="HW113" s="115"/>
      <c r="HX113" s="115"/>
      <c r="HY113" s="115"/>
      <c r="HZ113" s="115"/>
      <c r="IA113" s="115">
        <f>IB113*$NT113</f>
        <v>5.6235912695606471E-3</v>
      </c>
      <c r="IB113" s="127">
        <f>$AN113*GW$16/C113</f>
        <v>6.2484347439562739E-3</v>
      </c>
      <c r="IC113" s="133"/>
      <c r="ID113" s="115">
        <f>IB113/$OD113</f>
        <v>2.0828115813187581E-2</v>
      </c>
      <c r="IE113" s="115"/>
      <c r="IF113" s="115"/>
      <c r="IG113" s="115"/>
      <c r="IH113" s="115"/>
      <c r="II113" s="115"/>
      <c r="IJ113" s="115"/>
      <c r="IK113" s="115"/>
      <c r="IL113" s="115"/>
      <c r="IM113" s="115"/>
      <c r="IN113" s="115"/>
      <c r="IV113" s="335">
        <f>IW113*$NT113</f>
        <v>1.2134630774470263</v>
      </c>
      <c r="IW113" s="127">
        <f>AN113*JK111*C112/C113</f>
        <v>1.3482923082744735</v>
      </c>
      <c r="IX113" s="73"/>
      <c r="IY113" s="115">
        <f>IW113/$OD113</f>
        <v>4.4943076942482456</v>
      </c>
      <c r="IZ113" s="474">
        <f>IZ112/3.67</f>
        <v>20.534574576837084</v>
      </c>
      <c r="JA113" s="115"/>
      <c r="JB113" s="115">
        <f>$IW113*JM111/$JK111</f>
        <v>0.91314534566574168</v>
      </c>
      <c r="JC113" s="115">
        <f>$IW113*JN111/$JK111</f>
        <v>0.40249114791079238</v>
      </c>
      <c r="JD113" s="115">
        <f>$IW113*JO111/$JK111</f>
        <v>3.2655814697939503E-2</v>
      </c>
      <c r="JE113" s="26">
        <f>JF113*$NT113</f>
        <v>0.51645827851749537</v>
      </c>
      <c r="JF113" s="115">
        <f>BO113</f>
        <v>0.57384253168610599</v>
      </c>
      <c r="JH113" s="115">
        <f>JF113/$OD113</f>
        <v>1.9128084389536868</v>
      </c>
      <c r="JI113" s="73"/>
      <c r="JJ113" s="73"/>
      <c r="KJ113" s="115">
        <f>BW113*44/12+$IW113+$GZ113</f>
        <v>3.9101729798919918</v>
      </c>
      <c r="KK113" s="74"/>
      <c r="KL113" s="74"/>
      <c r="KM113" s="115">
        <f>KJ113/$OD113</f>
        <v>13.033909932973307</v>
      </c>
      <c r="KN113" s="74"/>
      <c r="KO113" s="115">
        <f>44/12*AZ113+BI113+BO113</f>
        <v>3.4637178024980599</v>
      </c>
      <c r="KP113" s="74"/>
      <c r="KQ113" s="74"/>
      <c r="KR113" s="143">
        <f>KO113/$OD113</f>
        <v>11.545726008326866</v>
      </c>
      <c r="KS113" s="74"/>
      <c r="KT113" s="115">
        <f>CK113*44/12+$IW113+$HN113</f>
        <v>4.7886821317980468</v>
      </c>
      <c r="KW113" s="115">
        <f>KT113/$OD113</f>
        <v>15.962273772660156</v>
      </c>
      <c r="LB113" s="115"/>
      <c r="LD113" s="115">
        <f>CY113*44/12+$IW113+$IB113</f>
        <v>2.250124934153328</v>
      </c>
      <c r="LG113" s="115">
        <f>LD113/$OD113</f>
        <v>7.5004164471777601</v>
      </c>
      <c r="LL113" s="115"/>
      <c r="LN113" s="115">
        <f>DM113*44/12+$IW113+$GZ113</f>
        <v>4.9231198900905087</v>
      </c>
      <c r="LQ113" s="115">
        <f>LN113/$OD113</f>
        <v>16.410399633635031</v>
      </c>
      <c r="LS113" s="115">
        <f>44/12*BB113+BI113+BO113</f>
        <v>4.3577795143211349</v>
      </c>
      <c r="LV113" s="143">
        <f>LS113/$OD113</f>
        <v>14.525931714403784</v>
      </c>
      <c r="LX113" s="115">
        <f>EA113*44/12+$IW113+$HN113</f>
        <v>5.9674578835132142</v>
      </c>
      <c r="MA113" s="115">
        <f>LX113/$OD113</f>
        <v>19.891526278377381</v>
      </c>
      <c r="MH113" s="115">
        <f>EO113*44/12+$IW113+$IB113</f>
        <v>11.551960036644937</v>
      </c>
      <c r="MK113" s="115">
        <f>MH113/$OD113</f>
        <v>38.506533455483122</v>
      </c>
      <c r="NT113" s="31">
        <v>0.9</v>
      </c>
      <c r="NU113" s="31"/>
      <c r="NV113" s="32">
        <f>$NT113*NW113</f>
        <v>17.904255319148938</v>
      </c>
      <c r="NW113" s="43">
        <f>18.7/0.94</f>
        <v>19.893617021276597</v>
      </c>
      <c r="OC113" s="38">
        <f>$NT113*OD113</f>
        <v>0.27</v>
      </c>
      <c r="OD113" s="31">
        <v>0.3</v>
      </c>
    </row>
    <row r="114" spans="1:494" x14ac:dyDescent="0.25">
      <c r="A114" s="37" t="s">
        <v>233</v>
      </c>
      <c r="B114" s="40">
        <f>B113/B112</f>
        <v>1.0894312105007293</v>
      </c>
      <c r="C114" s="40">
        <f>1-C112-C113</f>
        <v>0.32743156156910613</v>
      </c>
      <c r="D114" s="40">
        <f>1-D112-D113</f>
        <v>8.9999999999999969E-2</v>
      </c>
      <c r="E114" s="53"/>
      <c r="F114" s="53"/>
      <c r="G114" s="53"/>
      <c r="H114" s="53"/>
      <c r="I114" s="53"/>
      <c r="N114" s="40"/>
      <c r="V114" s="26"/>
      <c r="W114" s="26"/>
      <c r="X114" s="115"/>
      <c r="Y114" s="26">
        <f>D114/D112*Y112</f>
        <v>2.291890909090908E-2</v>
      </c>
      <c r="Z114" s="26"/>
      <c r="AA114" s="26"/>
      <c r="AB114" s="26"/>
      <c r="AE114" s="26"/>
      <c r="AF114" s="74"/>
      <c r="AG114" s="74"/>
      <c r="AK114" s="722"/>
      <c r="AL114" s="74"/>
      <c r="AN114" s="74"/>
      <c r="BJ114" s="74"/>
      <c r="BK114" s="74"/>
      <c r="BL114" s="74"/>
      <c r="BM114" s="74"/>
      <c r="BN114" s="74"/>
      <c r="BW114" s="26"/>
      <c r="BZ114" s="74"/>
      <c r="CA114" s="74"/>
      <c r="CB114" s="74"/>
      <c r="CC114" s="74"/>
      <c r="CD114" s="115"/>
      <c r="CE114" s="115"/>
      <c r="CF114" s="115"/>
      <c r="CG114" s="115"/>
      <c r="CH114" s="115"/>
      <c r="CI114" s="74"/>
      <c r="CK114" s="26"/>
      <c r="CN114" s="74"/>
      <c r="CX114" s="37"/>
      <c r="CY114" s="26"/>
      <c r="CZ114" s="37"/>
      <c r="DA114" s="37"/>
      <c r="DF114" s="115"/>
      <c r="DG114" s="115"/>
      <c r="DH114" s="115"/>
      <c r="DI114" s="115"/>
      <c r="DJ114" s="115"/>
      <c r="DL114" s="37"/>
      <c r="DM114" s="115"/>
      <c r="DN114" s="37"/>
      <c r="DO114" s="37"/>
      <c r="DT114" s="37"/>
      <c r="DU114" s="37"/>
      <c r="DV114" s="37"/>
      <c r="DW114" s="37"/>
      <c r="DX114" s="37"/>
      <c r="EA114" s="115"/>
      <c r="ED114" s="74"/>
      <c r="EN114" s="37"/>
      <c r="EO114" s="115"/>
      <c r="EP114" s="37"/>
      <c r="EQ114" s="37"/>
      <c r="EV114" s="37"/>
      <c r="EW114" s="37"/>
      <c r="EX114" s="37"/>
      <c r="EY114" s="37"/>
      <c r="EZ114" s="37"/>
      <c r="FF114" s="26"/>
      <c r="FH114" s="74"/>
      <c r="FI114" s="74"/>
      <c r="FJ114" s="74"/>
      <c r="FK114" s="74"/>
      <c r="FQ114" s="74"/>
      <c r="FR114" s="74"/>
      <c r="FT114" s="26"/>
      <c r="FX114" s="74"/>
      <c r="FZ114" s="37"/>
      <c r="GE114" s="74"/>
      <c r="GH114" s="26"/>
      <c r="GJ114" s="74"/>
      <c r="GL114" s="74"/>
      <c r="GM114" s="74"/>
      <c r="GS114" s="74"/>
      <c r="GT114" s="74"/>
      <c r="GU114" s="74"/>
      <c r="GV114" s="74"/>
      <c r="GW114" s="74"/>
      <c r="GX114" s="68">
        <f>GZ114*$W114</f>
        <v>0</v>
      </c>
      <c r="HB114" s="74"/>
      <c r="HD114" s="74"/>
      <c r="HE114" s="74"/>
      <c r="HF114" s="74"/>
      <c r="HG114" s="74"/>
      <c r="HH114" s="74"/>
      <c r="HI114" s="74"/>
      <c r="HJ114" s="74"/>
      <c r="HK114" s="74"/>
      <c r="HL114" s="74"/>
      <c r="IA114" s="133"/>
      <c r="IB114" s="133"/>
      <c r="IC114" s="133"/>
      <c r="IE114" s="133"/>
      <c r="JQ114" s="643"/>
      <c r="KJ114" s="74"/>
      <c r="KK114" s="74"/>
      <c r="KL114" s="74"/>
      <c r="KM114" s="74"/>
      <c r="KN114" s="74"/>
      <c r="KO114" s="74"/>
      <c r="KP114" s="74"/>
      <c r="KQ114" s="74"/>
      <c r="KR114" s="74"/>
      <c r="KS114" s="74"/>
    </row>
    <row r="115" spans="1:494" x14ac:dyDescent="0.25">
      <c r="B115" s="727"/>
      <c r="Y115" s="26"/>
      <c r="AA115" s="26"/>
      <c r="AB115" s="26"/>
      <c r="AE115" s="26"/>
      <c r="AF115" s="74"/>
      <c r="AG115" s="74"/>
      <c r="AL115" s="74"/>
      <c r="AN115" s="74"/>
      <c r="BW115" s="26"/>
      <c r="BZ115" s="74"/>
      <c r="CA115" s="74"/>
      <c r="CB115" s="74"/>
      <c r="CC115" s="74"/>
      <c r="CD115" s="115"/>
      <c r="CE115" s="115"/>
      <c r="CF115" s="115"/>
      <c r="CG115" s="115"/>
      <c r="CH115" s="115"/>
      <c r="CI115" s="74"/>
      <c r="CK115" s="26"/>
      <c r="CN115" s="74"/>
      <c r="CX115" s="37"/>
      <c r="CY115" s="26"/>
      <c r="CZ115" s="37"/>
      <c r="DA115" s="37"/>
      <c r="DF115" s="115"/>
      <c r="DG115" s="115"/>
      <c r="DH115" s="115"/>
      <c r="DI115" s="115"/>
      <c r="DJ115" s="115"/>
      <c r="DL115" s="37"/>
      <c r="DM115" s="115"/>
      <c r="DN115" s="37"/>
      <c r="DO115" s="37"/>
      <c r="DT115" s="37"/>
      <c r="DU115" s="37"/>
      <c r="DV115" s="37"/>
      <c r="DW115" s="37"/>
      <c r="DX115" s="37"/>
      <c r="EA115" s="115"/>
      <c r="ED115" s="74"/>
      <c r="EN115" s="37"/>
      <c r="EO115" s="115"/>
      <c r="EP115" s="37"/>
      <c r="EQ115" s="37"/>
      <c r="EV115" s="37"/>
      <c r="EW115" s="37"/>
      <c r="EX115" s="37"/>
      <c r="EY115" s="37"/>
      <c r="EZ115" s="37"/>
      <c r="FF115" s="26"/>
      <c r="FH115" s="74"/>
      <c r="FJ115" s="74"/>
      <c r="FK115" s="74"/>
      <c r="FQ115" s="74"/>
      <c r="FR115" s="74"/>
      <c r="FT115" s="26"/>
      <c r="FX115" s="74"/>
      <c r="FZ115" s="37"/>
      <c r="GE115" s="74"/>
      <c r="GH115" s="26"/>
      <c r="GJ115" s="74"/>
      <c r="GL115" s="74"/>
      <c r="GM115" s="74"/>
      <c r="GS115" s="74"/>
      <c r="GT115" s="74"/>
      <c r="GU115" s="74"/>
      <c r="GV115" s="74"/>
      <c r="GW115" s="74"/>
      <c r="GX115" s="74"/>
      <c r="HB115" s="74"/>
      <c r="HD115" s="74"/>
      <c r="HE115" s="74"/>
      <c r="HF115" s="74"/>
      <c r="HG115" s="74"/>
      <c r="HH115" s="74"/>
      <c r="HI115" s="74"/>
      <c r="HJ115" s="74"/>
      <c r="HK115" s="74"/>
      <c r="HL115" s="74"/>
      <c r="IA115" s="133"/>
      <c r="IB115" s="133"/>
      <c r="IC115" s="133"/>
      <c r="IE115" s="133"/>
      <c r="JQ115" s="469"/>
      <c r="JS115" s="723"/>
      <c r="JU115" s="723"/>
      <c r="JX115" s="723"/>
      <c r="KJ115" s="74"/>
      <c r="KK115" s="74"/>
      <c r="KL115" s="74"/>
      <c r="KM115" s="74"/>
      <c r="KN115" s="74"/>
      <c r="KO115" s="74"/>
      <c r="KP115" s="74"/>
      <c r="KQ115" s="74"/>
      <c r="KR115" s="74"/>
      <c r="KS115" s="74"/>
    </row>
    <row r="116" spans="1:494" x14ac:dyDescent="0.25">
      <c r="A116" s="9" t="s">
        <v>243</v>
      </c>
      <c r="AA116" s="26"/>
      <c r="AB116" s="26"/>
      <c r="AE116" s="26"/>
      <c r="AF116" s="74"/>
      <c r="AG116" s="74"/>
      <c r="AL116" s="74"/>
      <c r="AN116" s="74"/>
      <c r="BW116" s="26"/>
      <c r="BZ116" s="74"/>
      <c r="CA116" s="74"/>
      <c r="CB116" s="74"/>
      <c r="CC116" s="74"/>
      <c r="CD116" s="115"/>
      <c r="CE116" s="115"/>
      <c r="CF116" s="115"/>
      <c r="CG116" s="115"/>
      <c r="CH116" s="115"/>
      <c r="CI116" s="74"/>
      <c r="CK116" s="26"/>
      <c r="CN116" s="74"/>
      <c r="CX116" s="37"/>
      <c r="CY116" s="26"/>
      <c r="CZ116" s="37"/>
      <c r="DA116" s="37"/>
      <c r="DF116" s="115"/>
      <c r="DG116" s="115"/>
      <c r="DH116" s="115"/>
      <c r="DI116" s="115"/>
      <c r="DJ116" s="115"/>
      <c r="DL116" s="37"/>
      <c r="DM116" s="115"/>
      <c r="DN116" s="37"/>
      <c r="DO116" s="37"/>
      <c r="DT116" s="37"/>
      <c r="DU116" s="37"/>
      <c r="DV116" s="37"/>
      <c r="DW116" s="37"/>
      <c r="DX116" s="37"/>
      <c r="EA116" s="115"/>
      <c r="ED116" s="74"/>
      <c r="EN116" s="37"/>
      <c r="EO116" s="115"/>
      <c r="EP116" s="37"/>
      <c r="EQ116" s="37"/>
      <c r="EV116" s="37"/>
      <c r="EW116" s="37"/>
      <c r="EX116" s="37"/>
      <c r="EY116" s="37"/>
      <c r="EZ116" s="37"/>
      <c r="FF116" s="26"/>
      <c r="FH116" s="74"/>
      <c r="FJ116" s="74"/>
      <c r="FK116" s="74"/>
      <c r="FQ116" s="74"/>
      <c r="FR116" s="74"/>
      <c r="FT116" s="26"/>
      <c r="FX116" s="74"/>
      <c r="FZ116" s="37"/>
      <c r="GE116" s="74"/>
      <c r="GH116" s="26"/>
      <c r="GJ116" s="74"/>
      <c r="GL116" s="74"/>
      <c r="GM116" s="74"/>
      <c r="GS116" s="74"/>
      <c r="GT116" s="74"/>
      <c r="GU116" s="74"/>
      <c r="GV116" s="74"/>
      <c r="GW116" s="74"/>
      <c r="GX116" s="55">
        <f>GX117+GX118</f>
        <v>3.9500691571850979</v>
      </c>
      <c r="GY116" s="179"/>
      <c r="GZ116" s="179"/>
      <c r="HA116" s="179"/>
      <c r="HB116" s="74"/>
      <c r="HC116" s="179"/>
      <c r="HD116" s="74"/>
      <c r="HE116" s="74"/>
      <c r="HF116" s="74"/>
      <c r="HG116" s="74"/>
      <c r="HH116" s="74"/>
      <c r="HI116" s="74"/>
      <c r="HJ116" s="74"/>
      <c r="HK116" s="74"/>
      <c r="HL116" s="74"/>
      <c r="HM116" s="179"/>
      <c r="HN116" s="179"/>
      <c r="HO116" s="179"/>
      <c r="HQ116" s="179"/>
      <c r="IA116" s="179"/>
      <c r="IB116" s="179"/>
      <c r="IC116" s="179"/>
      <c r="IE116" s="179"/>
      <c r="IO116" s="68">
        <f>IP116+IQ116+IR116+IS116+IT116+IU116</f>
        <v>8.5436862998617595</v>
      </c>
      <c r="IP116" s="97">
        <f>JS116*$W117</f>
        <v>3.7998674732207771</v>
      </c>
      <c r="IQ116" s="97">
        <f>JU116*$W117</f>
        <v>2.8231164266409809</v>
      </c>
      <c r="IR116" s="97">
        <f>JX116*$W117</f>
        <v>1.4504159999999997</v>
      </c>
      <c r="IS116" s="97">
        <f>KB116*$W117</f>
        <v>0.26371199999999995</v>
      </c>
      <c r="IT116" s="97">
        <f>KF116*$W117</f>
        <v>0.17141279999999998</v>
      </c>
      <c r="IU116" s="97">
        <f>KH116*$W117</f>
        <v>3.5161600000000001E-2</v>
      </c>
      <c r="JK116" s="127">
        <f>JM116+JN116+JO116</f>
        <v>0.52095648169888764</v>
      </c>
      <c r="JL116" s="673">
        <f>10^3*JK116/NY117</f>
        <v>19.438674690256999</v>
      </c>
      <c r="JM116" s="179">
        <f>JS116+KB116</f>
        <v>0.2477792361719986</v>
      </c>
      <c r="JN116" s="179">
        <f>JU116+KF116</f>
        <v>0.18259324552688908</v>
      </c>
      <c r="JO116" s="179">
        <f>JX116+KH116</f>
        <v>9.0583999999999998E-2</v>
      </c>
      <c r="JP116" s="469">
        <f>JK116*C117</f>
        <v>0.14116522113149388</v>
      </c>
      <c r="JQ116" s="127">
        <f>JR116*$NY117/10^3</f>
        <v>0.49228048169888772</v>
      </c>
      <c r="JR116" s="679">
        <f>JT116+JV116+JY116</f>
        <v>18.368674690257006</v>
      </c>
      <c r="JS116" s="724">
        <f>'Crops; pasture DISCOUNTED'!KF34/$C117</f>
        <v>0.23169923617199861</v>
      </c>
      <c r="JT116" s="73">
        <f>10^3*JS116/$NY117</f>
        <v>8.6454938870148741</v>
      </c>
      <c r="JU116" s="724">
        <f>'Crops; pasture DISCOUNTED'!KD34/$C117</f>
        <v>0.17214124552688909</v>
      </c>
      <c r="JV116" s="115">
        <f>10^3*JU116/$NY117</f>
        <v>6.42318080324213</v>
      </c>
      <c r="JW116" s="115">
        <f>10^3*JU116/'Discounting metrics'!$B$6</f>
        <v>0.57765518633184265</v>
      </c>
      <c r="JX116" s="127">
        <f>JY116*$NY117/10^3</f>
        <v>8.8439999999999991E-2</v>
      </c>
      <c r="JY116" s="84">
        <v>3.3</v>
      </c>
      <c r="JZ116" s="127">
        <f>KB116+KF116+KH116</f>
        <v>2.8675999999999997E-2</v>
      </c>
      <c r="KA116" s="91">
        <f>KC116+KG116+KI116</f>
        <v>1.07</v>
      </c>
      <c r="KB116" s="115">
        <f>KC116*$NY117/10^3</f>
        <v>1.6079999999999997E-2</v>
      </c>
      <c r="KC116" s="80">
        <v>0.6</v>
      </c>
      <c r="KD116" s="725">
        <v>1.9</v>
      </c>
      <c r="KE116" s="179">
        <f>KC116/KD116</f>
        <v>0.31578947368421051</v>
      </c>
      <c r="KF116" s="127">
        <f>KG116*$NY117/10^3</f>
        <v>1.0451999999999999E-2</v>
      </c>
      <c r="KG116" s="84">
        <v>0.39</v>
      </c>
      <c r="KH116" s="127">
        <f>KI116*$NY117/10^3</f>
        <v>2.1440000000000001E-3</v>
      </c>
      <c r="KI116" s="84">
        <v>0.08</v>
      </c>
      <c r="KJ116" s="74"/>
      <c r="KK116" s="74"/>
      <c r="KL116" s="74"/>
      <c r="KM116" s="74"/>
      <c r="KN116" s="74"/>
      <c r="KO116" s="74"/>
      <c r="KP116" s="74"/>
      <c r="KQ116" s="74"/>
      <c r="KR116" s="74"/>
      <c r="KS116" s="74"/>
    </row>
    <row r="117" spans="1:494" x14ac:dyDescent="0.25">
      <c r="A117" s="37" t="s">
        <v>244</v>
      </c>
      <c r="B117" s="670">
        <f>C117*NT21/NT117</f>
        <v>7.3162751677852356E-2</v>
      </c>
      <c r="C117" s="69">
        <f>D117*NW21/NW117</f>
        <v>0.27097315436241609</v>
      </c>
      <c r="D117" s="134">
        <v>0.47499999999999998</v>
      </c>
      <c r="E117" s="207">
        <f>X117/((Y117/D117)/NV21)/10^3</f>
        <v>9.2611078073230796E-2</v>
      </c>
      <c r="F117" s="117">
        <f>X117/((Y117/D117)/NW21)/10^3</f>
        <v>0.34300399286381777</v>
      </c>
      <c r="G117" s="460">
        <f>H117*'Crops; pasture DISCOUNTED'!LI34</f>
        <v>1.9607617449664425</v>
      </c>
      <c r="H117" s="458">
        <f>F117*NZ117</f>
        <v>7.2620805369127499</v>
      </c>
      <c r="I117" s="459"/>
      <c r="K117" s="679">
        <f>10^4*($C117/$NU117)/AB21</f>
        <v>6261.0645442188434</v>
      </c>
      <c r="L117" s="73">
        <f>10^4*($C117/$NU117)/AC21</f>
        <v>5704.8424093110198</v>
      </c>
      <c r="M117" s="73">
        <f>10^4*($C117/$NU117)/AD21</f>
        <v>7029.1808257582197</v>
      </c>
      <c r="N117" s="141"/>
      <c r="V117" s="26">
        <f>W117/NT117</f>
        <v>16.399999999999999</v>
      </c>
      <c r="W117" s="72">
        <v>16.399999999999999</v>
      </c>
      <c r="X117" s="115">
        <f>V117/NU117</f>
        <v>20.759493670886073</v>
      </c>
      <c r="Y117" s="335">
        <f>W117*NW117/10^3</f>
        <v>0.48871999999999999</v>
      </c>
      <c r="Z117" s="26"/>
      <c r="AA117" s="26"/>
      <c r="AB117" s="26"/>
      <c r="AE117" s="734">
        <f>AB$21*$AN117/$C117</f>
        <v>1.9857841743301048</v>
      </c>
      <c r="AF117" s="115"/>
      <c r="AG117" s="127">
        <f>AC$21*$AN117/$C117</f>
        <v>2.1793981313272899</v>
      </c>
      <c r="AH117" s="115"/>
      <c r="AI117" s="127">
        <f>AD$21*$AN117/$C117</f>
        <v>1.7687868891931628</v>
      </c>
      <c r="AJ117" s="115"/>
      <c r="AK117" s="722">
        <f>Y117/(Y117+Y118)</f>
        <v>0.98221670802315963</v>
      </c>
      <c r="AL117" s="164">
        <v>0.9</v>
      </c>
      <c r="AM117" s="69">
        <f>V117*AL117/(V117*AL117+10^3*Y118*AL118)</f>
        <v>0.9708980409435084</v>
      </c>
      <c r="AN117" s="53">
        <f t="shared" ref="AN117:AN118" si="35">AK117</f>
        <v>0.98221670802315963</v>
      </c>
      <c r="AO117" s="115"/>
      <c r="AP117" s="115"/>
      <c r="AQ117" s="115"/>
      <c r="AR117" s="115"/>
      <c r="AS117" s="115"/>
      <c r="AT117" s="115"/>
      <c r="AU117" s="115"/>
      <c r="AV117" s="115"/>
      <c r="AW117" s="115"/>
      <c r="AX117" s="115"/>
      <c r="AY117" s="115"/>
      <c r="AZ117" s="115"/>
      <c r="BA117" s="115"/>
      <c r="BB117" s="115"/>
      <c r="BC117" s="115"/>
      <c r="BD117" s="115"/>
      <c r="BE117" s="115"/>
      <c r="BF117" s="115"/>
      <c r="BG117" s="115"/>
      <c r="BH117" s="115"/>
      <c r="BI117" s="115"/>
      <c r="BJ117" s="115"/>
      <c r="BK117" s="115"/>
      <c r="BL117" s="115"/>
      <c r="BM117" s="115"/>
      <c r="BN117" s="115"/>
      <c r="BO117" s="115"/>
      <c r="BP117" s="115"/>
      <c r="BQ117" s="115"/>
      <c r="BR117" s="115"/>
      <c r="BS117" s="115"/>
      <c r="BT117" s="115"/>
      <c r="BU117" s="115"/>
      <c r="BV117" s="26">
        <f>BW117*$NT117</f>
        <v>0.67934308517460362</v>
      </c>
      <c r="BW117" s="115">
        <f>BP$21*$AN117/$C117</f>
        <v>0.67934308517460362</v>
      </c>
      <c r="BZ117" s="73">
        <f>10^3*BW117/$NW117</f>
        <v>22.796747824651128</v>
      </c>
      <c r="CA117" s="685">
        <f>10^3*BW117/$NY117</f>
        <v>25.348622581141925</v>
      </c>
      <c r="CB117" s="115">
        <f>BW117*$NT117*$NU117</f>
        <v>0.53668103728793692</v>
      </c>
      <c r="CC117" s="73"/>
      <c r="CD117" s="115"/>
      <c r="CE117" s="115"/>
      <c r="CF117" s="115"/>
      <c r="CG117" s="115"/>
      <c r="CH117" s="115"/>
      <c r="CI117" s="115"/>
      <c r="CJ117" s="26">
        <f>CK117*$NT117</f>
        <v>0.96333554145924316</v>
      </c>
      <c r="CK117" s="115">
        <f>BQ$21*$AN117/$C117</f>
        <v>0.96333554145924316</v>
      </c>
      <c r="CN117" s="73">
        <f>10^3*CK117/$NW117</f>
        <v>32.326696022122249</v>
      </c>
      <c r="CO117" s="685">
        <f>10^3*CK117/$NY117</f>
        <v>35.945356024598624</v>
      </c>
      <c r="CP117" s="115">
        <f>CK117*$NT117*$NU117</f>
        <v>0.7610350777528021</v>
      </c>
      <c r="CQ117" s="73"/>
      <c r="CW117" s="115"/>
      <c r="CX117" s="26">
        <f>CY117*$NT117</f>
        <v>0.36105202305848583</v>
      </c>
      <c r="CY117" s="115">
        <f>BR$21*$AN117/$C117</f>
        <v>0.36105202305848583</v>
      </c>
      <c r="CZ117" s="37"/>
      <c r="DA117" s="37"/>
      <c r="DB117" s="73">
        <f>10^3*CY117/$NW117</f>
        <v>12.115839699949188</v>
      </c>
      <c r="DC117" s="685">
        <f>10^3*CY117/$NY117</f>
        <v>13.472090412630067</v>
      </c>
      <c r="DD117" s="115">
        <f>CY117*$NT117*$NU117</f>
        <v>0.28523109821620379</v>
      </c>
      <c r="DE117" s="73"/>
      <c r="DF117" s="115"/>
      <c r="DG117" s="115"/>
      <c r="DH117" s="115"/>
      <c r="DI117" s="115"/>
      <c r="DJ117" s="115"/>
      <c r="DK117" s="115"/>
      <c r="DL117" s="26">
        <f>DM117*$NT117</f>
        <v>0.72986068245695446</v>
      </c>
      <c r="DM117" s="115">
        <f>BS$21*$AN117/$C117</f>
        <v>0.72986068245695446</v>
      </c>
      <c r="DN117" s="37"/>
      <c r="DO117" s="37"/>
      <c r="DP117" s="73">
        <f>10^3*DM117/$NW117</f>
        <v>24.491969209964914</v>
      </c>
      <c r="DQ117" s="685">
        <f>10^3*DM117/$NY117</f>
        <v>27.233607554363971</v>
      </c>
      <c r="DR117" s="115">
        <f>DM117*$NT117*$NU117</f>
        <v>0.5765899391409941</v>
      </c>
      <c r="DS117" s="73"/>
      <c r="DT117" s="37"/>
      <c r="DU117" s="37"/>
      <c r="DV117" s="37"/>
      <c r="DW117" s="37"/>
      <c r="DX117" s="37"/>
      <c r="DY117" s="115"/>
      <c r="DZ117" s="26">
        <f>EA117*$NT117</f>
        <v>0.94257079238595554</v>
      </c>
      <c r="EA117" s="115">
        <f>BT$21*$AN117/$C117</f>
        <v>0.94257079238595554</v>
      </c>
      <c r="ED117" s="73">
        <f>10^3*EA117/$NW117</f>
        <v>31.629892361944815</v>
      </c>
      <c r="EE117" s="685">
        <f>10^3*EA117/$NY117</f>
        <v>35.170551954699832</v>
      </c>
      <c r="EF117" s="115">
        <f>EA117*$NT117*$NU117</f>
        <v>0.74463092598490488</v>
      </c>
      <c r="EG117" s="73"/>
      <c r="EM117" s="115"/>
      <c r="EN117" s="26">
        <f>EO117*$NT117</f>
        <v>60.287257334695667</v>
      </c>
      <c r="EO117" s="115">
        <f>BU$21*$AN117/$C117</f>
        <v>60.287257334695667</v>
      </c>
      <c r="EP117" s="37"/>
      <c r="EQ117" s="37"/>
      <c r="ER117" s="73">
        <f>10^3*EO117/$NW117</f>
        <v>2023.0623266676398</v>
      </c>
      <c r="ES117" s="685">
        <f>10^3*EO117/$NY117</f>
        <v>2249.5245274140175</v>
      </c>
      <c r="ET117" s="115">
        <f>EO117*$NT117*$NU117</f>
        <v>47.626933294409582</v>
      </c>
      <c r="EU117" s="73"/>
      <c r="EV117" s="37"/>
      <c r="EW117" s="37"/>
      <c r="EX117" s="37"/>
      <c r="EY117" s="37"/>
      <c r="EZ117" s="37"/>
      <c r="FA117" s="115"/>
      <c r="FE117" s="26">
        <f>FF117*$NT117</f>
        <v>1.4631257796464214</v>
      </c>
      <c r="FF117" s="115">
        <f>FB$21*$AN117/$C117</f>
        <v>1.4631257796464214</v>
      </c>
      <c r="FH117" s="74"/>
      <c r="FI117" s="562">
        <f>10^3*FF117/$NW117</f>
        <v>49.098180525047702</v>
      </c>
      <c r="FJ117" s="73">
        <f>10^3*FE117/$NY117</f>
        <v>54.594245509194828</v>
      </c>
      <c r="FK117" s="115">
        <f>FF117*$NT117*$NU117</f>
        <v>1.1558693659206729</v>
      </c>
      <c r="FL117" s="26"/>
      <c r="FQ117" s="73"/>
      <c r="FR117" s="115"/>
      <c r="FS117" s="26">
        <f>FT117*$NT117</f>
        <v>1.8895381798607604</v>
      </c>
      <c r="FT117" s="115">
        <f>FC$21*$AN117/$C117</f>
        <v>1.8895381798607604</v>
      </c>
      <c r="FW117" s="562">
        <f>10^3*FT117/$NW117</f>
        <v>63.407321471837598</v>
      </c>
      <c r="FX117" s="73">
        <f>10^3*FS117/$NY117</f>
        <v>70.505155964953744</v>
      </c>
      <c r="FY117" s="115">
        <f>FT117*$NT117*$NU117</f>
        <v>1.4927351620900009</v>
      </c>
      <c r="FZ117" s="26"/>
      <c r="GE117" s="73"/>
      <c r="GF117" s="115"/>
      <c r="GG117" s="26">
        <f>GH117*$NT117</f>
        <v>0.98521429728059173</v>
      </c>
      <c r="GH117" s="115">
        <f>FD$21*$AN117/$C117</f>
        <v>0.98521429728059173</v>
      </c>
      <c r="GJ117" s="74"/>
      <c r="GK117" s="562">
        <f>10^3*GH117/$NW117</f>
        <v>33.060882459080261</v>
      </c>
      <c r="GL117" s="73">
        <f>10^3*GG117/$NY117</f>
        <v>36.761727510469839</v>
      </c>
      <c r="GM117" s="115">
        <f>GH117*$NT117*$NU117</f>
        <v>0.77831929485166751</v>
      </c>
      <c r="GN117" s="26"/>
      <c r="GS117" s="73"/>
      <c r="GT117" s="115"/>
      <c r="GU117" s="115"/>
      <c r="GV117" s="115"/>
      <c r="GW117" s="115"/>
      <c r="GX117" s="68">
        <f>GZ117*$W117</f>
        <v>3.9500691571850979</v>
      </c>
      <c r="GY117" s="26">
        <f>GZ117*$NT117</f>
        <v>0.24085787543811574</v>
      </c>
      <c r="GZ117" s="127">
        <f>$AN117*GU$21/C117</f>
        <v>0.24085787543811574</v>
      </c>
      <c r="HB117" s="74"/>
      <c r="HC117" s="115">
        <f>10^3*GZ117/$NW117</f>
        <v>8.0824790415475078</v>
      </c>
      <c r="HD117" s="110">
        <f>10^3*GZ117/$NY117</f>
        <v>8.9872341581386461</v>
      </c>
      <c r="HE117" s="115">
        <f>GZ117*$NT117*$NU117</f>
        <v>0.19027772159611145</v>
      </c>
      <c r="HF117" s="115"/>
      <c r="HG117" s="115"/>
      <c r="HH117" s="115"/>
      <c r="HI117" s="115"/>
      <c r="HJ117" s="115"/>
      <c r="HK117" s="115"/>
      <c r="HL117" s="115"/>
      <c r="HM117" s="115">
        <f>HN117*$NT117</f>
        <v>0.16990057572929329</v>
      </c>
      <c r="HN117" s="127">
        <f>$AN117*GV$21/C117</f>
        <v>0.16990057572929329</v>
      </c>
      <c r="HQ117" s="115">
        <f>10^3*HN117/$NW117</f>
        <v>5.7013616016541366</v>
      </c>
      <c r="HR117" s="115">
        <f>10^3*HN117/$NY117</f>
        <v>6.339573721242286</v>
      </c>
      <c r="HS117" s="115">
        <f>HN117*$NT117*$NU117</f>
        <v>0.1342214548261417</v>
      </c>
      <c r="HT117" s="115"/>
      <c r="HU117" s="115"/>
      <c r="HV117" s="115"/>
      <c r="HW117" s="115"/>
      <c r="HX117" s="115"/>
      <c r="HY117" s="115"/>
      <c r="HZ117" s="115"/>
      <c r="IA117" s="115">
        <f>IB117*$NT117</f>
        <v>0.32038489733399395</v>
      </c>
      <c r="IB117" s="127">
        <f>$AN117*GW$21/C117</f>
        <v>0.32038489733399395</v>
      </c>
      <c r="IC117" s="133"/>
      <c r="IE117" s="115">
        <f>10^3*IB117/$NW117</f>
        <v>10.751171051476307</v>
      </c>
      <c r="IF117" s="115">
        <f>10^3*IB117/$NY117</f>
        <v>11.954660348283355</v>
      </c>
      <c r="IG117" s="115">
        <f>IB117*$NT117*$NU117</f>
        <v>0.25310406889385523</v>
      </c>
      <c r="IH117" s="115"/>
      <c r="II117" s="115"/>
      <c r="IJ117" s="115"/>
      <c r="IK117" s="115"/>
      <c r="IL117" s="115"/>
      <c r="IM117" s="115"/>
      <c r="IN117" s="115"/>
      <c r="IV117" s="26">
        <f>IW117*$NT117</f>
        <v>0.51169216047760879</v>
      </c>
      <c r="IW117" s="115">
        <f>AN117*JK116</f>
        <v>0.51169216047760879</v>
      </c>
      <c r="IX117" s="73"/>
      <c r="IZ117" s="673">
        <f>AN117*JL116</f>
        <v>19.092991062597342</v>
      </c>
      <c r="JA117" s="115">
        <f>IW117*$NT117*$NU117</f>
        <v>0.40423680677731094</v>
      </c>
      <c r="JB117" s="115">
        <f>$IW117*JM116/$JK116</f>
        <v>0.24337290566935346</v>
      </c>
      <c r="JC117" s="115">
        <f>$IW117*JN116/$JK116</f>
        <v>0.17934613652868547</v>
      </c>
      <c r="JD117" s="115">
        <f>$IW117*JO116/$JK116</f>
        <v>8.8973118279569885E-2</v>
      </c>
      <c r="JE117" s="115"/>
      <c r="JF117" s="73"/>
      <c r="JG117" s="73"/>
      <c r="JH117" s="73"/>
      <c r="JI117" s="73"/>
      <c r="JJ117" s="73"/>
      <c r="JQ117" s="736"/>
      <c r="JS117" s="736"/>
      <c r="JU117" s="736"/>
      <c r="JX117" s="736"/>
      <c r="KJ117" s="115">
        <f>BW117*44/12+$IW117+$GZ117</f>
        <v>3.2434746815559379</v>
      </c>
      <c r="KK117" s="677">
        <f>10^3*KJ117/$NY117</f>
        <v>121.02517468492306</v>
      </c>
      <c r="KL117" s="74"/>
      <c r="KM117" s="74"/>
      <c r="KN117" s="115">
        <f>KJ117*$NT117*$NU117</f>
        <v>2.5623449984291908</v>
      </c>
      <c r="KO117" s="74"/>
      <c r="KP117" s="74"/>
      <c r="KQ117" s="74"/>
      <c r="KR117" s="74"/>
      <c r="KS117" s="115"/>
      <c r="KT117" s="115">
        <f>CK117*44/12+$IW117+$HN117</f>
        <v>4.2138230548907938</v>
      </c>
      <c r="KU117" s="677">
        <f>10^3*KT117/$NY117</f>
        <v>157.23220354070128</v>
      </c>
      <c r="KX117" s="115">
        <f>KT117*$NT117*$NU117</f>
        <v>3.3289202133637272</v>
      </c>
      <c r="LC117" s="115"/>
      <c r="LD117" s="115">
        <f>CY117*44/12+$IW117+$IB117</f>
        <v>2.1559344756927175</v>
      </c>
      <c r="LE117" s="677">
        <f>10^3*LD117/$NY117</f>
        <v>80.445316257190953</v>
      </c>
      <c r="LH117" s="115">
        <f>LD117*$NT117*$NU117</f>
        <v>1.7031882357972468</v>
      </c>
      <c r="LM117" s="115"/>
      <c r="LN117" s="115">
        <f>DM117*44/12+$IW117+$GZ117</f>
        <v>3.428705871591224</v>
      </c>
      <c r="LO117" s="677">
        <f>10^3*LN117/$NY117</f>
        <v>127.93678625340388</v>
      </c>
      <c r="LR117" s="115">
        <f>LN117*$NT117*$NU117</f>
        <v>2.708677638557067</v>
      </c>
      <c r="LW117" s="115"/>
      <c r="LX117" s="115">
        <f>EA117*44/12+$IW117+$HN117</f>
        <v>4.1376856416220722</v>
      </c>
      <c r="LY117" s="677">
        <f>10^3*LX117/$NY117</f>
        <v>154.3912552844057</v>
      </c>
      <c r="MB117" s="115">
        <f>LX117*$NT117*$NU117</f>
        <v>3.2687716568814373</v>
      </c>
      <c r="MG117" s="115"/>
      <c r="MH117" s="115">
        <f>EO117*44/12+$IW117+$IB117</f>
        <v>221.88535395169572</v>
      </c>
      <c r="MI117" s="677">
        <f>10^3*MH117/$NY117</f>
        <v>8279.3042519289447</v>
      </c>
      <c r="ML117" s="115">
        <f>MH117*$NT117*$NU117</f>
        <v>175.28942962183962</v>
      </c>
      <c r="MQ117" s="115"/>
      <c r="MR117" s="295">
        <v>86</v>
      </c>
      <c r="MS117" s="676">
        <f>KK117-$MR117</f>
        <v>35.025174684923059</v>
      </c>
      <c r="MT117" s="115">
        <f>MS117*$NZ117/10^3</f>
        <v>0.74155299842919098</v>
      </c>
      <c r="MU117" s="115"/>
      <c r="MV117" s="115"/>
      <c r="MW117" s="676">
        <f>KU117-$MR117</f>
        <v>71.232203540701278</v>
      </c>
      <c r="MX117" s="115">
        <f>MW117*$NZ117/10^3</f>
        <v>1.5081282133637275</v>
      </c>
      <c r="MY117" s="115"/>
      <c r="MZ117" s="115"/>
      <c r="NA117" s="676">
        <f>LE117-$MR117</f>
        <v>-5.554683742809047</v>
      </c>
      <c r="NB117" s="115">
        <f>NA117*$NZ117/10^3</f>
        <v>-0.11760376420275315</v>
      </c>
      <c r="NC117" s="115"/>
      <c r="ND117" s="115"/>
      <c r="NE117" s="676">
        <f>LO117-$MR117</f>
        <v>41.936786253403881</v>
      </c>
      <c r="NF117" s="115">
        <f>NE117*$NZ117/10^3</f>
        <v>0.88788563855706693</v>
      </c>
      <c r="NG117" s="115"/>
      <c r="NH117" s="115"/>
      <c r="NI117" s="676">
        <f>LY117-$MR117</f>
        <v>68.391255284405702</v>
      </c>
      <c r="NJ117" s="115">
        <f>NI117*$NZ117/10^3</f>
        <v>1.4479796568814374</v>
      </c>
      <c r="NK117" s="115"/>
      <c r="NL117" s="115"/>
      <c r="NM117" s="676">
        <f>MI117-$MR117</f>
        <v>8193.3042519289447</v>
      </c>
      <c r="NN117" s="115">
        <f>NM117*$NZ117/10^3</f>
        <v>173.4686376218396</v>
      </c>
      <c r="NO117" s="115"/>
      <c r="NP117" s="115"/>
      <c r="NQ117" s="73"/>
      <c r="NR117" s="73"/>
      <c r="NS117" s="73"/>
      <c r="NT117" s="31">
        <v>1</v>
      </c>
      <c r="NU117" s="103">
        <v>0.79</v>
      </c>
      <c r="NV117" s="32">
        <f>$NT117*NW117</f>
        <v>29.8</v>
      </c>
      <c r="NW117" s="9">
        <v>29.8</v>
      </c>
      <c r="NX117" s="26">
        <f>NV117*NU117</f>
        <v>23.542000000000002</v>
      </c>
      <c r="NY117" s="9">
        <v>26.8</v>
      </c>
      <c r="NZ117" s="26">
        <f>NY117*NT117*NU117</f>
        <v>21.172000000000001</v>
      </c>
    </row>
    <row r="118" spans="1:494" x14ac:dyDescent="0.25">
      <c r="A118" s="74" t="s">
        <v>365</v>
      </c>
      <c r="B118" s="468"/>
      <c r="C118" s="141"/>
      <c r="D118" s="82">
        <v>8.6E-3</v>
      </c>
      <c r="E118" s="141"/>
      <c r="F118" s="141"/>
      <c r="G118" s="453"/>
      <c r="H118" s="141"/>
      <c r="I118" s="453"/>
      <c r="N118" s="141"/>
      <c r="X118" s="37"/>
      <c r="Y118" s="443">
        <f>D118/D117*Y117</f>
        <v>8.8484042105263158E-3</v>
      </c>
      <c r="AA118" s="26"/>
      <c r="AB118" s="26"/>
      <c r="AG118" s="74"/>
      <c r="AK118" s="722">
        <f>Y118/(Y117+Y118)</f>
        <v>1.7783291976840365E-2</v>
      </c>
      <c r="AL118" s="737">
        <v>0.05</v>
      </c>
      <c r="AM118" s="69">
        <f>10^3*Y118*AL118/(V117*AL117+10^3*Y118*AL118)</f>
        <v>2.9101959056491499E-2</v>
      </c>
      <c r="AN118" s="53">
        <f t="shared" si="35"/>
        <v>1.7783291976840365E-2</v>
      </c>
      <c r="AQ118" s="115"/>
      <c r="AR118" s="115"/>
      <c r="AS118" s="115"/>
      <c r="AT118" s="115"/>
      <c r="AU118" s="115"/>
      <c r="AV118" s="115"/>
      <c r="AW118" s="115"/>
      <c r="AX118" s="115"/>
      <c r="AY118" s="115"/>
      <c r="AZ118" s="115"/>
      <c r="BA118" s="115"/>
      <c r="BB118" s="115"/>
      <c r="BC118" s="115"/>
      <c r="BD118" s="115"/>
      <c r="BE118" s="115"/>
      <c r="BF118" s="115"/>
      <c r="BG118" s="115"/>
      <c r="BH118" s="115"/>
      <c r="BI118" s="115"/>
      <c r="BJ118" s="115"/>
      <c r="BK118" s="115"/>
      <c r="BL118" s="115"/>
      <c r="BM118" s="115"/>
      <c r="BN118" s="115"/>
      <c r="BO118" s="115"/>
      <c r="BP118" s="115"/>
      <c r="BQ118" s="115"/>
      <c r="BR118" s="115"/>
      <c r="BS118" s="115"/>
      <c r="BT118" s="115"/>
      <c r="BU118" s="115"/>
      <c r="BV118" s="74"/>
      <c r="BW118" s="115"/>
      <c r="BX118" s="74"/>
      <c r="BY118" s="74"/>
      <c r="BZ118" s="73"/>
      <c r="CA118" s="73"/>
      <c r="CB118" s="73"/>
      <c r="CC118" s="73"/>
      <c r="CD118" s="115"/>
      <c r="CE118" s="115"/>
      <c r="CF118" s="115"/>
      <c r="CG118" s="115"/>
      <c r="CH118" s="115"/>
      <c r="CI118" s="73"/>
      <c r="CJ118" s="74"/>
      <c r="CK118" s="115"/>
      <c r="CL118" s="74"/>
      <c r="CM118" s="74"/>
      <c r="CN118" s="73"/>
      <c r="CO118" s="73"/>
      <c r="CP118" s="73"/>
      <c r="CQ118" s="73"/>
      <c r="CW118" s="73"/>
      <c r="CY118" s="115"/>
      <c r="DB118" s="73"/>
      <c r="DC118" s="73"/>
      <c r="DD118" s="73"/>
      <c r="DE118" s="73"/>
      <c r="DF118" s="115"/>
      <c r="DG118" s="115"/>
      <c r="DH118" s="115"/>
      <c r="DI118" s="115"/>
      <c r="DJ118" s="115"/>
      <c r="DK118" s="73"/>
      <c r="DM118" s="115"/>
      <c r="DP118" s="73"/>
      <c r="DQ118" s="73"/>
      <c r="DR118" s="73"/>
      <c r="DS118" s="73"/>
      <c r="DY118" s="73"/>
      <c r="DZ118" s="74"/>
      <c r="EA118" s="115"/>
      <c r="EB118" s="74"/>
      <c r="EC118" s="74"/>
      <c r="ED118" s="73"/>
      <c r="EE118" s="73"/>
      <c r="EF118" s="73"/>
      <c r="EG118" s="73"/>
      <c r="EH118" s="74"/>
      <c r="EI118" s="74"/>
      <c r="EJ118" s="74"/>
      <c r="EK118" s="74"/>
      <c r="EL118" s="74"/>
      <c r="EM118" s="73"/>
      <c r="EO118" s="115"/>
      <c r="ER118" s="73"/>
      <c r="ES118" s="73"/>
      <c r="ET118" s="73"/>
      <c r="EU118" s="73"/>
      <c r="FA118" s="73"/>
      <c r="FB118" s="74"/>
      <c r="FC118" s="74"/>
      <c r="FD118" s="74"/>
      <c r="FE118" s="74"/>
      <c r="FF118" s="115"/>
      <c r="FG118" s="74"/>
      <c r="FH118" s="74"/>
      <c r="FI118" s="115"/>
      <c r="FJ118" s="73"/>
      <c r="FK118" s="73"/>
      <c r="FL118" s="74"/>
      <c r="FM118" s="74"/>
      <c r="FN118" s="74"/>
      <c r="FO118" s="74"/>
      <c r="FP118" s="74"/>
      <c r="FQ118" s="73"/>
      <c r="FR118" s="73"/>
      <c r="FS118" s="74"/>
      <c r="FT118" s="115"/>
      <c r="FU118" s="74"/>
      <c r="FW118" s="115"/>
      <c r="FX118" s="73"/>
      <c r="FY118" s="73"/>
      <c r="GA118" s="74"/>
      <c r="GB118" s="74"/>
      <c r="GC118" s="74"/>
      <c r="GD118" s="74"/>
      <c r="GE118" s="73"/>
      <c r="GF118" s="73"/>
      <c r="GG118" s="74"/>
      <c r="GH118" s="115"/>
      <c r="GI118" s="74"/>
      <c r="GJ118" s="74"/>
      <c r="GK118" s="115"/>
      <c r="GL118" s="73"/>
      <c r="GM118" s="73"/>
      <c r="GN118" s="74"/>
      <c r="GO118" s="74"/>
      <c r="GP118" s="74"/>
      <c r="GQ118" s="74"/>
      <c r="GR118" s="74"/>
      <c r="GS118" s="73"/>
      <c r="GT118" s="73"/>
      <c r="GU118" s="73"/>
      <c r="GV118" s="73"/>
      <c r="GW118" s="73"/>
      <c r="GX118" s="68">
        <f>GZ118*$W118</f>
        <v>0</v>
      </c>
      <c r="GZ118" s="115"/>
      <c r="HB118" s="74"/>
      <c r="HC118" s="73"/>
      <c r="HD118" s="74"/>
      <c r="HE118" s="73"/>
      <c r="HF118" s="73"/>
      <c r="HG118" s="73"/>
      <c r="HH118" s="73"/>
      <c r="HI118" s="73"/>
      <c r="HJ118" s="73"/>
      <c r="HK118" s="73"/>
      <c r="HL118" s="73"/>
      <c r="HN118" s="115"/>
      <c r="HQ118" s="73"/>
      <c r="HS118" s="73"/>
      <c r="HT118" s="73"/>
      <c r="HU118" s="73"/>
      <c r="HV118" s="73"/>
      <c r="HW118" s="73"/>
      <c r="HX118" s="73"/>
      <c r="HY118" s="73"/>
      <c r="HZ118" s="73"/>
      <c r="IA118" s="133"/>
      <c r="IB118" s="115"/>
      <c r="IC118" s="133"/>
      <c r="IE118" s="73"/>
      <c r="IG118" s="73"/>
      <c r="IH118" s="73"/>
      <c r="II118" s="73"/>
      <c r="IJ118" s="73"/>
      <c r="IK118" s="73"/>
      <c r="IL118" s="73"/>
      <c r="IM118" s="73"/>
      <c r="IN118" s="73"/>
      <c r="IV118" s="74"/>
      <c r="IW118" s="115"/>
      <c r="IX118" s="73"/>
      <c r="IZ118" s="179">
        <f>IZ117/3.67</f>
        <v>5.2024498808167143</v>
      </c>
      <c r="JA118" s="73"/>
      <c r="JB118" s="73"/>
      <c r="JC118" s="73"/>
      <c r="JD118" s="73"/>
      <c r="JE118" s="73"/>
      <c r="JF118" s="73"/>
      <c r="JG118" s="73"/>
      <c r="JH118" s="73"/>
      <c r="JI118" s="73"/>
      <c r="JJ118" s="73"/>
      <c r="KJ118" s="115"/>
      <c r="KK118" s="73"/>
      <c r="KL118" s="74"/>
      <c r="KM118" s="74"/>
      <c r="KN118" s="73"/>
      <c r="KO118" s="74"/>
      <c r="KP118" s="74"/>
      <c r="KQ118" s="74"/>
      <c r="KR118" s="74"/>
      <c r="KS118" s="73"/>
      <c r="KT118" s="115"/>
      <c r="KU118" s="73"/>
      <c r="KX118" s="73"/>
      <c r="LC118" s="73"/>
      <c r="LD118" s="115"/>
      <c r="LE118" s="73"/>
      <c r="LH118" s="73"/>
      <c r="LM118" s="73"/>
      <c r="LN118" s="115"/>
      <c r="LO118" s="73"/>
      <c r="LR118" s="73"/>
      <c r="LW118" s="73"/>
      <c r="LX118" s="115"/>
      <c r="LY118" s="73"/>
      <c r="MB118" s="73"/>
      <c r="MG118" s="73"/>
      <c r="MH118" s="115"/>
      <c r="MI118" s="73"/>
      <c r="ML118" s="73"/>
      <c r="MQ118" s="73"/>
      <c r="MS118" s="73"/>
      <c r="MT118" s="73"/>
      <c r="MU118" s="73"/>
      <c r="MV118" s="73"/>
      <c r="MW118" s="73"/>
      <c r="MX118" s="73"/>
      <c r="MY118" s="73"/>
      <c r="MZ118" s="73"/>
      <c r="NA118" s="73"/>
      <c r="NB118" s="73"/>
      <c r="NC118" s="73"/>
      <c r="ND118" s="73"/>
      <c r="NE118" s="73"/>
      <c r="NF118" s="73"/>
      <c r="NG118" s="73"/>
      <c r="NH118" s="73"/>
      <c r="NI118" s="73"/>
      <c r="NJ118" s="73"/>
      <c r="NK118" s="73"/>
      <c r="NL118" s="73"/>
      <c r="NM118" s="73"/>
      <c r="NN118" s="73"/>
      <c r="NO118" s="73"/>
      <c r="NP118" s="73"/>
      <c r="NT118" s="31"/>
      <c r="NU118" s="103"/>
      <c r="NV118" s="32"/>
      <c r="NW118" s="9"/>
      <c r="NX118" s="26"/>
      <c r="NY118" s="9"/>
      <c r="NZ118" s="9"/>
    </row>
    <row r="119" spans="1:494" x14ac:dyDescent="0.25">
      <c r="A119" s="37" t="s">
        <v>367</v>
      </c>
      <c r="C119" s="69"/>
      <c r="D119" s="53">
        <f>1-D117-D118</f>
        <v>0.51639999999999997</v>
      </c>
      <c r="E119" s="53"/>
      <c r="F119" s="53"/>
      <c r="G119" s="53"/>
      <c r="H119" s="53"/>
      <c r="I119" s="53"/>
      <c r="J119" s="53"/>
      <c r="K119" s="53"/>
      <c r="L119" s="53"/>
      <c r="M119" s="53"/>
      <c r="N119" s="40"/>
      <c r="V119" s="26"/>
      <c r="W119" s="26"/>
      <c r="X119" s="115"/>
      <c r="Y119" s="26"/>
      <c r="Z119" s="26"/>
      <c r="AA119" s="26"/>
      <c r="AB119" s="26"/>
      <c r="AF119" s="74"/>
      <c r="AG119" s="74"/>
      <c r="AK119" s="722"/>
      <c r="AL119" s="74"/>
      <c r="AN119" s="74"/>
      <c r="BW119" s="26"/>
      <c r="BZ119" s="74"/>
      <c r="CA119" s="74"/>
      <c r="CB119" s="74"/>
      <c r="CC119" s="74"/>
      <c r="CD119" s="115"/>
      <c r="CE119" s="115"/>
      <c r="CF119" s="115"/>
      <c r="CG119" s="115"/>
      <c r="CH119" s="115"/>
      <c r="CI119" s="74"/>
      <c r="CK119" s="26"/>
      <c r="CN119" s="74"/>
      <c r="CX119" s="37"/>
      <c r="CY119" s="26"/>
      <c r="CZ119" s="37"/>
      <c r="DA119" s="37"/>
      <c r="DF119" s="115"/>
      <c r="DG119" s="115"/>
      <c r="DH119" s="115"/>
      <c r="DI119" s="115"/>
      <c r="DJ119" s="115"/>
      <c r="DL119" s="37"/>
      <c r="DM119" s="115"/>
      <c r="DN119" s="37"/>
      <c r="DO119" s="37"/>
      <c r="DT119" s="37"/>
      <c r="DU119" s="37"/>
      <c r="DV119" s="37"/>
      <c r="DW119" s="37"/>
      <c r="DX119" s="37"/>
      <c r="EA119" s="115"/>
      <c r="ED119" s="74"/>
      <c r="EN119" s="37"/>
      <c r="EO119" s="115"/>
      <c r="EP119" s="37"/>
      <c r="EQ119" s="37"/>
      <c r="EV119" s="37"/>
      <c r="EW119" s="37"/>
      <c r="EX119" s="37"/>
      <c r="EY119" s="37"/>
      <c r="EZ119" s="37"/>
      <c r="FF119" s="26"/>
      <c r="FH119" s="74"/>
      <c r="FJ119" s="74"/>
      <c r="FK119" s="74"/>
      <c r="FQ119" s="74"/>
      <c r="FR119" s="74"/>
      <c r="FT119" s="26"/>
      <c r="FX119" s="74"/>
      <c r="FZ119" s="37"/>
      <c r="GE119" s="74"/>
      <c r="GH119" s="26"/>
      <c r="GJ119" s="74"/>
      <c r="GL119" s="74"/>
      <c r="GM119" s="74"/>
      <c r="GS119" s="74"/>
      <c r="GT119" s="74"/>
      <c r="GU119" s="74"/>
      <c r="GV119" s="74"/>
      <c r="GW119" s="74"/>
      <c r="GX119" s="74"/>
      <c r="HB119" s="74"/>
      <c r="HD119" s="74"/>
      <c r="HE119" s="74"/>
      <c r="HF119" s="74"/>
      <c r="HG119" s="74"/>
      <c r="HH119" s="74"/>
      <c r="HI119" s="74"/>
      <c r="HJ119" s="74"/>
      <c r="HK119" s="74"/>
      <c r="HL119" s="74"/>
      <c r="IA119" s="133"/>
      <c r="IB119" s="133"/>
      <c r="IC119" s="133"/>
      <c r="IE119" s="133"/>
      <c r="JQ119" s="643"/>
      <c r="KJ119" s="74"/>
      <c r="KK119" s="74"/>
      <c r="KL119" s="74"/>
      <c r="KM119" s="74"/>
      <c r="KN119" s="74"/>
      <c r="KO119" s="74"/>
      <c r="KP119" s="74"/>
      <c r="KQ119" s="74"/>
      <c r="KR119" s="74"/>
      <c r="KS119" s="74"/>
    </row>
    <row r="120" spans="1:494" x14ac:dyDescent="0.25">
      <c r="AA120" s="26"/>
      <c r="AB120" s="26"/>
      <c r="AF120" s="74"/>
      <c r="AG120" s="74"/>
      <c r="AL120" s="74"/>
      <c r="AN120" s="74"/>
      <c r="BW120" s="26"/>
      <c r="BZ120" s="74"/>
      <c r="CA120" s="74"/>
      <c r="CB120" s="74"/>
      <c r="CC120" s="74"/>
      <c r="CD120" s="115"/>
      <c r="CE120" s="115"/>
      <c r="CF120" s="115"/>
      <c r="CG120" s="115"/>
      <c r="CH120" s="115"/>
      <c r="CI120" s="74"/>
      <c r="CK120" s="26"/>
      <c r="CN120" s="74"/>
      <c r="CX120" s="37"/>
      <c r="CY120" s="26"/>
      <c r="CZ120" s="37"/>
      <c r="DA120" s="37"/>
      <c r="DF120" s="115"/>
      <c r="DG120" s="115"/>
      <c r="DH120" s="115"/>
      <c r="DI120" s="115"/>
      <c r="DJ120" s="115"/>
      <c r="DL120" s="37"/>
      <c r="DM120" s="115"/>
      <c r="DN120" s="37"/>
      <c r="DO120" s="37"/>
      <c r="DT120" s="37"/>
      <c r="DU120" s="37"/>
      <c r="DV120" s="37"/>
      <c r="DW120" s="37"/>
      <c r="DX120" s="37"/>
      <c r="EA120" s="115"/>
      <c r="ED120" s="74"/>
      <c r="EN120" s="37"/>
      <c r="EO120" s="115"/>
      <c r="EP120" s="37"/>
      <c r="EQ120" s="37"/>
      <c r="EV120" s="37"/>
      <c r="EW120" s="37"/>
      <c r="EX120" s="37"/>
      <c r="EY120" s="37"/>
      <c r="EZ120" s="37"/>
      <c r="FF120" s="26"/>
      <c r="FH120" s="74"/>
      <c r="FJ120" s="74"/>
      <c r="FK120" s="74"/>
      <c r="FQ120" s="74"/>
      <c r="FR120" s="74"/>
      <c r="FT120" s="26"/>
      <c r="FX120" s="74"/>
      <c r="FZ120" s="37"/>
      <c r="GE120" s="74"/>
      <c r="GH120" s="26"/>
      <c r="GJ120" s="74"/>
      <c r="GL120" s="74"/>
      <c r="GM120" s="74"/>
      <c r="GS120" s="74"/>
      <c r="GT120" s="74"/>
      <c r="GU120" s="74"/>
      <c r="GV120" s="74"/>
      <c r="GW120" s="74"/>
      <c r="GX120" s="74"/>
      <c r="HB120" s="74"/>
      <c r="HD120" s="74"/>
      <c r="HE120" s="74"/>
      <c r="HF120" s="74"/>
      <c r="HG120" s="74"/>
      <c r="HH120" s="74"/>
      <c r="HI120" s="74"/>
      <c r="HJ120" s="74"/>
      <c r="HK120" s="74"/>
      <c r="HL120" s="74"/>
      <c r="IA120" s="133"/>
      <c r="IB120" s="133"/>
      <c r="IC120" s="133"/>
      <c r="IE120" s="133"/>
      <c r="JQ120" s="469"/>
      <c r="JS120" s="723"/>
      <c r="JU120" s="723"/>
      <c r="JX120" s="723"/>
      <c r="KJ120" s="74"/>
      <c r="KK120" s="74"/>
      <c r="KL120" s="74"/>
      <c r="KM120" s="74"/>
      <c r="KN120" s="74"/>
      <c r="KO120" s="74"/>
      <c r="KP120" s="74"/>
      <c r="KQ120" s="74"/>
      <c r="KR120" s="74"/>
      <c r="KS120" s="74"/>
    </row>
    <row r="121" spans="1:494" x14ac:dyDescent="0.25">
      <c r="A121" s="9" t="s">
        <v>474</v>
      </c>
      <c r="AA121" s="26"/>
      <c r="AB121" s="26"/>
      <c r="AF121" s="74"/>
      <c r="AG121" s="74"/>
      <c r="AL121" s="74"/>
      <c r="AN121" s="74"/>
      <c r="BW121" s="26"/>
      <c r="BZ121" s="74"/>
      <c r="CA121" s="74"/>
      <c r="CB121" s="74"/>
      <c r="CC121" s="74"/>
      <c r="CD121" s="115"/>
      <c r="CE121" s="115"/>
      <c r="CF121" s="115"/>
      <c r="CG121" s="115"/>
      <c r="CH121" s="115"/>
      <c r="CI121" s="74"/>
      <c r="CK121" s="26"/>
      <c r="CN121" s="74"/>
      <c r="CX121" s="37"/>
      <c r="CY121" s="26"/>
      <c r="CZ121" s="37"/>
      <c r="DA121" s="37"/>
      <c r="DF121" s="115"/>
      <c r="DG121" s="115"/>
      <c r="DH121" s="115"/>
      <c r="DI121" s="115"/>
      <c r="DJ121" s="115"/>
      <c r="DL121" s="37"/>
      <c r="DM121" s="115"/>
      <c r="DN121" s="37"/>
      <c r="DO121" s="37"/>
      <c r="DT121" s="37"/>
      <c r="DU121" s="37"/>
      <c r="DV121" s="37"/>
      <c r="DW121" s="37"/>
      <c r="DX121" s="37"/>
      <c r="EA121" s="115"/>
      <c r="ED121" s="74"/>
      <c r="EN121" s="37"/>
      <c r="EO121" s="115"/>
      <c r="EP121" s="37"/>
      <c r="EQ121" s="37"/>
      <c r="EV121" s="37"/>
      <c r="EW121" s="37"/>
      <c r="EX121" s="37"/>
      <c r="EY121" s="37"/>
      <c r="EZ121" s="37"/>
      <c r="FF121" s="26"/>
      <c r="FH121" s="74"/>
      <c r="FJ121" s="74"/>
      <c r="FK121" s="74"/>
      <c r="FQ121" s="74"/>
      <c r="FR121" s="74"/>
      <c r="FT121" s="26"/>
      <c r="FX121" s="74"/>
      <c r="FZ121" s="37"/>
      <c r="GE121" s="74"/>
      <c r="GH121" s="26"/>
      <c r="GJ121" s="74"/>
      <c r="GL121" s="74"/>
      <c r="GM121" s="74"/>
      <c r="GS121" s="74"/>
      <c r="GT121" s="74"/>
      <c r="GU121" s="74"/>
      <c r="GV121" s="74"/>
      <c r="GW121" s="74"/>
      <c r="GX121" s="55">
        <f>GX122+GX123</f>
        <v>7.0722467740740955E-3</v>
      </c>
      <c r="HB121" s="74"/>
      <c r="HD121" s="74"/>
      <c r="HE121" s="74"/>
      <c r="HF121" s="74"/>
      <c r="HG121" s="74"/>
      <c r="HH121" s="74"/>
      <c r="HI121" s="74"/>
      <c r="HJ121" s="74"/>
      <c r="HK121" s="74"/>
      <c r="HL121" s="74"/>
      <c r="IA121" s="133"/>
      <c r="IB121" s="133"/>
      <c r="IC121" s="133"/>
      <c r="IE121" s="133"/>
      <c r="IO121" s="68">
        <f>IP121+IQ121+IR121+IS121+IT121+IU121</f>
        <v>3.05032E-3</v>
      </c>
      <c r="IP121" s="97">
        <f>JS121*$W122</f>
        <v>1.7420000000000003E-3</v>
      </c>
      <c r="IQ121" s="97">
        <f>JU121*$W122</f>
        <v>1.0430000000000001E-3</v>
      </c>
      <c r="IR121" s="97">
        <f>JX121*$W122</f>
        <v>0</v>
      </c>
      <c r="IS121" s="97">
        <f>KB121*$W122</f>
        <v>1.6079999999999998E-4</v>
      </c>
      <c r="IT121" s="97">
        <f>KF121*$W122</f>
        <v>1.0452E-4</v>
      </c>
      <c r="IU121" s="97">
        <f>KH121*$W122</f>
        <v>0</v>
      </c>
      <c r="JK121" s="127">
        <f>JM121+JN121+JO121</f>
        <v>0.30503200000000003</v>
      </c>
      <c r="JL121" s="673">
        <f>10^3*JK121/NY122</f>
        <v>11.38179104477612</v>
      </c>
      <c r="JM121" s="179">
        <f>JS121+KB121</f>
        <v>0.19028</v>
      </c>
      <c r="JN121" s="179">
        <f>JU121+KF121</f>
        <v>0.11475200000000001</v>
      </c>
      <c r="JO121" s="179">
        <f>JX121+KH121</f>
        <v>0</v>
      </c>
      <c r="JP121" s="469">
        <f>JK121*C122</f>
        <v>9.0281283221476522E-2</v>
      </c>
      <c r="JQ121" s="127">
        <f>JR121*$NY122/10^3</f>
        <v>0.27850000000000003</v>
      </c>
      <c r="JR121" s="679">
        <f>JT121+JV121+JY121</f>
        <v>10.39179104477612</v>
      </c>
      <c r="JS121" s="127">
        <f>JT121*$NY122/10^3</f>
        <v>0.17420000000000002</v>
      </c>
      <c r="JT121" s="84">
        <v>6.5</v>
      </c>
      <c r="JU121" s="172">
        <f>'Discounting metrics'!$B$6*JW121/10^3</f>
        <v>0.1043</v>
      </c>
      <c r="JV121" s="213">
        <f>10^3*JU121/$NY122</f>
        <v>3.8917910447761193</v>
      </c>
      <c r="JW121" s="164">
        <v>0.35</v>
      </c>
      <c r="JX121" s="127">
        <f>JY121*$NY122/10^3</f>
        <v>0</v>
      </c>
      <c r="JY121" s="84">
        <v>0</v>
      </c>
      <c r="JZ121" s="127">
        <f>KB121+KF121+KH121</f>
        <v>2.6531999999999997E-2</v>
      </c>
      <c r="KA121" s="91">
        <f>KC121+KG121+KI121</f>
        <v>0.99</v>
      </c>
      <c r="KB121" s="115">
        <f>KC121*$NY122/10^3</f>
        <v>1.6079999999999997E-2</v>
      </c>
      <c r="KC121" s="84">
        <v>0.6</v>
      </c>
      <c r="KD121" s="725">
        <v>1.9</v>
      </c>
      <c r="KE121" s="179">
        <f>KC121/KD121</f>
        <v>0.31578947368421051</v>
      </c>
      <c r="KF121" s="127">
        <f>KG121*$NY122/10^3</f>
        <v>1.0451999999999999E-2</v>
      </c>
      <c r="KG121" s="84">
        <v>0.39</v>
      </c>
      <c r="KH121" s="127">
        <f>KI121*$NY122/10^3</f>
        <v>0</v>
      </c>
      <c r="KI121" s="84">
        <v>0</v>
      </c>
      <c r="KJ121" s="74"/>
      <c r="KK121" s="74"/>
      <c r="KL121" s="74"/>
      <c r="KM121" s="74"/>
      <c r="KN121" s="74"/>
      <c r="KO121" s="74"/>
      <c r="KP121" s="74"/>
      <c r="KQ121" s="74"/>
      <c r="KR121" s="74"/>
      <c r="KS121" s="74"/>
    </row>
    <row r="122" spans="1:494" s="74" customFormat="1" x14ac:dyDescent="0.25">
      <c r="A122" s="74" t="s">
        <v>475</v>
      </c>
      <c r="B122" s="468">
        <f>C122*NT33/NT122</f>
        <v>7.3993288590604028E-2</v>
      </c>
      <c r="C122" s="104">
        <f>D122*NW33/NW122</f>
        <v>0.29597315436241611</v>
      </c>
      <c r="D122" s="134">
        <v>0.49</v>
      </c>
      <c r="E122" s="251">
        <f>X122/((Y122/D122)/NV33)/10^3</f>
        <v>9.3662390621017763E-2</v>
      </c>
      <c r="F122" s="207">
        <f>X122/((Y122/D122)/NW33)/10^3</f>
        <v>0.37464956248407105</v>
      </c>
      <c r="G122" s="460">
        <f>H122*'Crops; pasture DISCOUNTED'!LI62</f>
        <v>1.9830201342281881</v>
      </c>
      <c r="H122" s="458">
        <f>F122*NZ122</f>
        <v>7.9320805369127525</v>
      </c>
      <c r="I122" s="459"/>
      <c r="K122" s="679">
        <f>10^4*($C122/$NU122)/AB33</f>
        <v>1541.1086300920697</v>
      </c>
      <c r="L122" s="73">
        <f>10^4*($C122/$NU122)/AC33</f>
        <v>1386.2033811910626</v>
      </c>
      <c r="M122" s="73">
        <f>10^4*($C122/$NU122)/AD33</f>
        <v>2772.4067623821252</v>
      </c>
      <c r="N122" s="453"/>
      <c r="V122" s="115">
        <f>W122/NT122</f>
        <v>0.01</v>
      </c>
      <c r="W122" s="252">
        <v>0.01</v>
      </c>
      <c r="X122" s="115">
        <f>V122/NU122</f>
        <v>1.2658227848101266E-2</v>
      </c>
      <c r="Y122" s="127">
        <f>W122*NW122/10^3</f>
        <v>2.9799999999999998E-4</v>
      </c>
      <c r="Z122" s="115"/>
      <c r="AA122" s="115"/>
      <c r="AB122" s="115"/>
      <c r="AE122" s="734">
        <f>AB$33*$AN122/$C122</f>
        <v>8.2137155038480518</v>
      </c>
      <c r="AF122" s="115"/>
      <c r="AG122" s="115">
        <f>AC$33*$AN122/$C122</f>
        <v>9.1315805601519884</v>
      </c>
      <c r="AH122" s="115"/>
      <c r="AI122" s="115">
        <f>AD$33*$AN122/$C122</f>
        <v>4.5657902800759942</v>
      </c>
      <c r="AJ122" s="115"/>
      <c r="AK122" s="722">
        <f>Y122/(Y122+Y123)</f>
        <v>1</v>
      </c>
      <c r="AL122" s="164"/>
      <c r="AM122" s="69"/>
      <c r="AN122" s="53">
        <f t="shared" ref="AN122" si="36">AK122</f>
        <v>1</v>
      </c>
      <c r="AO122" s="115"/>
      <c r="AP122" s="115"/>
      <c r="AQ122" s="115"/>
      <c r="AR122" s="115"/>
      <c r="AS122" s="115"/>
      <c r="AT122" s="115"/>
      <c r="AU122" s="115"/>
      <c r="AV122" s="115"/>
      <c r="AW122" s="115"/>
      <c r="AX122" s="115"/>
      <c r="AY122" s="115"/>
      <c r="AZ122" s="115"/>
      <c r="BA122" s="115"/>
      <c r="BB122" s="115"/>
      <c r="BC122" s="115"/>
      <c r="BD122" s="115"/>
      <c r="BE122" s="115"/>
      <c r="BF122" s="115"/>
      <c r="BG122" s="115"/>
      <c r="BH122" s="115"/>
      <c r="BI122" s="115"/>
      <c r="BJ122" s="115"/>
      <c r="BK122" s="115"/>
      <c r="BL122" s="115"/>
      <c r="BM122" s="115"/>
      <c r="BN122" s="115"/>
      <c r="BO122" s="115"/>
      <c r="BP122" s="115"/>
      <c r="BQ122" s="115"/>
      <c r="BR122" s="115"/>
      <c r="BS122" s="115"/>
      <c r="BT122" s="115"/>
      <c r="BU122" s="115"/>
      <c r="BV122" s="115">
        <f>BW122*$NT122</f>
        <v>1.4663438413471477</v>
      </c>
      <c r="BW122" s="115">
        <f>BP$33*$AN122/$C122</f>
        <v>1.4663438413471477</v>
      </c>
      <c r="BZ122" s="73">
        <f>10^3*BW122/$NW122</f>
        <v>49.206169172723072</v>
      </c>
      <c r="CA122" s="677">
        <f>10^3*BW122/$NY122</f>
        <v>54.714322438326406</v>
      </c>
      <c r="CB122" s="115">
        <f>BW122*$NT122*$NU122</f>
        <v>1.1584116346642468</v>
      </c>
      <c r="CC122" s="73"/>
      <c r="CD122" s="115"/>
      <c r="CE122" s="115"/>
      <c r="CF122" s="115"/>
      <c r="CG122" s="115"/>
      <c r="CH122" s="115"/>
      <c r="CI122" s="115"/>
      <c r="CJ122" s="115">
        <f>CK122*$NT122</f>
        <v>1.7122227524496108</v>
      </c>
      <c r="CK122" s="115">
        <f>BQ$33*$AN122/$C122</f>
        <v>1.7122227524496108</v>
      </c>
      <c r="CN122" s="73">
        <f>10^3*CK122/$NW122</f>
        <v>57.457139343946665</v>
      </c>
      <c r="CO122" s="677">
        <f>10^3*CK122/$NY122</f>
        <v>63.888908673492935</v>
      </c>
      <c r="CP122" s="115">
        <f>CK122*$NT122*$NU122</f>
        <v>1.3526559744351925</v>
      </c>
      <c r="CQ122" s="73"/>
      <c r="CR122" s="115"/>
      <c r="CS122" s="115"/>
      <c r="CT122" s="115"/>
      <c r="CU122" s="115"/>
      <c r="CV122" s="115"/>
      <c r="CW122" s="115"/>
      <c r="CX122" s="115">
        <f>CY122*$NT122</f>
        <v>0.48913278440146091</v>
      </c>
      <c r="CY122" s="115">
        <f>BR$33*$AN122/$C122</f>
        <v>0.48913278440146091</v>
      </c>
      <c r="DB122" s="73">
        <f>10^3*CY122/$NW122</f>
        <v>16.413851825552381</v>
      </c>
      <c r="DC122" s="677">
        <f>10^3*CY122/$NY122</f>
        <v>18.251223298561975</v>
      </c>
      <c r="DD122" s="115">
        <f>CY122*$NT122*$NU122</f>
        <v>0.38641489967715414</v>
      </c>
      <c r="DE122" s="73"/>
      <c r="DF122" s="115"/>
      <c r="DG122" s="115"/>
      <c r="DH122" s="115"/>
      <c r="DI122" s="115"/>
      <c r="DJ122" s="115"/>
      <c r="DK122" s="115"/>
      <c r="DL122" s="115">
        <f>DM122*$NT122</f>
        <v>2.1237642261743366</v>
      </c>
      <c r="DM122" s="115">
        <f>BS$33*$AN122/$C122</f>
        <v>2.1237642261743366</v>
      </c>
      <c r="DP122" s="73">
        <f>10^3*DM122/$NW122</f>
        <v>71.267255911890487</v>
      </c>
      <c r="DQ122" s="677">
        <f>10^3*DM122/$NY122</f>
        <v>79.244933812475253</v>
      </c>
      <c r="DR122" s="115">
        <f>DM122*$NT122*$NU122</f>
        <v>1.6777737386777261</v>
      </c>
      <c r="DS122" s="73"/>
      <c r="DY122" s="115"/>
      <c r="DZ122" s="115">
        <f>EA122*$NT122</f>
        <v>2.4506796074502515</v>
      </c>
      <c r="EA122" s="115">
        <f>BT$33*$AN122/$C122</f>
        <v>2.4506796074502515</v>
      </c>
      <c r="ED122" s="73">
        <f>10^3*EA122/$NW122</f>
        <v>82.237570719807096</v>
      </c>
      <c r="EE122" s="677">
        <f>10^3*EA122/$NY122</f>
        <v>91.443268934710872</v>
      </c>
      <c r="EF122" s="115">
        <f>EA122*$NT122*$NU122</f>
        <v>1.9360368898856988</v>
      </c>
      <c r="EG122" s="73"/>
      <c r="EM122" s="115"/>
      <c r="EN122" s="115">
        <f>EO122*$NT122</f>
        <v>12.501133786848072</v>
      </c>
      <c r="EO122" s="115">
        <f>BU$33*$AN122/$C122</f>
        <v>12.501133786848072</v>
      </c>
      <c r="ER122" s="73">
        <f>10^3*EO122/$NW122</f>
        <v>419.50113378684807</v>
      </c>
      <c r="ES122" s="677">
        <f>10^3*EO122/$NY122</f>
        <v>466.46021592716687</v>
      </c>
      <c r="ET122" s="115">
        <f>EO122*$NT122*$NU122</f>
        <v>9.875895691609978</v>
      </c>
      <c r="EU122" s="73"/>
      <c r="FA122" s="115"/>
      <c r="FE122" s="115">
        <f>FF122*$NT122</f>
        <v>4.2574346911607588</v>
      </c>
      <c r="FF122" s="115">
        <f>FB$33*$AN122/$C122</f>
        <v>4.2574346911607588</v>
      </c>
      <c r="FI122" s="676">
        <f>10^3*FF122/$NW122</f>
        <v>142.86693594499192</v>
      </c>
      <c r="FJ122" s="73">
        <f>10^3*FE122/$NY122</f>
        <v>158.85950340152087</v>
      </c>
      <c r="FK122" s="115">
        <f>FF122*$NT122*$NU122</f>
        <v>3.3633734060169997</v>
      </c>
      <c r="FL122" s="115"/>
      <c r="FQ122" s="73"/>
      <c r="FR122" s="115"/>
      <c r="FS122" s="115">
        <f>FT122*$NT122</f>
        <v>4.9127903413617693</v>
      </c>
      <c r="FT122" s="115">
        <f>FC$33*$AN122/$C122</f>
        <v>4.9127903413617693</v>
      </c>
      <c r="FW122" s="676">
        <f>10^3*FT122/$NW122</f>
        <v>164.85873628730769</v>
      </c>
      <c r="FX122" s="73">
        <f>10^3*FS122/$NY122</f>
        <v>183.31307243887198</v>
      </c>
      <c r="FY122" s="115">
        <f>FT122*$NT122*$NU122</f>
        <v>3.8811043696757981</v>
      </c>
      <c r="FZ122" s="115"/>
      <c r="GE122" s="73"/>
      <c r="GF122" s="115"/>
      <c r="GG122" s="115">
        <f>GH122*$NT122</f>
        <v>1.6528160813875099</v>
      </c>
      <c r="GH122" s="115">
        <f>FD$33*$AN122/$C122</f>
        <v>1.6528160813875099</v>
      </c>
      <c r="GK122" s="676">
        <f>10^3*GH122/$NW122</f>
        <v>55.46362689219832</v>
      </c>
      <c r="GL122" s="73">
        <f>10^3*GG122/$NY122</f>
        <v>61.672241842817535</v>
      </c>
      <c r="GM122" s="115">
        <f>GH122*$NT122*$NU122</f>
        <v>1.3057247042961329</v>
      </c>
      <c r="GN122" s="115"/>
      <c r="GS122" s="73"/>
      <c r="GT122" s="115"/>
      <c r="GU122" s="115"/>
      <c r="GV122" s="115"/>
      <c r="GW122" s="115"/>
      <c r="GX122" s="68">
        <f>GZ122*$W122</f>
        <v>7.0722467740740955E-3</v>
      </c>
      <c r="GY122" s="26">
        <f>GZ122*$NT122</f>
        <v>0.70722467740740957</v>
      </c>
      <c r="GZ122" s="127">
        <f>$AN122*GU$33/C122</f>
        <v>0.70722467740740957</v>
      </c>
      <c r="HA122" s="133"/>
      <c r="HC122" s="115">
        <f>10^3*GZ122/$NW122</f>
        <v>23.732371725080856</v>
      </c>
      <c r="HD122" s="673">
        <f>10^3*GZ122/$NY122</f>
        <v>26.388980500276475</v>
      </c>
      <c r="HE122" s="115">
        <f>GZ122*$NT122*$NU122</f>
        <v>0.55870749515185358</v>
      </c>
      <c r="HF122" s="115"/>
      <c r="HG122" s="115"/>
      <c r="HH122" s="115"/>
      <c r="HI122" s="115"/>
      <c r="HJ122" s="115"/>
      <c r="HK122" s="115"/>
      <c r="HL122" s="115"/>
      <c r="HM122" s="115">
        <f>HN122*$NT122</f>
        <v>0.85733707114052826</v>
      </c>
      <c r="HN122" s="127">
        <f>$AN122*GV$33/C122</f>
        <v>0.85733707114052826</v>
      </c>
      <c r="HO122" s="133"/>
      <c r="HQ122" s="115">
        <f>10^3*HN122/$NW122</f>
        <v>28.769700373843229</v>
      </c>
      <c r="HR122" s="73">
        <f>10^3*HN122/$NY122</f>
        <v>31.990189221661499</v>
      </c>
      <c r="HS122" s="115">
        <f>HN122*$NT122*$NU122</f>
        <v>0.67729628620101734</v>
      </c>
      <c r="HT122" s="115"/>
      <c r="HU122" s="115"/>
      <c r="HV122" s="115"/>
      <c r="HW122" s="115"/>
      <c r="HX122" s="115"/>
      <c r="HY122" s="115"/>
      <c r="HZ122" s="115"/>
      <c r="IA122" s="115">
        <f>IB122*$NT122</f>
        <v>0.11062413821168106</v>
      </c>
      <c r="IB122" s="127">
        <f>$AN122*GW$33/C122</f>
        <v>0.11062413821168106</v>
      </c>
      <c r="IC122" s="133"/>
      <c r="IE122" s="115">
        <f>10^3*IB122/$NW122</f>
        <v>3.7122194030765456</v>
      </c>
      <c r="IF122" s="73">
        <f>10^3*IB122/$NY122</f>
        <v>4.127766351182129</v>
      </c>
      <c r="IG122" s="115">
        <f>IB122*$NT122*$NU122</f>
        <v>8.7393069187228042E-2</v>
      </c>
      <c r="IH122" s="115"/>
      <c r="II122" s="115"/>
      <c r="IJ122" s="115"/>
      <c r="IK122" s="115"/>
      <c r="IL122" s="115"/>
      <c r="IM122" s="115"/>
      <c r="IN122" s="115"/>
      <c r="IO122" s="115"/>
      <c r="IP122" s="115"/>
      <c r="IQ122" s="115"/>
      <c r="IR122" s="115"/>
      <c r="IS122" s="115"/>
      <c r="IT122" s="115"/>
      <c r="IU122" s="115"/>
      <c r="IV122" s="26">
        <f>IW122*$NT122</f>
        <v>0.30503200000000003</v>
      </c>
      <c r="IW122" s="115">
        <f>AN122*JK121</f>
        <v>0.30503200000000003</v>
      </c>
      <c r="IX122" s="73"/>
      <c r="IZ122" s="673">
        <f>AN122*JL121</f>
        <v>11.38179104477612</v>
      </c>
      <c r="JA122" s="115">
        <f>IW122*$NT122*$NU122</f>
        <v>0.24097528000000004</v>
      </c>
      <c r="JB122" s="115">
        <f>$IW122*JM121/$JK121</f>
        <v>0.19028</v>
      </c>
      <c r="JC122" s="115">
        <f>$IW122*JN121/$JK121</f>
        <v>0.11475200000000001</v>
      </c>
      <c r="JD122" s="115">
        <f>$IW122*JO121/$JK121</f>
        <v>0</v>
      </c>
      <c r="JE122" s="115"/>
      <c r="JF122" s="73"/>
      <c r="JG122" s="73"/>
      <c r="JH122" s="73"/>
      <c r="JI122" s="73"/>
      <c r="JJ122" s="73"/>
      <c r="JL122" s="179"/>
      <c r="JM122" s="133"/>
      <c r="JN122" s="133"/>
      <c r="JO122" s="133"/>
      <c r="JP122" s="133"/>
      <c r="JQ122" s="736"/>
      <c r="JS122" s="736"/>
      <c r="JU122" s="736"/>
      <c r="JX122" s="736"/>
      <c r="KD122" s="133"/>
      <c r="KE122" s="133"/>
      <c r="KF122" s="133"/>
      <c r="KG122" s="133"/>
      <c r="KH122" s="133"/>
      <c r="KI122" s="133"/>
      <c r="KJ122" s="115">
        <f>BW122*44/12+$IW122+$GZ122</f>
        <v>6.3888507623469506</v>
      </c>
      <c r="KK122" s="677">
        <f>10^3*KJ122/$NY122</f>
        <v>238.38995381891604</v>
      </c>
      <c r="KN122" s="115">
        <f>KJ122*$NT122*$NU122</f>
        <v>5.0471921022540913</v>
      </c>
      <c r="KS122" s="115"/>
      <c r="KT122" s="115">
        <f>CK122*44/12+$IW122+$HN122</f>
        <v>7.4405191634557672</v>
      </c>
      <c r="KU122" s="677">
        <f>10^3*KT122/$NY122</f>
        <v>277.63131206924504</v>
      </c>
      <c r="KX122" s="115">
        <f>KT122*$NT122*$NU122</f>
        <v>5.8780101391300565</v>
      </c>
      <c r="LC122" s="115"/>
      <c r="LD122" s="115">
        <f>CY122*44/12+$IW122+$IB122</f>
        <v>2.2091430143503712</v>
      </c>
      <c r="LE122" s="677">
        <f>10^3*LD122/$NY122</f>
        <v>82.430709490685487</v>
      </c>
      <c r="LH122" s="115">
        <f>LD122*$NT122*$NU122</f>
        <v>1.7452229813367932</v>
      </c>
      <c r="LM122" s="115"/>
      <c r="LN122" s="115">
        <f>DM122*44/12+$IW122+$GZ122</f>
        <v>8.799392173379978</v>
      </c>
      <c r="LO122" s="677">
        <f>10^3*LN122/$NY122</f>
        <v>328.33552885746184</v>
      </c>
      <c r="LR122" s="115">
        <f>LN122*$NT122*$NU122</f>
        <v>6.9515198169701833</v>
      </c>
      <c r="LW122" s="115"/>
      <c r="LX122" s="115">
        <f>EA122*44/12+$IW122+$HN122</f>
        <v>10.148194298458117</v>
      </c>
      <c r="LY122" s="677">
        <f>10^3*LX122/$NY122</f>
        <v>378.66396636037746</v>
      </c>
      <c r="MB122" s="115">
        <f>LX122*$NT122*$NU122</f>
        <v>8.0170734957819132</v>
      </c>
      <c r="MG122" s="115"/>
      <c r="MH122" s="115">
        <f>EO122*44/12+$IW122+$IB122</f>
        <v>46.253146689987943</v>
      </c>
      <c r="MI122" s="677">
        <f>10^3*MH122/$NY122</f>
        <v>1725.8636824622367</v>
      </c>
      <c r="ML122" s="115">
        <f>MH122*$NT122*$NU122</f>
        <v>36.539985885090474</v>
      </c>
      <c r="MQ122" s="115"/>
      <c r="MR122" s="295">
        <v>86</v>
      </c>
      <c r="MS122" s="676">
        <f>KK122-$MR122</f>
        <v>152.38995381891604</v>
      </c>
      <c r="MT122" s="115">
        <f>MS122*$NZ122/10^3</f>
        <v>3.2264001022540905</v>
      </c>
      <c r="MU122" s="115"/>
      <c r="MV122" s="115"/>
      <c r="MW122" s="676">
        <f>KU122-$MR122</f>
        <v>191.63131206924504</v>
      </c>
      <c r="MX122" s="115">
        <f>MW122*$NZ122/10^3</f>
        <v>4.0572181391300557</v>
      </c>
      <c r="MY122" s="115"/>
      <c r="MZ122" s="115"/>
      <c r="NA122" s="676">
        <f>LE122-$MR122</f>
        <v>-3.5692905093145129</v>
      </c>
      <c r="NB122" s="115">
        <f>NA122*$NZ122/10^3</f>
        <v>-7.5569018663206866E-2</v>
      </c>
      <c r="NC122" s="115"/>
      <c r="ND122" s="115"/>
      <c r="NE122" s="676">
        <f>LO122-$MR122</f>
        <v>242.33552885746184</v>
      </c>
      <c r="NF122" s="115">
        <f>NE122*$NZ122/10^3</f>
        <v>5.1307278169701824</v>
      </c>
      <c r="NG122" s="115"/>
      <c r="NH122" s="115"/>
      <c r="NI122" s="676">
        <f>LY122-$MR122</f>
        <v>292.66396636037746</v>
      </c>
      <c r="NJ122" s="115">
        <f>NI122*$NZ122/10^3</f>
        <v>6.1962814957819115</v>
      </c>
      <c r="NK122" s="115"/>
      <c r="NL122" s="115"/>
      <c r="NM122" s="676">
        <f>MI122-$MR122</f>
        <v>1639.8636824622367</v>
      </c>
      <c r="NN122" s="115">
        <f>NM122*$NZ122/10^3</f>
        <v>34.719193885090476</v>
      </c>
      <c r="NO122" s="115"/>
      <c r="NP122" s="115"/>
      <c r="NQ122" s="73"/>
      <c r="NR122" s="73"/>
      <c r="NS122" s="73"/>
      <c r="NT122" s="96">
        <v>1</v>
      </c>
      <c r="NU122" s="164">
        <v>0.79</v>
      </c>
      <c r="NV122" s="97">
        <f>$NT122*NW122</f>
        <v>29.8</v>
      </c>
      <c r="NW122" s="66">
        <v>29.8</v>
      </c>
      <c r="NX122" s="115">
        <f>NV122*NU122</f>
        <v>23.542000000000002</v>
      </c>
      <c r="NY122" s="66">
        <v>26.8</v>
      </c>
      <c r="NZ122" s="26">
        <f>NY122*NT122*NU122</f>
        <v>21.172000000000001</v>
      </c>
      <c r="RK122" s="133"/>
      <c r="RL122" s="133"/>
      <c r="RU122" s="179"/>
      <c r="RV122" s="179"/>
      <c r="RW122" s="179"/>
      <c r="RX122" s="179"/>
      <c r="RY122" s="179"/>
      <c r="RZ122" s="179"/>
    </row>
    <row r="123" spans="1:494" s="74" customFormat="1" x14ac:dyDescent="0.25">
      <c r="A123" s="37" t="s">
        <v>233</v>
      </c>
      <c r="B123" s="468"/>
      <c r="C123" s="104"/>
      <c r="D123" s="453"/>
      <c r="E123" s="251"/>
      <c r="F123" s="251"/>
      <c r="G123" s="251"/>
      <c r="H123" s="251"/>
      <c r="I123" s="251"/>
      <c r="K123" s="73"/>
      <c r="L123" s="73"/>
      <c r="M123" s="73"/>
      <c r="N123" s="453"/>
      <c r="V123" s="115"/>
      <c r="W123" s="252"/>
      <c r="X123" s="115"/>
      <c r="Y123" s="127"/>
      <c r="Z123" s="115"/>
      <c r="AA123" s="115"/>
      <c r="AB123" s="115"/>
      <c r="AE123" s="115"/>
      <c r="AF123" s="115"/>
      <c r="AG123" s="115"/>
      <c r="AH123" s="115"/>
      <c r="AI123" s="115"/>
      <c r="AJ123" s="115"/>
      <c r="AK123" s="731"/>
      <c r="AL123" s="164"/>
      <c r="AM123" s="104"/>
      <c r="AN123" s="53"/>
      <c r="AO123" s="115"/>
      <c r="AP123" s="115"/>
      <c r="AQ123" s="115"/>
      <c r="AR123" s="115"/>
      <c r="AS123" s="115"/>
      <c r="AT123" s="115"/>
      <c r="AU123" s="115"/>
      <c r="AV123" s="115"/>
      <c r="AW123" s="115"/>
      <c r="AX123" s="115"/>
      <c r="AY123" s="115"/>
      <c r="AZ123" s="115"/>
      <c r="BA123" s="115"/>
      <c r="BB123" s="115"/>
      <c r="BC123" s="115"/>
      <c r="BD123" s="115"/>
      <c r="BE123" s="115"/>
      <c r="BF123" s="115"/>
      <c r="BG123" s="115"/>
      <c r="BH123" s="115"/>
      <c r="BI123" s="115"/>
      <c r="BJ123" s="115"/>
      <c r="BK123" s="115"/>
      <c r="BL123" s="115"/>
      <c r="BM123" s="115"/>
      <c r="BN123" s="115"/>
      <c r="BO123" s="115"/>
      <c r="BP123" s="115"/>
      <c r="BQ123" s="115"/>
      <c r="BR123" s="115"/>
      <c r="BS123" s="115"/>
      <c r="BT123" s="115"/>
      <c r="BU123" s="115"/>
      <c r="BV123" s="115"/>
      <c r="BW123" s="115"/>
      <c r="BZ123" s="73"/>
      <c r="CA123" s="73"/>
      <c r="CB123" s="73"/>
      <c r="CC123" s="73"/>
      <c r="CD123" s="115"/>
      <c r="CE123" s="115"/>
      <c r="CF123" s="115"/>
      <c r="CG123" s="115"/>
      <c r="CH123" s="115"/>
      <c r="CI123" s="73"/>
      <c r="CJ123" s="115"/>
      <c r="CK123" s="115"/>
      <c r="CN123" s="73"/>
      <c r="CO123" s="73"/>
      <c r="CP123" s="73"/>
      <c r="CQ123" s="73"/>
      <c r="CR123" s="115"/>
      <c r="CS123" s="115"/>
      <c r="CT123" s="115"/>
      <c r="CU123" s="115"/>
      <c r="CV123" s="115"/>
      <c r="CW123" s="73"/>
      <c r="CX123" s="115"/>
      <c r="CY123" s="115"/>
      <c r="DB123" s="73"/>
      <c r="DC123" s="73"/>
      <c r="DD123" s="73"/>
      <c r="DE123" s="73"/>
      <c r="DF123" s="115"/>
      <c r="DG123" s="115"/>
      <c r="DH123" s="115"/>
      <c r="DI123" s="115"/>
      <c r="DJ123" s="115"/>
      <c r="DK123" s="73"/>
      <c r="DL123" s="115"/>
      <c r="DM123" s="115"/>
      <c r="DP123" s="73"/>
      <c r="DQ123" s="73"/>
      <c r="DR123" s="73"/>
      <c r="DS123" s="73"/>
      <c r="DY123" s="73"/>
      <c r="DZ123" s="115"/>
      <c r="EA123" s="115"/>
      <c r="ED123" s="73"/>
      <c r="EE123" s="73"/>
      <c r="EF123" s="73"/>
      <c r="EG123" s="73"/>
      <c r="EM123" s="73"/>
      <c r="EN123" s="115"/>
      <c r="EO123" s="115"/>
      <c r="ER123" s="73"/>
      <c r="ES123" s="73"/>
      <c r="ET123" s="73"/>
      <c r="EU123" s="73"/>
      <c r="FA123" s="73"/>
      <c r="FE123" s="115"/>
      <c r="FF123" s="115"/>
      <c r="FI123" s="115"/>
      <c r="FJ123" s="73"/>
      <c r="FK123" s="73"/>
      <c r="FL123" s="115"/>
      <c r="FQ123" s="73"/>
      <c r="FR123" s="73"/>
      <c r="FS123" s="115"/>
      <c r="FT123" s="115"/>
      <c r="FW123" s="115"/>
      <c r="FX123" s="73"/>
      <c r="FY123" s="73"/>
      <c r="FZ123" s="115"/>
      <c r="GE123" s="73"/>
      <c r="GF123" s="73"/>
      <c r="GG123" s="115"/>
      <c r="GH123" s="115"/>
      <c r="GK123" s="115"/>
      <c r="GL123" s="73"/>
      <c r="GM123" s="73"/>
      <c r="GN123" s="115"/>
      <c r="GS123" s="73"/>
      <c r="GT123" s="73"/>
      <c r="GU123" s="73"/>
      <c r="GV123" s="73"/>
      <c r="GW123" s="73"/>
      <c r="GX123" s="68">
        <f>GZ123*$W123</f>
        <v>0</v>
      </c>
      <c r="GY123" s="115"/>
      <c r="GZ123" s="115"/>
      <c r="HA123" s="133"/>
      <c r="HC123" s="115"/>
      <c r="HD123" s="115"/>
      <c r="HE123" s="73"/>
      <c r="HF123" s="73"/>
      <c r="HG123" s="73"/>
      <c r="HH123" s="73"/>
      <c r="HI123" s="73"/>
      <c r="HJ123" s="73"/>
      <c r="HK123" s="73"/>
      <c r="HL123" s="73"/>
      <c r="HM123" s="115"/>
      <c r="HN123" s="115"/>
      <c r="HO123" s="133"/>
      <c r="HQ123" s="115"/>
      <c r="HR123" s="115"/>
      <c r="HS123" s="73"/>
      <c r="HT123" s="73"/>
      <c r="HU123" s="73"/>
      <c r="HV123" s="73"/>
      <c r="HW123" s="73"/>
      <c r="HX123" s="73"/>
      <c r="HY123" s="73"/>
      <c r="HZ123" s="73"/>
      <c r="IA123" s="115"/>
      <c r="IB123" s="115"/>
      <c r="IC123" s="133"/>
      <c r="IE123" s="115"/>
      <c r="IF123" s="115"/>
      <c r="IG123" s="73"/>
      <c r="IH123" s="73"/>
      <c r="II123" s="73"/>
      <c r="IJ123" s="73"/>
      <c r="IK123" s="73"/>
      <c r="IL123" s="73"/>
      <c r="IM123" s="73"/>
      <c r="IN123" s="73"/>
      <c r="IO123" s="115"/>
      <c r="IP123" s="115"/>
      <c r="IQ123" s="115"/>
      <c r="IR123" s="115"/>
      <c r="IS123" s="115"/>
      <c r="IT123" s="115"/>
      <c r="IU123" s="115"/>
      <c r="IV123" s="115"/>
      <c r="IW123" s="115"/>
      <c r="IX123" s="73"/>
      <c r="IZ123" s="179">
        <f>IZ122/3.67</f>
        <v>3.1013054617918585</v>
      </c>
      <c r="JA123" s="115"/>
      <c r="JB123" s="115"/>
      <c r="JC123" s="115"/>
      <c r="JD123" s="115"/>
      <c r="JE123" s="115"/>
      <c r="JF123" s="73"/>
      <c r="JG123" s="73"/>
      <c r="JH123" s="73"/>
      <c r="JI123" s="73"/>
      <c r="JJ123" s="73"/>
      <c r="JM123" s="133"/>
      <c r="JN123" s="133"/>
      <c r="JO123" s="133"/>
      <c r="JP123" s="133"/>
      <c r="JQ123" s="736"/>
      <c r="JS123" s="736"/>
      <c r="JU123" s="736"/>
      <c r="JX123" s="736"/>
      <c r="KD123" s="133"/>
      <c r="KE123" s="133"/>
      <c r="KF123" s="133"/>
      <c r="KG123" s="133"/>
      <c r="KH123" s="133"/>
      <c r="KI123" s="133"/>
      <c r="KJ123" s="115"/>
      <c r="KK123" s="73"/>
      <c r="KN123" s="73"/>
      <c r="KS123" s="73"/>
      <c r="KT123" s="115"/>
      <c r="KU123" s="73"/>
      <c r="KX123" s="73"/>
      <c r="LC123" s="73"/>
      <c r="LD123" s="115"/>
      <c r="LE123" s="73"/>
      <c r="LH123" s="73"/>
      <c r="LM123" s="73"/>
      <c r="LN123" s="115"/>
      <c r="LO123" s="73"/>
      <c r="LR123" s="73"/>
      <c r="LW123" s="73"/>
      <c r="LX123" s="115"/>
      <c r="LY123" s="73"/>
      <c r="MB123" s="73"/>
      <c r="MG123" s="73"/>
      <c r="MH123" s="115"/>
      <c r="MI123" s="73"/>
      <c r="ML123" s="73"/>
      <c r="MQ123" s="73"/>
      <c r="MR123" s="295"/>
      <c r="MS123" s="73"/>
      <c r="MT123" s="73"/>
      <c r="MU123" s="73"/>
      <c r="MV123" s="73"/>
      <c r="MW123" s="73"/>
      <c r="MX123" s="73"/>
      <c r="MY123" s="73"/>
      <c r="MZ123" s="73"/>
      <c r="NA123" s="73"/>
      <c r="NB123" s="73"/>
      <c r="NC123" s="73"/>
      <c r="ND123" s="73"/>
      <c r="NE123" s="73"/>
      <c r="NF123" s="73"/>
      <c r="NG123" s="73"/>
      <c r="NH123" s="73"/>
      <c r="NI123" s="73"/>
      <c r="NJ123" s="73"/>
      <c r="NK123" s="73"/>
      <c r="NL123" s="73"/>
      <c r="NM123" s="73"/>
      <c r="NN123" s="73"/>
      <c r="NO123" s="73"/>
      <c r="NP123" s="73"/>
      <c r="NQ123" s="73"/>
      <c r="NR123" s="73"/>
      <c r="NS123" s="73"/>
      <c r="NT123" s="96"/>
      <c r="NU123" s="164"/>
      <c r="NV123" s="97"/>
      <c r="NW123" s="66"/>
      <c r="NX123" s="115"/>
      <c r="NY123" s="66"/>
      <c r="NZ123" s="66"/>
      <c r="RK123" s="133"/>
      <c r="RL123" s="133"/>
      <c r="RU123" s="179"/>
      <c r="RV123" s="179"/>
      <c r="RW123" s="179"/>
      <c r="RX123" s="179"/>
      <c r="RY123" s="179"/>
      <c r="RZ123" s="179"/>
    </row>
    <row r="124" spans="1:494" x14ac:dyDescent="0.25">
      <c r="AA124" s="26"/>
      <c r="AB124" s="26"/>
      <c r="AF124" s="74"/>
      <c r="AG124" s="74"/>
      <c r="AL124" s="74"/>
      <c r="AN124" s="74"/>
      <c r="BW124" s="26"/>
      <c r="BZ124" s="74"/>
      <c r="CA124" s="74"/>
      <c r="CB124" s="74"/>
      <c r="CC124" s="74"/>
      <c r="CD124" s="115"/>
      <c r="CE124" s="115"/>
      <c r="CF124" s="115"/>
      <c r="CG124" s="115"/>
      <c r="CH124" s="115"/>
      <c r="CI124" s="74"/>
      <c r="CK124" s="26"/>
      <c r="CN124" s="74"/>
      <c r="CX124" s="37"/>
      <c r="CY124" s="26"/>
      <c r="CZ124" s="37"/>
      <c r="DA124" s="37"/>
      <c r="DF124" s="115"/>
      <c r="DG124" s="115"/>
      <c r="DH124" s="115"/>
      <c r="DI124" s="115"/>
      <c r="DJ124" s="115"/>
      <c r="DL124" s="37"/>
      <c r="DM124" s="115"/>
      <c r="DN124" s="37"/>
      <c r="DO124" s="37"/>
      <c r="DT124" s="37"/>
      <c r="DU124" s="37"/>
      <c r="DV124" s="37"/>
      <c r="DW124" s="37"/>
      <c r="DX124" s="37"/>
      <c r="EA124" s="115"/>
      <c r="ED124" s="74"/>
      <c r="EN124" s="37"/>
      <c r="EO124" s="115"/>
      <c r="EP124" s="37"/>
      <c r="EQ124" s="37"/>
      <c r="EV124" s="37"/>
      <c r="EW124" s="37"/>
      <c r="EX124" s="37"/>
      <c r="EY124" s="37"/>
      <c r="EZ124" s="37"/>
      <c r="FF124" s="26"/>
      <c r="FH124" s="74"/>
      <c r="FJ124" s="74"/>
      <c r="FK124" s="74"/>
      <c r="FQ124" s="74"/>
      <c r="FR124" s="74"/>
      <c r="FT124" s="26"/>
      <c r="FX124" s="74"/>
      <c r="FZ124" s="37"/>
      <c r="GE124" s="74"/>
      <c r="GH124" s="26"/>
      <c r="GJ124" s="74"/>
      <c r="GL124" s="74"/>
      <c r="GM124" s="74"/>
      <c r="GS124" s="74"/>
      <c r="GT124" s="74"/>
      <c r="GU124" s="74"/>
      <c r="GV124" s="74"/>
      <c r="GW124" s="74"/>
      <c r="GX124" s="74"/>
      <c r="HB124" s="74"/>
      <c r="HD124" s="74"/>
      <c r="HE124" s="74"/>
      <c r="HF124" s="74"/>
      <c r="HG124" s="74"/>
      <c r="HH124" s="74"/>
      <c r="HI124" s="74"/>
      <c r="HJ124" s="74"/>
      <c r="HK124" s="74"/>
      <c r="HL124" s="74"/>
      <c r="IA124" s="133"/>
      <c r="IB124" s="133"/>
      <c r="IC124" s="133"/>
      <c r="IE124" s="133"/>
      <c r="KJ124" s="74"/>
      <c r="KK124" s="74"/>
      <c r="KL124" s="74"/>
      <c r="KM124" s="74"/>
      <c r="KN124" s="74"/>
      <c r="KO124" s="74"/>
      <c r="KP124" s="74"/>
      <c r="KQ124" s="74"/>
      <c r="KR124" s="74"/>
      <c r="KS124" s="74"/>
    </row>
    <row r="125" spans="1:494" x14ac:dyDescent="0.25">
      <c r="A125" s="9" t="s">
        <v>235</v>
      </c>
      <c r="Y125" s="26"/>
      <c r="AA125" s="26"/>
      <c r="AB125" s="26"/>
      <c r="AE125" s="74"/>
      <c r="AF125" s="74"/>
      <c r="AG125" s="74"/>
      <c r="AL125" s="74"/>
      <c r="AN125" s="74"/>
      <c r="AO125" s="74"/>
      <c r="AP125" s="74"/>
      <c r="AQ125" s="74"/>
      <c r="AR125" s="74"/>
      <c r="AS125" s="74"/>
      <c r="AT125" s="74"/>
      <c r="AU125" s="74"/>
      <c r="AV125" s="74"/>
      <c r="AW125" s="74"/>
      <c r="AX125" s="74"/>
      <c r="AY125" s="74"/>
      <c r="BJ125" s="74"/>
      <c r="BK125" s="74"/>
      <c r="BL125" s="74"/>
      <c r="BM125" s="74"/>
      <c r="BN125" s="74"/>
      <c r="BO125" s="74"/>
      <c r="BP125" s="74"/>
      <c r="BQ125" s="74"/>
      <c r="BR125" s="74"/>
      <c r="BS125" s="74"/>
      <c r="BT125" s="74"/>
      <c r="BU125" s="74"/>
      <c r="BW125" s="26"/>
      <c r="BZ125" s="74"/>
      <c r="CA125" s="74"/>
      <c r="CB125" s="74"/>
      <c r="CC125" s="74"/>
      <c r="CD125" s="115"/>
      <c r="CE125" s="115"/>
      <c r="CF125" s="115"/>
      <c r="CG125" s="115"/>
      <c r="CH125" s="115"/>
      <c r="CI125" s="74"/>
      <c r="CK125" s="26"/>
      <c r="CN125" s="74"/>
      <c r="CX125" s="37"/>
      <c r="CY125" s="26"/>
      <c r="CZ125" s="37"/>
      <c r="DA125" s="37"/>
      <c r="DF125" s="115"/>
      <c r="DG125" s="115"/>
      <c r="DH125" s="115"/>
      <c r="DI125" s="115"/>
      <c r="DJ125" s="115"/>
      <c r="DL125" s="37"/>
      <c r="DM125" s="115"/>
      <c r="DN125" s="37"/>
      <c r="DO125" s="37"/>
      <c r="DT125" s="37"/>
      <c r="DU125" s="37"/>
      <c r="DV125" s="37"/>
      <c r="DW125" s="37"/>
      <c r="DX125" s="37"/>
      <c r="EA125" s="115"/>
      <c r="ED125" s="74"/>
      <c r="EN125" s="37"/>
      <c r="EO125" s="115"/>
      <c r="EP125" s="37"/>
      <c r="EQ125" s="37"/>
      <c r="EV125" s="37"/>
      <c r="EW125" s="37"/>
      <c r="EX125" s="37"/>
      <c r="EY125" s="37"/>
      <c r="EZ125" s="37"/>
      <c r="FF125" s="26"/>
      <c r="FH125" s="74"/>
      <c r="FJ125" s="74"/>
      <c r="FK125" s="74"/>
      <c r="FQ125" s="74"/>
      <c r="FR125" s="74"/>
      <c r="FT125" s="26"/>
      <c r="FX125" s="74"/>
      <c r="FZ125" s="37"/>
      <c r="GE125" s="74"/>
      <c r="GH125" s="26"/>
      <c r="GJ125" s="74"/>
      <c r="GL125" s="74"/>
      <c r="GM125" s="74"/>
      <c r="GS125" s="74"/>
      <c r="GT125" s="74"/>
      <c r="GU125" s="74"/>
      <c r="GV125" s="74"/>
      <c r="GW125" s="74"/>
      <c r="GX125" s="55">
        <f>GX126+GX127</f>
        <v>17.269062634457335</v>
      </c>
      <c r="HB125" s="74"/>
      <c r="HD125" s="74"/>
      <c r="HE125" s="74"/>
      <c r="HF125" s="74"/>
      <c r="HG125" s="74"/>
      <c r="HH125" s="74"/>
      <c r="HI125" s="74"/>
      <c r="HJ125" s="74"/>
      <c r="HK125" s="74"/>
      <c r="HL125" s="74"/>
      <c r="IA125" s="133"/>
      <c r="IB125" s="133"/>
      <c r="IC125" s="133"/>
      <c r="IE125" s="133"/>
      <c r="IO125" s="68">
        <f>IP125+IQ125+IR125+IS125+IT125+IU125</f>
        <v>64.658607818318671</v>
      </c>
      <c r="IP125" s="97">
        <f>JS125*$W126</f>
        <v>26.777626456527472</v>
      </c>
      <c r="IQ125" s="97">
        <f>JU125*$W126</f>
        <v>15.535141361791208</v>
      </c>
      <c r="IR125" s="97">
        <f>JX125*$W126</f>
        <v>0</v>
      </c>
      <c r="IS125" s="97">
        <f>KB125*$W126</f>
        <v>20.871839999999999</v>
      </c>
      <c r="IT125" s="97">
        <f>KF125*$W126</f>
        <v>0.17687999999999998</v>
      </c>
      <c r="IU125" s="97">
        <f>KH125*$W126</f>
        <v>1.2971200000000001</v>
      </c>
      <c r="IW125" s="37"/>
      <c r="IX125" s="37"/>
      <c r="IZ125" s="37"/>
      <c r="JK125" s="115">
        <f>JM125+JN125+JO125</f>
        <v>2.9390276281053946</v>
      </c>
      <c r="JM125" s="179">
        <f>JS125+KB125</f>
        <v>2.1658848389330672</v>
      </c>
      <c r="JN125" s="179">
        <f>JU125+KF125</f>
        <v>0.71418278917232769</v>
      </c>
      <c r="JO125" s="179">
        <f>JX125+KH125</f>
        <v>5.8960000000000005E-2</v>
      </c>
      <c r="JQ125" s="127">
        <f>JS125+JU125+JX125</f>
        <v>1.9233076281053947</v>
      </c>
      <c r="JS125" s="172">
        <f>'Crops; pasture DISCOUNTED'!KF23/$C126</f>
        <v>1.2171648389330669</v>
      </c>
      <c r="JU125" s="172">
        <f>'Crops; pasture DISCOUNTED'!KD23/$C126</f>
        <v>0.70614278917232765</v>
      </c>
      <c r="JV125" s="37"/>
      <c r="JW125" s="37"/>
      <c r="JX125" s="37"/>
      <c r="JY125" s="37"/>
      <c r="JZ125" s="115">
        <f>KB125+KF125+KH125</f>
        <v>1.01572</v>
      </c>
      <c r="KA125" s="679">
        <f>KC125+KG125+KI125</f>
        <v>37.9</v>
      </c>
      <c r="KB125" s="115">
        <f>KC125*$NY126/10^3</f>
        <v>0.94872000000000001</v>
      </c>
      <c r="KC125" s="80">
        <v>35.4</v>
      </c>
      <c r="KD125" s="725">
        <v>1.5</v>
      </c>
      <c r="KE125" s="474">
        <f>KC125/KD125</f>
        <v>23.599999999999998</v>
      </c>
      <c r="KF125" s="127">
        <f>KG125*$NY126/10^3</f>
        <v>8.0399999999999985E-3</v>
      </c>
      <c r="KG125" s="84">
        <v>0.3</v>
      </c>
      <c r="KH125" s="127">
        <f>KI125*$NY126/10^3</f>
        <v>5.8960000000000005E-2</v>
      </c>
      <c r="KI125" s="84">
        <v>2.2000000000000002</v>
      </c>
      <c r="KJ125" s="74"/>
      <c r="KK125" s="74"/>
      <c r="KL125" s="74"/>
      <c r="KM125" s="74"/>
      <c r="KN125" s="74"/>
      <c r="KO125" s="74"/>
      <c r="KP125" s="74"/>
      <c r="KQ125" s="74"/>
      <c r="KR125" s="74"/>
      <c r="KS125" s="74"/>
    </row>
    <row r="126" spans="1:494" x14ac:dyDescent="0.25">
      <c r="A126" s="37" t="s">
        <v>234</v>
      </c>
      <c r="B126" s="53">
        <f>C126*NT17/NT126</f>
        <v>0.27992170022371365</v>
      </c>
      <c r="C126" s="69">
        <f>D126*NW17/NW126</f>
        <v>0.30536912751677853</v>
      </c>
      <c r="D126" s="141">
        <v>0.5</v>
      </c>
      <c r="E126" s="453"/>
      <c r="F126" s="453"/>
      <c r="G126" s="453"/>
      <c r="H126" s="453"/>
      <c r="I126" s="453"/>
      <c r="J126" s="453"/>
      <c r="K126" s="453"/>
      <c r="L126" s="453"/>
      <c r="M126" s="453"/>
      <c r="N126" s="141"/>
      <c r="V126" s="26">
        <f>W126/NT126</f>
        <v>22.916666666666668</v>
      </c>
      <c r="W126" s="72">
        <v>22</v>
      </c>
      <c r="X126" s="110">
        <f>V126/NU126</f>
        <v>28.292181069958847</v>
      </c>
      <c r="Y126" s="26">
        <f>W126*NW126/10^3</f>
        <v>0.65560000000000007</v>
      </c>
      <c r="Z126" s="26"/>
      <c r="AA126" s="26"/>
      <c r="AB126" s="26"/>
      <c r="AE126" s="115">
        <f>AB$17*$AN126/$C126</f>
        <v>8.4884714786333682</v>
      </c>
      <c r="AF126" s="115"/>
      <c r="AG126" s="115">
        <f>AC$17*$AN126/$C126</f>
        <v>8.6864582662901988</v>
      </c>
      <c r="AH126" s="115"/>
      <c r="AI126" s="115">
        <f>AD$17*$AN126/$C126</f>
        <v>6.6737423265400313</v>
      </c>
      <c r="AJ126" s="115"/>
      <c r="AK126" s="722">
        <f>Y126/(Y126+Y127)</f>
        <v>0.58823529411764708</v>
      </c>
      <c r="AL126" s="164">
        <v>1</v>
      </c>
      <c r="AM126" s="69">
        <f>V126*AL126/(V126*AL126+V127*AL127)</f>
        <v>0.78148158879525353</v>
      </c>
      <c r="AN126" s="53">
        <f t="shared" ref="AN126:AN127" si="37">AK126</f>
        <v>0.58823529411764708</v>
      </c>
      <c r="AO126" s="115"/>
      <c r="AP126" s="115"/>
      <c r="AQ126" s="115"/>
      <c r="AR126" s="115"/>
      <c r="AS126" s="115"/>
      <c r="AT126" s="115"/>
      <c r="AU126" s="115"/>
      <c r="AV126" s="115"/>
      <c r="AW126" s="115"/>
      <c r="AX126" s="115"/>
      <c r="AY126" s="115"/>
      <c r="AZ126" s="115"/>
      <c r="BA126" s="115"/>
      <c r="BB126" s="115"/>
      <c r="BC126" s="115"/>
      <c r="BD126" s="115"/>
      <c r="BE126" s="115"/>
      <c r="BF126" s="115"/>
      <c r="BG126" s="115"/>
      <c r="BH126" s="115"/>
      <c r="BI126" s="115"/>
      <c r="BJ126" s="115"/>
      <c r="BK126" s="115"/>
      <c r="BL126" s="115"/>
      <c r="BM126" s="115"/>
      <c r="BN126" s="115"/>
      <c r="BO126" s="115"/>
      <c r="BP126" s="115"/>
      <c r="BQ126" s="115"/>
      <c r="BR126" s="115"/>
      <c r="BS126" s="115"/>
      <c r="BT126" s="115"/>
      <c r="BU126" s="115"/>
      <c r="BV126" s="26">
        <f>BW126*$NT126</f>
        <v>1.3519139184441513</v>
      </c>
      <c r="BW126" s="115">
        <f>BP$17*$AN126/$C126</f>
        <v>1.4082436650459911</v>
      </c>
      <c r="BX126" s="677">
        <f>10^3*BW126/$OB126</f>
        <v>95.798888778638855</v>
      </c>
      <c r="BZ126" s="74"/>
      <c r="CA126" s="74"/>
      <c r="CB126" s="74"/>
      <c r="CC126" s="74"/>
      <c r="CD126" s="115"/>
      <c r="CE126" s="115"/>
      <c r="CF126" s="115"/>
      <c r="CG126" s="115"/>
      <c r="CH126" s="115"/>
      <c r="CI126" s="74"/>
      <c r="CJ126" s="26">
        <f>CK126*$NT126</f>
        <v>1.4365788551626497</v>
      </c>
      <c r="CK126" s="115">
        <f>BQ$17*$AN126/$C126</f>
        <v>1.4964363074610936</v>
      </c>
      <c r="CL126" s="677">
        <f>10^3*CK126/$OB126</f>
        <v>101.79838826265943</v>
      </c>
      <c r="CN126" s="74"/>
      <c r="CX126" s="26">
        <f>CY126*$NT126</f>
        <v>0.57588269615113818</v>
      </c>
      <c r="CY126" s="115">
        <f>BR$17*$AN126/$C126</f>
        <v>0.59987780849076899</v>
      </c>
      <c r="CZ126" s="677">
        <f>10^3*CY126/$OB126</f>
        <v>40.808014183045508</v>
      </c>
      <c r="DA126" s="37"/>
      <c r="DF126" s="115"/>
      <c r="DG126" s="115"/>
      <c r="DH126" s="115"/>
      <c r="DI126" s="115"/>
      <c r="DJ126" s="115"/>
      <c r="DL126" s="26">
        <f>DM126*$NT126</f>
        <v>1.8818032931108284</v>
      </c>
      <c r="DM126" s="115">
        <f>BS$17*$AN126/$C126</f>
        <v>1.960211763657113</v>
      </c>
      <c r="DN126" s="677">
        <f>10^3*DM126/$OB126</f>
        <v>133.34773902429342</v>
      </c>
      <c r="DO126" s="37"/>
      <c r="DT126" s="37"/>
      <c r="DU126" s="37"/>
      <c r="DV126" s="37"/>
      <c r="DW126" s="37"/>
      <c r="DX126" s="37"/>
      <c r="DZ126" s="26">
        <f>EA126*$NT126</f>
        <v>1.9800640080992491</v>
      </c>
      <c r="EA126" s="115">
        <f>BT$17*$AN126/$C126</f>
        <v>2.0625666751033847</v>
      </c>
      <c r="EB126" s="677">
        <f>10^3*EA126/$OB126</f>
        <v>140.31065817029827</v>
      </c>
      <c r="ED126" s="74"/>
      <c r="EN126" s="26">
        <f>EO126*$NT126</f>
        <v>4.1009114932126707</v>
      </c>
      <c r="EO126" s="115">
        <f>BU$17*$AN126/$C126</f>
        <v>4.271782805429865</v>
      </c>
      <c r="EP126" s="677">
        <f>10^3*EO126/$OB126</f>
        <v>290.59746975713369</v>
      </c>
      <c r="EQ126" s="37"/>
      <c r="EV126" s="37"/>
      <c r="EW126" s="37"/>
      <c r="EX126" s="37"/>
      <c r="EY126" s="37"/>
      <c r="EZ126" s="37"/>
      <c r="FE126" s="26">
        <f>FF126*$NT126</f>
        <v>3.7723842050313054</v>
      </c>
      <c r="FF126" s="115">
        <f>FB$17*$AN126/$C126</f>
        <v>3.9295668802409431</v>
      </c>
      <c r="FG126" s="562">
        <f>10^3*FF126/$OB126</f>
        <v>267.31747484632268</v>
      </c>
      <c r="FH126" s="73">
        <f>FF126/$OD126</f>
        <v>130.98556267469812</v>
      </c>
      <c r="FJ126" s="74"/>
      <c r="FK126" s="74"/>
      <c r="FL126" s="26"/>
      <c r="FQ126" s="74"/>
      <c r="FR126" s="74"/>
      <c r="FS126" s="26">
        <f>FT126*$NT126</f>
        <v>3.9693639693639686</v>
      </c>
      <c r="FT126" s="115">
        <f>FC$17*$AN126/$C126</f>
        <v>4.1347541347541341</v>
      </c>
      <c r="FU126" s="562">
        <f>10^3*FT126/$OB126</f>
        <v>281.27579147987308</v>
      </c>
      <c r="FV126" s="73">
        <f>FT126/$OD126</f>
        <v>137.8251378251378</v>
      </c>
      <c r="FX126" s="74"/>
      <c r="FZ126" s="26"/>
      <c r="GE126" s="74"/>
      <c r="GG126" s="26">
        <f>GH126*$NT126</f>
        <v>1.9668853384778779</v>
      </c>
      <c r="GH126" s="115">
        <f>FD$17*$AN126/$C126</f>
        <v>2.0488388942477895</v>
      </c>
      <c r="GI126" s="562">
        <f>10^3*GH126/$OB126</f>
        <v>139.37679552706052</v>
      </c>
      <c r="GJ126" s="73">
        <f>GH126/$OD126</f>
        <v>68.294629808259657</v>
      </c>
      <c r="GL126" s="74"/>
      <c r="GM126" s="74"/>
      <c r="GN126" s="26"/>
      <c r="GS126" s="74"/>
      <c r="GT126" s="74"/>
      <c r="GU126" s="74"/>
      <c r="GV126" s="74"/>
      <c r="GW126" s="74"/>
      <c r="GX126" s="68">
        <f>GZ126*$W126</f>
        <v>10.158272137916079</v>
      </c>
      <c r="GY126" s="26">
        <f>GZ126*$NT126</f>
        <v>0.44327005692724702</v>
      </c>
      <c r="GZ126" s="127">
        <f>$AN126*GU$17/C126</f>
        <v>0.46173964263254902</v>
      </c>
      <c r="HA126" s="673">
        <f>10^3*GZ126/$OB126</f>
        <v>31.410860043030546</v>
      </c>
      <c r="HB126" s="74"/>
      <c r="HC126" s="73">
        <f>10^3*GZ126/$NW126</f>
        <v>15.494618880286879</v>
      </c>
      <c r="HD126" s="74"/>
      <c r="HE126" s="74"/>
      <c r="HF126" s="74"/>
      <c r="HG126" s="74"/>
      <c r="HH126" s="74"/>
      <c r="HI126" s="74"/>
      <c r="HJ126" s="74"/>
      <c r="HK126" s="74"/>
      <c r="HL126" s="74"/>
      <c r="HM126" s="115">
        <f>HN126*$NT126</f>
        <v>0.49163078036316632</v>
      </c>
      <c r="HN126" s="127">
        <f>$AN126*GV$17/C126</f>
        <v>0.5121153962116316</v>
      </c>
      <c r="HQ126" s="73">
        <f>10^3*HN126/$NW126</f>
        <v>17.185080409786295</v>
      </c>
      <c r="IA126" s="115">
        <f>IB126*$NT126</f>
        <v>0</v>
      </c>
      <c r="IB126" s="127">
        <f>$AN126*GW$17/C126</f>
        <v>0</v>
      </c>
      <c r="IC126" s="133"/>
      <c r="IE126" s="73">
        <f>10^3*IB126/$NW126</f>
        <v>0</v>
      </c>
      <c r="IV126" s="26">
        <f>IW126*$NT126</f>
        <v>1.6596861899889288</v>
      </c>
      <c r="IW126" s="115">
        <f>AN126*JK125</f>
        <v>1.7288397812384675</v>
      </c>
      <c r="IX126" s="673">
        <f>10^3*IW126/$OB126</f>
        <v>117.60814838356923</v>
      </c>
      <c r="IY126" s="73"/>
      <c r="IZ126" s="73"/>
      <c r="JA126" s="115"/>
      <c r="JB126" s="115">
        <f>$IW126*JM125/$JK125</f>
        <v>1.2740499052547454</v>
      </c>
      <c r="JC126" s="115">
        <f>$IW126*JN125/$JK125</f>
        <v>0.42010752304254573</v>
      </c>
      <c r="JD126" s="115">
        <f>$IW126*JO125/$JK125</f>
        <v>3.4682352941176477E-2</v>
      </c>
      <c r="JK126" s="37"/>
      <c r="JL126" s="37"/>
      <c r="JQ126" s="37"/>
      <c r="JR126" s="37"/>
      <c r="JS126" s="37"/>
      <c r="JT126" s="37"/>
      <c r="JU126" s="37"/>
      <c r="JV126" s="37"/>
      <c r="JW126" s="37"/>
      <c r="JX126" s="37"/>
      <c r="JY126" s="37"/>
      <c r="KJ126" s="115">
        <f>BW126*44/12+$IW126+$GZ126</f>
        <v>7.3541395290396503</v>
      </c>
      <c r="KK126" s="74"/>
      <c r="KL126" s="677">
        <f>10^3*KJ126/$OB126</f>
        <v>500.28160061494225</v>
      </c>
      <c r="KM126" s="74"/>
      <c r="KN126" s="74"/>
      <c r="KO126" s="74"/>
      <c r="KP126" s="74"/>
      <c r="KQ126" s="74"/>
      <c r="KR126" s="74"/>
      <c r="KS126" s="74"/>
      <c r="KT126" s="115">
        <f>CK126*44/12+$IW126+$HN126</f>
        <v>7.7278883048074416</v>
      </c>
      <c r="KV126" s="677">
        <f>10^3*KT126/$OB126</f>
        <v>525.70668740186682</v>
      </c>
      <c r="LD126" s="115">
        <f>CY126*44/12+$IW126+$IB126</f>
        <v>3.9283917457046207</v>
      </c>
      <c r="LF126" s="677">
        <f>10^3*LD126/$OB126</f>
        <v>267.23753372140277</v>
      </c>
      <c r="LN126" s="115">
        <f>DM126*44/12+$IW126+$GZ126</f>
        <v>9.3780225572804312</v>
      </c>
      <c r="LP126" s="677">
        <f>10^3*LN126/$OB126</f>
        <v>637.96071818234236</v>
      </c>
      <c r="LX126" s="115">
        <f>EA126*44/12+$IW126+$HN126</f>
        <v>9.8036996528291755</v>
      </c>
      <c r="LZ126" s="677">
        <f>10^3*LX126/$OB126</f>
        <v>666.91834372987591</v>
      </c>
      <c r="MH126" s="115">
        <f>EO126*44/12+$IW126+$IB126</f>
        <v>17.392043401147973</v>
      </c>
      <c r="MJ126" s="677">
        <f>10^3*MH126/$OB126</f>
        <v>1183.1322041597261</v>
      </c>
      <c r="NT126" s="42">
        <v>0.96</v>
      </c>
      <c r="NU126" s="103">
        <v>0.81</v>
      </c>
      <c r="NV126" s="32">
        <f>$NT126*NW126</f>
        <v>28.608000000000001</v>
      </c>
      <c r="NW126" s="9">
        <v>29.8</v>
      </c>
      <c r="NX126" s="26">
        <f>NV126*NU126</f>
        <v>23.17248</v>
      </c>
      <c r="NY126" s="66">
        <v>26.8</v>
      </c>
      <c r="NZ126" s="26">
        <f>NY126*NT126*NU126</f>
        <v>20.839680000000001</v>
      </c>
      <c r="OA126" s="32">
        <f>$NT126*OB126</f>
        <v>14.111999999999998</v>
      </c>
      <c r="OB126" s="43">
        <v>14.7</v>
      </c>
      <c r="OC126" s="38">
        <f>$NT126*OD126</f>
        <v>2.8799999999999999E-2</v>
      </c>
      <c r="OD126" s="31">
        <v>0.03</v>
      </c>
    </row>
    <row r="127" spans="1:494" x14ac:dyDescent="0.25">
      <c r="A127" s="37" t="s">
        <v>302</v>
      </c>
      <c r="B127" s="53">
        <f>C127*NT17/NT127</f>
        <v>0.31308758169934631</v>
      </c>
      <c r="C127" s="69">
        <f>D127*NW17/NW127</f>
        <v>0.32020320855614964</v>
      </c>
      <c r="D127" s="141">
        <v>0.35</v>
      </c>
      <c r="E127" s="453"/>
      <c r="F127" s="453"/>
      <c r="G127" s="453"/>
      <c r="H127" s="453"/>
      <c r="I127" s="453"/>
      <c r="J127" s="453"/>
      <c r="K127" s="453"/>
      <c r="L127" s="453"/>
      <c r="M127" s="453"/>
      <c r="N127" s="45"/>
      <c r="V127" s="55">
        <f>W127/NT127</f>
        <v>25.6318954248366</v>
      </c>
      <c r="W127" s="26">
        <f>10^3*Y127/NW127</f>
        <v>23.068705882352941</v>
      </c>
      <c r="X127" s="115"/>
      <c r="Y127" s="26">
        <f>D127/D126*Y126</f>
        <v>0.45891999999999999</v>
      </c>
      <c r="Z127" s="26"/>
      <c r="AA127" s="26">
        <f>W127*OD127</f>
        <v>6.9206117647058818</v>
      </c>
      <c r="AB127" s="26"/>
      <c r="AE127" s="115">
        <f>AB$17*$AN127/$C127</f>
        <v>5.6666577413409973</v>
      </c>
      <c r="AF127" s="115"/>
      <c r="AG127" s="115">
        <f>AC$17*$AN127/$C127</f>
        <v>5.7988279872778365</v>
      </c>
      <c r="AH127" s="115"/>
      <c r="AI127" s="115">
        <f>AD$17*$AN127/$C127</f>
        <v>4.455197112176875</v>
      </c>
      <c r="AJ127" s="115"/>
      <c r="AK127" s="722">
        <f>1-AK126</f>
        <v>0.41176470588235292</v>
      </c>
      <c r="AL127" s="164">
        <v>0.25</v>
      </c>
      <c r="AM127" s="69">
        <f>V127*AL127/(V126*AL126+V127*AL127)</f>
        <v>0.21851841120474649</v>
      </c>
      <c r="AN127" s="53">
        <f t="shared" si="37"/>
        <v>0.41176470588235292</v>
      </c>
      <c r="AO127" s="104"/>
      <c r="AP127" s="104"/>
      <c r="AQ127" s="104"/>
      <c r="AR127" s="104"/>
      <c r="AS127" s="104"/>
      <c r="AT127" s="115"/>
      <c r="AU127" s="115"/>
      <c r="AV127" s="115"/>
      <c r="AW127" s="115"/>
      <c r="AX127" s="115"/>
      <c r="AY127" s="115"/>
      <c r="AZ127" s="115"/>
      <c r="BA127" s="115"/>
      <c r="BB127" s="115"/>
      <c r="BC127" s="115"/>
      <c r="BD127" s="115"/>
      <c r="BE127" s="115"/>
      <c r="BF127" s="115"/>
      <c r="BG127" s="115"/>
      <c r="BH127" s="115"/>
      <c r="BI127" s="115"/>
      <c r="BJ127" s="115"/>
      <c r="BK127" s="115"/>
      <c r="BL127" s="115"/>
      <c r="BM127" s="115"/>
      <c r="BN127" s="115"/>
      <c r="BO127" s="115"/>
      <c r="BP127" s="115"/>
      <c r="BQ127" s="115"/>
      <c r="BR127" s="115"/>
      <c r="BS127" s="115"/>
      <c r="BT127" s="115"/>
      <c r="BU127" s="115"/>
      <c r="BV127" s="26">
        <f>BW127*$NT127</f>
        <v>0.84609242048850608</v>
      </c>
      <c r="BW127" s="115">
        <f>BP$17*$AN127/$C127</f>
        <v>0.94010268943167341</v>
      </c>
      <c r="BY127" s="143">
        <f>BW127/$OD127</f>
        <v>3.1336756314389116</v>
      </c>
      <c r="BZ127" s="74"/>
      <c r="CA127" s="74"/>
      <c r="CB127" s="74"/>
      <c r="CC127" s="74"/>
      <c r="CD127" s="115"/>
      <c r="CE127" s="115"/>
      <c r="CF127" s="115"/>
      <c r="CG127" s="115"/>
      <c r="CH127" s="115"/>
      <c r="CI127" s="74"/>
      <c r="CJ127" s="26">
        <f>CK127*$NT127</f>
        <v>0.89907978918214382</v>
      </c>
      <c r="CK127" s="115">
        <f>BQ$17*$AN127/$C127</f>
        <v>0.99897754353571533</v>
      </c>
      <c r="CM127" s="143">
        <f>CK127/$OD127</f>
        <v>3.3299251451190512</v>
      </c>
      <c r="CN127" s="74"/>
      <c r="CX127" s="26">
        <f>CY127*$NT127</f>
        <v>0.36041494776880062</v>
      </c>
      <c r="CY127" s="115">
        <f>BR$17*$AN127/$C127</f>
        <v>0.40046105307644514</v>
      </c>
      <c r="CZ127" s="37"/>
      <c r="DA127" s="143">
        <f>CY127/$OD127</f>
        <v>1.3348701769214839</v>
      </c>
      <c r="DF127" s="115"/>
      <c r="DG127" s="115"/>
      <c r="DH127" s="115"/>
      <c r="DI127" s="115"/>
      <c r="DJ127" s="115"/>
      <c r="DL127" s="26">
        <f>DM127*$NT127</f>
        <v>1.1777225468495365</v>
      </c>
      <c r="DM127" s="115">
        <f>BS$17*$AN127/$C127</f>
        <v>1.3085806076105961</v>
      </c>
      <c r="DN127" s="37"/>
      <c r="DO127" s="143">
        <f>DM127/$OD127</f>
        <v>4.3619353587019871</v>
      </c>
      <c r="DT127" s="37"/>
      <c r="DU127" s="37"/>
      <c r="DV127" s="37"/>
      <c r="DW127" s="37"/>
      <c r="DX127" s="37"/>
      <c r="DZ127" s="26">
        <f>EA127*$NT127</f>
        <v>1.2392188041550041</v>
      </c>
      <c r="EA127" s="115">
        <f>BT$17*$AN127/$C127</f>
        <v>1.3769097823944489</v>
      </c>
      <c r="EC127" s="143">
        <f>EA127/$OD127</f>
        <v>4.5896992746481633</v>
      </c>
      <c r="ED127" s="74"/>
      <c r="EN127" s="26">
        <f>EO127*$NT127</f>
        <v>2.566546644844518</v>
      </c>
      <c r="EO127" s="115">
        <f>BU$17*$AN127/$C127</f>
        <v>2.8517184942716867</v>
      </c>
      <c r="EP127" s="37"/>
      <c r="EQ127" s="143">
        <f>EO127/$OD127</f>
        <v>9.5057283142389561</v>
      </c>
      <c r="EV127" s="37"/>
      <c r="EW127" s="37"/>
      <c r="EX127" s="37"/>
      <c r="EY127" s="37"/>
      <c r="EZ127" s="37"/>
      <c r="FE127" s="26">
        <f>FF127*$NT127</f>
        <v>2.3609385475672955</v>
      </c>
      <c r="FF127" s="115">
        <f>FB$17*$AN127/$C127</f>
        <v>2.6232650528525503</v>
      </c>
      <c r="FH127" s="115">
        <f>FF127/$OD127</f>
        <v>8.7442168428418352</v>
      </c>
      <c r="FJ127" s="74"/>
      <c r="FK127" s="74"/>
      <c r="FL127" s="26"/>
      <c r="FQ127" s="74"/>
      <c r="FR127" s="74"/>
      <c r="FS127" s="26">
        <f>FT127*$NT127</f>
        <v>2.4842179097498249</v>
      </c>
      <c r="FT127" s="115">
        <f>FC$17*$AN127/$C127</f>
        <v>2.7602421219442497</v>
      </c>
      <c r="FV127" s="115">
        <f>FT127/$OD127</f>
        <v>9.2008070731474998</v>
      </c>
      <c r="FX127" s="74"/>
      <c r="FZ127" s="26"/>
      <c r="GE127" s="74"/>
      <c r="GG127" s="26">
        <f>GH127*$NT127</f>
        <v>1.2309709620944704</v>
      </c>
      <c r="GH127" s="115">
        <f>FD$17*$AN127/$C127</f>
        <v>1.3677455134383005</v>
      </c>
      <c r="GJ127" s="115">
        <f>GH127/$OD127</f>
        <v>4.5591517114610021</v>
      </c>
      <c r="GL127" s="74"/>
      <c r="GM127" s="74"/>
      <c r="GN127" s="26"/>
      <c r="GS127" s="74"/>
      <c r="GT127" s="74"/>
      <c r="GU127" s="74"/>
      <c r="GV127" s="74"/>
      <c r="GW127" s="74"/>
      <c r="GX127" s="68">
        <f>GZ127*$W127</f>
        <v>7.1107904965412549</v>
      </c>
      <c r="GY127" s="26">
        <f>GZ127*$NT127</f>
        <v>0.27741961250556191</v>
      </c>
      <c r="GZ127" s="330">
        <f>$AN127*GU$17/C127</f>
        <v>0.30824401389506878</v>
      </c>
      <c r="HB127" s="115">
        <f>GZ127/$OD127</f>
        <v>1.027480046316896</v>
      </c>
      <c r="HC127" s="115"/>
      <c r="HD127" s="115"/>
      <c r="HE127" s="74"/>
      <c r="HF127" s="74"/>
      <c r="HG127" s="74"/>
      <c r="HH127" s="74"/>
      <c r="HI127" s="74"/>
      <c r="HJ127" s="74"/>
      <c r="HK127" s="74"/>
      <c r="HL127" s="74"/>
      <c r="HM127" s="115">
        <f>HN127*$NT127</f>
        <v>0.3076860673369185</v>
      </c>
      <c r="HN127" s="127">
        <f>$AN127*GV$17/C127</f>
        <v>0.34187340815213163</v>
      </c>
      <c r="HP127" s="115">
        <f>HN127/$OD127</f>
        <v>1.1395780271737721</v>
      </c>
      <c r="HQ127" s="115"/>
      <c r="HR127" s="115"/>
      <c r="IA127" s="115">
        <f>IB127*$NT127</f>
        <v>0</v>
      </c>
      <c r="IB127" s="127">
        <f>$AN127*GW$17/C127</f>
        <v>0</v>
      </c>
      <c r="IC127" s="133"/>
      <c r="ID127" s="115">
        <f>IB127/$OD127</f>
        <v>0</v>
      </c>
      <c r="IE127" s="115"/>
      <c r="IF127" s="115"/>
      <c r="IV127" s="26">
        <f>IW127*$NT127</f>
        <v>1.0387110352078901</v>
      </c>
      <c r="IW127" s="91">
        <f>AN127*JK125*C126/C127</f>
        <v>1.1541233724532112</v>
      </c>
      <c r="IX127" s="73"/>
      <c r="IY127" s="115">
        <f>IW127/$OD127</f>
        <v>3.8470779081773707</v>
      </c>
      <c r="IZ127" s="73"/>
      <c r="JA127" s="115"/>
      <c r="JB127" s="115">
        <f>$IW127*JM125/$JK125</f>
        <v>0.85051882151448477</v>
      </c>
      <c r="JC127" s="115">
        <f>$IW127*JN125/$JK125</f>
        <v>0.28045161648206507</v>
      </c>
      <c r="JD127" s="115">
        <f>$IW127*JO125/$JK125</f>
        <v>2.3152934456661438E-2</v>
      </c>
      <c r="KJ127" s="115">
        <f>BW127*44/12+$IW127+$GZ127</f>
        <v>4.9094105809310822</v>
      </c>
      <c r="KK127" s="74"/>
      <c r="KL127" s="74"/>
      <c r="KM127" s="143">
        <f>KJ127/$OD127</f>
        <v>16.364701936436941</v>
      </c>
      <c r="KN127" s="74"/>
      <c r="KO127" s="74"/>
      <c r="KP127" s="74"/>
      <c r="KQ127" s="74"/>
      <c r="KR127" s="74"/>
      <c r="KS127" s="74"/>
      <c r="KT127" s="115">
        <f>CK127*44/12+$IW127+$HN127</f>
        <v>5.1589144402362992</v>
      </c>
      <c r="KW127" s="143">
        <f>KT127/$OD127</f>
        <v>17.19638146745433</v>
      </c>
      <c r="LD127" s="115">
        <f>CY127*44/12+$IW127+$IB127</f>
        <v>2.6224805670668436</v>
      </c>
      <c r="LG127" s="143">
        <f>LD127/$OD127</f>
        <v>8.7416018902228121</v>
      </c>
      <c r="LN127" s="115">
        <f>DM127*44/12+$IW127+$GZ127</f>
        <v>6.2604962809204654</v>
      </c>
      <c r="LQ127" s="143">
        <f>LN127/$OD127</f>
        <v>20.868320936401553</v>
      </c>
      <c r="LX127" s="115">
        <f>EA127*44/12+$IW127+$HN127</f>
        <v>6.544665982718322</v>
      </c>
      <c r="MA127" s="143">
        <f>LX127/$OD127</f>
        <v>21.815553275727741</v>
      </c>
      <c r="MH127" s="115">
        <f>EO127*44/12+$IW127+$IB127</f>
        <v>11.610424518116062</v>
      </c>
      <c r="MK127" s="143">
        <f>MH127/$OD127</f>
        <v>38.701415060386879</v>
      </c>
      <c r="NT127" s="31">
        <v>0.9</v>
      </c>
      <c r="NU127" s="31"/>
      <c r="NV127" s="32">
        <f>$NT127*NW127</f>
        <v>17.904255319148938</v>
      </c>
      <c r="NW127" s="43">
        <f>18.7/0.94</f>
        <v>19.893617021276597</v>
      </c>
      <c r="OC127" s="38">
        <f>$NT127*OD127</f>
        <v>0.27</v>
      </c>
      <c r="OD127" s="31">
        <v>0.3</v>
      </c>
    </row>
    <row r="128" spans="1:494" x14ac:dyDescent="0.25">
      <c r="A128" s="37" t="s">
        <v>233</v>
      </c>
      <c r="C128" s="40">
        <f>1-C126-C127</f>
        <v>0.37442766392707189</v>
      </c>
      <c r="D128" s="40">
        <f>1-D126-D127</f>
        <v>0.15000000000000002</v>
      </c>
      <c r="E128" s="53"/>
      <c r="F128" s="53"/>
      <c r="G128" s="53"/>
      <c r="H128" s="53"/>
      <c r="I128" s="53"/>
      <c r="J128" s="53"/>
      <c r="K128" s="53"/>
      <c r="L128" s="53"/>
      <c r="M128" s="53"/>
      <c r="N128" s="40"/>
      <c r="V128" s="26"/>
      <c r="W128" s="26"/>
      <c r="X128" s="115"/>
      <c r="Y128" s="26">
        <f>D128/D126*Y126</f>
        <v>0.19668000000000005</v>
      </c>
      <c r="Z128" s="26"/>
      <c r="AA128" s="26"/>
      <c r="AB128" s="26"/>
      <c r="AC128" s="74"/>
      <c r="AD128" s="74"/>
      <c r="AE128" s="74"/>
      <c r="AF128" s="74"/>
      <c r="AG128" s="74"/>
      <c r="AK128" s="722"/>
      <c r="AN128" s="74"/>
      <c r="AO128" s="74"/>
      <c r="AP128" s="74"/>
      <c r="AQ128" s="74"/>
      <c r="AR128" s="74"/>
      <c r="AS128" s="74"/>
      <c r="AT128" s="74"/>
      <c r="AU128" s="74"/>
      <c r="AV128" s="74"/>
      <c r="AW128" s="74"/>
      <c r="AX128" s="74"/>
      <c r="AY128" s="74"/>
      <c r="BJ128" s="74"/>
      <c r="BK128" s="74"/>
      <c r="BL128" s="74"/>
      <c r="BM128" s="74"/>
      <c r="BN128" s="74"/>
      <c r="BO128" s="74"/>
      <c r="BP128" s="74"/>
      <c r="BQ128" s="74"/>
      <c r="BR128" s="74"/>
      <c r="BS128" s="74"/>
      <c r="BT128" s="74"/>
      <c r="BU128" s="74"/>
      <c r="BW128" s="26"/>
      <c r="BZ128" s="74"/>
      <c r="CA128" s="74"/>
      <c r="CB128" s="74"/>
      <c r="CC128" s="74"/>
      <c r="CD128" s="115"/>
      <c r="CE128" s="115"/>
      <c r="CF128" s="115"/>
      <c r="CG128" s="115"/>
      <c r="CH128" s="115"/>
      <c r="CI128" s="74"/>
      <c r="CK128" s="26"/>
      <c r="CN128" s="74"/>
      <c r="CX128" s="37"/>
      <c r="CY128" s="26"/>
      <c r="CZ128" s="37"/>
      <c r="DA128" s="37"/>
      <c r="DF128" s="115"/>
      <c r="DG128" s="115"/>
      <c r="DH128" s="115"/>
      <c r="DI128" s="115"/>
      <c r="DJ128" s="115"/>
      <c r="DL128" s="37"/>
      <c r="DM128" s="115"/>
      <c r="DN128" s="37"/>
      <c r="DO128" s="37"/>
      <c r="DT128" s="37"/>
      <c r="DU128" s="37"/>
      <c r="DV128" s="37"/>
      <c r="DW128" s="37"/>
      <c r="DX128" s="37"/>
      <c r="EA128" s="115"/>
      <c r="ED128" s="74"/>
      <c r="EN128" s="37"/>
      <c r="EO128" s="115"/>
      <c r="EP128" s="37"/>
      <c r="EQ128" s="37"/>
      <c r="EV128" s="37"/>
      <c r="EW128" s="37"/>
      <c r="EX128" s="37"/>
      <c r="EY128" s="37"/>
      <c r="EZ128" s="37"/>
      <c r="FF128" s="26"/>
      <c r="FH128" s="74"/>
      <c r="FJ128" s="74"/>
      <c r="FK128" s="74"/>
      <c r="FQ128" s="74"/>
      <c r="FR128" s="74"/>
      <c r="FT128" s="26"/>
      <c r="FX128" s="74"/>
      <c r="FZ128" s="37"/>
      <c r="GE128" s="74"/>
      <c r="GH128" s="26"/>
      <c r="GJ128" s="74"/>
      <c r="GL128" s="74"/>
      <c r="GM128" s="74"/>
      <c r="GS128" s="74"/>
      <c r="GT128" s="74"/>
      <c r="GU128" s="74"/>
      <c r="GV128" s="74"/>
      <c r="GW128" s="74"/>
      <c r="GX128" s="74"/>
      <c r="HB128" s="74"/>
      <c r="HD128" s="74"/>
      <c r="HE128" s="74"/>
      <c r="HF128" s="74"/>
      <c r="HG128" s="74"/>
      <c r="HH128" s="74"/>
      <c r="HI128" s="74"/>
      <c r="HJ128" s="74"/>
      <c r="HK128" s="74"/>
      <c r="HL128" s="74"/>
      <c r="IA128" s="133"/>
      <c r="IB128" s="133"/>
      <c r="IC128" s="133"/>
      <c r="IE128" s="133"/>
      <c r="KJ128" s="74"/>
      <c r="KK128" s="74"/>
      <c r="KL128" s="74"/>
      <c r="KM128" s="74"/>
      <c r="KN128" s="74"/>
      <c r="KO128" s="74"/>
      <c r="KP128" s="74"/>
      <c r="KQ128" s="74"/>
      <c r="KR128" s="74"/>
      <c r="KS128" s="74"/>
    </row>
    <row r="129" spans="1:494" x14ac:dyDescent="0.25">
      <c r="AC129" s="74"/>
      <c r="AD129" s="74"/>
      <c r="AE129" s="74"/>
      <c r="AF129" s="74"/>
      <c r="AG129" s="74"/>
      <c r="AN129" s="74"/>
      <c r="AO129" s="74"/>
      <c r="AP129" s="74"/>
      <c r="AQ129" s="74"/>
      <c r="AR129" s="74"/>
      <c r="AS129" s="74"/>
      <c r="AT129" s="74"/>
      <c r="AU129" s="74"/>
      <c r="AV129" s="74"/>
      <c r="AW129" s="74"/>
      <c r="AX129" s="74"/>
      <c r="AY129" s="74"/>
      <c r="BJ129" s="74"/>
      <c r="BK129" s="74"/>
      <c r="BL129" s="74"/>
      <c r="BM129" s="74"/>
      <c r="BN129" s="74"/>
      <c r="BO129" s="74"/>
      <c r="BP129" s="74"/>
      <c r="BQ129" s="74"/>
      <c r="BR129" s="74"/>
      <c r="BS129" s="74"/>
      <c r="BT129" s="74"/>
      <c r="BU129" s="74"/>
      <c r="BW129" s="26"/>
      <c r="BZ129" s="74"/>
      <c r="CA129" s="74"/>
      <c r="CB129" s="74"/>
      <c r="CC129" s="74"/>
      <c r="CD129" s="115"/>
      <c r="CE129" s="115"/>
      <c r="CF129" s="115"/>
      <c r="CG129" s="115"/>
      <c r="CH129" s="115"/>
      <c r="CI129" s="74"/>
      <c r="CK129" s="26"/>
      <c r="CN129" s="74"/>
      <c r="CX129" s="37"/>
      <c r="CY129" s="26"/>
      <c r="CZ129" s="37"/>
      <c r="DA129" s="37"/>
      <c r="DF129" s="115"/>
      <c r="DG129" s="115"/>
      <c r="DH129" s="115"/>
      <c r="DI129" s="115"/>
      <c r="DJ129" s="115"/>
      <c r="DL129" s="37"/>
      <c r="DM129" s="115"/>
      <c r="DN129" s="37"/>
      <c r="DO129" s="37"/>
      <c r="DT129" s="37"/>
      <c r="DU129" s="37"/>
      <c r="DV129" s="37"/>
      <c r="DW129" s="37"/>
      <c r="DX129" s="37"/>
      <c r="EA129" s="115"/>
      <c r="ED129" s="74"/>
      <c r="EN129" s="37"/>
      <c r="EO129" s="115"/>
      <c r="EP129" s="37"/>
      <c r="EQ129" s="37"/>
      <c r="EV129" s="37"/>
      <c r="EW129" s="37"/>
      <c r="EX129" s="37"/>
      <c r="EY129" s="37"/>
      <c r="EZ129" s="37"/>
      <c r="FF129" s="26"/>
      <c r="FH129" s="74"/>
      <c r="FJ129" s="74"/>
      <c r="FK129" s="74"/>
      <c r="FQ129" s="74"/>
      <c r="FR129" s="74"/>
      <c r="FT129" s="26"/>
      <c r="FX129" s="74"/>
      <c r="FZ129" s="37"/>
      <c r="GE129" s="74"/>
      <c r="GH129" s="26"/>
      <c r="GJ129" s="74"/>
      <c r="GL129" s="74"/>
      <c r="GM129" s="74"/>
      <c r="GS129" s="74"/>
      <c r="GT129" s="74"/>
      <c r="GU129" s="74"/>
      <c r="GV129" s="74"/>
      <c r="GW129" s="74"/>
      <c r="GX129" s="74"/>
      <c r="HB129" s="74"/>
      <c r="HD129" s="74"/>
      <c r="HE129" s="74"/>
      <c r="HF129" s="74"/>
      <c r="HG129" s="74"/>
      <c r="HH129" s="74"/>
      <c r="HI129" s="74"/>
      <c r="HJ129" s="74"/>
      <c r="HK129" s="74"/>
      <c r="HL129" s="74"/>
      <c r="IA129" s="133"/>
      <c r="IB129" s="133"/>
      <c r="IC129" s="133"/>
      <c r="IE129" s="133"/>
      <c r="KJ129" s="74"/>
      <c r="KK129" s="74"/>
      <c r="KL129" s="74"/>
      <c r="KM129" s="74"/>
      <c r="KN129" s="74"/>
      <c r="KO129" s="74"/>
      <c r="KP129" s="74"/>
      <c r="KQ129" s="74"/>
      <c r="KR129" s="74"/>
      <c r="KS129" s="74"/>
    </row>
    <row r="130" spans="1:494" x14ac:dyDescent="0.25">
      <c r="AF130" s="74"/>
      <c r="AG130" s="74"/>
      <c r="AN130" s="74"/>
      <c r="BW130" s="26"/>
      <c r="BZ130" s="74"/>
      <c r="CA130" s="74"/>
      <c r="CB130" s="74"/>
      <c r="CC130" s="74"/>
      <c r="CD130" s="115"/>
      <c r="CE130" s="115"/>
      <c r="CF130" s="115"/>
      <c r="CG130" s="115"/>
      <c r="CH130" s="115"/>
      <c r="CI130" s="74"/>
      <c r="CK130" s="26"/>
      <c r="CN130" s="74"/>
      <c r="CX130" s="37"/>
      <c r="CY130" s="26"/>
      <c r="CZ130" s="37"/>
      <c r="DA130" s="37"/>
      <c r="DF130" s="115"/>
      <c r="DG130" s="115"/>
      <c r="DH130" s="115"/>
      <c r="DI130" s="115"/>
      <c r="DJ130" s="115"/>
      <c r="DL130" s="37"/>
      <c r="DM130" s="115"/>
      <c r="DN130" s="37"/>
      <c r="DO130" s="37"/>
      <c r="DT130" s="37"/>
      <c r="DU130" s="37"/>
      <c r="DV130" s="37"/>
      <c r="DW130" s="37"/>
      <c r="DX130" s="37"/>
      <c r="EA130" s="115"/>
      <c r="ED130" s="74"/>
      <c r="EN130" s="37"/>
      <c r="EO130" s="115"/>
      <c r="EP130" s="37"/>
      <c r="EQ130" s="37"/>
      <c r="EV130" s="37"/>
      <c r="EW130" s="37"/>
      <c r="EX130" s="37"/>
      <c r="EY130" s="37"/>
      <c r="EZ130" s="37"/>
      <c r="FF130" s="26"/>
      <c r="FH130" s="74"/>
      <c r="FJ130" s="74"/>
      <c r="FK130" s="74"/>
      <c r="FQ130" s="74"/>
      <c r="FR130" s="74"/>
      <c r="FT130" s="26"/>
      <c r="FX130" s="74"/>
      <c r="FZ130" s="37"/>
      <c r="GE130" s="74"/>
      <c r="GH130" s="26"/>
      <c r="GJ130" s="74"/>
      <c r="GL130" s="74"/>
      <c r="GM130" s="74"/>
      <c r="GS130" s="74"/>
      <c r="GT130" s="74"/>
      <c r="GU130" s="74"/>
      <c r="GV130" s="74"/>
      <c r="GW130" s="74"/>
      <c r="GX130" s="74"/>
      <c r="HB130" s="74"/>
      <c r="HD130" s="74"/>
      <c r="HE130" s="74"/>
      <c r="HF130" s="74"/>
      <c r="HG130" s="74"/>
      <c r="HH130" s="74"/>
      <c r="HI130" s="74"/>
      <c r="HJ130" s="74"/>
      <c r="HK130" s="74"/>
      <c r="HL130" s="74"/>
      <c r="IA130" s="133"/>
      <c r="IB130" s="133"/>
      <c r="IC130" s="133"/>
      <c r="IE130" s="133"/>
      <c r="KJ130" s="74"/>
      <c r="KK130" s="74"/>
      <c r="KL130" s="74"/>
      <c r="KM130" s="74"/>
      <c r="KN130" s="74"/>
      <c r="KO130" s="74"/>
      <c r="KP130" s="74"/>
      <c r="KQ130" s="74"/>
      <c r="KR130" s="74"/>
      <c r="KS130" s="74"/>
    </row>
    <row r="131" spans="1:494" x14ac:dyDescent="0.25">
      <c r="A131" s="9" t="s">
        <v>262</v>
      </c>
      <c r="AF131" s="74"/>
      <c r="AG131" s="74"/>
      <c r="BW131" s="26"/>
      <c r="BZ131" s="74"/>
      <c r="CA131" s="74"/>
      <c r="CB131" s="74"/>
      <c r="CC131" s="74"/>
      <c r="CD131" s="115"/>
      <c r="CE131" s="115"/>
      <c r="CF131" s="115"/>
      <c r="CG131" s="115"/>
      <c r="CH131" s="115"/>
      <c r="CI131" s="74"/>
      <c r="CK131" s="26"/>
      <c r="CN131" s="74"/>
      <c r="CX131" s="37"/>
      <c r="CY131" s="26"/>
      <c r="CZ131" s="37"/>
      <c r="DA131" s="37"/>
      <c r="DF131" s="115"/>
      <c r="DG131" s="115"/>
      <c r="DH131" s="115"/>
      <c r="DI131" s="115"/>
      <c r="DJ131" s="115"/>
      <c r="DL131" s="37"/>
      <c r="DM131" s="115"/>
      <c r="DN131" s="37"/>
      <c r="DO131" s="37"/>
      <c r="DT131" s="37"/>
      <c r="DU131" s="37"/>
      <c r="DV131" s="37"/>
      <c r="DW131" s="37"/>
      <c r="DX131" s="37"/>
      <c r="EA131" s="115"/>
      <c r="ED131" s="74"/>
      <c r="EN131" s="37"/>
      <c r="EO131" s="115"/>
      <c r="EP131" s="37"/>
      <c r="EQ131" s="37"/>
      <c r="EV131" s="37"/>
      <c r="EW131" s="37"/>
      <c r="EX131" s="37"/>
      <c r="EY131" s="37"/>
      <c r="EZ131" s="37"/>
      <c r="FF131" s="26"/>
      <c r="FH131" s="74"/>
      <c r="FJ131" s="74"/>
      <c r="FK131" s="74"/>
      <c r="FQ131" s="74"/>
      <c r="FR131" s="74"/>
      <c r="FT131" s="26"/>
      <c r="FX131" s="74"/>
      <c r="FZ131" s="37"/>
      <c r="GE131" s="74"/>
      <c r="GH131" s="26"/>
      <c r="GJ131" s="74"/>
      <c r="GL131" s="74"/>
      <c r="GM131" s="74"/>
      <c r="GS131" s="74"/>
      <c r="GT131" s="74"/>
      <c r="GU131" s="74"/>
      <c r="GV131" s="74"/>
      <c r="GW131" s="74"/>
      <c r="GX131" s="390">
        <f>GX133+GX138+GX144</f>
        <v>0</v>
      </c>
      <c r="GY131" s="74"/>
      <c r="GZ131" s="74"/>
      <c r="HA131" s="74"/>
      <c r="HB131" s="74"/>
      <c r="HC131" s="74"/>
      <c r="HD131" s="74"/>
      <c r="HE131" s="74"/>
      <c r="HF131" s="74"/>
      <c r="HG131" s="74"/>
      <c r="HH131" s="74"/>
      <c r="HI131" s="74"/>
      <c r="HJ131" s="74"/>
      <c r="HK131" s="74"/>
      <c r="HL131" s="74"/>
      <c r="HM131" s="74"/>
      <c r="HN131" s="74"/>
      <c r="HO131" s="74"/>
      <c r="HQ131" s="74"/>
      <c r="IO131" s="390">
        <f t="shared" ref="IO131:IT131" si="38">IO133+IO138+IO144</f>
        <v>0</v>
      </c>
      <c r="IP131" s="115">
        <f t="shared" si="38"/>
        <v>0</v>
      </c>
      <c r="IQ131" s="115">
        <f t="shared" si="38"/>
        <v>0</v>
      </c>
      <c r="IR131" s="115">
        <f t="shared" si="38"/>
        <v>0</v>
      </c>
      <c r="IS131" s="738">
        <f t="shared" si="38"/>
        <v>0</v>
      </c>
      <c r="IT131" s="738">
        <f t="shared" si="38"/>
        <v>0</v>
      </c>
      <c r="IU131" s="738">
        <f>IU133+IU138+IU144</f>
        <v>0</v>
      </c>
      <c r="JM131" s="74"/>
      <c r="JN131" s="74"/>
      <c r="JO131" s="74"/>
      <c r="KD131" s="74"/>
      <c r="KE131" s="74"/>
      <c r="KF131" s="74"/>
      <c r="KG131" s="74"/>
      <c r="KH131" s="74"/>
      <c r="KI131" s="74"/>
      <c r="KJ131" s="74"/>
      <c r="KK131" s="74"/>
      <c r="KL131" s="74"/>
      <c r="KM131" s="74"/>
      <c r="KN131" s="74"/>
      <c r="KO131" s="74"/>
      <c r="KP131" s="74"/>
      <c r="KQ131" s="74"/>
      <c r="KR131" s="74"/>
      <c r="KS131" s="74"/>
      <c r="RK131" s="37"/>
      <c r="RL131" s="37"/>
      <c r="RU131" s="115"/>
      <c r="RV131" s="115"/>
      <c r="RW131" s="115"/>
      <c r="RX131" s="115"/>
      <c r="RY131" s="115"/>
      <c r="RZ131" s="115"/>
    </row>
    <row r="132" spans="1:494" x14ac:dyDescent="0.25">
      <c r="W132" s="74"/>
      <c r="AF132" s="74"/>
      <c r="AG132" s="74"/>
      <c r="BW132" s="26"/>
      <c r="BZ132" s="74"/>
      <c r="CA132" s="74"/>
      <c r="CB132" s="74"/>
      <c r="CC132" s="74"/>
      <c r="CD132" s="115"/>
      <c r="CE132" s="115"/>
      <c r="CF132" s="115"/>
      <c r="CG132" s="115"/>
      <c r="CH132" s="115"/>
      <c r="CI132" s="74"/>
      <c r="CK132" s="26"/>
      <c r="CN132" s="74"/>
      <c r="CX132" s="37"/>
      <c r="CY132" s="26"/>
      <c r="CZ132" s="37"/>
      <c r="DA132" s="37"/>
      <c r="DF132" s="115"/>
      <c r="DG132" s="115"/>
      <c r="DH132" s="115"/>
      <c r="DI132" s="115"/>
      <c r="DJ132" s="115"/>
      <c r="DL132" s="37"/>
      <c r="DM132" s="115"/>
      <c r="DN132" s="37"/>
      <c r="DO132" s="37"/>
      <c r="DT132" s="37"/>
      <c r="DU132" s="37"/>
      <c r="DV132" s="37"/>
      <c r="DW132" s="37"/>
      <c r="DX132" s="37"/>
      <c r="EA132" s="115"/>
      <c r="ED132" s="74"/>
      <c r="EN132" s="37"/>
      <c r="EO132" s="115"/>
      <c r="EP132" s="37"/>
      <c r="EQ132" s="37"/>
      <c r="EV132" s="37"/>
      <c r="EW132" s="37"/>
      <c r="EX132" s="37"/>
      <c r="EY132" s="37"/>
      <c r="EZ132" s="37"/>
      <c r="FF132" s="26"/>
      <c r="FH132" s="74"/>
      <c r="FJ132" s="74"/>
      <c r="FK132" s="74"/>
      <c r="FQ132" s="74"/>
      <c r="FR132" s="74"/>
      <c r="FT132" s="26"/>
      <c r="FX132" s="74"/>
      <c r="FZ132" s="37"/>
      <c r="GE132" s="74"/>
      <c r="GH132" s="26"/>
      <c r="GJ132" s="74"/>
      <c r="GL132" s="74"/>
      <c r="GM132" s="74"/>
      <c r="GS132" s="74"/>
      <c r="GT132" s="74"/>
      <c r="GU132" s="74"/>
      <c r="GV132" s="74"/>
      <c r="GW132" s="74"/>
      <c r="GX132" s="74"/>
      <c r="HB132" s="74"/>
      <c r="HD132" s="74"/>
      <c r="HE132" s="74"/>
      <c r="HF132" s="74"/>
      <c r="HG132" s="74"/>
      <c r="HH132" s="74"/>
      <c r="HI132" s="74"/>
      <c r="HJ132" s="74"/>
      <c r="HK132" s="74"/>
      <c r="HL132" s="74"/>
      <c r="IA132" s="133"/>
      <c r="IB132" s="133"/>
      <c r="IC132" s="133"/>
      <c r="IE132" s="133"/>
      <c r="KJ132" s="74"/>
      <c r="KK132" s="74"/>
      <c r="KL132" s="74"/>
      <c r="KM132" s="74"/>
      <c r="KN132" s="74"/>
      <c r="KO132" s="74"/>
      <c r="KP132" s="74"/>
      <c r="KQ132" s="74"/>
      <c r="KR132" s="74"/>
      <c r="KS132" s="74"/>
    </row>
    <row r="133" spans="1:494" x14ac:dyDescent="0.25">
      <c r="A133" s="9" t="s">
        <v>263</v>
      </c>
      <c r="W133" s="74"/>
      <c r="AF133" s="74"/>
      <c r="AG133" s="74"/>
      <c r="BW133" s="26"/>
      <c r="BZ133" s="74"/>
      <c r="CA133" s="74"/>
      <c r="CB133" s="74"/>
      <c r="CC133" s="74"/>
      <c r="CD133" s="115"/>
      <c r="CE133" s="115"/>
      <c r="CF133" s="115"/>
      <c r="CG133" s="115"/>
      <c r="CH133" s="115"/>
      <c r="CI133" s="74"/>
      <c r="CK133" s="26"/>
      <c r="CN133" s="74"/>
      <c r="CX133" s="37"/>
      <c r="CY133" s="26"/>
      <c r="CZ133" s="37"/>
      <c r="DA133" s="37"/>
      <c r="DF133" s="115"/>
      <c r="DG133" s="115"/>
      <c r="DH133" s="115"/>
      <c r="DI133" s="115"/>
      <c r="DJ133" s="115"/>
      <c r="DL133" s="37"/>
      <c r="DM133" s="115"/>
      <c r="DN133" s="37"/>
      <c r="DO133" s="37"/>
      <c r="DT133" s="37"/>
      <c r="DU133" s="37"/>
      <c r="DV133" s="37"/>
      <c r="DW133" s="37"/>
      <c r="DX133" s="37"/>
      <c r="EA133" s="115"/>
      <c r="ED133" s="74"/>
      <c r="EN133" s="37"/>
      <c r="EO133" s="115"/>
      <c r="EP133" s="37"/>
      <c r="EQ133" s="37"/>
      <c r="EV133" s="37"/>
      <c r="EW133" s="37"/>
      <c r="EX133" s="37"/>
      <c r="EY133" s="37"/>
      <c r="EZ133" s="37"/>
      <c r="FF133" s="26"/>
      <c r="FH133" s="74"/>
      <c r="FJ133" s="74"/>
      <c r="FK133" s="74"/>
      <c r="FQ133" s="74"/>
      <c r="FR133" s="74"/>
      <c r="FT133" s="26"/>
      <c r="FX133" s="74"/>
      <c r="FZ133" s="37"/>
      <c r="GE133" s="74"/>
      <c r="GH133" s="26"/>
      <c r="GJ133" s="74"/>
      <c r="GL133" s="74"/>
      <c r="GM133" s="74"/>
      <c r="GS133" s="74"/>
      <c r="GT133" s="74"/>
      <c r="GU133" s="74"/>
      <c r="GV133" s="74"/>
      <c r="GW133" s="74"/>
      <c r="GX133" s="55">
        <f>GX134+GX135</f>
        <v>0</v>
      </c>
      <c r="HB133" s="74"/>
      <c r="HD133" s="74"/>
      <c r="HE133" s="74"/>
      <c r="HF133" s="74"/>
      <c r="HG133" s="74"/>
      <c r="HH133" s="74"/>
      <c r="HI133" s="74"/>
      <c r="HJ133" s="74"/>
      <c r="HK133" s="74"/>
      <c r="HL133" s="74"/>
      <c r="IA133" s="133"/>
      <c r="IB133" s="133"/>
      <c r="IC133" s="133"/>
      <c r="IE133" s="133"/>
      <c r="IO133" s="68">
        <f>IP133+IQ133+IR133+IS133+IT133+IU133</f>
        <v>0</v>
      </c>
      <c r="IP133" s="97">
        <f>JS133*$W134</f>
        <v>0</v>
      </c>
      <c r="IQ133" s="97">
        <f>JU133*$W134</f>
        <v>0</v>
      </c>
      <c r="IR133" s="97">
        <f>JX133*$W134</f>
        <v>0</v>
      </c>
      <c r="IS133" s="97">
        <f>KB133*$W134</f>
        <v>0</v>
      </c>
      <c r="IT133" s="97">
        <f>KF133*$W134</f>
        <v>0</v>
      </c>
      <c r="IU133" s="97">
        <f>KH133*$W134</f>
        <v>0</v>
      </c>
      <c r="JK133" s="127">
        <f>JM133+JN133+JO133</f>
        <v>1.0225634335544251</v>
      </c>
      <c r="JL133" s="679">
        <f>10^3*JK133/NY134</f>
        <v>27.488264342860891</v>
      </c>
      <c r="JM133" s="179">
        <f>JS133+KB133</f>
        <v>0.96369133325567014</v>
      </c>
      <c r="JN133" s="179">
        <f>JU133+KF133</f>
        <v>2.0704519736095117E-2</v>
      </c>
      <c r="JO133" s="179">
        <f>JX133+KH133</f>
        <v>3.8167580562659849E-2</v>
      </c>
      <c r="JP133" s="469">
        <f>JK133*C134</f>
        <v>1.0215408701208708</v>
      </c>
      <c r="JQ133" s="115">
        <f>JR133*$NY134/10^3</f>
        <v>0.75472343355442506</v>
      </c>
      <c r="JR133" s="73">
        <f>JT133+JV133+JY133</f>
        <v>20.288264342860884</v>
      </c>
      <c r="JS133" s="115">
        <f>JB79</f>
        <v>0.71445133325567012</v>
      </c>
      <c r="JT133" s="213">
        <f>10^3*JS133/$NY134</f>
        <v>19.205681001496504</v>
      </c>
      <c r="JU133" s="115">
        <f>JC79</f>
        <v>2.0704519736095117E-2</v>
      </c>
      <c r="JV133" s="213">
        <f>10^3*JU133/$NY134</f>
        <v>0.55657311118535246</v>
      </c>
      <c r="JX133" s="115">
        <f>JD79</f>
        <v>1.9567580562659847E-2</v>
      </c>
      <c r="JY133" s="213">
        <f>10^3*JX133/$NY134</f>
        <v>0.52601023017902804</v>
      </c>
      <c r="JZ133" s="115">
        <f>KB133+KF133+KH133</f>
        <v>0.26784000000000002</v>
      </c>
      <c r="KA133" s="115">
        <f>KC133+KG133+KI133</f>
        <v>7.2</v>
      </c>
      <c r="KB133" s="127">
        <f>KC133*$NY134/10^3</f>
        <v>0.24924000000000004</v>
      </c>
      <c r="KC133" s="84">
        <v>6.7</v>
      </c>
      <c r="KD133" s="725">
        <v>0.15</v>
      </c>
      <c r="KE133" s="474">
        <f>KC133/KD133</f>
        <v>44.666666666666671</v>
      </c>
      <c r="KF133" s="127">
        <f>KG133*$NY134/10^3</f>
        <v>0</v>
      </c>
      <c r="KG133" s="84">
        <v>0</v>
      </c>
      <c r="KH133" s="127">
        <f>KI133*$NY134/10^3</f>
        <v>1.8600000000000002E-2</v>
      </c>
      <c r="KI133" s="84">
        <v>0.5</v>
      </c>
      <c r="KJ133" s="74"/>
      <c r="KK133" s="74"/>
      <c r="KL133" s="74"/>
      <c r="KM133" s="74"/>
      <c r="KN133" s="74"/>
      <c r="KO133" s="74"/>
      <c r="KP133" s="74"/>
      <c r="KQ133" s="74"/>
      <c r="KR133" s="74"/>
      <c r="KS133" s="74"/>
    </row>
    <row r="134" spans="1:494" x14ac:dyDescent="0.25">
      <c r="A134" s="37" t="s">
        <v>519</v>
      </c>
      <c r="C134" s="52">
        <f>D134</f>
        <v>0.999</v>
      </c>
      <c r="D134" s="134">
        <v>0.999</v>
      </c>
      <c r="E134" s="83"/>
      <c r="F134" s="83"/>
      <c r="G134" s="460">
        <f>H134*'Crops; pasture DISCOUNTED'!LI38</f>
        <v>6.7636295999999989</v>
      </c>
      <c r="H134" s="458">
        <f>K134*NZ134*AB26/10^4</f>
        <v>7.4325599999999987</v>
      </c>
      <c r="I134" s="459"/>
      <c r="J134" s="83"/>
      <c r="K134" s="679">
        <f>10^4*$C79*($C134/$NU134)/AB26</f>
        <v>488.764698740668</v>
      </c>
      <c r="L134" s="73">
        <f>10^4*$C79*($C134/$NU134)/AC26</f>
        <v>486.20993258426961</v>
      </c>
      <c r="M134" s="73">
        <f>10^4*$C79*($C134/$NU134)/AD26</f>
        <v>539.32530337078651</v>
      </c>
      <c r="W134" s="74"/>
      <c r="AE134" s="734">
        <f>AE79*$AN134/$D134</f>
        <v>7.7020210346385252</v>
      </c>
      <c r="AF134" s="74"/>
      <c r="AG134" s="115">
        <f>AG79*$AN134/$D134</f>
        <v>7.7424909250222491</v>
      </c>
      <c r="AI134" s="115">
        <f>AI79*$AN134/$D134</f>
        <v>6.9799728793761187</v>
      </c>
      <c r="AN134" s="39">
        <v>1</v>
      </c>
      <c r="BV134" s="26">
        <f>BW134*$NT134</f>
        <v>2.9091587279492823</v>
      </c>
      <c r="BW134" s="26">
        <f>BZ134*$NW134/10^3</f>
        <v>2.9091587279492823</v>
      </c>
      <c r="BZ134" s="73">
        <f>BZ79*$AN134/$D134</f>
        <v>72.728968198732062</v>
      </c>
      <c r="CA134" s="677">
        <f>10^3*BW134/$NY134</f>
        <v>78.203191611539836</v>
      </c>
      <c r="CB134" s="115">
        <f>BW134*$NT134*$NU134</f>
        <v>2.5891512678748612</v>
      </c>
      <c r="CC134" s="73"/>
      <c r="CD134" s="115"/>
      <c r="CE134" s="115"/>
      <c r="CF134" s="115"/>
      <c r="CG134" s="115"/>
      <c r="CH134" s="115"/>
      <c r="CI134" s="115"/>
      <c r="CJ134" s="26">
        <f>CK134*$NT134</f>
        <v>2.936917630234773</v>
      </c>
      <c r="CK134" s="26">
        <f>CN134*$NW134/10^3</f>
        <v>2.936917630234773</v>
      </c>
      <c r="CN134" s="73">
        <f>CN79*$AN134/$D134</f>
        <v>73.422940755869334</v>
      </c>
      <c r="CO134" s="677">
        <f>10^3*CK134/$NY134</f>
        <v>78.949398662225079</v>
      </c>
      <c r="CP134" s="115">
        <f>CK134*$NT134*$NU134</f>
        <v>2.613856690908948</v>
      </c>
      <c r="CQ134" s="73"/>
      <c r="CW134" s="115"/>
      <c r="CX134" s="26">
        <f>CY134*$NT134</f>
        <v>2.4138951135114159</v>
      </c>
      <c r="CY134" s="26">
        <f>DB134*$NW134/10^3</f>
        <v>2.4138951135114159</v>
      </c>
      <c r="CZ134" s="37"/>
      <c r="DA134" s="37"/>
      <c r="DB134" s="73">
        <f>DB79*$AN134/$D134</f>
        <v>60.347377837785395</v>
      </c>
      <c r="DC134" s="677">
        <f>10^3*CY134/$NY134</f>
        <v>64.889653589016547</v>
      </c>
      <c r="DD134" s="115">
        <f>CY134*$NT134*$NU134</f>
        <v>2.1483666510251602</v>
      </c>
      <c r="DE134" s="73"/>
      <c r="DF134" s="115"/>
      <c r="DG134" s="115"/>
      <c r="DH134" s="115"/>
      <c r="DI134" s="115"/>
      <c r="DJ134" s="115"/>
      <c r="DK134" s="115"/>
      <c r="DL134" s="26">
        <f>DM134*$NT134</f>
        <v>2.7111241507181782</v>
      </c>
      <c r="DM134" s="115">
        <f>DP134*$NW134/10^3</f>
        <v>2.7111241507181782</v>
      </c>
      <c r="DN134" s="37"/>
      <c r="DO134" s="37"/>
      <c r="DP134" s="73">
        <f>DP79*$AN134/$D134</f>
        <v>67.778103767954448</v>
      </c>
      <c r="DQ134" s="677">
        <f>10^3*DM134/$NY134</f>
        <v>72.879681470918754</v>
      </c>
      <c r="DR134" s="115">
        <f>DM134*$NT134*$NU134</f>
        <v>2.4129004941391785</v>
      </c>
      <c r="DS134" s="73"/>
      <c r="DT134" s="37"/>
      <c r="DU134" s="37"/>
      <c r="DV134" s="37"/>
      <c r="DW134" s="37"/>
      <c r="DX134" s="37"/>
      <c r="DY134" s="115"/>
      <c r="DZ134" s="26">
        <f>EA134*$NT134</f>
        <v>2.7399285040667678</v>
      </c>
      <c r="EA134" s="115">
        <f>ED134*$NW134/10^3</f>
        <v>2.7399285040667678</v>
      </c>
      <c r="ED134" s="73">
        <f>ED79*$AN134/$D134</f>
        <v>68.498212601669195</v>
      </c>
      <c r="EE134" s="677">
        <f>10^3*EA134/$NY134</f>
        <v>73.653992044805577</v>
      </c>
      <c r="EF134" s="115">
        <f>EA134*$NT134*$NU134</f>
        <v>2.4385363686194235</v>
      </c>
      <c r="EG134" s="73"/>
      <c r="EM134" s="115"/>
      <c r="EN134" s="26">
        <f>EO134*$NT134</f>
        <v>3.696450073261667</v>
      </c>
      <c r="EO134" s="115">
        <f>ER134*$NW134/10^3</f>
        <v>3.696450073261667</v>
      </c>
      <c r="EP134" s="37"/>
      <c r="EQ134" s="37"/>
      <c r="ER134" s="73">
        <f>ER79*$AN134/$D134</f>
        <v>92.411251831541676</v>
      </c>
      <c r="ES134" s="677">
        <f>10^3*EO134/$NY134</f>
        <v>99.366937453270609</v>
      </c>
      <c r="ET134" s="115">
        <f>EO134*$NT134*$NU134</f>
        <v>3.2898405652028835</v>
      </c>
      <c r="EU134" s="73"/>
      <c r="EV134" s="37"/>
      <c r="EW134" s="37"/>
      <c r="EX134" s="37"/>
      <c r="EY134" s="37"/>
      <c r="EZ134" s="37"/>
      <c r="FA134" s="115"/>
      <c r="FE134" s="26">
        <f>FF134*$NT134</f>
        <v>5.4348942641827049</v>
      </c>
      <c r="FF134" s="26">
        <f>FI134*$NW134/10^3</f>
        <v>5.4348942641827049</v>
      </c>
      <c r="FH134" s="74"/>
      <c r="FI134" s="562">
        <f>FI79*$AN134/$D134</f>
        <v>135.87235660456764</v>
      </c>
      <c r="FJ134" s="73">
        <f>10^3*FE134/$NY134</f>
        <v>146.09930817695442</v>
      </c>
      <c r="FK134" s="115">
        <f>FF134*$NT134*$NU134</f>
        <v>4.8370558951226075</v>
      </c>
      <c r="FL134" s="26"/>
      <c r="FQ134" s="73"/>
      <c r="FR134" s="115"/>
      <c r="FS134" s="26">
        <f>FT134*$NT134</f>
        <v>5.4926373279801606</v>
      </c>
      <c r="FT134" s="26">
        <f>FW134*$NW134/10^3</f>
        <v>5.4926373279801606</v>
      </c>
      <c r="FW134" s="562">
        <f>FW79*$AN134/$D134</f>
        <v>137.31593319950403</v>
      </c>
      <c r="FX134" s="73">
        <f>10^3*FS134/$NY134</f>
        <v>147.65154107473549</v>
      </c>
      <c r="FY134" s="115">
        <f>FT134*$NT134*$NU134</f>
        <v>4.8884472219023429</v>
      </c>
      <c r="FZ134" s="26"/>
      <c r="GE134" s="73"/>
      <c r="GF134" s="115"/>
      <c r="GG134" s="26">
        <f>GH134*$NT134</f>
        <v>4.4046648195554123</v>
      </c>
      <c r="GH134" s="26">
        <f>GK134*$NW134/10^3</f>
        <v>4.4046648195554123</v>
      </c>
      <c r="GJ134" s="74"/>
      <c r="GK134" s="562">
        <f>GK79*$AN134/$D134</f>
        <v>110.11662048888532</v>
      </c>
      <c r="GL134" s="73">
        <f>10^3*GG134/$NY134</f>
        <v>118.40496826761861</v>
      </c>
      <c r="GM134" s="115">
        <f>GH134*$NT134*$NU134</f>
        <v>3.9201516894043169</v>
      </c>
      <c r="GN134" s="26"/>
      <c r="GS134" s="73"/>
      <c r="GT134" s="115"/>
      <c r="GU134" s="115"/>
      <c r="GV134" s="115"/>
      <c r="GW134" s="115"/>
      <c r="GX134" s="68">
        <f>GZ134*$W134</f>
        <v>0</v>
      </c>
      <c r="GY134" s="26">
        <f>GZ134*$NT134</f>
        <v>0.31116376086389708</v>
      </c>
      <c r="GZ134" s="26">
        <f>HC134*$NW134/10^3</f>
        <v>0.31116376086389708</v>
      </c>
      <c r="HA134" s="474"/>
      <c r="HB134" s="74"/>
      <c r="HC134" s="673">
        <f>HC79*$AN134/$D134</f>
        <v>7.7790940215974267</v>
      </c>
      <c r="HD134" s="73">
        <f>10^3*GZ134/$NY134</f>
        <v>8.3646172275241142</v>
      </c>
      <c r="HE134" s="115">
        <f>GZ134*$NT134*$NU134</f>
        <v>0.27693574716886843</v>
      </c>
      <c r="HF134" s="115"/>
      <c r="HG134" s="115"/>
      <c r="HH134" s="115"/>
      <c r="HI134" s="115"/>
      <c r="HJ134" s="115"/>
      <c r="HK134" s="115"/>
      <c r="HL134" s="115"/>
      <c r="HM134" s="115">
        <f>HN134*$NT134</f>
        <v>0.30840051340814295</v>
      </c>
      <c r="HN134" s="115">
        <f>HQ134*$NW134/10^3</f>
        <v>0.30840051340814295</v>
      </c>
      <c r="HO134" s="474"/>
      <c r="HQ134" s="73">
        <f>HQ79*$AN134/$D134</f>
        <v>7.7100128352035737</v>
      </c>
      <c r="HR134" s="73">
        <f>10^3*HN134/$NY134</f>
        <v>8.2903363819393263</v>
      </c>
      <c r="HS134" s="115">
        <f>HN134*$NT134*$NU134</f>
        <v>0.27447645693324724</v>
      </c>
      <c r="HT134" s="115"/>
      <c r="HU134" s="115"/>
      <c r="HV134" s="115"/>
      <c r="HW134" s="115"/>
      <c r="HX134" s="115"/>
      <c r="HY134" s="115"/>
      <c r="HZ134" s="115"/>
      <c r="IA134" s="115">
        <f>IB134*$NT134</f>
        <v>0.36046455483795636</v>
      </c>
      <c r="IB134" s="115">
        <f>IE134*$NW134/10^3</f>
        <v>0.36046455483795636</v>
      </c>
      <c r="IC134" s="474"/>
      <c r="IE134" s="73">
        <f>IE79*$AN134/$D134</f>
        <v>9.01161387094891</v>
      </c>
      <c r="IF134" s="73">
        <f>10^3*IB134/$NY134</f>
        <v>9.6899073881171063</v>
      </c>
      <c r="IG134" s="115">
        <f>IB134*$NT134*$NU134</f>
        <v>0.32081345380578119</v>
      </c>
      <c r="IH134" s="115"/>
      <c r="II134" s="115"/>
      <c r="IJ134" s="115"/>
      <c r="IK134" s="115"/>
      <c r="IL134" s="115"/>
      <c r="IM134" s="115"/>
      <c r="IN134" s="115"/>
      <c r="IV134" s="26">
        <f>IW134*$NT134</f>
        <v>1.0225634335544251</v>
      </c>
      <c r="IW134" s="115">
        <f>AN134*JK133</f>
        <v>1.0225634335544251</v>
      </c>
      <c r="IX134" s="73"/>
      <c r="IZ134" s="673">
        <f>AN134*JL133</f>
        <v>27.488264342860891</v>
      </c>
      <c r="JA134" s="115">
        <f>IW134*$NT134*$NU134</f>
        <v>0.91008145586343836</v>
      </c>
      <c r="JB134" s="115">
        <f>$IW134*JM133/$JK133</f>
        <v>0.96369133325567014</v>
      </c>
      <c r="JC134" s="115">
        <f>$IW134*JN133/$JK133</f>
        <v>2.0704519736095117E-2</v>
      </c>
      <c r="JD134" s="115">
        <f>$IW134*JO133/$JK133</f>
        <v>3.8167580562659849E-2</v>
      </c>
      <c r="JE134" s="115"/>
      <c r="JF134" s="73"/>
      <c r="JG134" s="73"/>
      <c r="JH134" s="73"/>
      <c r="JI134" s="73"/>
      <c r="JJ134" s="73"/>
      <c r="JQ134" s="115"/>
      <c r="JR134" s="73"/>
      <c r="JS134" s="115"/>
      <c r="JT134" s="115"/>
      <c r="JU134" s="115"/>
      <c r="KA134" s="115"/>
      <c r="KB134" s="115"/>
      <c r="KC134" s="66"/>
      <c r="KD134" s="725"/>
      <c r="KE134" s="474"/>
      <c r="KF134" s="474"/>
      <c r="KG134" s="474"/>
      <c r="KJ134" s="115">
        <f>BW134*44/12+$IW134+$GZ134</f>
        <v>12.000642530232357</v>
      </c>
      <c r="KK134" s="677">
        <f>10^3*KJ134/$NY134</f>
        <v>322.59791747936441</v>
      </c>
      <c r="KL134" s="74"/>
      <c r="KM134" s="74"/>
      <c r="KN134" s="115">
        <f>KJ134*$NT134*$NU134</f>
        <v>10.680571851906798</v>
      </c>
      <c r="KO134" s="74"/>
      <c r="KP134" s="74"/>
      <c r="KQ134" s="74"/>
      <c r="KR134" s="74"/>
      <c r="KS134" s="115"/>
      <c r="KT134" s="115">
        <f>CK134*44/12+$IW134+$HN134</f>
        <v>12.09966192449007</v>
      </c>
      <c r="KU134" s="677">
        <f>10^3*KT134/$NY134</f>
        <v>325.25972915295887</v>
      </c>
      <c r="KX134" s="115">
        <f>KT134*$NT134*$NU134</f>
        <v>10.768699112796162</v>
      </c>
      <c r="LC134" s="115"/>
      <c r="LD134" s="115">
        <f>CY134*44/12+$IW134+$IB134</f>
        <v>10.233976737934242</v>
      </c>
      <c r="LE134" s="677">
        <f>10^3*LD134/$NY134</f>
        <v>275.10690155737205</v>
      </c>
      <c r="LH134" s="115">
        <f>LD134*$NT134*$NU134</f>
        <v>9.1082392967614751</v>
      </c>
      <c r="LM134" s="115"/>
      <c r="LN134" s="115">
        <f>DM134*44/12+$IW134+$GZ134</f>
        <v>11.274515747051643</v>
      </c>
      <c r="LO134" s="677">
        <f>10^3*LN134/$NY134</f>
        <v>303.07838029708716</v>
      </c>
      <c r="LR134" s="115">
        <f>LN134*$NT134*$NU134</f>
        <v>10.034319014875962</v>
      </c>
      <c r="LW134" s="115"/>
      <c r="LX134" s="115">
        <f>EA134*44/12+$IW134+$HN134</f>
        <v>11.377368461874051</v>
      </c>
      <c r="LY134" s="677">
        <f>10^3*LX134/$NY134</f>
        <v>305.84323822242067</v>
      </c>
      <c r="MB134" s="115">
        <f>LX134*$NT134*$NU134</f>
        <v>10.125857931067905</v>
      </c>
      <c r="MG134" s="115"/>
      <c r="MH134" s="115">
        <f>EO134*44/12+$IW134+$IB134</f>
        <v>14.936678257018496</v>
      </c>
      <c r="MI134" s="677">
        <f>10^3*MH134/$NY134</f>
        <v>401.52360905963695</v>
      </c>
      <c r="ML134" s="115">
        <f>MH134*$NT134*$NU134</f>
        <v>13.293643648746462</v>
      </c>
      <c r="MQ134" s="115"/>
      <c r="MR134" s="295">
        <v>88</v>
      </c>
      <c r="MS134" s="676">
        <f>KK134-$MR134</f>
        <v>234.59791747936441</v>
      </c>
      <c r="MT134" s="115">
        <f>MS134*$NZ134/10^3</f>
        <v>7.7670678519067975</v>
      </c>
      <c r="MU134" s="115"/>
      <c r="MV134" s="115"/>
      <c r="MW134" s="676">
        <f>KU134-$MR134</f>
        <v>237.25972915295887</v>
      </c>
      <c r="MX134" s="115">
        <f>MW134*$NZ134/10^3</f>
        <v>7.8551951127961628</v>
      </c>
      <c r="MY134" s="115"/>
      <c r="MZ134" s="115"/>
      <c r="NA134" s="676">
        <f>LE134-$MR134</f>
        <v>187.10690155737205</v>
      </c>
      <c r="NB134" s="115">
        <f>NA134*$NZ134/10^3</f>
        <v>6.1947352967614755</v>
      </c>
      <c r="NC134" s="115"/>
      <c r="ND134" s="115"/>
      <c r="NE134" s="676">
        <f>LO134-$MR134</f>
        <v>215.07838029708716</v>
      </c>
      <c r="NF134" s="115">
        <f>NE134*$NZ134/10^3</f>
        <v>7.1208150148759621</v>
      </c>
      <c r="NG134" s="115"/>
      <c r="NH134" s="115"/>
      <c r="NI134" s="676">
        <f>LY134-$MR134</f>
        <v>217.84323822242067</v>
      </c>
      <c r="NJ134" s="115">
        <f>NI134*$NZ134/10^3</f>
        <v>7.2123539310679039</v>
      </c>
      <c r="NK134" s="115"/>
      <c r="NL134" s="115"/>
      <c r="NM134" s="676">
        <f>MI134-$MR134</f>
        <v>313.52360905963695</v>
      </c>
      <c r="NN134" s="115">
        <f>NM134*$NZ134/10^3</f>
        <v>10.380139648746461</v>
      </c>
      <c r="NO134" s="115"/>
      <c r="NP134" s="115"/>
      <c r="NQ134" s="73"/>
      <c r="NR134" s="73"/>
      <c r="NS134" s="73"/>
      <c r="NT134" s="31">
        <v>1</v>
      </c>
      <c r="NU134" s="103">
        <v>0.89</v>
      </c>
      <c r="NV134" s="32">
        <f>$NT134*NW134</f>
        <v>40</v>
      </c>
      <c r="NW134" s="9">
        <v>40</v>
      </c>
      <c r="NX134" s="26">
        <f>NV134*NU134</f>
        <v>35.6</v>
      </c>
      <c r="NY134" s="9">
        <v>37.200000000000003</v>
      </c>
      <c r="NZ134" s="26">
        <f>NY134*NT134*NU134</f>
        <v>33.108000000000004</v>
      </c>
    </row>
    <row r="135" spans="1:494" s="74" customFormat="1" x14ac:dyDescent="0.25">
      <c r="A135" s="74" t="s">
        <v>293</v>
      </c>
      <c r="D135" s="134">
        <v>0</v>
      </c>
      <c r="E135" s="83"/>
      <c r="F135" s="83"/>
      <c r="G135" s="83"/>
      <c r="H135" s="83"/>
      <c r="I135" s="83"/>
      <c r="J135" s="83"/>
      <c r="K135" s="83"/>
      <c r="L135" s="83"/>
      <c r="M135" s="83"/>
      <c r="AN135" s="69">
        <f>1-AN134</f>
        <v>0</v>
      </c>
      <c r="BW135" s="115"/>
      <c r="BZ135" s="73"/>
      <c r="CA135" s="73"/>
      <c r="CB135" s="73"/>
      <c r="CC135" s="73"/>
      <c r="CD135" s="115"/>
      <c r="CE135" s="115"/>
      <c r="CF135" s="115"/>
      <c r="CG135" s="115"/>
      <c r="CH135" s="115"/>
      <c r="CI135" s="73"/>
      <c r="CK135" s="115"/>
      <c r="CN135" s="73"/>
      <c r="CO135" s="73"/>
      <c r="CP135" s="73"/>
      <c r="CQ135" s="73"/>
      <c r="CR135" s="115"/>
      <c r="CS135" s="115"/>
      <c r="CT135" s="115"/>
      <c r="CU135" s="115"/>
      <c r="CV135" s="115"/>
      <c r="CW135" s="73"/>
      <c r="CY135" s="115"/>
      <c r="DB135" s="73"/>
      <c r="DC135" s="73"/>
      <c r="DD135" s="73"/>
      <c r="DE135" s="73"/>
      <c r="DF135" s="115"/>
      <c r="DG135" s="115"/>
      <c r="DH135" s="115"/>
      <c r="DI135" s="115"/>
      <c r="DJ135" s="115"/>
      <c r="DK135" s="73"/>
      <c r="DM135" s="115"/>
      <c r="DP135" s="73"/>
      <c r="DQ135" s="73"/>
      <c r="DR135" s="73"/>
      <c r="DS135" s="73"/>
      <c r="DY135" s="73"/>
      <c r="EA135" s="115"/>
      <c r="ED135" s="73"/>
      <c r="EE135" s="73"/>
      <c r="EF135" s="73"/>
      <c r="EG135" s="73"/>
      <c r="EM135" s="73"/>
      <c r="EO135" s="115"/>
      <c r="ER135" s="73"/>
      <c r="ES135" s="73"/>
      <c r="ET135" s="73"/>
      <c r="EU135" s="73"/>
      <c r="FA135" s="73"/>
      <c r="FF135" s="115"/>
      <c r="FI135" s="73"/>
      <c r="FJ135" s="73"/>
      <c r="FK135" s="73"/>
      <c r="FQ135" s="73"/>
      <c r="FR135" s="73"/>
      <c r="FT135" s="115"/>
      <c r="FW135" s="73"/>
      <c r="FX135" s="73"/>
      <c r="FY135" s="73"/>
      <c r="GE135" s="73"/>
      <c r="GF135" s="73"/>
      <c r="GH135" s="115"/>
      <c r="GK135" s="73"/>
      <c r="GL135" s="73"/>
      <c r="GM135" s="73"/>
      <c r="GS135" s="73"/>
      <c r="GT135" s="73"/>
      <c r="GU135" s="73"/>
      <c r="GV135" s="73"/>
      <c r="GW135" s="73"/>
      <c r="GX135" s="68">
        <f>GZ135*$W135</f>
        <v>0</v>
      </c>
      <c r="GY135" s="133"/>
      <c r="GZ135" s="133"/>
      <c r="HA135" s="133"/>
      <c r="HC135" s="133"/>
      <c r="HE135" s="73"/>
      <c r="HF135" s="73"/>
      <c r="HG135" s="73"/>
      <c r="HH135" s="73"/>
      <c r="HI135" s="73"/>
      <c r="HJ135" s="73"/>
      <c r="HK135" s="73"/>
      <c r="HL135" s="73"/>
      <c r="HM135" s="133"/>
      <c r="HN135" s="133"/>
      <c r="HO135" s="133"/>
      <c r="HQ135" s="133"/>
      <c r="HS135" s="73"/>
      <c r="HT135" s="73"/>
      <c r="HU135" s="73"/>
      <c r="HV135" s="73"/>
      <c r="HW135" s="73"/>
      <c r="HX135" s="73"/>
      <c r="HY135" s="73"/>
      <c r="HZ135" s="73"/>
      <c r="IA135" s="133"/>
      <c r="IB135" s="133"/>
      <c r="IC135" s="133"/>
      <c r="IE135" s="133"/>
      <c r="IG135" s="73"/>
      <c r="IH135" s="73"/>
      <c r="II135" s="73"/>
      <c r="IJ135" s="73"/>
      <c r="IK135" s="73"/>
      <c r="IL135" s="73"/>
      <c r="IM135" s="73"/>
      <c r="IN135" s="73"/>
      <c r="IO135" s="115"/>
      <c r="IP135" s="115"/>
      <c r="IQ135" s="115"/>
      <c r="IR135" s="115"/>
      <c r="IS135" s="115"/>
      <c r="IT135" s="115"/>
      <c r="IU135" s="115"/>
      <c r="JM135" s="133"/>
      <c r="JN135" s="133"/>
      <c r="JO135" s="133"/>
      <c r="JP135" s="133"/>
      <c r="JQ135" s="115"/>
      <c r="JS135" s="115"/>
      <c r="JT135" s="115"/>
      <c r="JU135" s="115"/>
      <c r="KA135" s="115"/>
      <c r="KD135" s="133"/>
      <c r="KE135" s="133"/>
      <c r="KF135" s="133"/>
      <c r="KG135" s="133"/>
      <c r="KH135" s="133"/>
      <c r="KI135" s="133"/>
      <c r="KK135" s="73"/>
      <c r="KN135" s="73"/>
      <c r="KS135" s="73"/>
      <c r="KU135" s="73"/>
      <c r="KX135" s="73"/>
      <c r="LC135" s="73"/>
      <c r="LE135" s="73"/>
      <c r="LH135" s="73"/>
      <c r="LM135" s="73"/>
      <c r="LO135" s="73"/>
      <c r="LR135" s="73"/>
      <c r="LW135" s="73"/>
      <c r="LY135" s="73"/>
      <c r="MB135" s="73"/>
      <c r="MG135" s="73"/>
      <c r="MI135" s="73"/>
      <c r="ML135" s="73"/>
      <c r="MQ135" s="73"/>
      <c r="MS135" s="73"/>
      <c r="MT135" s="73"/>
      <c r="MU135" s="73"/>
      <c r="MV135" s="73"/>
      <c r="MW135" s="73"/>
      <c r="MX135" s="73"/>
      <c r="MY135" s="73"/>
      <c r="MZ135" s="73"/>
      <c r="NA135" s="73"/>
      <c r="NB135" s="73"/>
      <c r="NC135" s="73"/>
      <c r="ND135" s="73"/>
      <c r="NE135" s="73"/>
      <c r="NF135" s="73"/>
      <c r="NG135" s="73"/>
      <c r="NH135" s="73"/>
      <c r="NI135" s="73"/>
      <c r="NJ135" s="73"/>
      <c r="NK135" s="73"/>
      <c r="NL135" s="73"/>
      <c r="NM135" s="73"/>
      <c r="NN135" s="73"/>
      <c r="NO135" s="73"/>
      <c r="NP135" s="73"/>
      <c r="NW135" s="66"/>
      <c r="NY135" s="66"/>
      <c r="NZ135" s="66"/>
      <c r="RK135" s="133"/>
      <c r="RL135" s="133"/>
      <c r="RU135" s="179"/>
      <c r="RV135" s="179"/>
      <c r="RW135" s="179"/>
      <c r="RX135" s="179"/>
      <c r="RY135" s="179"/>
      <c r="RZ135" s="179"/>
    </row>
    <row r="136" spans="1:494" s="133" customFormat="1" x14ac:dyDescent="0.25">
      <c r="A136" s="133" t="s">
        <v>836</v>
      </c>
      <c r="D136" s="465"/>
      <c r="E136" s="461"/>
      <c r="F136" s="461"/>
      <c r="G136" s="461"/>
      <c r="H136" s="461"/>
      <c r="I136" s="469">
        <f>J136*NZ134</f>
        <v>3.8734386560473522</v>
      </c>
      <c r="J136" s="462">
        <f>(C80/C79/C134)/NT80/NY134</f>
        <v>0.11699403938768127</v>
      </c>
      <c r="K136" s="461"/>
      <c r="L136" s="461"/>
      <c r="M136" s="461"/>
      <c r="AN136" s="57"/>
      <c r="BW136" s="179"/>
      <c r="BZ136" s="474"/>
      <c r="CA136" s="474"/>
      <c r="CB136" s="474"/>
      <c r="CC136" s="474"/>
      <c r="CD136" s="179"/>
      <c r="CE136" s="179"/>
      <c r="CF136" s="179"/>
      <c r="CG136" s="179"/>
      <c r="CH136" s="179"/>
      <c r="CI136" s="474"/>
      <c r="CK136" s="179"/>
      <c r="CN136" s="474"/>
      <c r="CO136" s="474"/>
      <c r="CP136" s="474"/>
      <c r="CQ136" s="474"/>
      <c r="CR136" s="179"/>
      <c r="CS136" s="179"/>
      <c r="CT136" s="179"/>
      <c r="CU136" s="179"/>
      <c r="CV136" s="179"/>
      <c r="CW136" s="474"/>
      <c r="CY136" s="179"/>
      <c r="DB136" s="474"/>
      <c r="DC136" s="474"/>
      <c r="DD136" s="474"/>
      <c r="DE136" s="474"/>
      <c r="DF136" s="179"/>
      <c r="DG136" s="179"/>
      <c r="DH136" s="179"/>
      <c r="DI136" s="179"/>
      <c r="DJ136" s="179"/>
      <c r="DK136" s="474"/>
      <c r="DM136" s="179"/>
      <c r="DP136" s="474"/>
      <c r="DQ136" s="474"/>
      <c r="DR136" s="474"/>
      <c r="DS136" s="474"/>
      <c r="DY136" s="474"/>
      <c r="EA136" s="179"/>
      <c r="ED136" s="474"/>
      <c r="EE136" s="474"/>
      <c r="EF136" s="474"/>
      <c r="EG136" s="474"/>
      <c r="EM136" s="474"/>
      <c r="EO136" s="179"/>
      <c r="ER136" s="474"/>
      <c r="ES136" s="474"/>
      <c r="ET136" s="474"/>
      <c r="EU136" s="474"/>
      <c r="FA136" s="474"/>
      <c r="FF136" s="179"/>
      <c r="FI136" s="474"/>
      <c r="FJ136" s="474"/>
      <c r="FK136" s="474"/>
      <c r="FQ136" s="474"/>
      <c r="FR136" s="474"/>
      <c r="FT136" s="179"/>
      <c r="FW136" s="474"/>
      <c r="FX136" s="474"/>
      <c r="FY136" s="474"/>
      <c r="GE136" s="474"/>
      <c r="GF136" s="474"/>
      <c r="GH136" s="179"/>
      <c r="GK136" s="474"/>
      <c r="GL136" s="474"/>
      <c r="GM136" s="474"/>
      <c r="GS136" s="474"/>
      <c r="GT136" s="474"/>
      <c r="GU136" s="474"/>
      <c r="GV136" s="474"/>
      <c r="GW136" s="474"/>
      <c r="GX136" s="474"/>
      <c r="HE136" s="474"/>
      <c r="HF136" s="474"/>
      <c r="HG136" s="474"/>
      <c r="HH136" s="474"/>
      <c r="HI136" s="474"/>
      <c r="HJ136" s="474"/>
      <c r="HK136" s="474"/>
      <c r="HL136" s="474"/>
      <c r="HS136" s="474"/>
      <c r="HT136" s="474"/>
      <c r="HU136" s="474"/>
      <c r="HV136" s="474"/>
      <c r="HW136" s="474"/>
      <c r="HX136" s="474"/>
      <c r="HY136" s="474"/>
      <c r="HZ136" s="474"/>
      <c r="IG136" s="474"/>
      <c r="IH136" s="474"/>
      <c r="II136" s="474"/>
      <c r="IJ136" s="474"/>
      <c r="IK136" s="474"/>
      <c r="IL136" s="474"/>
      <c r="IM136" s="474"/>
      <c r="IN136" s="474"/>
      <c r="IO136" s="115"/>
      <c r="IP136" s="115"/>
      <c r="IQ136" s="115"/>
      <c r="IR136" s="115"/>
      <c r="IS136" s="115"/>
      <c r="IT136" s="115"/>
      <c r="IU136" s="115"/>
      <c r="JQ136" s="179"/>
      <c r="JS136" s="179"/>
      <c r="JT136" s="179"/>
      <c r="JU136" s="179"/>
      <c r="KA136" s="179"/>
      <c r="KK136" s="474"/>
      <c r="KN136" s="474"/>
      <c r="KS136" s="474"/>
      <c r="KU136" s="474"/>
      <c r="KX136" s="474"/>
      <c r="LC136" s="474"/>
      <c r="LE136" s="474"/>
      <c r="LH136" s="474"/>
      <c r="LM136" s="474"/>
      <c r="LO136" s="474"/>
      <c r="LR136" s="474"/>
      <c r="LW136" s="474"/>
      <c r="LY136" s="474"/>
      <c r="MB136" s="474"/>
      <c r="MG136" s="474"/>
      <c r="MI136" s="474"/>
      <c r="ML136" s="474"/>
      <c r="MQ136" s="474"/>
      <c r="MS136" s="474"/>
      <c r="MT136" s="474"/>
      <c r="MU136" s="474"/>
      <c r="MV136" s="474"/>
      <c r="MW136" s="474"/>
      <c r="MX136" s="474"/>
      <c r="MY136" s="474"/>
      <c r="MZ136" s="474"/>
      <c r="NA136" s="474"/>
      <c r="NB136" s="474"/>
      <c r="NC136" s="474"/>
      <c r="ND136" s="474"/>
      <c r="NE136" s="474"/>
      <c r="NF136" s="474"/>
      <c r="NG136" s="474"/>
      <c r="NH136" s="474"/>
      <c r="NI136" s="474"/>
      <c r="NJ136" s="474"/>
      <c r="NK136" s="474"/>
      <c r="NL136" s="474"/>
      <c r="NM136" s="474"/>
      <c r="NN136" s="474"/>
      <c r="NO136" s="474"/>
      <c r="NP136" s="474"/>
      <c r="NW136" s="466"/>
      <c r="NY136" s="466"/>
      <c r="NZ136" s="466"/>
      <c r="RU136" s="179"/>
      <c r="RV136" s="179"/>
      <c r="RW136" s="179"/>
      <c r="RX136" s="179"/>
      <c r="RY136" s="179"/>
      <c r="RZ136" s="179"/>
    </row>
    <row r="137" spans="1:494" x14ac:dyDescent="0.25">
      <c r="A137" s="74"/>
      <c r="W137" s="74"/>
      <c r="AF137" s="74"/>
      <c r="AG137" s="74"/>
      <c r="BW137" s="26"/>
      <c r="BZ137" s="73"/>
      <c r="CA137" s="73"/>
      <c r="CB137" s="73"/>
      <c r="CC137" s="73"/>
      <c r="CD137" s="115"/>
      <c r="CE137" s="115"/>
      <c r="CF137" s="115"/>
      <c r="CG137" s="115"/>
      <c r="CH137" s="115"/>
      <c r="CI137" s="73"/>
      <c r="CK137" s="26"/>
      <c r="CN137" s="73"/>
      <c r="CO137" s="73"/>
      <c r="CP137" s="73"/>
      <c r="CQ137" s="73"/>
      <c r="CW137" s="73"/>
      <c r="CX137" s="37"/>
      <c r="CY137" s="26"/>
      <c r="CZ137" s="37"/>
      <c r="DA137" s="37"/>
      <c r="DB137" s="73"/>
      <c r="DC137" s="73"/>
      <c r="DD137" s="73"/>
      <c r="DE137" s="73"/>
      <c r="DF137" s="115"/>
      <c r="DG137" s="115"/>
      <c r="DH137" s="115"/>
      <c r="DI137" s="115"/>
      <c r="DJ137" s="115"/>
      <c r="DK137" s="73"/>
      <c r="DL137" s="37"/>
      <c r="DM137" s="115"/>
      <c r="DN137" s="37"/>
      <c r="DO137" s="37"/>
      <c r="DP137" s="73"/>
      <c r="DQ137" s="73"/>
      <c r="DR137" s="73"/>
      <c r="DS137" s="73"/>
      <c r="DT137" s="37"/>
      <c r="DU137" s="37"/>
      <c r="DV137" s="37"/>
      <c r="DW137" s="37"/>
      <c r="DX137" s="37"/>
      <c r="DY137" s="73"/>
      <c r="EA137" s="115"/>
      <c r="ED137" s="73"/>
      <c r="EE137" s="73"/>
      <c r="EF137" s="73"/>
      <c r="EG137" s="73"/>
      <c r="EM137" s="73"/>
      <c r="EN137" s="37"/>
      <c r="EO137" s="115"/>
      <c r="EP137" s="37"/>
      <c r="EQ137" s="37"/>
      <c r="ER137" s="73"/>
      <c r="ES137" s="73"/>
      <c r="ET137" s="73"/>
      <c r="EU137" s="73"/>
      <c r="EV137" s="37"/>
      <c r="EW137" s="37"/>
      <c r="EX137" s="37"/>
      <c r="EY137" s="37"/>
      <c r="EZ137" s="37"/>
      <c r="FA137" s="73"/>
      <c r="FF137" s="26"/>
      <c r="FH137" s="74"/>
      <c r="FI137" s="55"/>
      <c r="FJ137" s="73"/>
      <c r="FK137" s="73"/>
      <c r="FQ137" s="73"/>
      <c r="FR137" s="73"/>
      <c r="FT137" s="26"/>
      <c r="FW137" s="55"/>
      <c r="FX137" s="73"/>
      <c r="FY137" s="73"/>
      <c r="FZ137" s="37"/>
      <c r="GE137" s="73"/>
      <c r="GF137" s="73"/>
      <c r="GH137" s="26"/>
      <c r="GJ137" s="74"/>
      <c r="GK137" s="55"/>
      <c r="GL137" s="73"/>
      <c r="GM137" s="73"/>
      <c r="GS137" s="73"/>
      <c r="GT137" s="73"/>
      <c r="GU137" s="73"/>
      <c r="GV137" s="73"/>
      <c r="GW137" s="73"/>
      <c r="GX137" s="73"/>
      <c r="HB137" s="74"/>
      <c r="HD137" s="74"/>
      <c r="HE137" s="73"/>
      <c r="HF137" s="73"/>
      <c r="HG137" s="73"/>
      <c r="HH137" s="73"/>
      <c r="HI137" s="73"/>
      <c r="HJ137" s="73"/>
      <c r="HK137" s="73"/>
      <c r="HL137" s="73"/>
      <c r="HS137" s="73"/>
      <c r="HT137" s="73"/>
      <c r="HU137" s="73"/>
      <c r="HV137" s="73"/>
      <c r="HW137" s="73"/>
      <c r="HX137" s="73"/>
      <c r="HY137" s="73"/>
      <c r="HZ137" s="73"/>
      <c r="IA137" s="133"/>
      <c r="IB137" s="133"/>
      <c r="IC137" s="133"/>
      <c r="IE137" s="133"/>
      <c r="IG137" s="73"/>
      <c r="IH137" s="73"/>
      <c r="II137" s="73"/>
      <c r="IJ137" s="73"/>
      <c r="IK137" s="73"/>
      <c r="IL137" s="73"/>
      <c r="IM137" s="73"/>
      <c r="IN137" s="73"/>
      <c r="JQ137" s="115"/>
      <c r="JS137" s="115"/>
      <c r="JT137" s="115"/>
      <c r="JU137" s="115"/>
      <c r="KA137" s="115"/>
      <c r="KJ137" s="74"/>
      <c r="KK137" s="74"/>
      <c r="KL137" s="74"/>
      <c r="KM137" s="74"/>
      <c r="KN137" s="73"/>
      <c r="KO137" s="74"/>
      <c r="KP137" s="74"/>
      <c r="KQ137" s="74"/>
      <c r="KR137" s="74"/>
      <c r="KS137" s="73"/>
      <c r="KX137" s="73"/>
      <c r="LC137" s="73"/>
      <c r="LH137" s="73"/>
      <c r="LM137" s="73"/>
      <c r="LR137" s="73"/>
      <c r="LW137" s="73"/>
      <c r="MB137" s="73"/>
      <c r="MG137" s="73"/>
      <c r="ML137" s="73"/>
      <c r="MQ137" s="73"/>
      <c r="MS137" s="73"/>
      <c r="MT137" s="73"/>
      <c r="MU137" s="73"/>
      <c r="MV137" s="73"/>
      <c r="MW137" s="73"/>
      <c r="MX137" s="73"/>
      <c r="MY137" s="73"/>
      <c r="MZ137" s="73"/>
      <c r="NA137" s="73"/>
      <c r="NB137" s="73"/>
      <c r="NC137" s="73"/>
      <c r="ND137" s="73"/>
      <c r="NE137" s="73"/>
      <c r="NF137" s="73"/>
      <c r="NG137" s="73"/>
      <c r="NH137" s="73"/>
      <c r="NI137" s="73"/>
      <c r="NJ137" s="73"/>
      <c r="NK137" s="73"/>
      <c r="NL137" s="73"/>
      <c r="NM137" s="73"/>
      <c r="NN137" s="73"/>
      <c r="NO137" s="73"/>
      <c r="NP137" s="73"/>
    </row>
    <row r="138" spans="1:494" x14ac:dyDescent="0.25">
      <c r="A138" s="66" t="s">
        <v>265</v>
      </c>
      <c r="W138" s="74"/>
      <c r="AF138" s="74"/>
      <c r="AG138" s="74"/>
      <c r="BW138" s="26"/>
      <c r="BZ138" s="73"/>
      <c r="CA138" s="73"/>
      <c r="CB138" s="73"/>
      <c r="CC138" s="73"/>
      <c r="CD138" s="115"/>
      <c r="CE138" s="115"/>
      <c r="CF138" s="115"/>
      <c r="CG138" s="115"/>
      <c r="CH138" s="115"/>
      <c r="CI138" s="73"/>
      <c r="CK138" s="26"/>
      <c r="CN138" s="73"/>
      <c r="CO138" s="73"/>
      <c r="CP138" s="73"/>
      <c r="CQ138" s="73"/>
      <c r="CW138" s="73"/>
      <c r="CX138" s="37"/>
      <c r="CY138" s="26"/>
      <c r="CZ138" s="37"/>
      <c r="DA138" s="37"/>
      <c r="DB138" s="73"/>
      <c r="DC138" s="73"/>
      <c r="DD138" s="73"/>
      <c r="DE138" s="73"/>
      <c r="DF138" s="115"/>
      <c r="DG138" s="115"/>
      <c r="DH138" s="115"/>
      <c r="DI138" s="115"/>
      <c r="DJ138" s="115"/>
      <c r="DK138" s="73"/>
      <c r="DL138" s="37"/>
      <c r="DM138" s="115"/>
      <c r="DN138" s="37"/>
      <c r="DO138" s="37"/>
      <c r="DP138" s="73"/>
      <c r="DQ138" s="73"/>
      <c r="DR138" s="73"/>
      <c r="DS138" s="73"/>
      <c r="DT138" s="37"/>
      <c r="DU138" s="37"/>
      <c r="DV138" s="37"/>
      <c r="DW138" s="37"/>
      <c r="DX138" s="37"/>
      <c r="DY138" s="73"/>
      <c r="EA138" s="115"/>
      <c r="ED138" s="73"/>
      <c r="EE138" s="73"/>
      <c r="EF138" s="73"/>
      <c r="EG138" s="73"/>
      <c r="EM138" s="73"/>
      <c r="EN138" s="37"/>
      <c r="EO138" s="115"/>
      <c r="EP138" s="37"/>
      <c r="EQ138" s="37"/>
      <c r="ER138" s="73"/>
      <c r="ES138" s="73"/>
      <c r="ET138" s="73"/>
      <c r="EU138" s="73"/>
      <c r="EV138" s="37"/>
      <c r="EW138" s="37"/>
      <c r="EX138" s="37"/>
      <c r="EY138" s="37"/>
      <c r="EZ138" s="37"/>
      <c r="FA138" s="73"/>
      <c r="FF138" s="26"/>
      <c r="FH138" s="74"/>
      <c r="FI138" s="55"/>
      <c r="FJ138" s="73"/>
      <c r="FK138" s="73"/>
      <c r="FQ138" s="73"/>
      <c r="FR138" s="73"/>
      <c r="FT138" s="26"/>
      <c r="FW138" s="55"/>
      <c r="FX138" s="73"/>
      <c r="FY138" s="73"/>
      <c r="FZ138" s="37"/>
      <c r="GE138" s="73"/>
      <c r="GF138" s="73"/>
      <c r="GH138" s="26"/>
      <c r="GJ138" s="74"/>
      <c r="GK138" s="55"/>
      <c r="GL138" s="73"/>
      <c r="GM138" s="73"/>
      <c r="GS138" s="73"/>
      <c r="GT138" s="73"/>
      <c r="GU138" s="73"/>
      <c r="GV138" s="73"/>
      <c r="GW138" s="73"/>
      <c r="GX138" s="55">
        <f>GX139+GX140</f>
        <v>0</v>
      </c>
      <c r="GY138" s="474"/>
      <c r="GZ138" s="474"/>
      <c r="HA138" s="474"/>
      <c r="HB138" s="74"/>
      <c r="HC138" s="474"/>
      <c r="HD138" s="74"/>
      <c r="HE138" s="73"/>
      <c r="HF138" s="73"/>
      <c r="HG138" s="73"/>
      <c r="HH138" s="73"/>
      <c r="HI138" s="73"/>
      <c r="HJ138" s="73"/>
      <c r="HK138" s="73"/>
      <c r="HL138" s="73"/>
      <c r="HM138" s="474"/>
      <c r="HN138" s="474"/>
      <c r="HO138" s="474"/>
      <c r="HQ138" s="474"/>
      <c r="HS138" s="73"/>
      <c r="HT138" s="73"/>
      <c r="HU138" s="73"/>
      <c r="HV138" s="73"/>
      <c r="HW138" s="73"/>
      <c r="HX138" s="73"/>
      <c r="HY138" s="73"/>
      <c r="HZ138" s="73"/>
      <c r="IA138" s="474"/>
      <c r="IB138" s="474"/>
      <c r="IC138" s="474"/>
      <c r="IE138" s="474"/>
      <c r="IG138" s="73"/>
      <c r="IH138" s="73"/>
      <c r="II138" s="73"/>
      <c r="IJ138" s="73"/>
      <c r="IK138" s="73"/>
      <c r="IL138" s="73"/>
      <c r="IM138" s="73"/>
      <c r="IN138" s="73"/>
      <c r="IO138" s="68">
        <f>IP138+IQ138+IR138+IS138+IT138+IU138</f>
        <v>0</v>
      </c>
      <c r="IP138" s="97">
        <f>JS138*$W139</f>
        <v>0</v>
      </c>
      <c r="IQ138" s="97">
        <f>JU138*$W139</f>
        <v>0</v>
      </c>
      <c r="IR138" s="97">
        <f>JX138*$W139</f>
        <v>0</v>
      </c>
      <c r="IS138" s="97">
        <f>KB138*$W139</f>
        <v>0</v>
      </c>
      <c r="IT138" s="97">
        <f>KF138*$W139</f>
        <v>0</v>
      </c>
      <c r="IU138" s="97">
        <f>KH138*$W139</f>
        <v>0</v>
      </c>
      <c r="JK138" s="127">
        <f>JM138+JN138+JO138</f>
        <v>2.0276289823371405</v>
      </c>
      <c r="JL138" s="679">
        <f>10^3*JK138/NY139</f>
        <v>54.506155439170442</v>
      </c>
      <c r="JM138" s="179">
        <f>JS138+KB138</f>
        <v>0.44400888305888997</v>
      </c>
      <c r="JN138" s="179">
        <f>JU138+KF138</f>
        <v>0.17164689662325819</v>
      </c>
      <c r="JO138" s="179">
        <f>JX138+KH138</f>
        <v>1.4119732026549923</v>
      </c>
      <c r="JP138" s="469">
        <f>JK138*C139</f>
        <v>2.0256013533548032</v>
      </c>
      <c r="JQ138" s="115">
        <f>JR138*$NY139/10^3</f>
        <v>1.7672289823371408</v>
      </c>
      <c r="JR138" s="73">
        <f>JT138+JV138+JY138</f>
        <v>47.506155439170442</v>
      </c>
      <c r="JS138" s="115">
        <f>JB83</f>
        <v>0.20220888305888998</v>
      </c>
      <c r="JT138" s="213">
        <f>10^3*JS138/$NY139</f>
        <v>5.4357226628733866</v>
      </c>
      <c r="JU138" s="115">
        <f>JC83</f>
        <v>0.17164689662325819</v>
      </c>
      <c r="JV138" s="213">
        <f>10^3*JU138/$NY139</f>
        <v>4.6141638877219942</v>
      </c>
      <c r="JX138" s="115">
        <f>JD83</f>
        <v>1.3933732026549923</v>
      </c>
      <c r="JY138" s="213">
        <f>10^3*JX138/$NY139</f>
        <v>37.45626888857506</v>
      </c>
      <c r="JZ138" s="115">
        <f>KB138+KF138+KH138</f>
        <v>0.26040000000000002</v>
      </c>
      <c r="KA138" s="115">
        <f>KC138+KG138+KI138</f>
        <v>7</v>
      </c>
      <c r="KB138" s="127">
        <f>KC138*$NY139/10^3</f>
        <v>0.24180000000000001</v>
      </c>
      <c r="KC138" s="84">
        <v>6.5</v>
      </c>
      <c r="KD138" s="725">
        <v>0.15</v>
      </c>
      <c r="KE138" s="474">
        <f>KC138/KD138</f>
        <v>43.333333333333336</v>
      </c>
      <c r="KF138" s="127">
        <f>KG138*$NY139/10^3</f>
        <v>0</v>
      </c>
      <c r="KG138" s="84">
        <v>0</v>
      </c>
      <c r="KH138" s="127">
        <f>KI138*$NY139/10^3</f>
        <v>1.8600000000000002E-2</v>
      </c>
      <c r="KI138" s="84">
        <v>0.5</v>
      </c>
      <c r="KJ138" s="74"/>
      <c r="KK138" s="74"/>
      <c r="KL138" s="74"/>
      <c r="KM138" s="74"/>
      <c r="KN138" s="73"/>
      <c r="KO138" s="74"/>
      <c r="KP138" s="74"/>
      <c r="KQ138" s="74"/>
      <c r="KR138" s="74"/>
      <c r="KS138" s="73"/>
      <c r="KX138" s="73"/>
      <c r="LC138" s="73"/>
      <c r="LH138" s="73"/>
      <c r="LM138" s="73"/>
      <c r="LR138" s="73"/>
      <c r="LW138" s="73"/>
      <c r="MB138" s="73"/>
      <c r="MG138" s="73"/>
      <c r="ML138" s="73"/>
      <c r="MQ138" s="73"/>
      <c r="MS138" s="73"/>
      <c r="MT138" s="73"/>
      <c r="MU138" s="73"/>
      <c r="MV138" s="73"/>
      <c r="MW138" s="73"/>
      <c r="MX138" s="73"/>
      <c r="MY138" s="73"/>
      <c r="MZ138" s="73"/>
      <c r="NA138" s="73"/>
      <c r="NB138" s="73"/>
      <c r="NC138" s="73"/>
      <c r="ND138" s="73"/>
      <c r="NE138" s="73"/>
      <c r="NF138" s="73"/>
      <c r="NG138" s="73"/>
      <c r="NH138" s="73"/>
      <c r="NI138" s="73"/>
      <c r="NJ138" s="73"/>
      <c r="NK138" s="73"/>
      <c r="NL138" s="73"/>
      <c r="NM138" s="73"/>
      <c r="NN138" s="73"/>
      <c r="NO138" s="73"/>
      <c r="NP138" s="73"/>
    </row>
    <row r="139" spans="1:494" x14ac:dyDescent="0.25">
      <c r="A139" s="74" t="s">
        <v>520</v>
      </c>
      <c r="C139" s="52">
        <f>D139</f>
        <v>0.999</v>
      </c>
      <c r="D139" s="134">
        <v>0.999</v>
      </c>
      <c r="E139" s="83"/>
      <c r="F139" s="83"/>
      <c r="G139" s="460">
        <f>H139*'Crops; pasture DISCOUNTED'!LI39</f>
        <v>7.343369280000001</v>
      </c>
      <c r="H139" s="458">
        <f>K139*NZ139*AB27/10^4</f>
        <v>14.121864000000002</v>
      </c>
      <c r="I139" s="459"/>
      <c r="J139" s="83"/>
      <c r="K139" s="679">
        <f>10^4*$C83*($C139/$NU139)/AB27</f>
        <v>3238.2865617977523</v>
      </c>
      <c r="L139" s="73">
        <f>10^4*$C83*($C139/$NU139)/AC27</f>
        <v>3238.2865617977523</v>
      </c>
      <c r="M139" s="73">
        <f>10^4*$C83*($C139/$NU139)/AD27</f>
        <v>2528.5251235955056</v>
      </c>
      <c r="W139" s="74"/>
      <c r="AE139" s="734">
        <f>AE83*$AN139/$D139</f>
        <v>2.9270912378901541</v>
      </c>
      <c r="AF139" s="74"/>
      <c r="AG139" s="115">
        <f>AG83*$AN139/$D139</f>
        <v>2.9270912378901541</v>
      </c>
      <c r="AI139" s="115">
        <f>AI83*$AN139/$D139</f>
        <v>3.748730883613705</v>
      </c>
      <c r="AN139" s="39">
        <v>1</v>
      </c>
      <c r="BV139" s="26">
        <f>BW139*$NT139</f>
        <v>1.9432391970075533</v>
      </c>
      <c r="BW139" s="26">
        <f>BZ139*$NW139/10^3</f>
        <v>1.9432391970075533</v>
      </c>
      <c r="BZ139" s="73">
        <f>BZ83*$AN139/$D139</f>
        <v>48.580979925188828</v>
      </c>
      <c r="CA139" s="677">
        <f>10^3*BW139/$NY139</f>
        <v>52.237612822783682</v>
      </c>
      <c r="CB139" s="115">
        <f>BW139*$NT139*$NU139</f>
        <v>1.7294828853367226</v>
      </c>
      <c r="CC139" s="73"/>
      <c r="CD139" s="115"/>
      <c r="CE139" s="115"/>
      <c r="CF139" s="115"/>
      <c r="CG139" s="115"/>
      <c r="CH139" s="115"/>
      <c r="CI139" s="115"/>
      <c r="CJ139" s="26">
        <f>CK139*$NT139</f>
        <v>1.9432391970075533</v>
      </c>
      <c r="CK139" s="26">
        <f>CN139*$NW139/10^3</f>
        <v>1.9432391970075533</v>
      </c>
      <c r="CN139" s="73">
        <f>CN83*$AN139/$D139</f>
        <v>48.580979925188828</v>
      </c>
      <c r="CO139" s="677">
        <f>10^3*CK139/$NY139</f>
        <v>52.237612822783682</v>
      </c>
      <c r="CP139" s="115">
        <f>CK139*$NT139*$NU139</f>
        <v>1.7294828853367226</v>
      </c>
      <c r="CQ139" s="73"/>
      <c r="CW139" s="115"/>
      <c r="CX139" s="26">
        <f>CY139*$NT139</f>
        <v>0.87850953576621404</v>
      </c>
      <c r="CY139" s="26">
        <f>DB139*$NW139/10^3</f>
        <v>0.87850953576621404</v>
      </c>
      <c r="CZ139" s="37"/>
      <c r="DA139" s="37"/>
      <c r="DB139" s="73">
        <f>DB83*$AN139/$D139</f>
        <v>21.962738394155352</v>
      </c>
      <c r="DC139" s="677">
        <f>10^3*CY139/$NY139</f>
        <v>23.615847735650913</v>
      </c>
      <c r="DD139" s="115">
        <f>CY139*$NT139*$NU139</f>
        <v>0.78187348683193048</v>
      </c>
      <c r="DE139" s="73"/>
      <c r="DF139" s="115"/>
      <c r="DG139" s="115"/>
      <c r="DH139" s="115"/>
      <c r="DI139" s="115"/>
      <c r="DJ139" s="115"/>
      <c r="DK139" s="115"/>
      <c r="DL139" s="26">
        <f>DM139*$NT139</f>
        <v>1.515870770354294</v>
      </c>
      <c r="DM139" s="115">
        <f>DP139*$NW139/10^3</f>
        <v>1.515870770354294</v>
      </c>
      <c r="DN139" s="37"/>
      <c r="DO139" s="37"/>
      <c r="DP139" s="73">
        <f>DP83*$AN139/$D139</f>
        <v>37.896769258857347</v>
      </c>
      <c r="DQ139" s="677">
        <f>10^3*DM139/$NY139</f>
        <v>40.749214256835856</v>
      </c>
      <c r="DR139" s="115">
        <f>DM139*$NT139*$NU139</f>
        <v>1.3491249856153216</v>
      </c>
      <c r="DS139" s="73"/>
      <c r="DT139" s="37"/>
      <c r="DU139" s="37"/>
      <c r="DV139" s="37"/>
      <c r="DW139" s="37"/>
      <c r="DX139" s="37"/>
      <c r="DY139" s="115"/>
      <c r="DZ139" s="26">
        <f>EA139*$NT139</f>
        <v>1.515870770354294</v>
      </c>
      <c r="EA139" s="115">
        <f>ED139*$NW139/10^3</f>
        <v>1.515870770354294</v>
      </c>
      <c r="ED139" s="73">
        <f>ED83*$AN139/$D139</f>
        <v>37.896769258857347</v>
      </c>
      <c r="EE139" s="677">
        <f>10^3*EA139/$NY139</f>
        <v>40.749214256835856</v>
      </c>
      <c r="EF139" s="115">
        <f>EA139*$NT139*$NU139</f>
        <v>1.3491249856153216</v>
      </c>
      <c r="EG139" s="73"/>
      <c r="EM139" s="115"/>
      <c r="EN139" s="26">
        <f>EO139*$NT139</f>
        <v>17.171810986243973</v>
      </c>
      <c r="EO139" s="115">
        <f>ER139*$NW139/10^3</f>
        <v>17.171810986243973</v>
      </c>
      <c r="EP139" s="37"/>
      <c r="EQ139" s="37"/>
      <c r="ER139" s="73">
        <f>ER83*$AN139/$D139</f>
        <v>429.29527465609937</v>
      </c>
      <c r="ES139" s="677">
        <f>10^3*EO139/$NY139</f>
        <v>461.60782221085947</v>
      </c>
      <c r="ET139" s="115">
        <f>EO139*$NT139*$NU139</f>
        <v>15.282911777757135</v>
      </c>
      <c r="EU139" s="73"/>
      <c r="EV139" s="37"/>
      <c r="EW139" s="37"/>
      <c r="EX139" s="37"/>
      <c r="EY139" s="37"/>
      <c r="EZ139" s="37"/>
      <c r="FA139" s="115"/>
      <c r="FE139" s="26">
        <f>FF139*$NT139</f>
        <v>3.038812277504281</v>
      </c>
      <c r="FF139" s="26">
        <f>FI139*$NW139/10^3</f>
        <v>3.038812277504281</v>
      </c>
      <c r="FH139" s="74"/>
      <c r="FI139" s="562">
        <f>FI83*$AN139/$D139</f>
        <v>75.970306937607035</v>
      </c>
      <c r="FJ139" s="73">
        <f>10^3*FE139/$NY139</f>
        <v>81.688502083448412</v>
      </c>
      <c r="FK139" s="115">
        <f>FF139*$NT139*$NU139</f>
        <v>2.7045429269788102</v>
      </c>
      <c r="FL139" s="26"/>
      <c r="FQ139" s="73"/>
      <c r="FR139" s="115"/>
      <c r="FS139" s="26">
        <f>FT139*$NT139</f>
        <v>3.038812277504281</v>
      </c>
      <c r="FT139" s="26">
        <f>FW139*$NW139/10^3</f>
        <v>3.038812277504281</v>
      </c>
      <c r="FW139" s="562">
        <f>FW83*$AN139/$D139</f>
        <v>75.970306937607035</v>
      </c>
      <c r="FX139" s="73">
        <f>10^3*FS139/$NY139</f>
        <v>81.688502083448412</v>
      </c>
      <c r="FY139" s="115">
        <f>FT139*$NT139*$NU139</f>
        <v>2.7045429269788102</v>
      </c>
      <c r="FZ139" s="26"/>
      <c r="GE139" s="73"/>
      <c r="GF139" s="115"/>
      <c r="GG139" s="26">
        <f>GH139*$NT139</f>
        <v>2.976091693861262</v>
      </c>
      <c r="GH139" s="26">
        <f>GK139*$NW139/10^3</f>
        <v>2.976091693861262</v>
      </c>
      <c r="GJ139" s="74"/>
      <c r="GK139" s="562">
        <f>GK83*$AN139/$D139</f>
        <v>74.402292346531553</v>
      </c>
      <c r="GL139" s="73">
        <f>10^3*GG139/$NY139</f>
        <v>80.002464888743603</v>
      </c>
      <c r="GM139" s="115">
        <f>GH139*$NT139*$NU139</f>
        <v>2.6487216075365234</v>
      </c>
      <c r="GN139" s="26"/>
      <c r="GS139" s="73"/>
      <c r="GT139" s="115"/>
      <c r="GU139" s="115"/>
      <c r="GV139" s="115"/>
      <c r="GW139" s="115"/>
      <c r="GX139" s="68">
        <f>GZ139*$W139</f>
        <v>0</v>
      </c>
      <c r="GY139" s="26">
        <f>GZ139*$NT139</f>
        <v>2.3289488755437566</v>
      </c>
      <c r="GZ139" s="26">
        <f>HC139*$NW139/10^3</f>
        <v>2.3289488755437566</v>
      </c>
      <c r="HA139" s="474"/>
      <c r="HB139" s="74"/>
      <c r="HC139" s="673">
        <f>HC83*$AN139/$D139</f>
        <v>58.223721888593914</v>
      </c>
      <c r="HD139" s="73">
        <f>10^3*GZ139/$NY139</f>
        <v>62.606152568380544</v>
      </c>
      <c r="HE139" s="115">
        <f>GZ139*$NT139*$NU139</f>
        <v>2.0727644992339433</v>
      </c>
      <c r="HF139" s="115"/>
      <c r="HG139" s="115"/>
      <c r="HH139" s="115"/>
      <c r="HI139" s="115"/>
      <c r="HJ139" s="115"/>
      <c r="HK139" s="115"/>
      <c r="HL139" s="115"/>
      <c r="HM139" s="115">
        <f>HN139*$NT139</f>
        <v>2.3289488755437566</v>
      </c>
      <c r="HN139" s="115">
        <f>HQ139*$NW139/10^3</f>
        <v>2.3289488755437566</v>
      </c>
      <c r="HO139" s="474"/>
      <c r="HQ139" s="73">
        <f>HQ83*$AN139/$D139</f>
        <v>58.223721888593914</v>
      </c>
      <c r="HR139" s="73">
        <f>10^3*HN139/$NY139</f>
        <v>62.606152568380544</v>
      </c>
      <c r="HS139" s="115">
        <f>HN139*$NT139*$NU139</f>
        <v>2.0727644992339433</v>
      </c>
      <c r="HT139" s="115"/>
      <c r="HU139" s="115"/>
      <c r="HV139" s="115"/>
      <c r="HW139" s="115"/>
      <c r="HX139" s="115"/>
      <c r="HY139" s="115"/>
      <c r="HZ139" s="115"/>
      <c r="IA139" s="115">
        <f>IB139*$NT139</f>
        <v>0</v>
      </c>
      <c r="IB139" s="115">
        <f>IE139*$NW139/10^3</f>
        <v>0</v>
      </c>
      <c r="IC139" s="474"/>
      <c r="IE139" s="73">
        <f>IE83*$AN139/$D139</f>
        <v>0</v>
      </c>
      <c r="IF139" s="73">
        <f>10^3*IB139/$NY139</f>
        <v>0</v>
      </c>
      <c r="IG139" s="115">
        <f>IB139*$NT139*$NU139</f>
        <v>0</v>
      </c>
      <c r="IH139" s="115"/>
      <c r="II139" s="115"/>
      <c r="IJ139" s="115"/>
      <c r="IK139" s="115"/>
      <c r="IL139" s="115"/>
      <c r="IM139" s="115"/>
      <c r="IN139" s="115"/>
      <c r="IV139" s="26">
        <f>IW139*$NT139</f>
        <v>2.0276289823371405</v>
      </c>
      <c r="IW139" s="115">
        <f>AN139*JK138</f>
        <v>2.0276289823371405</v>
      </c>
      <c r="IX139" s="73"/>
      <c r="IZ139" s="673">
        <f>AN139*JL138</f>
        <v>54.506155439170442</v>
      </c>
      <c r="JA139" s="115">
        <f>IW139*$NT139*$NU139</f>
        <v>1.8045897942800551</v>
      </c>
      <c r="JB139" s="115">
        <f>$IW139*JM138/$JK138</f>
        <v>0.44400888305888997</v>
      </c>
      <c r="JC139" s="115">
        <f>$IW139*JN138/$JK138</f>
        <v>0.17164689662325819</v>
      </c>
      <c r="JD139" s="115">
        <f>$IW139*JO138/$JK138</f>
        <v>1.4119732026549923</v>
      </c>
      <c r="JE139" s="115"/>
      <c r="JF139" s="73"/>
      <c r="JG139" s="73"/>
      <c r="JH139" s="73"/>
      <c r="JI139" s="73"/>
      <c r="JJ139" s="73"/>
      <c r="JQ139" s="115"/>
      <c r="JR139" s="73"/>
      <c r="JS139" s="115"/>
      <c r="JT139" s="115"/>
      <c r="JU139" s="115"/>
      <c r="KB139" s="115"/>
      <c r="KC139" s="66"/>
      <c r="KD139" s="725"/>
      <c r="KE139" s="474"/>
      <c r="KF139" s="474"/>
      <c r="KG139" s="474"/>
      <c r="KH139" s="474"/>
      <c r="KI139" s="474"/>
      <c r="KJ139" s="115">
        <f>BW139*44/12+$IW139+$GZ139</f>
        <v>11.481788246908593</v>
      </c>
      <c r="KK139" s="677">
        <f>10^3*KJ139/$NY139</f>
        <v>308.65022169109119</v>
      </c>
      <c r="KL139" s="74"/>
      <c r="KM139" s="74"/>
      <c r="KN139" s="115">
        <f>KJ139*$NT139*$NU139</f>
        <v>10.218791539748647</v>
      </c>
      <c r="KO139" s="74"/>
      <c r="KP139" s="74"/>
      <c r="KQ139" s="74"/>
      <c r="KR139" s="74"/>
      <c r="KS139" s="115"/>
      <c r="KT139" s="115">
        <f>CK139*44/12+$IW139+$HN139</f>
        <v>11.481788246908593</v>
      </c>
      <c r="KU139" s="677">
        <f>10^3*KT139/$NY139</f>
        <v>308.65022169109119</v>
      </c>
      <c r="KX139" s="115">
        <f>KT139*$NT139*$NU139</f>
        <v>10.218791539748647</v>
      </c>
      <c r="LC139" s="115"/>
      <c r="LD139" s="115">
        <f>CY139*44/12+$IW139+$IB139</f>
        <v>5.2488306134799254</v>
      </c>
      <c r="LE139" s="677">
        <f>10^3*LD139/$NY139</f>
        <v>141.09759713655711</v>
      </c>
      <c r="LH139" s="115">
        <f>LD139*$NT139*$NU139</f>
        <v>4.6714592459971334</v>
      </c>
      <c r="LM139" s="115"/>
      <c r="LN139" s="115">
        <f>DM139*44/12+$IW139+$GZ139</f>
        <v>9.9147706825133088</v>
      </c>
      <c r="LO139" s="677">
        <f>10^3*LN139/$NY139</f>
        <v>266.52609361594915</v>
      </c>
      <c r="LR139" s="115">
        <f>LN139*$NT139*$NU139</f>
        <v>8.8241459074368453</v>
      </c>
      <c r="LW139" s="115"/>
      <c r="LX139" s="115">
        <f>EA139*44/12+$IW139+$HN139</f>
        <v>9.9147706825133088</v>
      </c>
      <c r="LY139" s="677">
        <f>10^3*LX139/$NY139</f>
        <v>266.52609361594915</v>
      </c>
      <c r="MB139" s="115">
        <f>LX139*$NT139*$NU139</f>
        <v>8.8241459074368453</v>
      </c>
      <c r="MG139" s="115"/>
      <c r="MH139" s="115">
        <f>EO139*44/12+$IW139+$IB139</f>
        <v>64.990935931898363</v>
      </c>
      <c r="MI139" s="677">
        <f>10^3*MH139/$NY139</f>
        <v>1747.0681702123215</v>
      </c>
      <c r="ML139" s="115">
        <f>MH139*$NT139*$NU139</f>
        <v>57.841932979389547</v>
      </c>
      <c r="MQ139" s="115"/>
      <c r="MR139" s="295">
        <v>88</v>
      </c>
      <c r="MS139" s="676">
        <f>KK139-$MR139</f>
        <v>220.65022169109119</v>
      </c>
      <c r="MT139" s="115">
        <f>MS139*$NZ139/10^3</f>
        <v>7.3052875397486474</v>
      </c>
      <c r="MU139" s="115"/>
      <c r="MV139" s="115"/>
      <c r="MW139" s="676">
        <f>KU139-$MR139</f>
        <v>220.65022169109119</v>
      </c>
      <c r="MX139" s="115">
        <f>MW139*$NZ139/10^3</f>
        <v>7.3052875397486474</v>
      </c>
      <c r="MY139" s="115"/>
      <c r="MZ139" s="115"/>
      <c r="NA139" s="676">
        <f>LE139-$MR139</f>
        <v>53.097597136557113</v>
      </c>
      <c r="NB139" s="115">
        <f>NA139*$NZ139/10^3</f>
        <v>1.757955245997133</v>
      </c>
      <c r="NC139" s="115"/>
      <c r="ND139" s="115"/>
      <c r="NE139" s="676">
        <f>LO139-$MR139</f>
        <v>178.52609361594915</v>
      </c>
      <c r="NF139" s="115">
        <f>NE139*$NZ139/10^3</f>
        <v>5.9106419074368448</v>
      </c>
      <c r="NG139" s="115"/>
      <c r="NH139" s="115"/>
      <c r="NI139" s="676">
        <f>LY139-$MR139</f>
        <v>178.52609361594915</v>
      </c>
      <c r="NJ139" s="115">
        <f>NI139*$NZ139/10^3</f>
        <v>5.9106419074368448</v>
      </c>
      <c r="NK139" s="115"/>
      <c r="NL139" s="115"/>
      <c r="NM139" s="676">
        <f>MI139-$MR139</f>
        <v>1659.0681702123215</v>
      </c>
      <c r="NN139" s="115">
        <f>NM139*$NZ139/10^3</f>
        <v>54.928428979389551</v>
      </c>
      <c r="NO139" s="115"/>
      <c r="NP139" s="115"/>
      <c r="NQ139" s="73"/>
      <c r="NR139" s="73"/>
      <c r="NS139" s="73"/>
      <c r="NT139" s="31">
        <v>1</v>
      </c>
      <c r="NU139" s="103">
        <v>0.89</v>
      </c>
      <c r="NV139" s="32">
        <f>$NT139*NW139</f>
        <v>40</v>
      </c>
      <c r="NW139" s="9">
        <v>40</v>
      </c>
      <c r="NX139" s="26">
        <f>NV139*NU139</f>
        <v>35.6</v>
      </c>
      <c r="NY139" s="9">
        <v>37.200000000000003</v>
      </c>
      <c r="NZ139" s="26">
        <f>NY139*NT139*NU139</f>
        <v>33.108000000000004</v>
      </c>
    </row>
    <row r="140" spans="1:494" x14ac:dyDescent="0.25">
      <c r="A140" s="74" t="s">
        <v>293</v>
      </c>
      <c r="D140" s="134">
        <v>0</v>
      </c>
      <c r="E140" s="83"/>
      <c r="F140" s="83"/>
      <c r="G140" s="83"/>
      <c r="H140" s="83"/>
      <c r="I140" s="83"/>
      <c r="J140" s="83"/>
      <c r="K140" s="83"/>
      <c r="L140" s="83"/>
      <c r="M140" s="83"/>
      <c r="W140" s="74"/>
      <c r="AF140" s="74"/>
      <c r="AG140" s="74"/>
      <c r="AN140" s="69">
        <f>1-AN139</f>
        <v>0</v>
      </c>
      <c r="BW140" s="26"/>
      <c r="BZ140" s="73"/>
      <c r="CA140" s="73"/>
      <c r="CB140" s="73"/>
      <c r="CC140" s="73"/>
      <c r="CD140" s="115"/>
      <c r="CE140" s="115"/>
      <c r="CF140" s="115"/>
      <c r="CG140" s="115"/>
      <c r="CH140" s="115"/>
      <c r="CI140" s="73"/>
      <c r="CK140" s="26"/>
      <c r="CN140" s="73"/>
      <c r="CO140" s="73"/>
      <c r="CP140" s="73"/>
      <c r="CQ140" s="73"/>
      <c r="CW140" s="73"/>
      <c r="CX140" s="37"/>
      <c r="CY140" s="26"/>
      <c r="CZ140" s="37"/>
      <c r="DA140" s="37"/>
      <c r="DB140" s="73"/>
      <c r="DC140" s="73"/>
      <c r="DD140" s="73"/>
      <c r="DE140" s="73"/>
      <c r="DF140" s="115"/>
      <c r="DG140" s="115"/>
      <c r="DH140" s="115"/>
      <c r="DI140" s="115"/>
      <c r="DJ140" s="115"/>
      <c r="DK140" s="73"/>
      <c r="DL140" s="37"/>
      <c r="DM140" s="115"/>
      <c r="DN140" s="37"/>
      <c r="DO140" s="37"/>
      <c r="DP140" s="73"/>
      <c r="DQ140" s="73"/>
      <c r="DR140" s="73"/>
      <c r="DS140" s="73"/>
      <c r="DT140" s="37"/>
      <c r="DU140" s="37"/>
      <c r="DV140" s="37"/>
      <c r="DW140" s="37"/>
      <c r="DX140" s="37"/>
      <c r="DY140" s="73"/>
      <c r="EA140" s="115"/>
      <c r="ED140" s="73"/>
      <c r="EE140" s="73"/>
      <c r="EF140" s="73"/>
      <c r="EG140" s="73"/>
      <c r="EM140" s="73"/>
      <c r="EN140" s="37"/>
      <c r="EO140" s="115"/>
      <c r="EP140" s="37"/>
      <c r="EQ140" s="37"/>
      <c r="ER140" s="73"/>
      <c r="ES140" s="73"/>
      <c r="ET140" s="73"/>
      <c r="EU140" s="73"/>
      <c r="EV140" s="37"/>
      <c r="EW140" s="37"/>
      <c r="EX140" s="37"/>
      <c r="EY140" s="37"/>
      <c r="EZ140" s="37"/>
      <c r="FA140" s="73"/>
      <c r="FF140" s="26"/>
      <c r="FH140" s="74"/>
      <c r="FI140" s="55"/>
      <c r="FJ140" s="73"/>
      <c r="FK140" s="73"/>
      <c r="FQ140" s="73"/>
      <c r="FR140" s="73"/>
      <c r="FT140" s="26"/>
      <c r="FW140" s="55"/>
      <c r="FX140" s="73"/>
      <c r="FY140" s="73"/>
      <c r="FZ140" s="37"/>
      <c r="GE140" s="73"/>
      <c r="GF140" s="73"/>
      <c r="GH140" s="26"/>
      <c r="GJ140" s="74"/>
      <c r="GK140" s="55"/>
      <c r="GL140" s="73"/>
      <c r="GM140" s="73"/>
      <c r="GS140" s="73"/>
      <c r="GT140" s="73"/>
      <c r="GU140" s="73"/>
      <c r="GV140" s="73"/>
      <c r="GW140" s="73"/>
      <c r="GX140" s="68">
        <f>GZ140*$W140</f>
        <v>0</v>
      </c>
      <c r="HB140" s="74"/>
      <c r="HD140" s="74"/>
      <c r="HE140" s="73"/>
      <c r="HF140" s="73"/>
      <c r="HG140" s="73"/>
      <c r="HH140" s="73"/>
      <c r="HI140" s="73"/>
      <c r="HJ140" s="73"/>
      <c r="HK140" s="73"/>
      <c r="HL140" s="73"/>
      <c r="HS140" s="73"/>
      <c r="HT140" s="73"/>
      <c r="HU140" s="73"/>
      <c r="HV140" s="73"/>
      <c r="HW140" s="73"/>
      <c r="HX140" s="73"/>
      <c r="HY140" s="73"/>
      <c r="HZ140" s="73"/>
      <c r="IA140" s="133"/>
      <c r="IB140" s="133"/>
      <c r="IC140" s="133"/>
      <c r="IE140" s="133"/>
      <c r="IG140" s="73"/>
      <c r="IH140" s="73"/>
      <c r="II140" s="73"/>
      <c r="IJ140" s="73"/>
      <c r="IK140" s="73"/>
      <c r="IL140" s="73"/>
      <c r="IM140" s="73"/>
      <c r="IN140" s="73"/>
      <c r="JQ140" s="115"/>
      <c r="JS140" s="115"/>
      <c r="JT140" s="115"/>
      <c r="JU140" s="115"/>
      <c r="KJ140" s="74"/>
      <c r="KK140" s="74"/>
      <c r="KL140" s="74"/>
      <c r="KM140" s="74"/>
      <c r="KN140" s="73"/>
      <c r="KO140" s="74"/>
      <c r="KP140" s="74"/>
      <c r="KQ140" s="74"/>
      <c r="KR140" s="74"/>
      <c r="KS140" s="73"/>
      <c r="KX140" s="73"/>
      <c r="LC140" s="73"/>
      <c r="LH140" s="73"/>
      <c r="LM140" s="73"/>
      <c r="LR140" s="73"/>
      <c r="LW140" s="73"/>
      <c r="MB140" s="73"/>
      <c r="MG140" s="73"/>
      <c r="ML140" s="73"/>
      <c r="MQ140" s="73"/>
      <c r="MS140" s="73"/>
      <c r="MT140" s="73"/>
      <c r="MU140" s="73"/>
      <c r="MV140" s="73"/>
      <c r="MW140" s="73"/>
      <c r="MX140" s="73"/>
      <c r="MY140" s="73"/>
      <c r="MZ140" s="73"/>
      <c r="NA140" s="73"/>
      <c r="NB140" s="73"/>
      <c r="NC140" s="73"/>
      <c r="ND140" s="73"/>
      <c r="NE140" s="73"/>
      <c r="NF140" s="73"/>
      <c r="NG140" s="73"/>
      <c r="NH140" s="73"/>
      <c r="NI140" s="73"/>
      <c r="NJ140" s="73"/>
      <c r="NK140" s="73"/>
      <c r="NL140" s="73"/>
      <c r="NM140" s="73"/>
      <c r="NN140" s="73"/>
      <c r="NO140" s="73"/>
      <c r="NP140" s="73"/>
    </row>
    <row r="141" spans="1:494" s="54" customFormat="1" x14ac:dyDescent="0.25">
      <c r="A141" s="133" t="s">
        <v>838</v>
      </c>
      <c r="D141" s="465"/>
      <c r="E141" s="461"/>
      <c r="F141" s="461"/>
      <c r="G141" s="461"/>
      <c r="H141" s="461"/>
      <c r="I141" s="469">
        <f>J141*NZ139</f>
        <v>0.10550023707918445</v>
      </c>
      <c r="J141" s="464">
        <f>(C84/C$83/C$139)/NT84/NY$139</f>
        <v>3.1865481780592132E-3</v>
      </c>
      <c r="K141" s="461"/>
      <c r="L141" s="461"/>
      <c r="M141" s="461"/>
      <c r="W141" s="133"/>
      <c r="X141" s="133"/>
      <c r="AF141" s="133"/>
      <c r="AG141" s="133"/>
      <c r="AH141" s="133"/>
      <c r="AI141" s="133"/>
      <c r="AJ141" s="133"/>
      <c r="AN141" s="57"/>
      <c r="AZ141" s="133"/>
      <c r="BA141" s="133"/>
      <c r="BB141" s="133"/>
      <c r="BC141" s="133"/>
      <c r="BD141" s="133"/>
      <c r="BE141" s="133"/>
      <c r="BF141" s="133"/>
      <c r="BG141" s="133"/>
      <c r="BH141" s="133"/>
      <c r="BI141" s="133"/>
      <c r="BW141" s="693"/>
      <c r="BZ141" s="474"/>
      <c r="CA141" s="474"/>
      <c r="CB141" s="474"/>
      <c r="CC141" s="474"/>
      <c r="CD141" s="179"/>
      <c r="CE141" s="179"/>
      <c r="CF141" s="179"/>
      <c r="CG141" s="179"/>
      <c r="CH141" s="179"/>
      <c r="CI141" s="474"/>
      <c r="CK141" s="693"/>
      <c r="CN141" s="474"/>
      <c r="CO141" s="474"/>
      <c r="CP141" s="474"/>
      <c r="CQ141" s="474"/>
      <c r="CR141" s="179"/>
      <c r="CS141" s="179"/>
      <c r="CT141" s="179"/>
      <c r="CU141" s="179"/>
      <c r="CV141" s="179"/>
      <c r="CW141" s="474"/>
      <c r="CY141" s="693"/>
      <c r="DB141" s="474"/>
      <c r="DC141" s="474"/>
      <c r="DD141" s="474"/>
      <c r="DE141" s="474"/>
      <c r="DF141" s="179"/>
      <c r="DG141" s="179"/>
      <c r="DH141" s="179"/>
      <c r="DI141" s="179"/>
      <c r="DJ141" s="179"/>
      <c r="DK141" s="474"/>
      <c r="DM141" s="179"/>
      <c r="DP141" s="474"/>
      <c r="DQ141" s="474"/>
      <c r="DR141" s="474"/>
      <c r="DS141" s="474"/>
      <c r="DY141" s="474"/>
      <c r="EA141" s="179"/>
      <c r="ED141" s="474"/>
      <c r="EE141" s="474"/>
      <c r="EF141" s="474"/>
      <c r="EG141" s="474"/>
      <c r="EM141" s="474"/>
      <c r="EO141" s="179"/>
      <c r="ER141" s="474"/>
      <c r="ES141" s="474"/>
      <c r="ET141" s="474"/>
      <c r="EU141" s="474"/>
      <c r="FA141" s="474"/>
      <c r="FF141" s="693"/>
      <c r="FH141" s="133"/>
      <c r="FI141" s="689"/>
      <c r="FJ141" s="474"/>
      <c r="FK141" s="474"/>
      <c r="FQ141" s="474"/>
      <c r="FR141" s="474"/>
      <c r="FT141" s="693"/>
      <c r="FV141" s="133"/>
      <c r="FW141" s="689"/>
      <c r="FX141" s="474"/>
      <c r="FY141" s="474"/>
      <c r="GE141" s="474"/>
      <c r="GF141" s="474"/>
      <c r="GH141" s="693"/>
      <c r="GJ141" s="133"/>
      <c r="GK141" s="689"/>
      <c r="GL141" s="474"/>
      <c r="GM141" s="474"/>
      <c r="GS141" s="474"/>
      <c r="GT141" s="474"/>
      <c r="GU141" s="474"/>
      <c r="GV141" s="474"/>
      <c r="GW141" s="474"/>
      <c r="GX141" s="474"/>
      <c r="GY141" s="133"/>
      <c r="GZ141" s="133"/>
      <c r="HA141" s="133"/>
      <c r="HB141" s="133"/>
      <c r="HC141" s="133"/>
      <c r="HD141" s="133"/>
      <c r="HE141" s="474"/>
      <c r="HF141" s="474"/>
      <c r="HG141" s="474"/>
      <c r="HH141" s="474"/>
      <c r="HI141" s="474"/>
      <c r="HJ141" s="474"/>
      <c r="HK141" s="474"/>
      <c r="HL141" s="474"/>
      <c r="HM141" s="133"/>
      <c r="HN141" s="133"/>
      <c r="HO141" s="133"/>
      <c r="HP141" s="133"/>
      <c r="HQ141" s="133"/>
      <c r="HR141" s="133"/>
      <c r="HS141" s="474"/>
      <c r="HT141" s="474"/>
      <c r="HU141" s="474"/>
      <c r="HV141" s="474"/>
      <c r="HW141" s="474"/>
      <c r="HX141" s="474"/>
      <c r="HY141" s="474"/>
      <c r="HZ141" s="474"/>
      <c r="IA141" s="133"/>
      <c r="IB141" s="133"/>
      <c r="IC141" s="133"/>
      <c r="ID141" s="133"/>
      <c r="IE141" s="133"/>
      <c r="IF141" s="133"/>
      <c r="IG141" s="474"/>
      <c r="IH141" s="474"/>
      <c r="II141" s="474"/>
      <c r="IJ141" s="474"/>
      <c r="IK141" s="474"/>
      <c r="IL141" s="474"/>
      <c r="IM141" s="474"/>
      <c r="IN141" s="474"/>
      <c r="IO141" s="115"/>
      <c r="IP141" s="115"/>
      <c r="IQ141" s="115"/>
      <c r="IR141" s="115"/>
      <c r="IS141" s="115"/>
      <c r="IT141" s="115"/>
      <c r="IU141" s="115"/>
      <c r="IW141" s="133"/>
      <c r="IX141" s="133"/>
      <c r="IY141" s="133"/>
      <c r="IZ141" s="133"/>
      <c r="JA141" s="133"/>
      <c r="JB141" s="133"/>
      <c r="JC141" s="133"/>
      <c r="JD141" s="133"/>
      <c r="JE141" s="133"/>
      <c r="JF141" s="133"/>
      <c r="JG141" s="133"/>
      <c r="JH141" s="133"/>
      <c r="JI141" s="133"/>
      <c r="JJ141" s="133"/>
      <c r="JK141" s="133"/>
      <c r="JL141" s="133"/>
      <c r="JM141" s="133"/>
      <c r="JN141" s="133"/>
      <c r="JO141" s="133"/>
      <c r="JP141" s="133"/>
      <c r="JQ141" s="179"/>
      <c r="JR141" s="133"/>
      <c r="JS141" s="179"/>
      <c r="JT141" s="179"/>
      <c r="JU141" s="179"/>
      <c r="JV141" s="133"/>
      <c r="JW141" s="133"/>
      <c r="JX141" s="133"/>
      <c r="JY141" s="133"/>
      <c r="JZ141" s="133"/>
      <c r="KA141" s="133"/>
      <c r="KB141" s="133"/>
      <c r="KC141" s="133"/>
      <c r="KD141" s="133"/>
      <c r="KE141" s="133"/>
      <c r="KF141" s="133"/>
      <c r="KG141" s="133"/>
      <c r="KH141" s="133"/>
      <c r="KI141" s="133"/>
      <c r="KJ141" s="133"/>
      <c r="KK141" s="133"/>
      <c r="KL141" s="133"/>
      <c r="KM141" s="133"/>
      <c r="KN141" s="474"/>
      <c r="KO141" s="133"/>
      <c r="KP141" s="133"/>
      <c r="KQ141" s="133"/>
      <c r="KR141" s="133"/>
      <c r="KS141" s="474"/>
      <c r="KT141" s="133"/>
      <c r="KU141" s="133"/>
      <c r="KV141" s="133"/>
      <c r="KW141" s="133"/>
      <c r="KX141" s="474"/>
      <c r="KY141" s="133"/>
      <c r="KZ141" s="133"/>
      <c r="LA141" s="133"/>
      <c r="LB141" s="133"/>
      <c r="LC141" s="474"/>
      <c r="LD141" s="133"/>
      <c r="LE141" s="133"/>
      <c r="LF141" s="133"/>
      <c r="LG141" s="133"/>
      <c r="LH141" s="474"/>
      <c r="LI141" s="133"/>
      <c r="LJ141" s="133"/>
      <c r="LK141" s="133"/>
      <c r="LL141" s="133"/>
      <c r="LM141" s="474"/>
      <c r="LN141" s="133"/>
      <c r="LO141" s="133"/>
      <c r="LP141" s="133"/>
      <c r="LQ141" s="133"/>
      <c r="LR141" s="474"/>
      <c r="LS141" s="133"/>
      <c r="LT141" s="133"/>
      <c r="LU141" s="133"/>
      <c r="LV141" s="133"/>
      <c r="LW141" s="474"/>
      <c r="LX141" s="133"/>
      <c r="LY141" s="133"/>
      <c r="LZ141" s="133"/>
      <c r="MA141" s="133"/>
      <c r="MB141" s="474"/>
      <c r="MC141" s="133"/>
      <c r="MD141" s="133"/>
      <c r="ME141" s="133"/>
      <c r="MF141" s="133"/>
      <c r="MG141" s="474"/>
      <c r="MH141" s="133"/>
      <c r="MI141" s="133"/>
      <c r="MJ141" s="133"/>
      <c r="MK141" s="133"/>
      <c r="ML141" s="474"/>
      <c r="MM141" s="133"/>
      <c r="MN141" s="133"/>
      <c r="MO141" s="133"/>
      <c r="MP141" s="133"/>
      <c r="MQ141" s="474"/>
      <c r="MR141" s="133"/>
      <c r="MS141" s="474"/>
      <c r="MT141" s="474"/>
      <c r="MU141" s="474"/>
      <c r="MV141" s="474"/>
      <c r="MW141" s="474"/>
      <c r="MX141" s="474"/>
      <c r="MY141" s="474"/>
      <c r="MZ141" s="474"/>
      <c r="NA141" s="474"/>
      <c r="NB141" s="474"/>
      <c r="NC141" s="474"/>
      <c r="ND141" s="474"/>
      <c r="NE141" s="474"/>
      <c r="NF141" s="474"/>
      <c r="NG141" s="474"/>
      <c r="NH141" s="474"/>
      <c r="NI141" s="474"/>
      <c r="NJ141" s="474"/>
      <c r="NK141" s="474"/>
      <c r="NL141" s="474"/>
      <c r="NM141" s="474"/>
      <c r="NN141" s="474"/>
      <c r="NO141" s="474"/>
      <c r="NP141" s="474"/>
      <c r="NQ141" s="133"/>
      <c r="NR141" s="133"/>
      <c r="NS141" s="133"/>
      <c r="RU141" s="179"/>
      <c r="RV141" s="179"/>
      <c r="RW141" s="179"/>
      <c r="RX141" s="179"/>
      <c r="RY141" s="179"/>
      <c r="RZ141" s="179"/>
    </row>
    <row r="142" spans="1:494" s="54" customFormat="1" x14ac:dyDescent="0.25">
      <c r="A142" s="133" t="s">
        <v>839</v>
      </c>
      <c r="D142" s="465"/>
      <c r="E142" s="461"/>
      <c r="F142" s="461"/>
      <c r="G142" s="461"/>
      <c r="H142" s="461"/>
      <c r="I142" s="469">
        <f>J142*NZ139</f>
        <v>0.1274157452647155</v>
      </c>
      <c r="J142" s="464">
        <f>(C85/C$83/C$139)/NT85/NY$139</f>
        <v>3.8484881377526727E-3</v>
      </c>
      <c r="K142" s="461"/>
      <c r="L142" s="461"/>
      <c r="M142" s="461"/>
      <c r="W142" s="133"/>
      <c r="X142" s="133"/>
      <c r="AF142" s="133"/>
      <c r="AG142" s="133"/>
      <c r="AH142" s="133"/>
      <c r="AI142" s="133"/>
      <c r="AJ142" s="133"/>
      <c r="AN142" s="57"/>
      <c r="AZ142" s="133"/>
      <c r="BA142" s="133"/>
      <c r="BB142" s="133"/>
      <c r="BC142" s="133"/>
      <c r="BD142" s="133"/>
      <c r="BE142" s="133"/>
      <c r="BF142" s="133"/>
      <c r="BG142" s="133"/>
      <c r="BH142" s="133"/>
      <c r="BI142" s="133"/>
      <c r="BW142" s="693"/>
      <c r="BZ142" s="474"/>
      <c r="CA142" s="474"/>
      <c r="CB142" s="474"/>
      <c r="CC142" s="474"/>
      <c r="CD142" s="179"/>
      <c r="CE142" s="179"/>
      <c r="CF142" s="179"/>
      <c r="CG142" s="179"/>
      <c r="CH142" s="179"/>
      <c r="CI142" s="474"/>
      <c r="CK142" s="693"/>
      <c r="CN142" s="474"/>
      <c r="CO142" s="474"/>
      <c r="CP142" s="474"/>
      <c r="CQ142" s="474"/>
      <c r="CR142" s="179"/>
      <c r="CS142" s="179"/>
      <c r="CT142" s="179"/>
      <c r="CU142" s="179"/>
      <c r="CV142" s="179"/>
      <c r="CW142" s="474"/>
      <c r="CY142" s="693"/>
      <c r="DB142" s="474"/>
      <c r="DC142" s="474"/>
      <c r="DD142" s="474"/>
      <c r="DE142" s="474"/>
      <c r="DF142" s="179"/>
      <c r="DG142" s="179"/>
      <c r="DH142" s="179"/>
      <c r="DI142" s="179"/>
      <c r="DJ142" s="179"/>
      <c r="DK142" s="474"/>
      <c r="DM142" s="179"/>
      <c r="DP142" s="474"/>
      <c r="DQ142" s="474"/>
      <c r="DR142" s="474"/>
      <c r="DS142" s="474"/>
      <c r="DY142" s="474"/>
      <c r="EA142" s="179"/>
      <c r="ED142" s="474"/>
      <c r="EE142" s="474"/>
      <c r="EF142" s="474"/>
      <c r="EG142" s="474"/>
      <c r="EM142" s="474"/>
      <c r="EO142" s="179"/>
      <c r="ER142" s="474"/>
      <c r="ES142" s="474"/>
      <c r="ET142" s="474"/>
      <c r="EU142" s="474"/>
      <c r="FA142" s="474"/>
      <c r="FF142" s="693"/>
      <c r="FH142" s="133"/>
      <c r="FI142" s="689"/>
      <c r="FJ142" s="474"/>
      <c r="FK142" s="474"/>
      <c r="FQ142" s="474"/>
      <c r="FR142" s="474"/>
      <c r="FT142" s="693"/>
      <c r="FV142" s="133"/>
      <c r="FW142" s="689"/>
      <c r="FX142" s="474"/>
      <c r="FY142" s="474"/>
      <c r="GE142" s="474"/>
      <c r="GF142" s="474"/>
      <c r="GH142" s="693"/>
      <c r="GJ142" s="133"/>
      <c r="GK142" s="689"/>
      <c r="GL142" s="474"/>
      <c r="GM142" s="474"/>
      <c r="GS142" s="474"/>
      <c r="GT142" s="474"/>
      <c r="GU142" s="474"/>
      <c r="GV142" s="474"/>
      <c r="GW142" s="474"/>
      <c r="GX142" s="474"/>
      <c r="GY142" s="133"/>
      <c r="GZ142" s="133"/>
      <c r="HA142" s="133"/>
      <c r="HB142" s="133"/>
      <c r="HC142" s="133"/>
      <c r="HD142" s="133"/>
      <c r="HE142" s="474"/>
      <c r="HF142" s="474"/>
      <c r="HG142" s="474"/>
      <c r="HH142" s="474"/>
      <c r="HI142" s="474"/>
      <c r="HJ142" s="474"/>
      <c r="HK142" s="474"/>
      <c r="HL142" s="474"/>
      <c r="HM142" s="133"/>
      <c r="HN142" s="133"/>
      <c r="HO142" s="133"/>
      <c r="HP142" s="133"/>
      <c r="HQ142" s="133"/>
      <c r="HR142" s="133"/>
      <c r="HS142" s="474"/>
      <c r="HT142" s="474"/>
      <c r="HU142" s="474"/>
      <c r="HV142" s="474"/>
      <c r="HW142" s="474"/>
      <c r="HX142" s="474"/>
      <c r="HY142" s="474"/>
      <c r="HZ142" s="474"/>
      <c r="IA142" s="133"/>
      <c r="IB142" s="133"/>
      <c r="IC142" s="133"/>
      <c r="ID142" s="133"/>
      <c r="IE142" s="133"/>
      <c r="IF142" s="133"/>
      <c r="IG142" s="474"/>
      <c r="IH142" s="474"/>
      <c r="II142" s="474"/>
      <c r="IJ142" s="474"/>
      <c r="IK142" s="474"/>
      <c r="IL142" s="474"/>
      <c r="IM142" s="474"/>
      <c r="IN142" s="474"/>
      <c r="IO142" s="115"/>
      <c r="IP142" s="115"/>
      <c r="IQ142" s="115"/>
      <c r="IR142" s="115"/>
      <c r="IS142" s="115"/>
      <c r="IT142" s="115"/>
      <c r="IU142" s="115"/>
      <c r="IW142" s="133"/>
      <c r="IX142" s="133"/>
      <c r="IY142" s="133"/>
      <c r="IZ142" s="133"/>
      <c r="JA142" s="133"/>
      <c r="JB142" s="133"/>
      <c r="JC142" s="133"/>
      <c r="JD142" s="133"/>
      <c r="JE142" s="133"/>
      <c r="JF142" s="133"/>
      <c r="JG142" s="133"/>
      <c r="JH142" s="133"/>
      <c r="JI142" s="133"/>
      <c r="JJ142" s="133"/>
      <c r="JK142" s="133"/>
      <c r="JL142" s="133"/>
      <c r="JM142" s="133"/>
      <c r="JN142" s="133"/>
      <c r="JO142" s="133"/>
      <c r="JP142" s="133"/>
      <c r="JQ142" s="179"/>
      <c r="JR142" s="133"/>
      <c r="JS142" s="179"/>
      <c r="JT142" s="179"/>
      <c r="JU142" s="179"/>
      <c r="JV142" s="133"/>
      <c r="JW142" s="133"/>
      <c r="JX142" s="133"/>
      <c r="JY142" s="133"/>
      <c r="JZ142" s="133"/>
      <c r="KA142" s="133"/>
      <c r="KB142" s="133"/>
      <c r="KC142" s="133"/>
      <c r="KD142" s="133"/>
      <c r="KE142" s="133"/>
      <c r="KF142" s="133"/>
      <c r="KG142" s="133"/>
      <c r="KH142" s="133"/>
      <c r="KI142" s="133"/>
      <c r="KJ142" s="133"/>
      <c r="KK142" s="133"/>
      <c r="KL142" s="133"/>
      <c r="KM142" s="133"/>
      <c r="KN142" s="474"/>
      <c r="KO142" s="133"/>
      <c r="KP142" s="133"/>
      <c r="KQ142" s="133"/>
      <c r="KR142" s="133"/>
      <c r="KS142" s="474"/>
      <c r="KT142" s="133"/>
      <c r="KU142" s="133"/>
      <c r="KV142" s="133"/>
      <c r="KW142" s="133"/>
      <c r="KX142" s="474"/>
      <c r="KY142" s="133"/>
      <c r="KZ142" s="133"/>
      <c r="LA142" s="133"/>
      <c r="LB142" s="133"/>
      <c r="LC142" s="474"/>
      <c r="LD142" s="133"/>
      <c r="LE142" s="133"/>
      <c r="LF142" s="133"/>
      <c r="LG142" s="133"/>
      <c r="LH142" s="474"/>
      <c r="LI142" s="133"/>
      <c r="LJ142" s="133"/>
      <c r="LK142" s="133"/>
      <c r="LL142" s="133"/>
      <c r="LM142" s="474"/>
      <c r="LN142" s="133"/>
      <c r="LO142" s="133"/>
      <c r="LP142" s="133"/>
      <c r="LQ142" s="133"/>
      <c r="LR142" s="474"/>
      <c r="LS142" s="133"/>
      <c r="LT142" s="133"/>
      <c r="LU142" s="133"/>
      <c r="LV142" s="133"/>
      <c r="LW142" s="474"/>
      <c r="LX142" s="133"/>
      <c r="LY142" s="133"/>
      <c r="LZ142" s="133"/>
      <c r="MA142" s="133"/>
      <c r="MB142" s="474"/>
      <c r="MC142" s="133"/>
      <c r="MD142" s="133"/>
      <c r="ME142" s="133"/>
      <c r="MF142" s="133"/>
      <c r="MG142" s="474"/>
      <c r="MH142" s="133"/>
      <c r="MI142" s="133"/>
      <c r="MJ142" s="133"/>
      <c r="MK142" s="133"/>
      <c r="ML142" s="474"/>
      <c r="MM142" s="133"/>
      <c r="MN142" s="133"/>
      <c r="MO142" s="133"/>
      <c r="MP142" s="133"/>
      <c r="MQ142" s="474"/>
      <c r="MR142" s="133"/>
      <c r="MS142" s="474"/>
      <c r="MT142" s="474"/>
      <c r="MU142" s="474"/>
      <c r="MV142" s="474"/>
      <c r="MW142" s="474"/>
      <c r="MX142" s="474"/>
      <c r="MY142" s="474"/>
      <c r="MZ142" s="474"/>
      <c r="NA142" s="474"/>
      <c r="NB142" s="474"/>
      <c r="NC142" s="474"/>
      <c r="ND142" s="474"/>
      <c r="NE142" s="474"/>
      <c r="NF142" s="474"/>
      <c r="NG142" s="474"/>
      <c r="NH142" s="474"/>
      <c r="NI142" s="474"/>
      <c r="NJ142" s="474"/>
      <c r="NK142" s="474"/>
      <c r="NL142" s="474"/>
      <c r="NM142" s="474"/>
      <c r="NN142" s="474"/>
      <c r="NO142" s="474"/>
      <c r="NP142" s="474"/>
      <c r="NQ142" s="133"/>
      <c r="NR142" s="133"/>
      <c r="NS142" s="133"/>
      <c r="RU142" s="179"/>
      <c r="RV142" s="179"/>
      <c r="RW142" s="179"/>
      <c r="RX142" s="179"/>
      <c r="RY142" s="179"/>
      <c r="RZ142" s="179"/>
    </row>
    <row r="143" spans="1:494" x14ac:dyDescent="0.25">
      <c r="A143" s="74"/>
      <c r="W143" s="74"/>
      <c r="AF143" s="74"/>
      <c r="AG143" s="74"/>
      <c r="BW143" s="26"/>
      <c r="BZ143" s="73"/>
      <c r="CA143" s="73"/>
      <c r="CB143" s="73"/>
      <c r="CC143" s="73"/>
      <c r="CD143" s="115"/>
      <c r="CE143" s="115"/>
      <c r="CF143" s="115"/>
      <c r="CG143" s="115"/>
      <c r="CH143" s="115"/>
      <c r="CI143" s="73"/>
      <c r="CK143" s="26"/>
      <c r="CN143" s="73"/>
      <c r="CO143" s="73"/>
      <c r="CP143" s="73"/>
      <c r="CQ143" s="73"/>
      <c r="CW143" s="73"/>
      <c r="CX143" s="37"/>
      <c r="CY143" s="26"/>
      <c r="CZ143" s="37"/>
      <c r="DA143" s="37"/>
      <c r="DB143" s="73"/>
      <c r="DC143" s="73"/>
      <c r="DD143" s="73"/>
      <c r="DE143" s="73"/>
      <c r="DF143" s="115"/>
      <c r="DG143" s="115"/>
      <c r="DH143" s="115"/>
      <c r="DI143" s="115"/>
      <c r="DJ143" s="115"/>
      <c r="DK143" s="73"/>
      <c r="DL143" s="37"/>
      <c r="DM143" s="115"/>
      <c r="DN143" s="37"/>
      <c r="DO143" s="37"/>
      <c r="DP143" s="73"/>
      <c r="DQ143" s="73"/>
      <c r="DR143" s="73"/>
      <c r="DS143" s="73"/>
      <c r="DT143" s="37"/>
      <c r="DU143" s="37"/>
      <c r="DV143" s="37"/>
      <c r="DW143" s="37"/>
      <c r="DX143" s="37"/>
      <c r="DY143" s="73"/>
      <c r="EA143" s="115"/>
      <c r="ED143" s="73"/>
      <c r="EE143" s="73"/>
      <c r="EF143" s="73"/>
      <c r="EG143" s="73"/>
      <c r="EM143" s="73"/>
      <c r="EN143" s="37"/>
      <c r="EO143" s="115"/>
      <c r="EP143" s="37"/>
      <c r="EQ143" s="37"/>
      <c r="ER143" s="73"/>
      <c r="ES143" s="73"/>
      <c r="ET143" s="73"/>
      <c r="EU143" s="73"/>
      <c r="EV143" s="37"/>
      <c r="EW143" s="37"/>
      <c r="EX143" s="37"/>
      <c r="EY143" s="37"/>
      <c r="EZ143" s="37"/>
      <c r="FA143" s="73"/>
      <c r="FF143" s="26"/>
      <c r="FH143" s="74"/>
      <c r="FI143" s="55"/>
      <c r="FJ143" s="73"/>
      <c r="FK143" s="73"/>
      <c r="FQ143" s="73"/>
      <c r="FR143" s="73"/>
      <c r="FT143" s="26"/>
      <c r="FW143" s="55"/>
      <c r="FX143" s="73"/>
      <c r="FY143" s="73"/>
      <c r="FZ143" s="37"/>
      <c r="GE143" s="73"/>
      <c r="GF143" s="73"/>
      <c r="GH143" s="26"/>
      <c r="GJ143" s="74"/>
      <c r="GK143" s="55"/>
      <c r="GL143" s="73"/>
      <c r="GM143" s="73"/>
      <c r="GS143" s="73"/>
      <c r="GT143" s="73"/>
      <c r="GU143" s="73"/>
      <c r="GV143" s="73"/>
      <c r="GW143" s="73"/>
      <c r="GX143" s="73"/>
      <c r="HB143" s="74"/>
      <c r="HD143" s="74"/>
      <c r="HE143" s="73"/>
      <c r="HF143" s="73"/>
      <c r="HG143" s="73"/>
      <c r="HH143" s="73"/>
      <c r="HI143" s="73"/>
      <c r="HJ143" s="73"/>
      <c r="HK143" s="73"/>
      <c r="HL143" s="73"/>
      <c r="HS143" s="73"/>
      <c r="HT143" s="73"/>
      <c r="HU143" s="73"/>
      <c r="HV143" s="73"/>
      <c r="HW143" s="73"/>
      <c r="HX143" s="73"/>
      <c r="HY143" s="73"/>
      <c r="HZ143" s="73"/>
      <c r="IA143" s="133"/>
      <c r="IB143" s="133"/>
      <c r="IC143" s="133"/>
      <c r="IE143" s="133"/>
      <c r="IG143" s="73"/>
      <c r="IH143" s="73"/>
      <c r="II143" s="73"/>
      <c r="IJ143" s="73"/>
      <c r="IK143" s="73"/>
      <c r="IL143" s="73"/>
      <c r="IM143" s="73"/>
      <c r="IN143" s="73"/>
      <c r="JQ143" s="115"/>
      <c r="JS143" s="115"/>
      <c r="JT143" s="115"/>
      <c r="JU143" s="115"/>
      <c r="KJ143" s="74"/>
      <c r="KK143" s="74"/>
      <c r="KL143" s="74"/>
      <c r="KM143" s="74"/>
      <c r="KN143" s="73"/>
      <c r="KO143" s="74"/>
      <c r="KP143" s="74"/>
      <c r="KQ143" s="74"/>
      <c r="KR143" s="74"/>
      <c r="KS143" s="73"/>
      <c r="KX143" s="73"/>
      <c r="LC143" s="73"/>
      <c r="LH143" s="73"/>
      <c r="LM143" s="73"/>
      <c r="LR143" s="73"/>
      <c r="LW143" s="73"/>
      <c r="MB143" s="73"/>
      <c r="MG143" s="73"/>
      <c r="ML143" s="73"/>
      <c r="MQ143" s="73"/>
      <c r="MS143" s="73"/>
      <c r="MT143" s="73"/>
      <c r="MU143" s="73"/>
      <c r="MV143" s="73"/>
      <c r="MW143" s="73"/>
      <c r="MX143" s="73"/>
      <c r="MY143" s="73"/>
      <c r="MZ143" s="73"/>
      <c r="NA143" s="73"/>
      <c r="NB143" s="73"/>
      <c r="NC143" s="73"/>
      <c r="ND143" s="73"/>
      <c r="NE143" s="73"/>
      <c r="NF143" s="73"/>
      <c r="NG143" s="73"/>
      <c r="NH143" s="73"/>
      <c r="NI143" s="73"/>
      <c r="NJ143" s="73"/>
      <c r="NK143" s="73"/>
      <c r="NL143" s="73"/>
      <c r="NM143" s="73"/>
      <c r="NN143" s="73"/>
      <c r="NO143" s="73"/>
      <c r="NP143" s="73"/>
    </row>
    <row r="144" spans="1:494" x14ac:dyDescent="0.25">
      <c r="A144" s="66" t="s">
        <v>264</v>
      </c>
      <c r="W144" s="74"/>
      <c r="AF144" s="74"/>
      <c r="AG144" s="74"/>
      <c r="BW144" s="26"/>
      <c r="BZ144" s="73"/>
      <c r="CA144" s="73"/>
      <c r="CB144" s="73"/>
      <c r="CC144" s="73"/>
      <c r="CD144" s="115"/>
      <c r="CE144" s="115"/>
      <c r="CF144" s="115"/>
      <c r="CG144" s="115"/>
      <c r="CH144" s="115"/>
      <c r="CI144" s="73"/>
      <c r="CK144" s="26"/>
      <c r="CN144" s="73"/>
      <c r="CO144" s="73"/>
      <c r="CP144" s="73"/>
      <c r="CQ144" s="73"/>
      <c r="CW144" s="73"/>
      <c r="CX144" s="37"/>
      <c r="CY144" s="26"/>
      <c r="CZ144" s="37"/>
      <c r="DA144" s="37"/>
      <c r="DB144" s="73"/>
      <c r="DC144" s="73"/>
      <c r="DD144" s="73"/>
      <c r="DE144" s="73"/>
      <c r="DF144" s="115"/>
      <c r="DG144" s="115"/>
      <c r="DH144" s="115"/>
      <c r="DI144" s="115"/>
      <c r="DJ144" s="115"/>
      <c r="DK144" s="73"/>
      <c r="DL144" s="37"/>
      <c r="DM144" s="115"/>
      <c r="DN144" s="37"/>
      <c r="DO144" s="37"/>
      <c r="DP144" s="73"/>
      <c r="DQ144" s="73"/>
      <c r="DR144" s="73"/>
      <c r="DS144" s="73"/>
      <c r="DT144" s="37"/>
      <c r="DU144" s="37"/>
      <c r="DV144" s="37"/>
      <c r="DW144" s="37"/>
      <c r="DX144" s="37"/>
      <c r="DY144" s="73"/>
      <c r="EA144" s="115"/>
      <c r="ED144" s="73"/>
      <c r="EE144" s="73"/>
      <c r="EF144" s="73"/>
      <c r="EG144" s="73"/>
      <c r="EM144" s="73"/>
      <c r="EN144" s="37"/>
      <c r="EO144" s="115"/>
      <c r="EP144" s="37"/>
      <c r="EQ144" s="37"/>
      <c r="ER144" s="73"/>
      <c r="ES144" s="73"/>
      <c r="ET144" s="73"/>
      <c r="EU144" s="73"/>
      <c r="EV144" s="37"/>
      <c r="EW144" s="37"/>
      <c r="EX144" s="37"/>
      <c r="EY144" s="37"/>
      <c r="EZ144" s="37"/>
      <c r="FA144" s="73"/>
      <c r="FF144" s="26"/>
      <c r="FH144" s="74"/>
      <c r="FI144" s="55"/>
      <c r="FJ144" s="73"/>
      <c r="FK144" s="73"/>
      <c r="FQ144" s="73"/>
      <c r="FR144" s="73"/>
      <c r="FT144" s="26"/>
      <c r="FW144" s="55"/>
      <c r="FX144" s="73"/>
      <c r="FY144" s="73"/>
      <c r="FZ144" s="37"/>
      <c r="GE144" s="73"/>
      <c r="GF144" s="73"/>
      <c r="GH144" s="26"/>
      <c r="GJ144" s="74"/>
      <c r="GK144" s="55"/>
      <c r="GL144" s="73"/>
      <c r="GM144" s="73"/>
      <c r="GS144" s="73"/>
      <c r="GT144" s="73"/>
      <c r="GU144" s="73"/>
      <c r="GV144" s="73"/>
      <c r="GW144" s="73"/>
      <c r="GX144" s="55">
        <f>GX145+GX146</f>
        <v>0</v>
      </c>
      <c r="GY144" s="474"/>
      <c r="GZ144" s="474"/>
      <c r="HA144" s="474"/>
      <c r="HB144" s="74"/>
      <c r="HC144" s="474"/>
      <c r="HD144" s="74"/>
      <c r="HE144" s="73"/>
      <c r="HF144" s="73"/>
      <c r="HG144" s="73"/>
      <c r="HH144" s="73"/>
      <c r="HI144" s="73"/>
      <c r="HJ144" s="73"/>
      <c r="HK144" s="73"/>
      <c r="HL144" s="73"/>
      <c r="HM144" s="474"/>
      <c r="HN144" s="474"/>
      <c r="HO144" s="474"/>
      <c r="HQ144" s="474"/>
      <c r="HS144" s="73"/>
      <c r="HT144" s="73"/>
      <c r="HU144" s="73"/>
      <c r="HV144" s="73"/>
      <c r="HW144" s="73"/>
      <c r="HX144" s="73"/>
      <c r="HY144" s="73"/>
      <c r="HZ144" s="73"/>
      <c r="IA144" s="474"/>
      <c r="IB144" s="474"/>
      <c r="IC144" s="474"/>
      <c r="IE144" s="474"/>
      <c r="IG144" s="73"/>
      <c r="IH144" s="73"/>
      <c r="II144" s="73"/>
      <c r="IJ144" s="73"/>
      <c r="IK144" s="73"/>
      <c r="IL144" s="73"/>
      <c r="IM144" s="73"/>
      <c r="IN144" s="73"/>
      <c r="IO144" s="68">
        <f>IP144+IQ144+IR144+IS144+IT144+IU144</f>
        <v>0</v>
      </c>
      <c r="IP144" s="97">
        <f>JS144*$W145</f>
        <v>0</v>
      </c>
      <c r="IQ144" s="97">
        <f>JU144*$W145</f>
        <v>0</v>
      </c>
      <c r="IR144" s="97">
        <f>JX144*$W145</f>
        <v>0</v>
      </c>
      <c r="IS144" s="97">
        <f>KB144*$W145</f>
        <v>0</v>
      </c>
      <c r="IT144" s="97">
        <f>KF144*$W145</f>
        <v>0</v>
      </c>
      <c r="IU144" s="97">
        <f>KH144*$W145</f>
        <v>0</v>
      </c>
      <c r="JK144" s="127">
        <f>JM144+JN144+JO144</f>
        <v>2.0491770466832495</v>
      </c>
      <c r="JL144" s="679">
        <f>10^3*JK144/NY145</f>
        <v>55.085404480732507</v>
      </c>
      <c r="JM144" s="179">
        <f>JS144+KB144</f>
        <v>1.3793364861457016</v>
      </c>
      <c r="JN144" s="179">
        <f>JU144+KF144</f>
        <v>0.62360505717223191</v>
      </c>
      <c r="JO144" s="179">
        <f>JX144+KH144</f>
        <v>4.6235503365315768E-2</v>
      </c>
      <c r="JP144" s="469">
        <f>JK144*C145</f>
        <v>2.0471278696365665</v>
      </c>
      <c r="JQ144" s="115">
        <f>JR144*$NY145/10^3</f>
        <v>1.6846170466832493</v>
      </c>
      <c r="JR144" s="73">
        <f>JT144+JV144+JY144</f>
        <v>45.285404480732502</v>
      </c>
      <c r="JS144" s="115">
        <f>JB89</f>
        <v>1.0333764861457015</v>
      </c>
      <c r="JT144" s="213">
        <f>10^3*JS144/$NY145</f>
        <v>27.778937799615633</v>
      </c>
      <c r="JU144" s="115">
        <f>JC89</f>
        <v>0.62360505717223191</v>
      </c>
      <c r="JV144" s="213">
        <f>10^3*JU144/$NY145</f>
        <v>16.763576805705156</v>
      </c>
      <c r="JX144" s="115">
        <f>JD89</f>
        <v>2.7635503365315766E-2</v>
      </c>
      <c r="JY144" s="213">
        <f>10^3*JX144/$NY145</f>
        <v>0.74288987541171414</v>
      </c>
      <c r="JZ144" s="115">
        <f>KB144+KF144+KH144</f>
        <v>0.36456000000000005</v>
      </c>
      <c r="KA144" s="73">
        <f>KC144+KG144+KI144</f>
        <v>9.8000000000000007</v>
      </c>
      <c r="KB144" s="127">
        <f>KC144*$NY145/10^3</f>
        <v>0.34596000000000005</v>
      </c>
      <c r="KC144" s="80">
        <v>9.3000000000000007</v>
      </c>
      <c r="KD144" s="725">
        <v>0.68</v>
      </c>
      <c r="KE144" s="474">
        <f>KC144/KD144</f>
        <v>13.676470588235293</v>
      </c>
      <c r="KF144" s="127">
        <f>KG144*$NY145/10^3</f>
        <v>0</v>
      </c>
      <c r="KG144" s="84">
        <v>0</v>
      </c>
      <c r="KH144" s="127">
        <f>KI144*$NY145/10^3</f>
        <v>1.8600000000000002E-2</v>
      </c>
      <c r="KI144" s="84">
        <v>0.5</v>
      </c>
      <c r="KJ144" s="74"/>
      <c r="KK144" s="74"/>
      <c r="KL144" s="74"/>
      <c r="KM144" s="74"/>
      <c r="KN144" s="73"/>
      <c r="KO144" s="74"/>
      <c r="KP144" s="74"/>
      <c r="KQ144" s="74"/>
      <c r="KR144" s="74"/>
      <c r="KS144" s="73"/>
      <c r="KX144" s="73"/>
      <c r="LC144" s="73"/>
      <c r="LH144" s="73"/>
      <c r="LM144" s="73"/>
      <c r="LR144" s="73"/>
      <c r="LW144" s="73"/>
      <c r="MB144" s="73"/>
      <c r="MG144" s="73"/>
      <c r="ML144" s="73"/>
      <c r="MQ144" s="73"/>
      <c r="MS144" s="73"/>
      <c r="MT144" s="73"/>
      <c r="MU144" s="73"/>
      <c r="MV144" s="73"/>
      <c r="MW144" s="73"/>
      <c r="MX144" s="73"/>
      <c r="MY144" s="73"/>
      <c r="MZ144" s="73"/>
      <c r="NA144" s="73"/>
      <c r="NB144" s="73"/>
      <c r="NC144" s="73"/>
      <c r="ND144" s="73"/>
      <c r="NE144" s="73"/>
      <c r="NF144" s="73"/>
      <c r="NG144" s="73"/>
      <c r="NH144" s="73"/>
      <c r="NI144" s="73"/>
      <c r="NJ144" s="73"/>
      <c r="NK144" s="73"/>
      <c r="NL144" s="73"/>
      <c r="NM144" s="73"/>
      <c r="NN144" s="73"/>
      <c r="NO144" s="73"/>
      <c r="NP144" s="73"/>
    </row>
    <row r="145" spans="1:494" x14ac:dyDescent="0.25">
      <c r="A145" s="74" t="s">
        <v>521</v>
      </c>
      <c r="C145" s="52">
        <f>D145</f>
        <v>0.999</v>
      </c>
      <c r="D145" s="134">
        <v>0.999</v>
      </c>
      <c r="E145" s="318"/>
      <c r="F145" s="318"/>
      <c r="G145" s="460">
        <f>H145*'Crops; pasture DISCOUNTED'!LI40</f>
        <v>15.043501440000002</v>
      </c>
      <c r="H145" s="458">
        <f>K145*NZ145*AB28/10^4</f>
        <v>16.351632000000002</v>
      </c>
      <c r="I145" s="459"/>
      <c r="J145" s="83"/>
      <c r="K145" s="679">
        <f>10^4*$C89*($C145/$NU145)/AB28</f>
        <v>811.50334470922337</v>
      </c>
      <c r="L145" s="73">
        <f>10^4*$C89*($C145/$NU145)/AC28</f>
        <v>822.42169887640455</v>
      </c>
      <c r="M145" s="73">
        <f>10^4*$C89*($C145/$NU145)/AD28</f>
        <v>749.72143820224721</v>
      </c>
      <c r="W145" s="74"/>
      <c r="AE145" s="734">
        <f>AE89*$AN145/$D145</f>
        <v>8.5716192732883147</v>
      </c>
      <c r="AF145" s="74"/>
      <c r="AG145" s="115">
        <f>AG89*$AN145/$D145</f>
        <v>8.4578236680168857</v>
      </c>
      <c r="AI145" s="115">
        <f>AI89*$AN145/$D145</f>
        <v>9.2779762661276148</v>
      </c>
      <c r="AN145" s="39">
        <v>1</v>
      </c>
      <c r="BV145" s="26">
        <f>BW145*$NT145</f>
        <v>2.2139742999114063</v>
      </c>
      <c r="BW145" s="26">
        <f>BZ145*$NW145/10^3</f>
        <v>2.2139742999114063</v>
      </c>
      <c r="BZ145" s="73">
        <f>BZ89*$AN145/$D145</f>
        <v>55.349357497785164</v>
      </c>
      <c r="CA145" s="677">
        <f>10^3*BW145/$NY145</f>
        <v>59.515438169661458</v>
      </c>
      <c r="CB145" s="115">
        <f>BW145*$NT145*$NU145</f>
        <v>1.9704371269211516</v>
      </c>
      <c r="CC145" s="73"/>
      <c r="CD145" s="115"/>
      <c r="CE145" s="115"/>
      <c r="CF145" s="115"/>
      <c r="CG145" s="115"/>
      <c r="CH145" s="115"/>
      <c r="CI145" s="115"/>
      <c r="CJ145" s="26">
        <f>CK145*$NT145</f>
        <v>2.255436354917173</v>
      </c>
      <c r="CK145" s="26">
        <f>CN145*$NW145/10^3</f>
        <v>2.255436354917173</v>
      </c>
      <c r="CN145" s="73">
        <f>CN89*$AN145/$D145</f>
        <v>56.385908872929321</v>
      </c>
      <c r="CO145" s="677">
        <f>10^3*CK145/$NY145</f>
        <v>60.630009540784215</v>
      </c>
      <c r="CP145" s="115">
        <f>CK145*$NT145*$NU145</f>
        <v>2.0073383558762838</v>
      </c>
      <c r="CQ145" s="73"/>
      <c r="CW145" s="115"/>
      <c r="CX145" s="26">
        <f>CY145*$NT145</f>
        <v>1.9566092424388077</v>
      </c>
      <c r="CY145" s="26">
        <f>DB145*$NW145/10^3</f>
        <v>1.9566092424388077</v>
      </c>
      <c r="CZ145" s="37"/>
      <c r="DA145" s="37"/>
      <c r="DB145" s="73">
        <f>DB89*$AN145/$D145</f>
        <v>48.915231060970193</v>
      </c>
      <c r="DC145" s="677">
        <f>10^3*CY145/$NY145</f>
        <v>52.597022646204508</v>
      </c>
      <c r="DD145" s="115">
        <f>CY145*$NT145*$NU145</f>
        <v>1.7413822257705389</v>
      </c>
      <c r="DE145" s="73"/>
      <c r="DF145" s="115"/>
      <c r="DG145" s="115"/>
      <c r="DH145" s="115"/>
      <c r="DI145" s="115"/>
      <c r="DJ145" s="115"/>
      <c r="DK145" s="115"/>
      <c r="DL145" s="26">
        <f>DM145*$NT145</f>
        <v>2.1258311343538141</v>
      </c>
      <c r="DM145" s="115">
        <f>DP145*$NW145/10^3</f>
        <v>2.1258311343538141</v>
      </c>
      <c r="DN145" s="37"/>
      <c r="DO145" s="37"/>
      <c r="DP145" s="73">
        <f>DP89*$AN145/$D145</f>
        <v>53.145778358845348</v>
      </c>
      <c r="DQ145" s="677">
        <f>10^3*DM145/$NY145</f>
        <v>57.145998235317577</v>
      </c>
      <c r="DR145" s="115">
        <f>DM145*$NT145*$NU145</f>
        <v>1.8919897095748945</v>
      </c>
      <c r="DS145" s="73"/>
      <c r="DT145" s="37"/>
      <c r="DU145" s="37"/>
      <c r="DV145" s="37"/>
      <c r="DW145" s="37"/>
      <c r="DX145" s="37"/>
      <c r="DY145" s="115"/>
      <c r="DZ145" s="26">
        <f>EA145*$NT145</f>
        <v>2.1943468425550474</v>
      </c>
      <c r="EA145" s="115">
        <f>ED145*$NW145/10^3</f>
        <v>2.1943468425550474</v>
      </c>
      <c r="ED145" s="73">
        <f>ED89*$AN145/$D145</f>
        <v>54.85867106387618</v>
      </c>
      <c r="EE145" s="677">
        <f>10^3*EA145/$NY145</f>
        <v>58.987818348253953</v>
      </c>
      <c r="EF145" s="115">
        <f>EA145*$NT145*$NU145</f>
        <v>1.9529686898739922</v>
      </c>
      <c r="EG145" s="73"/>
      <c r="EM145" s="115"/>
      <c r="EN145" s="26">
        <f>EO145*$NT145</f>
        <v>2.3870354673734315</v>
      </c>
      <c r="EO145" s="115">
        <f>ER145*$NW145/10^3</f>
        <v>2.3870354673734315</v>
      </c>
      <c r="EP145" s="37"/>
      <c r="EQ145" s="37"/>
      <c r="ER145" s="73">
        <f>ER89*$AN145/$D145</f>
        <v>59.675886684335786</v>
      </c>
      <c r="ES145" s="677">
        <f>10^3*EO145/$NY145</f>
        <v>64.167620090683641</v>
      </c>
      <c r="ET145" s="115">
        <f>EO145*$NT145*$NU145</f>
        <v>2.124461565962354</v>
      </c>
      <c r="EU145" s="73"/>
      <c r="EV145" s="37"/>
      <c r="EW145" s="37"/>
      <c r="EX145" s="37"/>
      <c r="EY145" s="37"/>
      <c r="EZ145" s="37"/>
      <c r="FA145" s="115"/>
      <c r="FE145" s="26">
        <f>FF145*$NT145</f>
        <v>4.2615781485550874</v>
      </c>
      <c r="FF145" s="26">
        <f>FI145*$NW145/10^3</f>
        <v>4.2615781485550874</v>
      </c>
      <c r="FH145" s="74"/>
      <c r="FI145" s="562">
        <f>FI89*$AN145/$D145</f>
        <v>106.53945371387719</v>
      </c>
      <c r="FJ145" s="73">
        <f>10^3*FE145/$NY145</f>
        <v>114.55855238051311</v>
      </c>
      <c r="FK145" s="115">
        <f>FF145*$NT145*$NU145</f>
        <v>3.7928045522140277</v>
      </c>
      <c r="FL145" s="26"/>
      <c r="FQ145" s="73"/>
      <c r="FR145" s="115"/>
      <c r="FS145" s="26">
        <f>FT145*$NT145</f>
        <v>4.3989291545614551</v>
      </c>
      <c r="FT145" s="26">
        <f>FW145*$NW145/10^3</f>
        <v>4.3989291545614551</v>
      </c>
      <c r="FW145" s="562">
        <f>FW89*$AN145/$D145</f>
        <v>109.97322886403637</v>
      </c>
      <c r="FX145" s="73">
        <f>10^3*FS145/$NY145</f>
        <v>118.25078372477029</v>
      </c>
      <c r="FY145" s="115">
        <f>FT145*$NT145*$NU145</f>
        <v>3.915046947559695</v>
      </c>
      <c r="FZ145" s="26"/>
      <c r="GE145" s="73"/>
      <c r="GF145" s="115"/>
      <c r="GG145" s="26">
        <f>GH145*$NT145</f>
        <v>3.4090070555440906</v>
      </c>
      <c r="GH145" s="26">
        <f>GK145*$NW145/10^3</f>
        <v>3.4090070555440906</v>
      </c>
      <c r="GJ145" s="74"/>
      <c r="GK145" s="562">
        <f>GK89*$AN145/$D145</f>
        <v>85.225176388602264</v>
      </c>
      <c r="GL145" s="73">
        <f>10^3*GG145/$NY145</f>
        <v>91.639974611400277</v>
      </c>
      <c r="GM145" s="115">
        <f>GH145*$NT145*$NU145</f>
        <v>3.0340162794342405</v>
      </c>
      <c r="GN145" s="26"/>
      <c r="GS145" s="73"/>
      <c r="GT145" s="115"/>
      <c r="GU145" s="115"/>
      <c r="GV145" s="115"/>
      <c r="GW145" s="115"/>
      <c r="GX145" s="68">
        <f>GZ145*$W145</f>
        <v>0</v>
      </c>
      <c r="GY145" s="26">
        <f>GZ145*$NT145</f>
        <v>0.95111543093174444</v>
      </c>
      <c r="GZ145" s="26">
        <f>HC145*$NW145/10^3</f>
        <v>0.95111543093174444</v>
      </c>
      <c r="HA145" s="474"/>
      <c r="HB145" s="74"/>
      <c r="HC145" s="673">
        <f>HC89*$AN145/$D145</f>
        <v>23.777885773293612</v>
      </c>
      <c r="HD145" s="73">
        <f>10^3*GZ145/$NY145</f>
        <v>25.567619111068396</v>
      </c>
      <c r="HE145" s="115">
        <f>GZ145*$NT145*$NU145</f>
        <v>0.84649273352925258</v>
      </c>
      <c r="HF145" s="115"/>
      <c r="HG145" s="115"/>
      <c r="HH145" s="115"/>
      <c r="HI145" s="115"/>
      <c r="HJ145" s="115"/>
      <c r="HK145" s="115"/>
      <c r="HL145" s="115"/>
      <c r="HM145" s="115">
        <f>HN145*$NT145</f>
        <v>1.0844220332023473</v>
      </c>
      <c r="HN145" s="115">
        <f>HQ145*$NW145/10^3</f>
        <v>1.0844220332023473</v>
      </c>
      <c r="HO145" s="474"/>
      <c r="HQ145" s="73">
        <f>HQ89*$AN145/$D145</f>
        <v>27.110550830058685</v>
      </c>
      <c r="HR145" s="73">
        <f>10^3*HN145/$NY145</f>
        <v>29.151129924794283</v>
      </c>
      <c r="HS145" s="115">
        <f>HN145*$NT145*$NU145</f>
        <v>0.96513560955008915</v>
      </c>
      <c r="HT145" s="115"/>
      <c r="HU145" s="115"/>
      <c r="HV145" s="115"/>
      <c r="HW145" s="115"/>
      <c r="HX145" s="115"/>
      <c r="HY145" s="115"/>
      <c r="HZ145" s="115"/>
      <c r="IA145" s="115">
        <f>IB145*$NT145</f>
        <v>0.12364893535936253</v>
      </c>
      <c r="IB145" s="115">
        <f>IE145*$NW145/10^3</f>
        <v>0.12364893535936253</v>
      </c>
      <c r="IC145" s="474"/>
      <c r="IE145" s="73">
        <f>IE89*$AN145/$D145</f>
        <v>3.091223383984063</v>
      </c>
      <c r="IF145" s="73">
        <f>10^3*IB145/$NY145</f>
        <v>3.3238961118108201</v>
      </c>
      <c r="IG145" s="115">
        <f>IB145*$NT145*$NU145</f>
        <v>0.11004755246983265</v>
      </c>
      <c r="IH145" s="115"/>
      <c r="II145" s="115"/>
      <c r="IJ145" s="115"/>
      <c r="IK145" s="115"/>
      <c r="IL145" s="115"/>
      <c r="IM145" s="115"/>
      <c r="IN145" s="115"/>
      <c r="IV145" s="26">
        <f>IW145*$NT145</f>
        <v>2.0491770466832495</v>
      </c>
      <c r="IW145" s="115">
        <f>AN145*JK144</f>
        <v>2.0491770466832495</v>
      </c>
      <c r="IX145" s="73"/>
      <c r="IZ145" s="673">
        <f>AN145*JL144</f>
        <v>55.085404480732507</v>
      </c>
      <c r="JA145" s="115">
        <f>IW145*$NT145*$NU145</f>
        <v>1.8237675715480921</v>
      </c>
      <c r="JB145" s="115">
        <f>$IW145*JM144/$JK144</f>
        <v>1.3793364861457016</v>
      </c>
      <c r="JC145" s="115">
        <f>$IW145*JN144/$JK144</f>
        <v>0.62360505717223191</v>
      </c>
      <c r="JD145" s="115">
        <f>$IW145*JO144/$JK144</f>
        <v>4.6235503365315768E-2</v>
      </c>
      <c r="JE145" s="115"/>
      <c r="JF145" s="73"/>
      <c r="JG145" s="73"/>
      <c r="JH145" s="73"/>
      <c r="JI145" s="73"/>
      <c r="JJ145" s="73"/>
      <c r="JR145" s="73"/>
      <c r="KB145" s="115"/>
      <c r="KC145" s="66"/>
      <c r="KD145" s="725"/>
      <c r="KE145" s="474"/>
      <c r="KF145" s="474"/>
      <c r="KG145" s="474"/>
      <c r="KH145" s="474"/>
      <c r="KI145" s="474"/>
      <c r="KJ145" s="115">
        <f>BW145*44/12+$IW145+$GZ145</f>
        <v>11.118198243956817</v>
      </c>
      <c r="KK145" s="677">
        <f>10^3*KJ145/$NY145</f>
        <v>298.87629688055955</v>
      </c>
      <c r="KL145" s="74"/>
      <c r="KM145" s="74"/>
      <c r="KN145" s="115">
        <f>KJ145*$NT145*$NU145</f>
        <v>9.8951964371215677</v>
      </c>
      <c r="KO145" s="74"/>
      <c r="KP145" s="74"/>
      <c r="KQ145" s="74"/>
      <c r="KR145" s="74"/>
      <c r="KS145" s="115"/>
      <c r="KT145" s="115">
        <f>CK145*44/12+$IW145+$HN145</f>
        <v>11.403532381248564</v>
      </c>
      <c r="KU145" s="677">
        <f>10^3*KT145/$NY145</f>
        <v>306.54656938840225</v>
      </c>
      <c r="KX145" s="115">
        <f>KT145*$NT145*$NU145</f>
        <v>10.149143819311222</v>
      </c>
      <c r="LC145" s="115"/>
      <c r="LD145" s="115">
        <f>CY145*44/12+$IW145+$IB145</f>
        <v>9.3470598709849071</v>
      </c>
      <c r="LE145" s="677">
        <f>10^3*LD145/$NY145</f>
        <v>251.26505029529318</v>
      </c>
      <c r="LH145" s="115">
        <f>LD145*$NT145*$NU145</f>
        <v>8.3188832851765682</v>
      </c>
      <c r="LM145" s="115"/>
      <c r="LN145" s="115">
        <f>DM145*44/12+$IW145+$GZ145</f>
        <v>10.795006636912314</v>
      </c>
      <c r="LO145" s="677">
        <f>10^3*LN145/$NY145</f>
        <v>290.18835045463209</v>
      </c>
      <c r="LR145" s="115">
        <f>LN145*$NT145*$NU145</f>
        <v>9.6075559068519603</v>
      </c>
      <c r="LW145" s="115"/>
      <c r="LX145" s="115">
        <f>EA145*44/12+$IW145+$HN145</f>
        <v>11.179537502587436</v>
      </c>
      <c r="LY145" s="677">
        <f>10^3*LX145/$NY145</f>
        <v>300.52520168245792</v>
      </c>
      <c r="MB145" s="115">
        <f>LX145*$NT145*$NU145</f>
        <v>9.9497883773028182</v>
      </c>
      <c r="MG145" s="115"/>
      <c r="MH145" s="115">
        <f>EO145*44/12+$IW145+$IB145</f>
        <v>10.925289362411862</v>
      </c>
      <c r="MI145" s="677">
        <f>10^3*MH145/$NY145</f>
        <v>293.69057425838338</v>
      </c>
      <c r="ML145" s="115">
        <f>MH145*$NT145*$NU145</f>
        <v>9.7235075325465576</v>
      </c>
      <c r="MQ145" s="115"/>
      <c r="MR145" s="295">
        <v>88</v>
      </c>
      <c r="MS145" s="676">
        <f>KK145-$MR145</f>
        <v>210.87629688055955</v>
      </c>
      <c r="MT145" s="115">
        <f>MS145*$NZ145/10^3</f>
        <v>6.9816924371215663</v>
      </c>
      <c r="MU145" s="115"/>
      <c r="MV145" s="115"/>
      <c r="MW145" s="676">
        <f>KU145-$MR145</f>
        <v>218.54656938840225</v>
      </c>
      <c r="MX145" s="115">
        <f>MW145*$NZ145/10^3</f>
        <v>7.2356398193112224</v>
      </c>
      <c r="MY145" s="115"/>
      <c r="MZ145" s="115"/>
      <c r="NA145" s="676">
        <f>LE145-$MR145</f>
        <v>163.26505029529318</v>
      </c>
      <c r="NB145" s="115">
        <f>NA145*$NZ145/10^3</f>
        <v>5.4053792851765676</v>
      </c>
      <c r="NC145" s="115"/>
      <c r="ND145" s="115"/>
      <c r="NE145" s="676">
        <f>LO145-$MR145</f>
        <v>202.18835045463209</v>
      </c>
      <c r="NF145" s="115">
        <f>NE145*$NZ145/10^3</f>
        <v>6.6940519068519597</v>
      </c>
      <c r="NG145" s="115"/>
      <c r="NH145" s="115"/>
      <c r="NI145" s="676">
        <f>LY145-$MR145</f>
        <v>212.52520168245792</v>
      </c>
      <c r="NJ145" s="115">
        <f>NI145*$NZ145/10^3</f>
        <v>7.0362843773028176</v>
      </c>
      <c r="NK145" s="115"/>
      <c r="NL145" s="115"/>
      <c r="NM145" s="676">
        <f>MI145-$MR145</f>
        <v>205.69057425838338</v>
      </c>
      <c r="NN145" s="115">
        <f>NM145*$NZ145/10^3</f>
        <v>6.810003532546558</v>
      </c>
      <c r="NO145" s="115"/>
      <c r="NP145" s="115"/>
      <c r="NQ145" s="73"/>
      <c r="NR145" s="73"/>
      <c r="NS145" s="73"/>
      <c r="NT145" s="31">
        <v>1</v>
      </c>
      <c r="NU145" s="103">
        <v>0.89</v>
      </c>
      <c r="NV145" s="32">
        <f>$NT145*NW145</f>
        <v>40</v>
      </c>
      <c r="NW145" s="9">
        <v>40</v>
      </c>
      <c r="NX145" s="26">
        <f>NV145*NU145</f>
        <v>35.6</v>
      </c>
      <c r="NY145" s="9">
        <v>37.200000000000003</v>
      </c>
      <c r="NZ145" s="26">
        <f>NY145*NT145*NU145</f>
        <v>33.108000000000004</v>
      </c>
    </row>
    <row r="146" spans="1:494" x14ac:dyDescent="0.25">
      <c r="A146" s="74" t="s">
        <v>293</v>
      </c>
      <c r="D146" s="134">
        <v>0</v>
      </c>
      <c r="E146" s="83"/>
      <c r="F146" s="83"/>
      <c r="G146" s="83"/>
      <c r="H146" s="83"/>
      <c r="I146" s="83"/>
      <c r="J146" s="83"/>
      <c r="K146" s="83"/>
      <c r="L146" s="83"/>
      <c r="M146" s="83"/>
      <c r="W146" s="74"/>
      <c r="AF146" s="74"/>
      <c r="AG146" s="74"/>
      <c r="AN146" s="69">
        <f>1-AN145</f>
        <v>0</v>
      </c>
      <c r="BW146" s="26"/>
      <c r="CA146" s="74"/>
      <c r="CB146" s="74"/>
      <c r="CC146" s="74"/>
      <c r="CD146" s="115"/>
      <c r="CE146" s="115"/>
      <c r="CF146" s="115"/>
      <c r="CG146" s="115"/>
      <c r="CH146" s="115"/>
      <c r="CI146" s="74"/>
      <c r="CK146" s="26"/>
      <c r="CX146" s="37"/>
      <c r="CY146" s="26"/>
      <c r="CZ146" s="37"/>
      <c r="DA146" s="37"/>
      <c r="DB146" s="37"/>
      <c r="DF146" s="115"/>
      <c r="DG146" s="115"/>
      <c r="DH146" s="115"/>
      <c r="DI146" s="115"/>
      <c r="DJ146" s="115"/>
      <c r="DL146" s="37"/>
      <c r="DM146" s="115"/>
      <c r="DN146" s="37"/>
      <c r="DO146" s="37"/>
      <c r="DP146" s="37"/>
      <c r="DT146" s="37"/>
      <c r="DU146" s="37"/>
      <c r="DV146" s="37"/>
      <c r="DW146" s="37"/>
      <c r="DX146" s="37"/>
      <c r="EA146" s="115"/>
      <c r="EN146" s="37"/>
      <c r="EO146" s="115"/>
      <c r="EP146" s="37"/>
      <c r="EQ146" s="37"/>
      <c r="ER146" s="37"/>
      <c r="EV146" s="37"/>
      <c r="EW146" s="37"/>
      <c r="EX146" s="37"/>
      <c r="EY146" s="37"/>
      <c r="EZ146" s="37"/>
      <c r="FF146" s="26"/>
      <c r="FH146" s="74"/>
      <c r="FK146" s="74"/>
      <c r="FR146" s="74"/>
      <c r="FT146" s="26"/>
      <c r="FZ146" s="37"/>
      <c r="GH146" s="26"/>
      <c r="GJ146" s="74"/>
      <c r="GM146" s="74"/>
      <c r="GT146" s="74"/>
      <c r="GU146" s="74"/>
      <c r="GV146" s="74"/>
      <c r="GW146" s="74"/>
      <c r="GX146" s="68">
        <f>GZ146*$W146</f>
        <v>0</v>
      </c>
      <c r="HB146" s="74"/>
      <c r="HD146" s="74"/>
      <c r="HE146" s="74"/>
      <c r="HF146" s="74"/>
      <c r="HG146" s="74"/>
      <c r="HH146" s="74"/>
      <c r="HI146" s="74"/>
      <c r="HJ146" s="74"/>
      <c r="HK146" s="74"/>
      <c r="HL146" s="74"/>
      <c r="IA146" s="133"/>
      <c r="IB146" s="133"/>
      <c r="IC146" s="133"/>
      <c r="IE146" s="133"/>
      <c r="KJ146" s="74"/>
      <c r="KK146" s="74"/>
      <c r="KL146" s="74"/>
      <c r="KM146" s="74"/>
      <c r="KN146" s="74"/>
      <c r="KO146" s="74"/>
      <c r="KP146" s="74"/>
      <c r="KQ146" s="74"/>
      <c r="KR146" s="74"/>
      <c r="KS146" s="74"/>
    </row>
    <row r="147" spans="1:494" s="54" customFormat="1" x14ac:dyDescent="0.25">
      <c r="A147" s="133" t="s">
        <v>837</v>
      </c>
      <c r="D147" s="465"/>
      <c r="E147" s="461"/>
      <c r="F147" s="461"/>
      <c r="G147" s="461"/>
      <c r="H147" s="461"/>
      <c r="I147" s="469">
        <f>J147*NZ145</f>
        <v>1.2324577541968851</v>
      </c>
      <c r="J147" s="463">
        <f>(C90/C89/C145)/NT90/NY145</f>
        <v>3.7225376168807688E-2</v>
      </c>
      <c r="K147" s="461"/>
      <c r="L147" s="461"/>
      <c r="M147" s="461"/>
      <c r="X147" s="133"/>
      <c r="AF147" s="133"/>
      <c r="AG147" s="133"/>
      <c r="AH147" s="133"/>
      <c r="AI147" s="133"/>
      <c r="AJ147" s="133"/>
      <c r="AN147" s="57"/>
      <c r="AZ147" s="133"/>
      <c r="BA147" s="133"/>
      <c r="BB147" s="133"/>
      <c r="BC147" s="133"/>
      <c r="BD147" s="133"/>
      <c r="BE147" s="133"/>
      <c r="BF147" s="133"/>
      <c r="BG147" s="133"/>
      <c r="BH147" s="133"/>
      <c r="BI147" s="133"/>
      <c r="BW147" s="693"/>
      <c r="CA147" s="133"/>
      <c r="CB147" s="133"/>
      <c r="CC147" s="133"/>
      <c r="CD147" s="179"/>
      <c r="CE147" s="179"/>
      <c r="CF147" s="179"/>
      <c r="CG147" s="179"/>
      <c r="CH147" s="179"/>
      <c r="CI147" s="133"/>
      <c r="CK147" s="693"/>
      <c r="CO147" s="133"/>
      <c r="CP147" s="133"/>
      <c r="CQ147" s="133"/>
      <c r="CR147" s="179"/>
      <c r="CS147" s="179"/>
      <c r="CT147" s="179"/>
      <c r="CU147" s="179"/>
      <c r="CV147" s="179"/>
      <c r="CW147" s="133"/>
      <c r="CY147" s="693"/>
      <c r="DC147" s="133"/>
      <c r="DD147" s="133"/>
      <c r="DE147" s="133"/>
      <c r="DF147" s="179"/>
      <c r="DG147" s="179"/>
      <c r="DH147" s="179"/>
      <c r="DI147" s="179"/>
      <c r="DJ147" s="179"/>
      <c r="DK147" s="133"/>
      <c r="DM147" s="179"/>
      <c r="DQ147" s="133"/>
      <c r="DR147" s="133"/>
      <c r="DS147" s="133"/>
      <c r="DY147" s="133"/>
      <c r="EA147" s="179"/>
      <c r="EE147" s="133"/>
      <c r="EF147" s="133"/>
      <c r="EG147" s="133"/>
      <c r="EM147" s="133"/>
      <c r="EO147" s="179"/>
      <c r="ES147" s="133"/>
      <c r="ET147" s="133"/>
      <c r="EU147" s="133"/>
      <c r="FA147" s="133"/>
      <c r="FF147" s="693"/>
      <c r="FH147" s="133"/>
      <c r="FK147" s="133"/>
      <c r="FR147" s="133"/>
      <c r="FT147" s="693"/>
      <c r="FV147" s="133"/>
      <c r="FY147" s="133"/>
      <c r="GF147" s="133"/>
      <c r="GH147" s="693"/>
      <c r="GJ147" s="133"/>
      <c r="GM147" s="133"/>
      <c r="GT147" s="133"/>
      <c r="GU147" s="133"/>
      <c r="GV147" s="133"/>
      <c r="GW147" s="133"/>
      <c r="GX147" s="133"/>
      <c r="GY147" s="133"/>
      <c r="GZ147" s="133"/>
      <c r="HA147" s="133"/>
      <c r="HB147" s="133"/>
      <c r="HC147" s="133"/>
      <c r="HD147" s="133"/>
      <c r="HE147" s="133"/>
      <c r="HF147" s="133"/>
      <c r="HG147" s="133"/>
      <c r="HH147" s="133"/>
      <c r="HI147" s="133"/>
      <c r="HJ147" s="133"/>
      <c r="HK147" s="133"/>
      <c r="HL147" s="133"/>
      <c r="HM147" s="133"/>
      <c r="HN147" s="133"/>
      <c r="HO147" s="133"/>
      <c r="HP147" s="133"/>
      <c r="HQ147" s="133"/>
      <c r="HR147" s="133"/>
      <c r="HS147" s="133"/>
      <c r="HT147" s="133"/>
      <c r="HU147" s="133"/>
      <c r="HV147" s="133"/>
      <c r="HW147" s="133"/>
      <c r="HX147" s="133"/>
      <c r="HY147" s="133"/>
      <c r="HZ147" s="133"/>
      <c r="IA147" s="133"/>
      <c r="IB147" s="133"/>
      <c r="IC147" s="133"/>
      <c r="ID147" s="133"/>
      <c r="IE147" s="133"/>
      <c r="IF147" s="133"/>
      <c r="IG147" s="133"/>
      <c r="IH147" s="133"/>
      <c r="II147" s="133"/>
      <c r="IJ147" s="133"/>
      <c r="IK147" s="133"/>
      <c r="IL147" s="133"/>
      <c r="IM147" s="133"/>
      <c r="IN147" s="133"/>
      <c r="IO147" s="115"/>
      <c r="IP147" s="115"/>
      <c r="IQ147" s="115"/>
      <c r="IR147" s="115"/>
      <c r="IS147" s="115"/>
      <c r="IT147" s="115"/>
      <c r="IU147" s="115"/>
      <c r="IW147" s="133"/>
      <c r="IX147" s="133"/>
      <c r="IY147" s="133"/>
      <c r="IZ147" s="133"/>
      <c r="JA147" s="133"/>
      <c r="JB147" s="133"/>
      <c r="JC147" s="133"/>
      <c r="JD147" s="133"/>
      <c r="JE147" s="133"/>
      <c r="JF147" s="133"/>
      <c r="JG147" s="133"/>
      <c r="JH147" s="133"/>
      <c r="JI147" s="133"/>
      <c r="JJ147" s="133"/>
      <c r="JK147" s="133"/>
      <c r="JL147" s="133"/>
      <c r="JM147" s="133"/>
      <c r="JN147" s="133"/>
      <c r="JO147" s="133"/>
      <c r="JP147" s="133"/>
      <c r="JQ147" s="133"/>
      <c r="JR147" s="133"/>
      <c r="JS147" s="133"/>
      <c r="JT147" s="133"/>
      <c r="JU147" s="133"/>
      <c r="JV147" s="133"/>
      <c r="JW147" s="133"/>
      <c r="JX147" s="133"/>
      <c r="JY147" s="133"/>
      <c r="JZ147" s="133"/>
      <c r="KA147" s="133"/>
      <c r="KB147" s="133"/>
      <c r="KC147" s="133"/>
      <c r="KD147" s="133"/>
      <c r="KE147" s="133"/>
      <c r="KF147" s="133"/>
      <c r="KG147" s="133"/>
      <c r="KH147" s="133"/>
      <c r="KI147" s="133"/>
      <c r="KJ147" s="133"/>
      <c r="KK147" s="133"/>
      <c r="KL147" s="133"/>
      <c r="KM147" s="133"/>
      <c r="KN147" s="133"/>
      <c r="KO147" s="133"/>
      <c r="KP147" s="133"/>
      <c r="KQ147" s="133"/>
      <c r="KR147" s="133"/>
      <c r="KS147" s="133"/>
      <c r="KT147" s="133"/>
      <c r="KU147" s="133"/>
      <c r="KV147" s="133"/>
      <c r="KW147" s="133"/>
      <c r="KX147" s="133"/>
      <c r="KY147" s="133"/>
      <c r="KZ147" s="133"/>
      <c r="LA147" s="133"/>
      <c r="LB147" s="133"/>
      <c r="LC147" s="133"/>
      <c r="LD147" s="133"/>
      <c r="LE147" s="133"/>
      <c r="LF147" s="133"/>
      <c r="LG147" s="133"/>
      <c r="LH147" s="133"/>
      <c r="LI147" s="133"/>
      <c r="LJ147" s="133"/>
      <c r="LK147" s="133"/>
      <c r="LL147" s="133"/>
      <c r="LM147" s="133"/>
      <c r="LN147" s="133"/>
      <c r="LO147" s="133"/>
      <c r="LP147" s="133"/>
      <c r="LQ147" s="133"/>
      <c r="LR147" s="133"/>
      <c r="LS147" s="133"/>
      <c r="LT147" s="133"/>
      <c r="LU147" s="133"/>
      <c r="LV147" s="133"/>
      <c r="LW147" s="133"/>
      <c r="LX147" s="133"/>
      <c r="LY147" s="133"/>
      <c r="LZ147" s="133"/>
      <c r="MA147" s="133"/>
      <c r="MB147" s="133"/>
      <c r="MC147" s="133"/>
      <c r="MD147" s="133"/>
      <c r="ME147" s="133"/>
      <c r="MF147" s="133"/>
      <c r="MG147" s="133"/>
      <c r="MH147" s="133"/>
      <c r="MI147" s="133"/>
      <c r="MJ147" s="133"/>
      <c r="MK147" s="133"/>
      <c r="ML147" s="133"/>
      <c r="MM147" s="133"/>
      <c r="MN147" s="133"/>
      <c r="MO147" s="133"/>
      <c r="MP147" s="133"/>
      <c r="MQ147" s="133"/>
      <c r="MR147" s="133"/>
      <c r="MS147" s="133"/>
      <c r="MT147" s="133"/>
      <c r="MU147" s="133"/>
      <c r="MV147" s="133"/>
      <c r="MW147" s="133"/>
      <c r="MX147" s="133"/>
      <c r="MY147" s="133"/>
      <c r="MZ147" s="133"/>
      <c r="NA147" s="133"/>
      <c r="NB147" s="133"/>
      <c r="NC147" s="133"/>
      <c r="ND147" s="133"/>
      <c r="NE147" s="133"/>
      <c r="NF147" s="133"/>
      <c r="NG147" s="133"/>
      <c r="NH147" s="133"/>
      <c r="NI147" s="133"/>
      <c r="NJ147" s="133"/>
      <c r="NK147" s="133"/>
      <c r="NL147" s="133"/>
      <c r="NM147" s="133"/>
      <c r="NN147" s="133"/>
      <c r="NO147" s="133"/>
      <c r="NP147" s="133"/>
      <c r="NQ147" s="133"/>
      <c r="NR147" s="133"/>
      <c r="NS147" s="133"/>
      <c r="RU147" s="179"/>
      <c r="RV147" s="179"/>
      <c r="RW147" s="179"/>
      <c r="RX147" s="179"/>
      <c r="RY147" s="179"/>
      <c r="RZ147" s="179"/>
    </row>
    <row r="148" spans="1:494" x14ac:dyDescent="0.25">
      <c r="AF148" s="74"/>
      <c r="AG148" s="74"/>
      <c r="BW148" s="26"/>
      <c r="CA148" s="74"/>
      <c r="CB148" s="74"/>
      <c r="CC148" s="74"/>
      <c r="CD148" s="115"/>
      <c r="CE148" s="115"/>
      <c r="CF148" s="115"/>
      <c r="CG148" s="115"/>
      <c r="CH148" s="115"/>
      <c r="CI148" s="74"/>
      <c r="CK148" s="26"/>
      <c r="CX148" s="37"/>
      <c r="CY148" s="26"/>
      <c r="CZ148" s="37"/>
      <c r="DA148" s="37"/>
      <c r="DB148" s="37"/>
      <c r="DF148" s="115"/>
      <c r="DG148" s="115"/>
      <c r="DH148" s="115"/>
      <c r="DI148" s="115"/>
      <c r="DJ148" s="115"/>
      <c r="DL148" s="37"/>
      <c r="DM148" s="115"/>
      <c r="DN148" s="37"/>
      <c r="DO148" s="37"/>
      <c r="DP148" s="37"/>
      <c r="DT148" s="37"/>
      <c r="DU148" s="37"/>
      <c r="DV148" s="37"/>
      <c r="DW148" s="37"/>
      <c r="DX148" s="37"/>
      <c r="EA148" s="115"/>
      <c r="EN148" s="37"/>
      <c r="EO148" s="115"/>
      <c r="EP148" s="37"/>
      <c r="EQ148" s="37"/>
      <c r="ER148" s="37"/>
      <c r="EV148" s="37"/>
      <c r="EW148" s="37"/>
      <c r="EX148" s="37"/>
      <c r="EY148" s="37"/>
      <c r="EZ148" s="37"/>
      <c r="FF148" s="26"/>
      <c r="FH148" s="74"/>
      <c r="FK148" s="74"/>
      <c r="FR148" s="74"/>
      <c r="FT148" s="26"/>
      <c r="FZ148" s="37"/>
      <c r="GH148" s="26"/>
      <c r="GJ148" s="74"/>
      <c r="GM148" s="74"/>
      <c r="GT148" s="74"/>
      <c r="GU148" s="74"/>
      <c r="GV148" s="74"/>
      <c r="GW148" s="74"/>
      <c r="GX148" s="74"/>
      <c r="HB148" s="74"/>
      <c r="HD148" s="74"/>
      <c r="HE148" s="74"/>
      <c r="HF148" s="74"/>
      <c r="HG148" s="74"/>
      <c r="HH148" s="74"/>
      <c r="HI148" s="74"/>
      <c r="HJ148" s="74"/>
      <c r="HK148" s="74"/>
      <c r="HL148" s="74"/>
      <c r="IA148" s="133"/>
      <c r="IB148" s="133"/>
      <c r="IC148" s="133"/>
      <c r="IE148" s="133"/>
      <c r="KJ148" s="74"/>
      <c r="KK148" s="74"/>
      <c r="KL148" s="74"/>
      <c r="KM148" s="74"/>
      <c r="KN148" s="74"/>
      <c r="KO148" s="74"/>
      <c r="KP148" s="74"/>
      <c r="KQ148" s="74"/>
      <c r="KR148" s="74"/>
      <c r="KS148" s="74"/>
    </row>
    <row r="149" spans="1:494" x14ac:dyDescent="0.25">
      <c r="AF149" s="74"/>
      <c r="AG149" s="74"/>
      <c r="BW149" s="26"/>
      <c r="CA149" s="74"/>
      <c r="CB149" s="74"/>
      <c r="CC149" s="74"/>
      <c r="CD149" s="115"/>
      <c r="CE149" s="115"/>
      <c r="CF149" s="115"/>
      <c r="CG149" s="115"/>
      <c r="CH149" s="115"/>
      <c r="CI149" s="74"/>
      <c r="CK149" s="26"/>
      <c r="CX149" s="37"/>
      <c r="CY149" s="26"/>
      <c r="CZ149" s="37"/>
      <c r="DA149" s="37"/>
      <c r="DB149" s="37"/>
      <c r="DF149" s="115"/>
      <c r="DG149" s="115"/>
      <c r="DH149" s="115"/>
      <c r="DI149" s="115"/>
      <c r="DJ149" s="115"/>
      <c r="DL149" s="37"/>
      <c r="DM149" s="115"/>
      <c r="DN149" s="37"/>
      <c r="DO149" s="37"/>
      <c r="DP149" s="37"/>
      <c r="DT149" s="37"/>
      <c r="DU149" s="37"/>
      <c r="DV149" s="37"/>
      <c r="DW149" s="37"/>
      <c r="DX149" s="37"/>
      <c r="EA149" s="115"/>
      <c r="EN149" s="37"/>
      <c r="EO149" s="115"/>
      <c r="EP149" s="37"/>
      <c r="EQ149" s="37"/>
      <c r="ER149" s="37"/>
      <c r="EV149" s="37"/>
      <c r="EW149" s="37"/>
      <c r="EX149" s="37"/>
      <c r="EY149" s="37"/>
      <c r="EZ149" s="37"/>
      <c r="FF149" s="26"/>
      <c r="FH149" s="74"/>
      <c r="FK149" s="74"/>
      <c r="FR149" s="74"/>
      <c r="FT149" s="26"/>
      <c r="FZ149" s="37"/>
      <c r="GH149" s="26"/>
      <c r="GJ149" s="74"/>
      <c r="GM149" s="74"/>
      <c r="GT149" s="74"/>
      <c r="GU149" s="74"/>
      <c r="GV149" s="74"/>
      <c r="GW149" s="74"/>
      <c r="GX149" s="74"/>
      <c r="HB149" s="74"/>
      <c r="HD149" s="74"/>
      <c r="HE149" s="74"/>
      <c r="HF149" s="74"/>
      <c r="HG149" s="74"/>
      <c r="HH149" s="74"/>
      <c r="HI149" s="74"/>
      <c r="HJ149" s="74"/>
      <c r="HK149" s="74"/>
      <c r="HL149" s="74"/>
      <c r="IA149" s="133"/>
      <c r="IB149" s="133"/>
      <c r="IC149" s="133"/>
      <c r="IE149" s="133"/>
      <c r="KJ149" s="74"/>
      <c r="KK149" s="74"/>
      <c r="KL149" s="74"/>
      <c r="KM149" s="74"/>
      <c r="KN149" s="74"/>
      <c r="KO149" s="74"/>
      <c r="KP149" s="74"/>
      <c r="KQ149" s="74"/>
      <c r="KR149" s="74"/>
      <c r="KS149" s="74"/>
    </row>
    <row r="150" spans="1:494" x14ac:dyDescent="0.25">
      <c r="A150" s="9" t="s">
        <v>327</v>
      </c>
      <c r="AF150" s="74"/>
      <c r="AG150" s="74"/>
      <c r="BW150" s="26"/>
      <c r="CA150" s="74"/>
      <c r="CB150" s="74"/>
      <c r="CC150" s="74"/>
      <c r="CD150" s="115"/>
      <c r="CE150" s="115"/>
      <c r="CF150" s="115"/>
      <c r="CG150" s="115"/>
      <c r="CH150" s="115"/>
      <c r="CI150" s="74"/>
      <c r="CK150" s="26"/>
      <c r="CX150" s="37"/>
      <c r="CY150" s="26"/>
      <c r="CZ150" s="37"/>
      <c r="DA150" s="37"/>
      <c r="DB150" s="37"/>
      <c r="DF150" s="115"/>
      <c r="DG150" s="115"/>
      <c r="DH150" s="115"/>
      <c r="DI150" s="115"/>
      <c r="DJ150" s="115"/>
      <c r="DL150" s="37"/>
      <c r="DM150" s="115"/>
      <c r="DN150" s="37"/>
      <c r="DO150" s="37"/>
      <c r="DP150" s="37"/>
      <c r="DT150" s="37"/>
      <c r="DU150" s="37"/>
      <c r="DV150" s="37"/>
      <c r="DW150" s="37"/>
      <c r="DX150" s="37"/>
      <c r="EA150" s="115"/>
      <c r="EN150" s="37"/>
      <c r="EO150" s="115"/>
      <c r="EP150" s="37"/>
      <c r="EQ150" s="37"/>
      <c r="ER150" s="37"/>
      <c r="EV150" s="37"/>
      <c r="EW150" s="37"/>
      <c r="EX150" s="37"/>
      <c r="EY150" s="37"/>
      <c r="EZ150" s="37"/>
      <c r="FF150" s="26"/>
      <c r="FH150" s="74"/>
      <c r="FK150" s="74"/>
      <c r="FR150" s="74"/>
      <c r="FT150" s="26"/>
      <c r="FZ150" s="37"/>
      <c r="GH150" s="26"/>
      <c r="GJ150" s="74"/>
      <c r="GM150" s="74"/>
      <c r="GT150" s="74"/>
      <c r="GU150" s="74"/>
      <c r="GV150" s="74"/>
      <c r="GW150" s="74"/>
      <c r="GX150" s="74"/>
      <c r="HB150" s="74"/>
      <c r="HD150" s="74"/>
      <c r="HE150" s="74"/>
      <c r="HF150" s="74"/>
      <c r="HG150" s="74"/>
      <c r="HH150" s="74"/>
      <c r="HI150" s="74"/>
      <c r="HJ150" s="74"/>
      <c r="HK150" s="74"/>
      <c r="HL150" s="74"/>
      <c r="IA150" s="133"/>
      <c r="IB150" s="133"/>
      <c r="IC150" s="133"/>
      <c r="IE150" s="133"/>
      <c r="KJ150" s="74"/>
      <c r="KK150" s="74"/>
      <c r="KL150" s="74"/>
      <c r="KM150" s="74"/>
      <c r="KN150" s="74"/>
      <c r="KO150" s="74"/>
      <c r="KP150" s="74"/>
      <c r="KQ150" s="74"/>
      <c r="KR150" s="74"/>
      <c r="KS150" s="74"/>
    </row>
    <row r="151" spans="1:494" x14ac:dyDescent="0.25">
      <c r="AF151" s="74"/>
      <c r="AG151" s="74"/>
      <c r="BW151" s="26"/>
      <c r="CA151" s="74"/>
      <c r="CB151" s="74"/>
      <c r="CC151" s="74"/>
      <c r="CD151" s="115"/>
      <c r="CE151" s="115"/>
      <c r="CF151" s="115"/>
      <c r="CG151" s="115"/>
      <c r="CH151" s="115"/>
      <c r="CI151" s="74"/>
      <c r="CK151" s="26"/>
      <c r="CX151" s="37"/>
      <c r="CY151" s="26"/>
      <c r="CZ151" s="37"/>
      <c r="DA151" s="37"/>
      <c r="DB151" s="37"/>
      <c r="DF151" s="115"/>
      <c r="DG151" s="115"/>
      <c r="DH151" s="115"/>
      <c r="DI151" s="115"/>
      <c r="DJ151" s="115"/>
      <c r="DL151" s="37"/>
      <c r="DM151" s="115"/>
      <c r="DN151" s="37"/>
      <c r="DO151" s="37"/>
      <c r="DP151" s="37"/>
      <c r="DT151" s="37"/>
      <c r="DU151" s="37"/>
      <c r="DV151" s="37"/>
      <c r="DW151" s="37"/>
      <c r="DX151" s="37"/>
      <c r="EA151" s="115"/>
      <c r="EN151" s="37"/>
      <c r="EO151" s="115"/>
      <c r="EP151" s="37"/>
      <c r="EQ151" s="37"/>
      <c r="ER151" s="37"/>
      <c r="EV151" s="37"/>
      <c r="EW151" s="37"/>
      <c r="EX151" s="37"/>
      <c r="EY151" s="37"/>
      <c r="EZ151" s="37"/>
      <c r="FF151" s="26"/>
      <c r="FH151" s="74"/>
      <c r="FK151" s="74"/>
      <c r="FR151" s="74"/>
      <c r="FT151" s="26"/>
      <c r="FZ151" s="37"/>
      <c r="GH151" s="26"/>
      <c r="GJ151" s="74"/>
      <c r="GM151" s="74"/>
      <c r="GT151" s="74"/>
      <c r="GU151" s="74"/>
      <c r="GV151" s="74"/>
      <c r="GW151" s="74"/>
      <c r="GX151" s="74"/>
      <c r="HB151" s="74"/>
      <c r="HD151" s="74"/>
      <c r="HE151" s="74"/>
      <c r="HF151" s="74"/>
      <c r="HG151" s="74"/>
      <c r="HH151" s="74"/>
      <c r="HI151" s="74"/>
      <c r="HJ151" s="74"/>
      <c r="HK151" s="74"/>
      <c r="HL151" s="74"/>
      <c r="IA151" s="133"/>
      <c r="IB151" s="133"/>
      <c r="IC151" s="133"/>
      <c r="IE151" s="133"/>
      <c r="KJ151" s="74"/>
      <c r="KK151" s="74"/>
      <c r="KL151" s="74"/>
      <c r="KM151" s="74"/>
      <c r="KN151" s="74"/>
      <c r="KO151" s="74"/>
      <c r="KP151" s="74"/>
      <c r="KQ151" s="74"/>
      <c r="KR151" s="74"/>
      <c r="KS151" s="74"/>
    </row>
    <row r="152" spans="1:494" x14ac:dyDescent="0.25">
      <c r="A152" s="9" t="s">
        <v>354</v>
      </c>
      <c r="AF152" s="74"/>
      <c r="AG152" s="74"/>
      <c r="BW152" s="26"/>
      <c r="CA152" s="74"/>
      <c r="CB152" s="74"/>
      <c r="CC152" s="74"/>
      <c r="CD152" s="115"/>
      <c r="CE152" s="115"/>
      <c r="CF152" s="115"/>
      <c r="CG152" s="115"/>
      <c r="CH152" s="115"/>
      <c r="CI152" s="74"/>
      <c r="CK152" s="26"/>
      <c r="CX152" s="37"/>
      <c r="CY152" s="26"/>
      <c r="CZ152" s="37"/>
      <c r="DA152" s="37"/>
      <c r="DB152" s="37"/>
      <c r="DF152" s="115"/>
      <c r="DG152" s="115"/>
      <c r="DH152" s="115"/>
      <c r="DI152" s="115"/>
      <c r="DJ152" s="115"/>
      <c r="DL152" s="37"/>
      <c r="DM152" s="115"/>
      <c r="DN152" s="37"/>
      <c r="DO152" s="37"/>
      <c r="DP152" s="37"/>
      <c r="DT152" s="37"/>
      <c r="DU152" s="37"/>
      <c r="DV152" s="37"/>
      <c r="DW152" s="37"/>
      <c r="DX152" s="37"/>
      <c r="EA152" s="115"/>
      <c r="EN152" s="37"/>
      <c r="EO152" s="115"/>
      <c r="EP152" s="37"/>
      <c r="EQ152" s="37"/>
      <c r="ER152" s="37"/>
      <c r="EV152" s="37"/>
      <c r="EW152" s="37"/>
      <c r="EX152" s="37"/>
      <c r="EY152" s="37"/>
      <c r="EZ152" s="37"/>
      <c r="FF152" s="26"/>
      <c r="FH152" s="74"/>
      <c r="FK152" s="74"/>
      <c r="FR152" s="74"/>
      <c r="FT152" s="26"/>
      <c r="FZ152" s="37"/>
      <c r="GH152" s="26"/>
      <c r="GJ152" s="74"/>
      <c r="GM152" s="74"/>
      <c r="GT152" s="74"/>
      <c r="GU152" s="74"/>
      <c r="GV152" s="74"/>
      <c r="GW152" s="74"/>
      <c r="GX152" s="74"/>
      <c r="GY152" s="66"/>
      <c r="HB152" s="74"/>
      <c r="HD152" s="74"/>
      <c r="HE152" s="74"/>
      <c r="HF152" s="74"/>
      <c r="HG152" s="74"/>
      <c r="HH152" s="74"/>
      <c r="HI152" s="74"/>
      <c r="HJ152" s="74"/>
      <c r="HK152" s="74"/>
      <c r="HL152" s="74"/>
      <c r="HM152" s="66"/>
      <c r="IA152" s="66"/>
      <c r="IB152" s="133"/>
      <c r="IC152" s="133"/>
      <c r="IE152" s="133"/>
      <c r="IO152" s="68">
        <f>IP152+IQ152+IR152+IS152+IT152+IU152</f>
        <v>80.091627509830715</v>
      </c>
      <c r="IP152" s="97">
        <f>JS152*$W153</f>
        <v>44.70699632574992</v>
      </c>
      <c r="IQ152" s="97">
        <f>JU152*$W153</f>
        <v>35.384631184080789</v>
      </c>
      <c r="IR152" s="97">
        <f>JX152*$W153</f>
        <v>0</v>
      </c>
      <c r="IS152" s="97">
        <f>KB152*$W153</f>
        <v>0</v>
      </c>
      <c r="IT152" s="97">
        <f>KF152*$W153</f>
        <v>0</v>
      </c>
      <c r="IU152" s="97">
        <f>KH152*$W153</f>
        <v>0</v>
      </c>
      <c r="JK152" s="115">
        <f>JM152+JN152+JO152</f>
        <v>3.3371511462429462</v>
      </c>
      <c r="JM152" s="179">
        <f>JS152+KB152</f>
        <v>1.8627915135729134</v>
      </c>
      <c r="JN152" s="179">
        <f>JU152+KF152</f>
        <v>1.4743596326700328</v>
      </c>
      <c r="JO152" s="179">
        <f>JX152+KH152</f>
        <v>0</v>
      </c>
      <c r="JQ152" s="127">
        <f>JS152+JU152+JX152</f>
        <v>3.3371511462429462</v>
      </c>
      <c r="JS152" s="172">
        <f>'Crops; pasture DISCOUNTED'!KF69/$C153</f>
        <v>1.8627915135729134</v>
      </c>
      <c r="JU152" s="172">
        <f>'Crops; pasture DISCOUNTED'!KD69/$C153</f>
        <v>1.4743596326700328</v>
      </c>
      <c r="KD152" s="74"/>
      <c r="KE152" s="74"/>
      <c r="KF152" s="74"/>
      <c r="KG152" s="74"/>
      <c r="KH152" s="74"/>
      <c r="KI152" s="74"/>
      <c r="KJ152" s="74"/>
      <c r="KK152" s="74"/>
      <c r="KL152" s="74"/>
      <c r="KM152" s="74"/>
      <c r="KN152" s="74"/>
      <c r="KO152" s="74"/>
      <c r="KP152" s="74"/>
      <c r="KQ152" s="74"/>
      <c r="KR152" s="74"/>
      <c r="KS152" s="74"/>
    </row>
    <row r="153" spans="1:494" x14ac:dyDescent="0.25">
      <c r="A153" s="37" t="s">
        <v>348</v>
      </c>
      <c r="B153" s="53">
        <f>C153*NT36/NT153</f>
        <v>0.37411111111111112</v>
      </c>
      <c r="C153" s="90">
        <v>0.37</v>
      </c>
      <c r="D153" s="722">
        <f>C153*NW153/NW36</f>
        <v>0.31129807692307687</v>
      </c>
      <c r="V153" s="55">
        <f>W153/NT153</f>
        <v>26.666666666666664</v>
      </c>
      <c r="W153" s="112">
        <v>24</v>
      </c>
      <c r="X153" s="252"/>
      <c r="Y153" s="26">
        <f>W153*NW153/10^3</f>
        <v>0.42</v>
      </c>
      <c r="Z153" s="26"/>
      <c r="AE153" s="115">
        <f>AB$36*$AN153/$C153</f>
        <v>5.5268860388069712</v>
      </c>
      <c r="AF153" s="115"/>
      <c r="AG153" s="115">
        <f>AC$36*$AN153/$C153</f>
        <v>7.9679179750651983</v>
      </c>
      <c r="AH153" s="115"/>
      <c r="AI153" s="115">
        <f>AD$36*$AN153/$C153</f>
        <v>4.0969791006540923</v>
      </c>
      <c r="AJ153" s="115"/>
      <c r="AK153" s="722">
        <f>Y153/(Y153+Y154+Y155)</f>
        <v>0.38900570741964557</v>
      </c>
      <c r="AL153" s="164">
        <v>0.75</v>
      </c>
      <c r="AM153" s="104">
        <f>V153*AL153/(V153*AL153+V154*AL154+V155*AL155)</f>
        <v>0.65654056356022428</v>
      </c>
      <c r="AN153" s="40">
        <f t="shared" ref="AN153:AN155" si="39">AK153</f>
        <v>0.38900570741964557</v>
      </c>
      <c r="BV153" s="26">
        <f>BW153*$NT153</f>
        <v>0.78785802222592249</v>
      </c>
      <c r="BW153" s="115">
        <f>BP$36*$AN153/$C153</f>
        <v>0.87539780247324717</v>
      </c>
      <c r="CA153" s="74"/>
      <c r="CB153" s="74"/>
      <c r="CC153" s="74"/>
      <c r="CD153" s="115"/>
      <c r="CE153" s="115"/>
      <c r="CF153" s="115"/>
      <c r="CG153" s="115"/>
      <c r="CH153" s="115"/>
      <c r="CI153" s="74"/>
      <c r="CJ153" s="26">
        <f>CK153*$NT153</f>
        <v>1.4770516761375223</v>
      </c>
      <c r="CK153" s="115">
        <f>BQ$36*$AN153/$C153</f>
        <v>1.6411685290416913</v>
      </c>
      <c r="CX153" s="26">
        <f>CY153*$NT153</f>
        <v>0.38414237524026962</v>
      </c>
      <c r="CY153" s="115">
        <f>BR$36*$AN153/$C153</f>
        <v>0.42682486137807735</v>
      </c>
      <c r="CZ153" s="37"/>
      <c r="DA153" s="37"/>
      <c r="DB153" s="37"/>
      <c r="DF153" s="115"/>
      <c r="DG153" s="115"/>
      <c r="DH153" s="115"/>
      <c r="DI153" s="115"/>
      <c r="DJ153" s="115"/>
      <c r="DL153" s="26">
        <f>DM153*$NT153</f>
        <v>1.1154597323471029</v>
      </c>
      <c r="DM153" s="115">
        <f>BS$36*$AN153/$C153</f>
        <v>1.2393997026078922</v>
      </c>
      <c r="DN153" s="37"/>
      <c r="DO153" s="37"/>
      <c r="DP153" s="37"/>
      <c r="DT153" s="37"/>
      <c r="DU153" s="37"/>
      <c r="DV153" s="37"/>
      <c r="DW153" s="37"/>
      <c r="DX153" s="37"/>
      <c r="DZ153" s="26">
        <f>EA153*$NT153</f>
        <v>2.1499093204200426</v>
      </c>
      <c r="EA153" s="115">
        <f>BT$36*$AN153/$C153</f>
        <v>2.3887881338000474</v>
      </c>
      <c r="EN153" s="26">
        <f>EO153*$NT153</f>
        <v>1.2485506158005406</v>
      </c>
      <c r="EO153" s="115">
        <f>BU$36*$AN153/$C153</f>
        <v>1.3872784620006007</v>
      </c>
      <c r="EP153" s="37"/>
      <c r="EQ153" s="37"/>
      <c r="ER153" s="37"/>
      <c r="EV153" s="37"/>
      <c r="EW153" s="37"/>
      <c r="EX153" s="37"/>
      <c r="EY153" s="37"/>
      <c r="EZ153" s="37"/>
      <c r="FE153" s="26">
        <f>FF153*$NT153</f>
        <v>2.236122495406236</v>
      </c>
      <c r="FF153" s="115">
        <f>FB$36*$AN153/$C153</f>
        <v>2.4845805504513732</v>
      </c>
      <c r="FH153" s="74"/>
      <c r="FK153" s="74"/>
      <c r="FL153" s="26"/>
      <c r="FR153" s="74"/>
      <c r="FS153" s="26">
        <f>FT153*$NT153</f>
        <v>4.3098468327127657</v>
      </c>
      <c r="FT153" s="115">
        <f>FC$36*$AN153/$C153</f>
        <v>4.788718703014184</v>
      </c>
      <c r="FZ153" s="26"/>
      <c r="GG153" s="26">
        <f>GH153*$NT153</f>
        <v>1.0213768897930651</v>
      </c>
      <c r="GH153" s="115">
        <f>FD$36*$AN153/$C153</f>
        <v>1.1348632108811834</v>
      </c>
      <c r="GJ153" s="74"/>
      <c r="GM153" s="74"/>
      <c r="GN153" s="26"/>
      <c r="GT153" s="74"/>
      <c r="GU153" s="74"/>
      <c r="GV153" s="74"/>
      <c r="GW153" s="74"/>
      <c r="GX153" s="74"/>
      <c r="GY153" s="26">
        <f>GZ153*$NT153</f>
        <v>8.7693404841323E-2</v>
      </c>
      <c r="GZ153" s="330">
        <f>$AN153*GU$36/C153</f>
        <v>9.7437116490358883E-2</v>
      </c>
      <c r="HB153" s="74"/>
      <c r="HD153" s="74"/>
      <c r="HE153" s="74"/>
      <c r="HF153" s="74"/>
      <c r="HG153" s="74"/>
      <c r="HH153" s="74"/>
      <c r="HI153" s="74"/>
      <c r="HJ153" s="74"/>
      <c r="HK153" s="74"/>
      <c r="HL153" s="74"/>
      <c r="HM153" s="115">
        <f>HN153*$NT153</f>
        <v>0.17214661287790842</v>
      </c>
      <c r="HN153" s="127">
        <f>$AN153*GV$36/C153</f>
        <v>0.19127401430878713</v>
      </c>
      <c r="IA153" s="115">
        <f>IB153*$NT153</f>
        <v>3.822243056726609E-2</v>
      </c>
      <c r="IB153" s="127">
        <f>$AN153*GW$36/C153</f>
        <v>4.2469367296962324E-2</v>
      </c>
      <c r="IC153" s="133"/>
      <c r="IE153" s="133"/>
      <c r="IV153" s="26">
        <f>IW153*$NT153</f>
        <v>1.1683537581694665</v>
      </c>
      <c r="IW153" s="91">
        <f>AN153*JK152</f>
        <v>1.2981708424105183</v>
      </c>
      <c r="IX153" s="73"/>
      <c r="IZ153" s="73"/>
      <c r="JA153" s="115"/>
      <c r="JB153" s="115">
        <f>$IW153*JM152/$JK152</f>
        <v>0.72463653051274335</v>
      </c>
      <c r="JC153" s="115">
        <f>$IW153*JN152/$JK152</f>
        <v>0.57353431189777482</v>
      </c>
      <c r="JD153" s="115">
        <f>$IW153*JO152/$JK152</f>
        <v>0</v>
      </c>
      <c r="KJ153" s="115">
        <f>BW153*44/12+$IW153+$GZ153</f>
        <v>4.6053999013027838</v>
      </c>
      <c r="KK153" s="74"/>
      <c r="KL153" s="74"/>
      <c r="KM153" s="74"/>
      <c r="KN153" s="74"/>
      <c r="KO153" s="74"/>
      <c r="KP153" s="74"/>
      <c r="KQ153" s="74"/>
      <c r="KR153" s="74"/>
      <c r="KS153" s="74"/>
      <c r="KT153" s="115">
        <f>CK153*44/12+$IW153+$HN153</f>
        <v>7.5070627965388397</v>
      </c>
      <c r="LD153" s="115">
        <f>CY153*44/12+$IW153+$IB153</f>
        <v>2.9056647014270975</v>
      </c>
      <c r="LN153" s="115">
        <f>DM153*44/12+$IW153+$GZ153</f>
        <v>5.9400735351298151</v>
      </c>
      <c r="LX153" s="115">
        <f>EA153*44/12+$IW153+$HN153</f>
        <v>10.248334680652812</v>
      </c>
      <c r="MH153" s="115">
        <f>EO153*44/12+$IW153+$IB153</f>
        <v>6.4273279037096822</v>
      </c>
      <c r="NT153" s="31">
        <v>0.9</v>
      </c>
      <c r="NU153" s="31"/>
      <c r="NV153" s="32">
        <f>$NT153*NW153</f>
        <v>15.75</v>
      </c>
      <c r="NW153" s="9">
        <v>17.5</v>
      </c>
    </row>
    <row r="154" spans="1:494" x14ac:dyDescent="0.25">
      <c r="A154" s="37" t="s">
        <v>349</v>
      </c>
      <c r="B154" s="468">
        <f>C154*NT36/NT154</f>
        <v>9.1000000000000011E-2</v>
      </c>
      <c r="C154" s="141">
        <v>0.1</v>
      </c>
      <c r="D154" s="722">
        <f>C154*NW154/NW36</f>
        <v>0.18894230769230766</v>
      </c>
      <c r="V154" s="26">
        <f>W154/NT154</f>
        <v>6.4864864864864868</v>
      </c>
      <c r="W154" s="26">
        <f>C154/C153*W153</f>
        <v>6.4864864864864868</v>
      </c>
      <c r="X154" s="115"/>
      <c r="Y154" s="26">
        <f>W154*NW154/10^3</f>
        <v>0.25491891891891888</v>
      </c>
      <c r="Z154" s="26">
        <f>W154*OB154/10^3</f>
        <v>0.24</v>
      </c>
      <c r="AE154" s="115">
        <f>AB$36*$AN154/$C154</f>
        <v>12.411806932863653</v>
      </c>
      <c r="AF154" s="115"/>
      <c r="AG154" s="115">
        <f>AC$36*$AN154/$C154</f>
        <v>17.893667224003558</v>
      </c>
      <c r="AH154" s="115"/>
      <c r="AI154" s="115">
        <f>AD$36*$AN154/$C154</f>
        <v>9.2006444946117583</v>
      </c>
      <c r="AJ154" s="115"/>
      <c r="AK154" s="722">
        <f>Y154/(Y153+Y154+Y155)</f>
        <v>0.23610693902072694</v>
      </c>
      <c r="AL154" s="103">
        <v>0.621</v>
      </c>
      <c r="AM154" s="104">
        <f>V154*AL154/(V153*AL153+V154*AL154+V155*AL155)</f>
        <v>0.13223081836894032</v>
      </c>
      <c r="AN154" s="40">
        <f t="shared" si="39"/>
        <v>0.23610693902072694</v>
      </c>
      <c r="BV154" s="26">
        <f>BW154*$NT154</f>
        <v>1.9658933506970635</v>
      </c>
      <c r="BW154" s="115">
        <f>BP$36*$AN154/$C154</f>
        <v>1.9658933506970635</v>
      </c>
      <c r="BX154" s="677">
        <f>10^3*BW154/$OB154</f>
        <v>53.132252721542251</v>
      </c>
      <c r="CA154" s="74"/>
      <c r="CB154" s="74"/>
      <c r="CC154" s="74"/>
      <c r="CD154" s="115"/>
      <c r="CE154" s="115"/>
      <c r="CF154" s="115"/>
      <c r="CG154" s="115"/>
      <c r="CH154" s="115"/>
      <c r="CI154" s="74"/>
      <c r="CJ154" s="26">
        <f>CK154*$NT154</f>
        <v>3.6855956109336261</v>
      </c>
      <c r="CK154" s="115">
        <f>BQ$36*$AN154/$C154</f>
        <v>3.6855956109336261</v>
      </c>
      <c r="CL154" s="677">
        <f>10^3*CK154/$OB154</f>
        <v>99.610692187395301</v>
      </c>
      <c r="CX154" s="26">
        <f>CY154*$NT154</f>
        <v>0.95852668869476765</v>
      </c>
      <c r="CY154" s="115">
        <f>BR$36*$AN154/$C154</f>
        <v>0.95852668869476765</v>
      </c>
      <c r="CZ154" s="677">
        <f>10^3*CY154/$OB154</f>
        <v>25.906126721480209</v>
      </c>
      <c r="DA154" s="37"/>
      <c r="DB154" s="37"/>
      <c r="DF154" s="115"/>
      <c r="DG154" s="115"/>
      <c r="DH154" s="115"/>
      <c r="DI154" s="115"/>
      <c r="DJ154" s="115"/>
      <c r="DL154" s="26">
        <f>DM154*$NT154</f>
        <v>2.7833376178565805</v>
      </c>
      <c r="DM154" s="115">
        <f>BS$36*$AN154/$C154</f>
        <v>2.7833376178565805</v>
      </c>
      <c r="DN154" s="677">
        <f>10^3*DM154/$OB154</f>
        <v>75.225341023150818</v>
      </c>
      <c r="DO154" s="37"/>
      <c r="DP154" s="37"/>
      <c r="DT154" s="37"/>
      <c r="DU154" s="37"/>
      <c r="DV154" s="37"/>
      <c r="DW154" s="37"/>
      <c r="DX154" s="37"/>
      <c r="DZ154" s="26">
        <f>EA154*$NT154</f>
        <v>5.3645356376195341</v>
      </c>
      <c r="EA154" s="115">
        <f>BT$36*$AN154/$C154</f>
        <v>5.3645356376195341</v>
      </c>
      <c r="EB154" s="677">
        <f>10^3*EA154/$OB154</f>
        <v>144.9874496653928</v>
      </c>
      <c r="EN154" s="26">
        <f>EO154*$NT154</f>
        <v>3.1154310603784916</v>
      </c>
      <c r="EO154" s="115">
        <f>BU$36*$AN154/$C154</f>
        <v>3.1154310603784916</v>
      </c>
      <c r="EP154" s="677">
        <f>10^3*EO154/$OB154</f>
        <v>84.200839469688958</v>
      </c>
      <c r="EQ154" s="37"/>
      <c r="ER154" s="37"/>
      <c r="EV154" s="37"/>
      <c r="EW154" s="37"/>
      <c r="EX154" s="37"/>
      <c r="EY154" s="37"/>
      <c r="EZ154" s="37"/>
      <c r="FE154" s="26">
        <f>FF154*$NT154</f>
        <v>5.5796580361565118</v>
      </c>
      <c r="FF154" s="115">
        <f>FB$36*$AN154/$C154</f>
        <v>5.5796580361565118</v>
      </c>
      <c r="FG154" s="562">
        <f>10^3*FF154/$OB154</f>
        <v>150.80156854477059</v>
      </c>
      <c r="FH154" s="74"/>
      <c r="FK154" s="74"/>
      <c r="FL154" s="26"/>
      <c r="FR154" s="74"/>
      <c r="FS154" s="26">
        <f>FT154*$NT154</f>
        <v>10.754094001626138</v>
      </c>
      <c r="FT154" s="115">
        <f>FC$36*$AN154/$C154</f>
        <v>10.754094001626138</v>
      </c>
      <c r="FU154" s="562">
        <f>10^3*FT154/$OB154</f>
        <v>290.65118923313884</v>
      </c>
      <c r="FZ154" s="26"/>
      <c r="GG154" s="26">
        <f>GH154*$NT154</f>
        <v>2.5485785250074571</v>
      </c>
      <c r="GH154" s="115">
        <f>FD$36*$AN154/$C154</f>
        <v>2.5485785250074571</v>
      </c>
      <c r="GI154" s="562">
        <f>10^3*GH154/$OB154</f>
        <v>68.880500675877215</v>
      </c>
      <c r="GJ154" s="74"/>
      <c r="GM154" s="74"/>
      <c r="GN154" s="26"/>
      <c r="GT154" s="74"/>
      <c r="GU154" s="74"/>
      <c r="GV154" s="74"/>
      <c r="GW154" s="74"/>
      <c r="GX154" s="74"/>
      <c r="GY154" s="26">
        <f>GZ154*$NT154</f>
        <v>0.21881592446120593</v>
      </c>
      <c r="GZ154" s="127">
        <f>$AN154*GU$36/C154</f>
        <v>0.21881592446120593</v>
      </c>
      <c r="HA154" s="673">
        <f>10^3*GZ154/$OB154</f>
        <v>5.9139439043569171</v>
      </c>
      <c r="HB154" s="115"/>
      <c r="HD154" s="74"/>
      <c r="HE154" s="74"/>
      <c r="HF154" s="74"/>
      <c r="HG154" s="74"/>
      <c r="HH154" s="74"/>
      <c r="HI154" s="74"/>
      <c r="HJ154" s="74"/>
      <c r="HK154" s="74"/>
      <c r="HL154" s="74"/>
      <c r="HM154" s="115">
        <f>HN154*$NT154</f>
        <v>0.42954678641916194</v>
      </c>
      <c r="HN154" s="127">
        <f>$AN154*GV$36/C154</f>
        <v>0.42954678641916194</v>
      </c>
      <c r="HO154" s="73">
        <f>10^3*HN154/$OB154</f>
        <v>11.609372605923296</v>
      </c>
      <c r="HP154" s="115"/>
      <c r="IA154" s="115">
        <f>IB154*$NT154</f>
        <v>9.5374064844035378E-2</v>
      </c>
      <c r="IB154" s="127">
        <f>$AN154*GW$36/C154</f>
        <v>9.5374064844035378E-2</v>
      </c>
      <c r="IC154" s="73">
        <f>10^3*IB154/$OB154</f>
        <v>2.5776774282171724</v>
      </c>
      <c r="ID154" s="115"/>
      <c r="IE154" s="133"/>
      <c r="IV154" s="26">
        <f>IW154*$NT154</f>
        <v>2.9153208060990492</v>
      </c>
      <c r="IW154" s="115">
        <f>$AN154*JK152*$C153/$C154</f>
        <v>2.9153208060990492</v>
      </c>
      <c r="IX154" s="673">
        <f>10^3*IW154/$OB154</f>
        <v>78.792454218893226</v>
      </c>
      <c r="IY154" s="115"/>
      <c r="IZ154" s="73"/>
      <c r="JA154" s="115"/>
      <c r="JB154" s="115">
        <f>$IW154*JM152/$JK152</f>
        <v>1.6273266085229037</v>
      </c>
      <c r="JC154" s="115">
        <f>$IW154*JN152/$JK152</f>
        <v>1.2879941975761457</v>
      </c>
      <c r="JD154" s="115">
        <f>$IW154*JO152/$JK152</f>
        <v>0</v>
      </c>
      <c r="KJ154" s="115">
        <f>BW154*44/12+$IW154+$GZ154</f>
        <v>10.342412349782821</v>
      </c>
      <c r="KK154" s="74"/>
      <c r="KL154" s="74"/>
      <c r="KM154" s="74"/>
      <c r="KN154" s="74"/>
      <c r="KO154" s="74"/>
      <c r="KP154" s="74"/>
      <c r="KQ154" s="74"/>
      <c r="KR154" s="74"/>
      <c r="KS154" s="74"/>
      <c r="KT154" s="115">
        <f>CK154*44/12+$IW154+$HN154</f>
        <v>16.858718165941507</v>
      </c>
      <c r="LD154" s="115">
        <f>CY154*44/12+$IW154+$IB154</f>
        <v>6.525292729490566</v>
      </c>
      <c r="LN154" s="115">
        <f>DM154*44/12+$IW154+$GZ154</f>
        <v>13.339707996034383</v>
      </c>
      <c r="LX154" s="115">
        <f>EA154*44/12+$IW154+$HN154</f>
        <v>23.014831597123173</v>
      </c>
      <c r="MH154" s="115">
        <f>EO154*44/12+$IW154+$IB154</f>
        <v>14.433942092330886</v>
      </c>
      <c r="NT154" s="31">
        <v>1</v>
      </c>
      <c r="NU154" s="31"/>
      <c r="NV154" s="32">
        <f>$NT154*NW154</f>
        <v>39.299999999999997</v>
      </c>
      <c r="NW154" s="9">
        <v>39.299999999999997</v>
      </c>
      <c r="OA154" s="32">
        <f>$NT154*OB154</f>
        <v>37</v>
      </c>
      <c r="OB154" s="43">
        <v>37</v>
      </c>
      <c r="OC154" s="38"/>
      <c r="OD154" s="31"/>
      <c r="OE154" s="38">
        <f>$NT154*OF154</f>
        <v>1</v>
      </c>
      <c r="OF154" s="31">
        <v>1</v>
      </c>
      <c r="OG154" s="31"/>
    </row>
    <row r="155" spans="1:494" x14ac:dyDescent="0.25">
      <c r="A155" s="37" t="s">
        <v>350</v>
      </c>
      <c r="B155" s="53">
        <f>C155*NT36/NT155</f>
        <v>0.32355555555555554</v>
      </c>
      <c r="C155" s="141">
        <v>0.32</v>
      </c>
      <c r="D155" s="722">
        <f>C155*NW155/NW36</f>
        <v>0.3</v>
      </c>
      <c r="V155" s="55">
        <f>W155/NT155</f>
        <v>23.063063063063066</v>
      </c>
      <c r="W155" s="55">
        <f>C155/C153*W153</f>
        <v>20.756756756756758</v>
      </c>
      <c r="X155" s="115"/>
      <c r="Y155" s="26">
        <f>W155*NW155/10^3</f>
        <v>0.40475675675675676</v>
      </c>
      <c r="Z155" s="26"/>
      <c r="AA155" s="55">
        <f>W155*OD155</f>
        <v>9.7297297297297298</v>
      </c>
      <c r="AB155" s="55"/>
      <c r="AE155" s="115">
        <f>AB$36*$AN155/$C155</f>
        <v>6.1585301575277658</v>
      </c>
      <c r="AF155" s="115"/>
      <c r="AG155" s="115">
        <f>AC$36*$AN155/$C155</f>
        <v>8.8785371722155055</v>
      </c>
      <c r="AH155" s="115"/>
      <c r="AI155" s="115">
        <f>AD$36*$AN155/$C155</f>
        <v>4.5652052835859873</v>
      </c>
      <c r="AJ155" s="115"/>
      <c r="AK155" s="40">
        <f>1-AK153-AK154</f>
        <v>0.37488735355962749</v>
      </c>
      <c r="AL155" s="103">
        <v>0.27900000000000003</v>
      </c>
      <c r="AM155" s="722">
        <f>V155*AL155/(V153*AL153+V154*AL154+V155*AL155)</f>
        <v>0.21122861807083543</v>
      </c>
      <c r="AN155" s="40">
        <f t="shared" si="39"/>
        <v>0.37488735355962749</v>
      </c>
      <c r="BV155" s="26">
        <f>BW155*$NT155</f>
        <v>0.87789893905174199</v>
      </c>
      <c r="BW155" s="115">
        <f>BP$36*$AN155/$C155</f>
        <v>0.97544326561304662</v>
      </c>
      <c r="BY155" s="143">
        <f>BW155/$OD155</f>
        <v>2.0809456333078327</v>
      </c>
      <c r="CA155" s="74"/>
      <c r="CB155" s="74"/>
      <c r="CC155" s="74"/>
      <c r="CD155" s="115"/>
      <c r="CE155" s="115"/>
      <c r="CF155" s="115"/>
      <c r="CG155" s="115"/>
      <c r="CH155" s="115"/>
      <c r="CI155" s="74"/>
      <c r="CJ155" s="26">
        <f>CK155*$NT155</f>
        <v>1.6458575819818102</v>
      </c>
      <c r="CK155" s="115">
        <f>BQ$36*$AN155/$C155</f>
        <v>1.8287306466464557</v>
      </c>
      <c r="CM155" s="143">
        <f>CK155/$OD155</f>
        <v>3.9012920461791056</v>
      </c>
      <c r="CX155" s="26">
        <f>CY155*$NT155</f>
        <v>0.42804436098201454</v>
      </c>
      <c r="CY155" s="115">
        <f>BR$36*$AN155/$C155</f>
        <v>0.4756048455355717</v>
      </c>
      <c r="CZ155" s="37"/>
      <c r="DA155" s="143">
        <f>CY155/$OD155</f>
        <v>1.0146236704758862</v>
      </c>
      <c r="DB155" s="37"/>
      <c r="DF155" s="115"/>
      <c r="DG155" s="115"/>
      <c r="DH155" s="115"/>
      <c r="DI155" s="115"/>
      <c r="DJ155" s="115"/>
      <c r="DL155" s="26">
        <f>DM155*$NT155</f>
        <v>1.2429408446153432</v>
      </c>
      <c r="DM155" s="115">
        <f>BS$36*$AN155/$C155</f>
        <v>1.3810453829059368</v>
      </c>
      <c r="DN155" s="37"/>
      <c r="DO155" s="143">
        <f>DM155/$OD155</f>
        <v>2.946230150199332</v>
      </c>
      <c r="DP155" s="37"/>
      <c r="DT155" s="37"/>
      <c r="DU155" s="37"/>
      <c r="DV155" s="37"/>
      <c r="DW155" s="37"/>
      <c r="DX155" s="37"/>
      <c r="DZ155" s="26">
        <f>EA155*$NT155</f>
        <v>2.3956132427537615</v>
      </c>
      <c r="EA155" s="115">
        <f>BT$36*$AN155/$C155</f>
        <v>2.6617924919486238</v>
      </c>
      <c r="EC155" s="143">
        <f>EA155/$OD155</f>
        <v>5.6784906494903975</v>
      </c>
      <c r="EN155" s="26">
        <f>EO155*$NT155</f>
        <v>1.3912421147491738</v>
      </c>
      <c r="EO155" s="115">
        <f>BU$36*$AN155/$C155</f>
        <v>1.5458245719435264</v>
      </c>
      <c r="EP155" s="37"/>
      <c r="EQ155" s="143">
        <f>EO155/$OD155</f>
        <v>3.2977590868128561</v>
      </c>
      <c r="ER155" s="37"/>
      <c r="EV155" s="37"/>
      <c r="EW155" s="37"/>
      <c r="EX155" s="37"/>
      <c r="EY155" s="37"/>
      <c r="EZ155" s="37"/>
      <c r="FE155" s="26">
        <f>FF155*$NT155</f>
        <v>2.4916793520240907</v>
      </c>
      <c r="FF155" s="115">
        <f>FB$36*$AN155/$C155</f>
        <v>2.7685326133601009</v>
      </c>
      <c r="FH155" s="115">
        <f>FF155/$OD155</f>
        <v>5.9062029085015491</v>
      </c>
      <c r="FK155" s="74"/>
      <c r="FL155" s="26"/>
      <c r="FR155" s="74"/>
      <c r="FS155" s="26">
        <f>FT155*$NT155</f>
        <v>4.8024007564513669</v>
      </c>
      <c r="FT155" s="115">
        <f>FC$36*$AN155/$C155</f>
        <v>5.3360008405015185</v>
      </c>
      <c r="FV155" s="115">
        <f>FT155/$OD155</f>
        <v>11.383468459736573</v>
      </c>
      <c r="FZ155" s="26"/>
      <c r="GG155" s="26">
        <f>GH155*$NT155</f>
        <v>1.1381056771979865</v>
      </c>
      <c r="GH155" s="115">
        <f>FD$36*$AN155/$C155</f>
        <v>1.2645618635533182</v>
      </c>
      <c r="GJ155" s="115">
        <f>GH155/$OD155</f>
        <v>2.6977319755804121</v>
      </c>
      <c r="GM155" s="74"/>
      <c r="GN155" s="26"/>
      <c r="GT155" s="74"/>
      <c r="GU155" s="74"/>
      <c r="GV155" s="74"/>
      <c r="GW155" s="74"/>
      <c r="GX155" s="74"/>
      <c r="GY155" s="26">
        <f>GZ155*$NT155</f>
        <v>9.7715508251759911E-2</v>
      </c>
      <c r="GZ155" s="330">
        <f>$AN155*GU$36/C155</f>
        <v>0.10857278694639989</v>
      </c>
      <c r="HB155" s="115">
        <f>GZ155/$OD155</f>
        <v>0.2316219454856531</v>
      </c>
      <c r="HD155" s="115"/>
      <c r="HE155" s="74"/>
      <c r="HF155" s="74"/>
      <c r="HG155" s="74"/>
      <c r="HH155" s="74"/>
      <c r="HI155" s="74"/>
      <c r="HJ155" s="74"/>
      <c r="HK155" s="74"/>
      <c r="HL155" s="74"/>
      <c r="HM155" s="115">
        <f>HN155*$NT155</f>
        <v>0.19182051149252652</v>
      </c>
      <c r="HN155" s="127">
        <f>$AN155*GV$36/C155</f>
        <v>0.2131339016583628</v>
      </c>
      <c r="HP155" s="115">
        <f>HN155/$OD155</f>
        <v>0.45468565687117396</v>
      </c>
      <c r="HR155" s="115"/>
      <c r="IA155" s="115">
        <f>IB155*$NT155</f>
        <v>4.2590708346382206E-2</v>
      </c>
      <c r="IB155" s="127">
        <f>$AN155*GW$36/C155</f>
        <v>4.7323009273758009E-2</v>
      </c>
      <c r="IC155" s="133"/>
      <c r="ID155" s="115">
        <f>IB155/$OD155</f>
        <v>0.10095575311735042</v>
      </c>
      <c r="IE155" s="133"/>
      <c r="IF155" s="115"/>
      <c r="IV155" s="26">
        <f>IW155*$NT155</f>
        <v>1.3018799019602625</v>
      </c>
      <c r="IW155" s="91">
        <f>$AN155*JK152*$C153/$C155</f>
        <v>1.4465332244002915</v>
      </c>
      <c r="IY155" s="115">
        <f>IW155/$OD155</f>
        <v>3.0859375453872886</v>
      </c>
      <c r="JA155" s="115"/>
      <c r="JB155" s="115">
        <f>$IW155*JM152/$JK152</f>
        <v>0.807452133999914</v>
      </c>
      <c r="JC155" s="115">
        <f>$IW155*JN152/$JK152</f>
        <v>0.63908109040037753</v>
      </c>
      <c r="JD155" s="115">
        <f>$IW155*JO152/$JK152</f>
        <v>0</v>
      </c>
      <c r="KJ155" s="115">
        <f>BW155*44/12+$IW155+$GZ155</f>
        <v>5.1317313185945297</v>
      </c>
      <c r="KK155" s="74"/>
      <c r="KL155" s="74"/>
      <c r="KM155" s="143">
        <f>KJ155/$OD155</f>
        <v>10.947693479668329</v>
      </c>
      <c r="KN155" s="74"/>
      <c r="KO155" s="74"/>
      <c r="KP155" s="74"/>
      <c r="KQ155" s="74"/>
      <c r="KR155" s="74"/>
      <c r="KS155" s="74"/>
      <c r="KT155" s="115">
        <f>CK155*44/12+$IW155+$HN155</f>
        <v>8.3650128304289915</v>
      </c>
      <c r="KW155" s="143">
        <f>KT155/$OD155</f>
        <v>17.845360704915183</v>
      </c>
      <c r="LD155" s="115">
        <f>CY155*44/12+$IW155+$IB155</f>
        <v>3.2377406673044793</v>
      </c>
      <c r="LG155" s="143">
        <f>LD155/$OD155</f>
        <v>6.9071800902495557</v>
      </c>
      <c r="LN155" s="115">
        <f>DM155*44/12+$IW155+$GZ155</f>
        <v>6.618939082001793</v>
      </c>
      <c r="LQ155" s="143">
        <f>LN155/$OD155</f>
        <v>14.120403374937158</v>
      </c>
      <c r="LX155" s="115">
        <f>EA155*44/12+$IW155+$HN155</f>
        <v>11.419572929870276</v>
      </c>
      <c r="MA155" s="143">
        <f>LX155/$OD155</f>
        <v>24.361755583723255</v>
      </c>
      <c r="MH155" s="115">
        <f>EO155*44/12+$IW155+$IB155</f>
        <v>7.1618796641336475</v>
      </c>
      <c r="MK155" s="143">
        <f>MH155/$OD155</f>
        <v>15.278676616818448</v>
      </c>
      <c r="NT155" s="31">
        <v>0.9</v>
      </c>
      <c r="NU155" s="31"/>
      <c r="NV155" s="32">
        <f>$NT155*NW155</f>
        <v>17.55</v>
      </c>
      <c r="NW155" s="9">
        <v>19.5</v>
      </c>
      <c r="OC155" s="38">
        <f>$NT155*OD155</f>
        <v>0.421875</v>
      </c>
      <c r="OD155" s="40">
        <f>OD36/C155</f>
        <v>0.46875</v>
      </c>
      <c r="OE155" s="38"/>
      <c r="OF155" s="31"/>
    </row>
    <row r="156" spans="1:494" x14ac:dyDescent="0.25">
      <c r="A156" s="37" t="s">
        <v>351</v>
      </c>
      <c r="B156" s="468"/>
      <c r="C156" s="69">
        <f>1-C153-C154-C155</f>
        <v>0.21000000000000002</v>
      </c>
      <c r="D156" s="722"/>
      <c r="AE156" s="115"/>
      <c r="AF156" s="115"/>
      <c r="AG156" s="115"/>
      <c r="AH156" s="115"/>
      <c r="AI156" s="115"/>
      <c r="AJ156" s="115"/>
      <c r="AK156" s="40"/>
      <c r="AN156" s="69">
        <f>1-AN153-AN154-AN155</f>
        <v>0</v>
      </c>
      <c r="BW156" s="26"/>
      <c r="CA156" s="74"/>
      <c r="CB156" s="74"/>
      <c r="CC156" s="74"/>
      <c r="CD156" s="115"/>
      <c r="CE156" s="115"/>
      <c r="CF156" s="115"/>
      <c r="CG156" s="115"/>
      <c r="CH156" s="115"/>
      <c r="CI156" s="74"/>
      <c r="CK156" s="26"/>
      <c r="CX156" s="37"/>
      <c r="CY156" s="26"/>
      <c r="CZ156" s="37"/>
      <c r="DA156" s="37"/>
      <c r="DB156" s="37"/>
      <c r="DF156" s="115"/>
      <c r="DG156" s="115"/>
      <c r="DH156" s="115"/>
      <c r="DI156" s="115"/>
      <c r="DJ156" s="115"/>
      <c r="DL156" s="37"/>
      <c r="DN156" s="37"/>
      <c r="DO156" s="37"/>
      <c r="DP156" s="37"/>
      <c r="DT156" s="37"/>
      <c r="DU156" s="37"/>
      <c r="DV156" s="37"/>
      <c r="DW156" s="37"/>
      <c r="DX156" s="37"/>
      <c r="EA156" s="74"/>
      <c r="EN156" s="37"/>
      <c r="EP156" s="37"/>
      <c r="EQ156" s="37"/>
      <c r="ER156" s="37"/>
      <c r="EV156" s="37"/>
      <c r="EW156" s="37"/>
      <c r="EX156" s="37"/>
      <c r="EY156" s="37"/>
      <c r="EZ156" s="37"/>
      <c r="FH156" s="74"/>
      <c r="FK156" s="74"/>
      <c r="FL156" s="74"/>
      <c r="FR156" s="74"/>
      <c r="GJ156" s="74"/>
      <c r="GM156" s="74"/>
      <c r="GN156" s="74"/>
      <c r="GT156" s="74"/>
      <c r="GU156" s="74"/>
      <c r="GV156" s="74"/>
      <c r="GW156" s="74"/>
      <c r="GX156" s="74"/>
      <c r="KJ156" s="74"/>
      <c r="KK156" s="74"/>
      <c r="KL156" s="74"/>
      <c r="KM156" s="74"/>
      <c r="KN156" s="74"/>
      <c r="KO156" s="74"/>
      <c r="KP156" s="74"/>
      <c r="KQ156" s="74"/>
      <c r="KR156" s="74"/>
      <c r="KS156" s="74"/>
    </row>
    <row r="157" spans="1:494" x14ac:dyDescent="0.25">
      <c r="AF157" s="74"/>
      <c r="AG157" s="74"/>
      <c r="BW157" s="26"/>
      <c r="CA157" s="74"/>
      <c r="CB157" s="74"/>
      <c r="CC157" s="74"/>
      <c r="CD157" s="115"/>
      <c r="CE157" s="115"/>
      <c r="CF157" s="115"/>
      <c r="CG157" s="115"/>
      <c r="CH157" s="115"/>
      <c r="CI157" s="74"/>
      <c r="CK157" s="26"/>
      <c r="CX157" s="37"/>
      <c r="CY157" s="26"/>
      <c r="CZ157" s="37"/>
      <c r="DA157" s="37"/>
      <c r="DB157" s="37"/>
      <c r="DF157" s="115"/>
      <c r="DG157" s="115"/>
      <c r="DH157" s="115"/>
      <c r="DI157" s="115"/>
      <c r="DJ157" s="115"/>
      <c r="DL157" s="37"/>
      <c r="DN157" s="37"/>
      <c r="DO157" s="37"/>
      <c r="DP157" s="37"/>
      <c r="DT157" s="37"/>
      <c r="DU157" s="37"/>
      <c r="DV157" s="37"/>
      <c r="DW157" s="37"/>
      <c r="DX157" s="37"/>
      <c r="EA157" s="74"/>
      <c r="EN157" s="37"/>
      <c r="EP157" s="37"/>
      <c r="EQ157" s="37"/>
      <c r="ER157" s="37"/>
      <c r="EV157" s="37"/>
      <c r="EW157" s="37"/>
      <c r="EX157" s="37"/>
      <c r="EY157" s="37"/>
      <c r="EZ157" s="37"/>
      <c r="FH157" s="74"/>
      <c r="FK157" s="74"/>
      <c r="FL157" s="74"/>
      <c r="FR157" s="74"/>
      <c r="GJ157" s="74"/>
      <c r="GM157" s="74"/>
      <c r="GN157" s="74"/>
      <c r="GT157" s="74"/>
      <c r="GU157" s="74"/>
      <c r="GV157" s="74"/>
      <c r="GW157" s="74"/>
      <c r="GX157" s="74"/>
      <c r="KJ157" s="74"/>
      <c r="KK157" s="74"/>
      <c r="KL157" s="74"/>
      <c r="KM157" s="74"/>
      <c r="KN157" s="74"/>
      <c r="KO157" s="74"/>
      <c r="KP157" s="74"/>
      <c r="KQ157" s="74"/>
      <c r="KR157" s="74"/>
      <c r="KS157" s="74"/>
    </row>
    <row r="158" spans="1:494" x14ac:dyDescent="0.25">
      <c r="AF158" s="74"/>
      <c r="AG158" s="74"/>
      <c r="BW158" s="26"/>
      <c r="CA158" s="74"/>
      <c r="CB158" s="74"/>
      <c r="CC158" s="74"/>
      <c r="CD158" s="115"/>
      <c r="CE158" s="115"/>
      <c r="CF158" s="115"/>
      <c r="CG158" s="115"/>
      <c r="CH158" s="115"/>
      <c r="CI158" s="74"/>
      <c r="CK158" s="26"/>
      <c r="CX158" s="37"/>
      <c r="CY158" s="26"/>
      <c r="CZ158" s="37"/>
      <c r="DA158" s="37"/>
      <c r="DB158" s="37"/>
      <c r="DF158" s="115"/>
      <c r="DG158" s="115"/>
      <c r="DH158" s="115"/>
      <c r="DI158" s="115"/>
      <c r="DJ158" s="115"/>
      <c r="DL158" s="37"/>
      <c r="DN158" s="37"/>
      <c r="DO158" s="37"/>
      <c r="DP158" s="37"/>
      <c r="DT158" s="37"/>
      <c r="DU158" s="37"/>
      <c r="DV158" s="37"/>
      <c r="DW158" s="37"/>
      <c r="DX158" s="37"/>
      <c r="EA158" s="74"/>
      <c r="EN158" s="37"/>
      <c r="EP158" s="37"/>
      <c r="EQ158" s="37"/>
      <c r="ER158" s="37"/>
      <c r="EV158" s="37"/>
      <c r="EW158" s="37"/>
      <c r="EX158" s="37"/>
      <c r="EY158" s="37"/>
      <c r="EZ158" s="37"/>
      <c r="FH158" s="74"/>
      <c r="FK158" s="74"/>
      <c r="FL158" s="74"/>
      <c r="FR158" s="74"/>
      <c r="GJ158" s="74"/>
      <c r="GM158" s="74"/>
      <c r="GN158" s="74"/>
      <c r="GT158" s="74"/>
      <c r="GU158" s="74"/>
      <c r="GV158" s="74"/>
      <c r="GW158" s="74"/>
      <c r="GX158" s="74"/>
      <c r="KJ158" s="74"/>
      <c r="KK158" s="74"/>
      <c r="KL158" s="74"/>
      <c r="KM158" s="74"/>
      <c r="KN158" s="74"/>
      <c r="KO158" s="74"/>
      <c r="KP158" s="74"/>
      <c r="KQ158" s="74"/>
      <c r="KR158" s="74"/>
      <c r="KS158" s="74"/>
    </row>
    <row r="159" spans="1:494" x14ac:dyDescent="0.25">
      <c r="AF159" s="74"/>
      <c r="AG159" s="74"/>
      <c r="BW159" s="26"/>
      <c r="CA159" s="74"/>
      <c r="CB159" s="74"/>
      <c r="CC159" s="74"/>
      <c r="CD159" s="115"/>
      <c r="CE159" s="115"/>
      <c r="CF159" s="115"/>
      <c r="CG159" s="115"/>
      <c r="CH159" s="115"/>
      <c r="CI159" s="74"/>
      <c r="CK159" s="26"/>
      <c r="CX159" s="37"/>
      <c r="CY159" s="26"/>
      <c r="CZ159" s="37"/>
      <c r="DA159" s="37"/>
      <c r="DB159" s="37"/>
      <c r="DF159" s="115"/>
      <c r="DG159" s="115"/>
      <c r="DH159" s="115"/>
      <c r="DI159" s="115"/>
      <c r="DJ159" s="115"/>
      <c r="DL159" s="37"/>
      <c r="DN159" s="37"/>
      <c r="DO159" s="37"/>
      <c r="DP159" s="37"/>
      <c r="DT159" s="37"/>
      <c r="DU159" s="37"/>
      <c r="DV159" s="37"/>
      <c r="DW159" s="37"/>
      <c r="DX159" s="37"/>
      <c r="EA159" s="74"/>
      <c r="EN159" s="37"/>
      <c r="EP159" s="37"/>
      <c r="EQ159" s="37"/>
      <c r="ER159" s="37"/>
      <c r="EV159" s="37"/>
      <c r="EW159" s="37"/>
      <c r="EX159" s="37"/>
      <c r="EY159" s="37"/>
      <c r="EZ159" s="37"/>
      <c r="FH159" s="74"/>
      <c r="FK159" s="74"/>
      <c r="FL159" s="74"/>
      <c r="FR159" s="74"/>
      <c r="GJ159" s="74"/>
      <c r="GM159" s="74"/>
      <c r="GN159" s="74"/>
      <c r="GT159" s="74"/>
      <c r="GU159" s="74"/>
      <c r="GV159" s="74"/>
      <c r="GW159" s="74"/>
      <c r="GX159" s="74"/>
      <c r="KJ159" s="74"/>
      <c r="KK159" s="74"/>
      <c r="KL159" s="74"/>
      <c r="KM159" s="74"/>
      <c r="KN159" s="74"/>
      <c r="KO159" s="74"/>
      <c r="KP159" s="74"/>
      <c r="KQ159" s="74"/>
      <c r="KR159" s="74"/>
      <c r="KS159" s="74"/>
    </row>
    <row r="160" spans="1:494" x14ac:dyDescent="0.25">
      <c r="AF160" s="74"/>
      <c r="AG160" s="74"/>
      <c r="BW160" s="26"/>
      <c r="CA160" s="74"/>
      <c r="CB160" s="74"/>
      <c r="CC160" s="74"/>
      <c r="CD160" s="115"/>
      <c r="CE160" s="115"/>
      <c r="CF160" s="115"/>
      <c r="CG160" s="115"/>
      <c r="CH160" s="115"/>
      <c r="CI160" s="74"/>
      <c r="CK160" s="26"/>
      <c r="CX160" s="37"/>
      <c r="CY160" s="26"/>
      <c r="CZ160" s="37"/>
      <c r="DA160" s="37"/>
      <c r="DB160" s="37"/>
      <c r="DF160" s="115"/>
      <c r="DG160" s="115"/>
      <c r="DH160" s="115"/>
      <c r="DI160" s="115"/>
      <c r="DJ160" s="115"/>
      <c r="DL160" s="37"/>
      <c r="DN160" s="37"/>
      <c r="DO160" s="37"/>
      <c r="DP160" s="37"/>
      <c r="DT160" s="37"/>
      <c r="DU160" s="37"/>
      <c r="DV160" s="37"/>
      <c r="DW160" s="37"/>
      <c r="DX160" s="37"/>
      <c r="EA160" s="74"/>
      <c r="EN160" s="37"/>
      <c r="EP160" s="37"/>
      <c r="EQ160" s="37"/>
      <c r="ER160" s="37"/>
      <c r="EV160" s="37"/>
      <c r="EW160" s="37"/>
      <c r="EX160" s="37"/>
      <c r="EY160" s="37"/>
      <c r="EZ160" s="37"/>
      <c r="FH160" s="74"/>
      <c r="FK160" s="74"/>
      <c r="FL160" s="74"/>
      <c r="FR160" s="74"/>
      <c r="GJ160" s="74"/>
      <c r="GM160" s="74"/>
      <c r="GN160" s="74"/>
      <c r="GT160" s="74"/>
      <c r="GU160" s="74"/>
      <c r="GV160" s="74"/>
      <c r="GW160" s="74"/>
      <c r="GX160" s="74"/>
      <c r="KJ160" s="74"/>
      <c r="KK160" s="74"/>
      <c r="KL160" s="74"/>
      <c r="KM160" s="74"/>
      <c r="KN160" s="74"/>
      <c r="KO160" s="74"/>
      <c r="KP160" s="74"/>
      <c r="KQ160" s="74"/>
      <c r="KR160" s="74"/>
      <c r="KS160" s="74"/>
    </row>
    <row r="161" spans="32:305" x14ac:dyDescent="0.25">
      <c r="AF161" s="74"/>
      <c r="AG161" s="74"/>
      <c r="BW161" s="26"/>
      <c r="CA161" s="74"/>
      <c r="CB161" s="74"/>
      <c r="CC161" s="74"/>
      <c r="CD161" s="115"/>
      <c r="CE161" s="115"/>
      <c r="CF161" s="115"/>
      <c r="CG161" s="115"/>
      <c r="CH161" s="115"/>
      <c r="CI161" s="74"/>
      <c r="CK161" s="26"/>
      <c r="CX161" s="37"/>
      <c r="CY161" s="26"/>
      <c r="CZ161" s="37"/>
      <c r="DA161" s="37"/>
      <c r="DB161" s="37"/>
      <c r="DF161" s="115"/>
      <c r="DG161" s="115"/>
      <c r="DH161" s="115"/>
      <c r="DI161" s="115"/>
      <c r="DJ161" s="115"/>
      <c r="DL161" s="37"/>
      <c r="DN161" s="37"/>
      <c r="DO161" s="37"/>
      <c r="DP161" s="37"/>
      <c r="DT161" s="37"/>
      <c r="DU161" s="37"/>
      <c r="DV161" s="37"/>
      <c r="DW161" s="37"/>
      <c r="DX161" s="37"/>
      <c r="EA161" s="74"/>
      <c r="EN161" s="37"/>
      <c r="EP161" s="37"/>
      <c r="EQ161" s="37"/>
      <c r="ER161" s="37"/>
      <c r="EV161" s="37"/>
      <c r="EW161" s="37"/>
      <c r="EX161" s="37"/>
      <c r="EY161" s="37"/>
      <c r="EZ161" s="37"/>
      <c r="FH161" s="74"/>
      <c r="FK161" s="74"/>
      <c r="FL161" s="74"/>
      <c r="FR161" s="74"/>
      <c r="GJ161" s="74"/>
      <c r="GM161" s="74"/>
      <c r="GN161" s="74"/>
      <c r="GT161" s="74"/>
      <c r="GU161" s="74"/>
      <c r="GV161" s="74"/>
      <c r="GW161" s="74"/>
      <c r="GX161" s="74"/>
      <c r="KJ161" s="74"/>
      <c r="KK161" s="74"/>
      <c r="KL161" s="74"/>
      <c r="KM161" s="74"/>
      <c r="KN161" s="74"/>
      <c r="KO161" s="74"/>
      <c r="KP161" s="74"/>
      <c r="KQ161" s="74"/>
      <c r="KR161" s="74"/>
      <c r="KS161" s="74"/>
    </row>
    <row r="162" spans="32:305" x14ac:dyDescent="0.25">
      <c r="AG162" s="74"/>
      <c r="BW162" s="26"/>
      <c r="CA162" s="74"/>
      <c r="CB162" s="74"/>
      <c r="CC162" s="74"/>
      <c r="CD162" s="115"/>
      <c r="CE162" s="115"/>
      <c r="CF162" s="115"/>
      <c r="CG162" s="115"/>
      <c r="CH162" s="115"/>
      <c r="CI162" s="74"/>
      <c r="CK162" s="26"/>
      <c r="CX162" s="37"/>
      <c r="CY162" s="26"/>
      <c r="CZ162" s="37"/>
      <c r="DA162" s="37"/>
      <c r="DB162" s="37"/>
      <c r="DF162" s="115"/>
      <c r="DG162" s="115"/>
      <c r="DH162" s="115"/>
      <c r="DI162" s="115"/>
      <c r="DJ162" s="115"/>
      <c r="EA162" s="74"/>
      <c r="KJ162" s="74"/>
      <c r="KK162" s="74"/>
      <c r="KL162" s="74"/>
      <c r="KM162" s="74"/>
      <c r="KN162" s="74"/>
      <c r="KO162" s="74"/>
      <c r="KP162" s="74"/>
      <c r="KQ162" s="74"/>
      <c r="KR162" s="74"/>
      <c r="KS162" s="74"/>
    </row>
    <row r="163" spans="32:305" x14ac:dyDescent="0.25">
      <c r="AG163" s="74"/>
      <c r="CK163" s="26"/>
      <c r="EA163" s="74"/>
      <c r="KJ163" s="74"/>
      <c r="KK163" s="74"/>
      <c r="KL163" s="74"/>
      <c r="KM163" s="74"/>
      <c r="KN163" s="74"/>
      <c r="KO163" s="74"/>
      <c r="KP163" s="74"/>
      <c r="KQ163" s="74"/>
      <c r="KR163" s="74"/>
      <c r="KS163" s="74"/>
    </row>
    <row r="164" spans="32:305" x14ac:dyDescent="0.25">
      <c r="AG164" s="74"/>
      <c r="CK164" s="26"/>
      <c r="EA164" s="74"/>
      <c r="KJ164" s="74"/>
      <c r="KK164" s="74"/>
      <c r="KL164" s="74"/>
      <c r="KM164" s="74"/>
      <c r="KN164" s="74"/>
      <c r="KO164" s="74"/>
      <c r="KP164" s="74"/>
      <c r="KQ164" s="74"/>
      <c r="KR164" s="74"/>
      <c r="KS164" s="74"/>
    </row>
    <row r="165" spans="32:305" x14ac:dyDescent="0.25">
      <c r="AG165" s="74"/>
      <c r="CK165" s="26"/>
      <c r="EA165" s="74"/>
      <c r="KJ165" s="74"/>
      <c r="KK165" s="74"/>
      <c r="KL165" s="74"/>
      <c r="KM165" s="74"/>
      <c r="KN165" s="74"/>
      <c r="KO165" s="74"/>
      <c r="KP165" s="74"/>
      <c r="KQ165" s="74"/>
      <c r="KR165" s="74"/>
      <c r="KS165" s="74"/>
    </row>
    <row r="166" spans="32:305" x14ac:dyDescent="0.25">
      <c r="AG166" s="74"/>
      <c r="CK166" s="26"/>
      <c r="KJ166" s="74"/>
      <c r="KK166" s="74"/>
      <c r="KL166" s="74"/>
      <c r="KM166" s="74"/>
      <c r="KN166" s="74"/>
      <c r="KO166" s="74"/>
      <c r="KP166" s="74"/>
      <c r="KQ166" s="74"/>
      <c r="KR166" s="74"/>
      <c r="KS166" s="74"/>
    </row>
    <row r="167" spans="32:305" x14ac:dyDescent="0.25">
      <c r="AG167" s="74"/>
      <c r="CK167" s="26"/>
      <c r="KJ167" s="74"/>
      <c r="KK167" s="74"/>
      <c r="KL167" s="74"/>
      <c r="KM167" s="74"/>
      <c r="KN167" s="74"/>
      <c r="KO167" s="74"/>
      <c r="KP167" s="74"/>
      <c r="KQ167" s="74"/>
      <c r="KR167" s="74"/>
      <c r="KS167" s="74"/>
    </row>
    <row r="168" spans="32:305" x14ac:dyDescent="0.25">
      <c r="AG168" s="74"/>
      <c r="KJ168" s="74"/>
      <c r="KK168" s="74"/>
      <c r="KL168" s="74"/>
      <c r="KM168" s="74"/>
      <c r="KN168" s="74"/>
      <c r="KO168" s="74"/>
      <c r="KP168" s="74"/>
      <c r="KQ168" s="74"/>
      <c r="KR168" s="74"/>
      <c r="KS168" s="74"/>
    </row>
    <row r="169" spans="32:305" x14ac:dyDescent="0.25">
      <c r="KJ169" s="74"/>
      <c r="KK169" s="74"/>
      <c r="KL169" s="74"/>
      <c r="KM169" s="74"/>
      <c r="KN169" s="74"/>
      <c r="KO169" s="74"/>
      <c r="KP169" s="74"/>
      <c r="KQ169" s="74"/>
      <c r="KR169" s="74"/>
      <c r="KS169" s="74"/>
    </row>
    <row r="170" spans="32:305" x14ac:dyDescent="0.25">
      <c r="KJ170" s="74"/>
      <c r="KK170" s="74"/>
      <c r="KL170" s="74"/>
      <c r="KM170" s="74"/>
      <c r="KN170" s="74"/>
      <c r="KO170" s="74"/>
      <c r="KP170" s="74"/>
      <c r="KQ170" s="74"/>
      <c r="KR170" s="74"/>
      <c r="KS170" s="74"/>
    </row>
    <row r="171" spans="32:305" x14ac:dyDescent="0.25">
      <c r="KJ171" s="74"/>
      <c r="KK171" s="74"/>
      <c r="KL171" s="74"/>
      <c r="KM171" s="74"/>
      <c r="KN171" s="74"/>
      <c r="KO171" s="74"/>
      <c r="KP171" s="74"/>
      <c r="KQ171" s="74"/>
      <c r="KR171" s="74"/>
      <c r="KS171" s="74"/>
    </row>
    <row r="172" spans="32:305" x14ac:dyDescent="0.25">
      <c r="KJ172" s="74"/>
      <c r="KK172" s="74"/>
      <c r="KL172" s="74"/>
      <c r="KM172" s="74"/>
      <c r="KN172" s="74"/>
      <c r="KO172" s="74"/>
      <c r="KP172" s="74"/>
      <c r="KQ172" s="74"/>
      <c r="KR172" s="74"/>
      <c r="KS172" s="74"/>
    </row>
    <row r="173" spans="32:305" x14ac:dyDescent="0.25">
      <c r="KJ173" s="74"/>
      <c r="KK173" s="74"/>
      <c r="KL173" s="74"/>
      <c r="KM173" s="74"/>
      <c r="KN173" s="74"/>
      <c r="KO173" s="74"/>
      <c r="KP173" s="74"/>
      <c r="KQ173" s="74"/>
      <c r="KR173" s="74"/>
      <c r="KS173" s="74"/>
    </row>
    <row r="174" spans="32:305" x14ac:dyDescent="0.25">
      <c r="KJ174" s="74"/>
      <c r="KK174" s="74"/>
      <c r="KL174" s="74"/>
      <c r="KM174" s="74"/>
      <c r="KN174" s="74"/>
      <c r="KO174" s="74"/>
      <c r="KP174" s="74"/>
      <c r="KQ174" s="74"/>
      <c r="KR174" s="74"/>
      <c r="KS174" s="74"/>
    </row>
    <row r="175" spans="32:305" x14ac:dyDescent="0.25">
      <c r="KJ175" s="74"/>
      <c r="KK175" s="74"/>
      <c r="KL175" s="74"/>
      <c r="KM175" s="74"/>
      <c r="KN175" s="74"/>
      <c r="KO175" s="74"/>
      <c r="KP175" s="74"/>
      <c r="KQ175" s="74"/>
      <c r="KR175" s="74"/>
      <c r="KS175" s="74"/>
    </row>
    <row r="176" spans="32:305" x14ac:dyDescent="0.25">
      <c r="KJ176" s="74"/>
      <c r="KK176" s="74"/>
      <c r="KL176" s="74"/>
      <c r="KM176" s="74"/>
      <c r="KN176" s="74"/>
      <c r="KO176" s="74"/>
      <c r="KP176" s="74"/>
      <c r="KQ176" s="74"/>
      <c r="KR176" s="74"/>
      <c r="KS176" s="74"/>
    </row>
    <row r="177" spans="296:305" x14ac:dyDescent="0.25">
      <c r="KJ177" s="74"/>
      <c r="KK177" s="74"/>
      <c r="KL177" s="74"/>
      <c r="KM177" s="74"/>
      <c r="KN177" s="74"/>
      <c r="KO177" s="74"/>
      <c r="KP177" s="74"/>
      <c r="KQ177" s="74"/>
      <c r="KR177" s="74"/>
      <c r="KS177" s="74"/>
    </row>
    <row r="178" spans="296:305" x14ac:dyDescent="0.25">
      <c r="KJ178" s="74"/>
      <c r="KK178" s="74"/>
      <c r="KL178" s="74"/>
      <c r="KM178" s="74"/>
      <c r="KN178" s="74"/>
      <c r="KO178" s="74"/>
      <c r="KP178" s="74"/>
      <c r="KQ178" s="74"/>
      <c r="KR178" s="74"/>
      <c r="KS178" s="74"/>
    </row>
    <row r="179" spans="296:305" x14ac:dyDescent="0.25">
      <c r="KJ179" s="74"/>
      <c r="KK179" s="74"/>
      <c r="KL179" s="74"/>
      <c r="KM179" s="74"/>
      <c r="KN179" s="74"/>
      <c r="KO179" s="74"/>
      <c r="KP179" s="74"/>
      <c r="KQ179" s="74"/>
      <c r="KR179" s="74"/>
      <c r="KS179" s="74"/>
    </row>
    <row r="180" spans="296:305" x14ac:dyDescent="0.25">
      <c r="KJ180" s="74"/>
      <c r="KK180" s="74"/>
      <c r="KL180" s="74"/>
      <c r="KM180" s="74"/>
      <c r="KN180" s="74"/>
      <c r="KO180" s="74"/>
      <c r="KP180" s="74"/>
      <c r="KQ180" s="74"/>
      <c r="KR180" s="74"/>
      <c r="KS180" s="74"/>
    </row>
    <row r="181" spans="296:305" x14ac:dyDescent="0.25">
      <c r="KJ181" s="74"/>
      <c r="KK181" s="74"/>
      <c r="KL181" s="74"/>
      <c r="KM181" s="74"/>
      <c r="KN181" s="74"/>
      <c r="KO181" s="74"/>
      <c r="KP181" s="74"/>
      <c r="KQ181" s="74"/>
      <c r="KR181" s="74"/>
      <c r="KS181" s="74"/>
    </row>
    <row r="182" spans="296:305" x14ac:dyDescent="0.25">
      <c r="KJ182" s="74"/>
      <c r="KK182" s="74"/>
      <c r="KL182" s="74"/>
      <c r="KM182" s="74"/>
      <c r="KN182" s="74"/>
      <c r="KO182" s="74"/>
      <c r="KP182" s="74"/>
      <c r="KQ182" s="74"/>
      <c r="KR182" s="74"/>
      <c r="KS182" s="74"/>
    </row>
    <row r="183" spans="296:305" x14ac:dyDescent="0.25">
      <c r="KJ183" s="74"/>
      <c r="KK183" s="74"/>
      <c r="KL183" s="74"/>
      <c r="KM183" s="74"/>
      <c r="KN183" s="74"/>
      <c r="KO183" s="74"/>
      <c r="KP183" s="74"/>
      <c r="KQ183" s="74"/>
      <c r="KR183" s="74"/>
      <c r="KS183" s="74"/>
    </row>
    <row r="184" spans="296:305" x14ac:dyDescent="0.25">
      <c r="KJ184" s="74"/>
      <c r="KK184" s="74"/>
      <c r="KL184" s="74"/>
      <c r="KM184" s="74"/>
      <c r="KN184" s="74"/>
      <c r="KO184" s="74"/>
      <c r="KP184" s="74"/>
      <c r="KQ184" s="74"/>
      <c r="KR184" s="74"/>
      <c r="KS184" s="74"/>
    </row>
    <row r="185" spans="296:305" x14ac:dyDescent="0.25">
      <c r="KJ185" s="74"/>
      <c r="KK185" s="74"/>
      <c r="KL185" s="74"/>
      <c r="KM185" s="74"/>
      <c r="KN185" s="74"/>
      <c r="KO185" s="74"/>
      <c r="KP185" s="74"/>
      <c r="KQ185" s="74"/>
      <c r="KR185" s="74"/>
      <c r="KS185" s="74"/>
    </row>
    <row r="186" spans="296:305" x14ac:dyDescent="0.25">
      <c r="KJ186" s="74"/>
      <c r="KK186" s="74"/>
      <c r="KL186" s="74"/>
      <c r="KM186" s="74"/>
      <c r="KN186" s="74"/>
      <c r="KO186" s="74"/>
      <c r="KP186" s="74"/>
      <c r="KQ186" s="74"/>
      <c r="KR186" s="74"/>
      <c r="KS186" s="74"/>
    </row>
    <row r="187" spans="296:305" x14ac:dyDescent="0.25">
      <c r="KJ187" s="74"/>
      <c r="KK187" s="74"/>
      <c r="KL187" s="74"/>
      <c r="KM187" s="74"/>
      <c r="KN187" s="74"/>
      <c r="KO187" s="74"/>
      <c r="KP187" s="74"/>
      <c r="KQ187" s="74"/>
      <c r="KR187" s="74"/>
      <c r="KS187" s="74"/>
    </row>
    <row r="188" spans="296:305" x14ac:dyDescent="0.25">
      <c r="KJ188" s="74"/>
      <c r="KK188" s="74"/>
      <c r="KL188" s="74"/>
      <c r="KM188" s="74"/>
      <c r="KN188" s="74"/>
      <c r="KO188" s="74"/>
      <c r="KP188" s="74"/>
      <c r="KQ188" s="74"/>
      <c r="KR188" s="74"/>
      <c r="KS188" s="74"/>
    </row>
    <row r="189" spans="296:305" x14ac:dyDescent="0.25">
      <c r="KJ189" s="74"/>
      <c r="KK189" s="74"/>
      <c r="KL189" s="74"/>
      <c r="KM189" s="74"/>
      <c r="KN189" s="74"/>
      <c r="KO189" s="74"/>
      <c r="KP189" s="74"/>
      <c r="KQ189" s="74"/>
      <c r="KR189" s="74"/>
      <c r="KS189" s="74"/>
    </row>
    <row r="190" spans="296:305" x14ac:dyDescent="0.25">
      <c r="KJ190" s="74"/>
      <c r="KK190" s="74"/>
      <c r="KL190" s="74"/>
      <c r="KM190" s="74"/>
      <c r="KN190" s="74"/>
      <c r="KO190" s="74"/>
      <c r="KP190" s="74"/>
      <c r="KQ190" s="74"/>
      <c r="KR190" s="74"/>
      <c r="KS190" s="74"/>
    </row>
    <row r="191" spans="296:305" x14ac:dyDescent="0.25">
      <c r="KJ191" s="74"/>
      <c r="KK191" s="74"/>
      <c r="KL191" s="74"/>
      <c r="KM191" s="74"/>
      <c r="KN191" s="74"/>
      <c r="KO191" s="74"/>
      <c r="KP191" s="74"/>
      <c r="KQ191" s="74"/>
      <c r="KR191" s="74"/>
      <c r="KS191" s="74"/>
    </row>
    <row r="192" spans="296:305" x14ac:dyDescent="0.25">
      <c r="KJ192" s="74"/>
      <c r="KK192" s="74"/>
      <c r="KL192" s="74"/>
      <c r="KM192" s="74"/>
      <c r="KN192" s="74"/>
      <c r="KO192" s="74"/>
      <c r="KP192" s="74"/>
      <c r="KQ192" s="74"/>
      <c r="KR192" s="74"/>
      <c r="KS192" s="74"/>
    </row>
    <row r="193" spans="296:305" x14ac:dyDescent="0.25">
      <c r="KJ193" s="74"/>
      <c r="KK193" s="74"/>
      <c r="KL193" s="74"/>
      <c r="KM193" s="74"/>
      <c r="KN193" s="74"/>
      <c r="KO193" s="74"/>
      <c r="KP193" s="74"/>
      <c r="KQ193" s="74"/>
      <c r="KR193" s="74"/>
      <c r="KS193" s="74"/>
    </row>
    <row r="194" spans="296:305" x14ac:dyDescent="0.25">
      <c r="KJ194" s="74"/>
      <c r="KK194" s="74"/>
      <c r="KL194" s="74"/>
      <c r="KM194" s="74"/>
      <c r="KN194" s="74"/>
      <c r="KO194" s="74"/>
      <c r="KP194" s="74"/>
      <c r="KQ194" s="74"/>
      <c r="KR194" s="74"/>
      <c r="KS194" s="74"/>
    </row>
    <row r="195" spans="296:305" x14ac:dyDescent="0.25">
      <c r="KJ195" s="74"/>
      <c r="KK195" s="74"/>
      <c r="KL195" s="74"/>
      <c r="KM195" s="74"/>
      <c r="KN195" s="74"/>
      <c r="KO195" s="74"/>
      <c r="KP195" s="74"/>
      <c r="KQ195" s="74"/>
      <c r="KR195" s="74"/>
      <c r="KS195" s="74"/>
    </row>
    <row r="196" spans="296:305" x14ac:dyDescent="0.25">
      <c r="KJ196" s="74"/>
      <c r="KK196" s="74"/>
      <c r="KL196" s="74"/>
      <c r="KM196" s="74"/>
      <c r="KN196" s="74"/>
      <c r="KO196" s="74"/>
      <c r="KP196" s="74"/>
      <c r="KQ196" s="74"/>
      <c r="KR196" s="74"/>
      <c r="KS196" s="74"/>
    </row>
    <row r="197" spans="296:305" x14ac:dyDescent="0.25">
      <c r="KJ197" s="74"/>
      <c r="KK197" s="74"/>
      <c r="KL197" s="74"/>
      <c r="KM197" s="74"/>
      <c r="KN197" s="74"/>
      <c r="KO197" s="74"/>
      <c r="KP197" s="74"/>
      <c r="KQ197" s="74"/>
      <c r="KR197" s="74"/>
      <c r="KS197" s="74"/>
    </row>
    <row r="198" spans="296:305" x14ac:dyDescent="0.25">
      <c r="KJ198" s="74"/>
      <c r="KK198" s="74"/>
      <c r="KL198" s="74"/>
      <c r="KM198" s="74"/>
      <c r="KN198" s="74"/>
      <c r="KO198" s="74"/>
      <c r="KP198" s="74"/>
      <c r="KQ198" s="74"/>
      <c r="KR198" s="74"/>
      <c r="KS198" s="74"/>
    </row>
  </sheetData>
  <printOptions gridLines="1"/>
  <pageMargins left="0.31496062992125984" right="0.31496062992125984" top="0.35433070866141736" bottom="0.35433070866141736" header="0.31496062992125984" footer="0.31496062992125984"/>
  <pageSetup paperSize="8" scale="85" orientation="landscape"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TN198"/>
  <sheetViews>
    <sheetView zoomScaleNormal="100" workbookViewId="0">
      <pane xSplit="1" ySplit="7" topLeftCell="B69" activePane="bottomRight" state="frozen"/>
      <selection sqref="A1:XFD1048576"/>
      <selection pane="topRight" sqref="A1:XFD1048576"/>
      <selection pane="bottomLeft" sqref="A1:XFD1048576"/>
      <selection pane="bottomRight" activeCell="J84" sqref="J84"/>
    </sheetView>
  </sheetViews>
  <sheetFormatPr defaultColWidth="9.109375" defaultRowHeight="12" x14ac:dyDescent="0.25"/>
  <cols>
    <col min="1" max="1" width="27.6640625" style="37" customWidth="1"/>
    <col min="2" max="3" width="6.33203125" style="37" customWidth="1"/>
    <col min="4" max="4" width="6.33203125" style="40" customWidth="1"/>
    <col min="5" max="6" width="5.6640625" style="74" customWidth="1"/>
    <col min="7" max="8" width="6.6640625" style="74" customWidth="1"/>
    <col min="9" max="10" width="6.109375" style="74" customWidth="1"/>
    <col min="11" max="13" width="5.109375" style="74" customWidth="1"/>
    <col min="14" max="14" width="6.33203125" style="37" customWidth="1"/>
    <col min="15" max="21" width="5.33203125" style="37" customWidth="1"/>
    <col min="22" max="23" width="4.6640625" style="37" customWidth="1"/>
    <col min="24" max="24" width="4.6640625" style="74" customWidth="1"/>
    <col min="25" max="27" width="4.6640625" style="37" customWidth="1"/>
    <col min="28" max="33" width="6.6640625" style="37" customWidth="1"/>
    <col min="34" max="36" width="6.6640625" style="74" customWidth="1"/>
    <col min="37" max="40" width="6.6640625" style="37" customWidth="1"/>
    <col min="41" max="51" width="5.33203125" style="37" customWidth="1"/>
    <col min="52" max="54" width="7.6640625" style="74" customWidth="1"/>
    <col min="55" max="55" width="9.33203125" style="74" bestFit="1" customWidth="1"/>
    <col min="56" max="61" width="5.33203125" style="74" customWidth="1"/>
    <col min="62" max="67" width="5.33203125" style="37" customWidth="1"/>
    <col min="68" max="73" width="7.6640625" style="37" customWidth="1"/>
    <col min="74" max="92" width="4.6640625" style="37" customWidth="1"/>
    <col min="93" max="95" width="4.6640625" style="74" customWidth="1"/>
    <col min="96" max="100" width="4.6640625" style="115" customWidth="1"/>
    <col min="101" max="129" width="4.6640625" style="74" customWidth="1"/>
    <col min="130" max="134" width="4.6640625" style="37" customWidth="1"/>
    <col min="135" max="137" width="4.6640625" style="74" customWidth="1"/>
    <col min="138" max="142" width="4.6640625" style="37" customWidth="1"/>
    <col min="143" max="157" width="4.6640625" style="74" customWidth="1"/>
    <col min="158" max="160" width="5.6640625" style="37" customWidth="1"/>
    <col min="161" max="177" width="4.6640625" style="37" customWidth="1"/>
    <col min="178" max="178" width="4.6640625" style="74" customWidth="1"/>
    <col min="179" max="180" width="4.6640625" style="37" customWidth="1"/>
    <col min="181" max="182" width="4.6640625" style="74" customWidth="1"/>
    <col min="183" max="187" width="4.6640625" style="37" customWidth="1"/>
    <col min="188" max="188" width="4.6640625" style="74" customWidth="1"/>
    <col min="189" max="202" width="4.6640625" style="37" customWidth="1"/>
    <col min="203" max="205" width="5.33203125" style="37" customWidth="1"/>
    <col min="206" max="206" width="8.33203125" style="37" customWidth="1"/>
    <col min="207" max="223" width="5.33203125" style="133" customWidth="1"/>
    <col min="224" max="224" width="5.33203125" style="74" customWidth="1"/>
    <col min="225" max="225" width="5.33203125" style="133" customWidth="1"/>
    <col min="226" max="226" width="5.33203125" style="74" customWidth="1"/>
    <col min="227" max="248" width="4.6640625" style="74" customWidth="1"/>
    <col min="249" max="249" width="5.33203125" style="115" customWidth="1"/>
    <col min="250" max="252" width="6.33203125" style="115" customWidth="1"/>
    <col min="253" max="255" width="5.33203125" style="115" customWidth="1"/>
    <col min="256" max="256" width="4.5546875" style="37" customWidth="1"/>
    <col min="257" max="272" width="4.5546875" style="74" customWidth="1"/>
    <col min="273" max="275" width="4.5546875" style="133" customWidth="1"/>
    <col min="276" max="276" width="8" style="133" bestFit="1" customWidth="1"/>
    <col min="277" max="289" width="4.5546875" style="74" customWidth="1"/>
    <col min="290" max="295" width="4.5546875" style="133" customWidth="1"/>
    <col min="296" max="305" width="4.6640625" style="133" customWidth="1"/>
    <col min="306" max="355" width="4.6640625" style="74" customWidth="1"/>
    <col min="356" max="356" width="7.6640625" style="74" customWidth="1"/>
    <col min="357" max="380" width="5.33203125" style="74" customWidth="1"/>
    <col min="381" max="383" width="7.6640625" style="74" customWidth="1"/>
    <col min="384" max="473" width="5.6640625" style="37" customWidth="1"/>
    <col min="474" max="476" width="8.33203125" style="37" customWidth="1"/>
    <col min="477" max="478" width="6.33203125" style="37" customWidth="1"/>
    <col min="479" max="480" width="4.6640625" style="54" customWidth="1"/>
    <col min="481" max="488" width="5.6640625" style="37" customWidth="1"/>
    <col min="489" max="494" width="6.6640625" style="179" customWidth="1"/>
    <col min="495" max="535" width="5.6640625" style="37" customWidth="1"/>
    <col min="536" max="16384" width="9.109375" style="37"/>
  </cols>
  <sheetData>
    <row r="1" spans="1:534" s="17" customFormat="1" ht="20.100000000000001" customHeight="1" x14ac:dyDescent="0.3">
      <c r="A1" s="17" t="s">
        <v>995</v>
      </c>
      <c r="D1" s="699"/>
      <c r="E1" s="513"/>
      <c r="F1" s="513"/>
      <c r="G1" s="513"/>
      <c r="H1" s="513"/>
      <c r="I1" s="513"/>
      <c r="J1" s="513"/>
      <c r="K1" s="513"/>
      <c r="L1" s="513"/>
      <c r="M1" s="513"/>
      <c r="N1" s="113"/>
      <c r="O1" s="113"/>
      <c r="P1" s="113"/>
      <c r="Q1" s="113"/>
      <c r="R1" s="113"/>
      <c r="S1" s="113"/>
      <c r="T1" s="113"/>
      <c r="U1" s="113"/>
      <c r="V1" s="113"/>
      <c r="W1" s="113"/>
      <c r="X1" s="513"/>
      <c r="Y1" s="113"/>
      <c r="Z1" s="113"/>
      <c r="AA1" s="113"/>
      <c r="AB1" s="113"/>
      <c r="AC1" s="113"/>
      <c r="AD1" s="113"/>
      <c r="AE1" s="113"/>
      <c r="AF1" s="113"/>
      <c r="AG1" s="113"/>
      <c r="AH1" s="513"/>
      <c r="AI1" s="513"/>
      <c r="AJ1" s="513"/>
      <c r="AK1" s="113"/>
      <c r="AL1" s="113"/>
      <c r="AM1" s="113"/>
      <c r="AN1" s="113"/>
      <c r="AO1" s="113"/>
      <c r="AP1" s="113"/>
      <c r="AQ1" s="113"/>
      <c r="AR1" s="113"/>
      <c r="AS1" s="113"/>
      <c r="AT1" s="700"/>
      <c r="AU1" s="513"/>
      <c r="AV1" s="513"/>
      <c r="AW1" s="513"/>
      <c r="AX1" s="513"/>
      <c r="AY1" s="513"/>
      <c r="AZ1" s="513"/>
      <c r="BA1" s="513"/>
      <c r="BB1" s="513"/>
      <c r="BC1" s="513"/>
      <c r="BD1" s="513"/>
      <c r="BE1" s="513"/>
      <c r="BF1" s="513"/>
      <c r="BG1" s="513"/>
      <c r="BH1" s="513"/>
      <c r="BI1" s="513"/>
      <c r="BJ1" s="513"/>
      <c r="BK1" s="513"/>
      <c r="BL1" s="513"/>
      <c r="BM1" s="513"/>
      <c r="BN1" s="513"/>
      <c r="BO1" s="513"/>
      <c r="BP1" s="513"/>
      <c r="BQ1" s="513"/>
      <c r="BR1" s="513"/>
      <c r="BS1" s="701"/>
      <c r="BT1" s="701"/>
      <c r="BU1" s="701"/>
      <c r="BV1" s="701"/>
      <c r="BW1" s="701"/>
      <c r="BX1" s="701"/>
      <c r="BY1" s="701"/>
      <c r="BZ1" s="701"/>
      <c r="CA1" s="701"/>
      <c r="CB1" s="701"/>
      <c r="CC1" s="58"/>
      <c r="CD1" s="58"/>
      <c r="CE1" s="58"/>
      <c r="CF1" s="58"/>
      <c r="CG1" s="701"/>
      <c r="CH1" s="701"/>
      <c r="CI1" s="701"/>
      <c r="CJ1" s="58"/>
      <c r="CK1" s="513"/>
      <c r="CL1" s="513"/>
      <c r="CM1" s="513"/>
      <c r="CN1" s="701"/>
      <c r="CO1" s="701"/>
      <c r="CP1" s="701"/>
      <c r="CQ1" s="701"/>
      <c r="CR1" s="702"/>
      <c r="CS1" s="702"/>
      <c r="CT1" s="702"/>
      <c r="CU1" s="702"/>
      <c r="CV1" s="702"/>
      <c r="CW1" s="701"/>
      <c r="CX1" s="701"/>
      <c r="CY1" s="701"/>
      <c r="CZ1" s="701"/>
      <c r="DA1" s="701"/>
      <c r="DB1" s="701"/>
      <c r="DC1" s="701"/>
      <c r="DD1" s="701"/>
      <c r="DE1" s="701"/>
      <c r="DF1" s="701"/>
      <c r="DG1" s="701"/>
      <c r="DH1" s="701"/>
      <c r="DI1" s="701"/>
      <c r="DJ1" s="701"/>
      <c r="DK1" s="701"/>
      <c r="DL1" s="513"/>
      <c r="DM1" s="513"/>
      <c r="DN1" s="513"/>
      <c r="DO1" s="513"/>
      <c r="DP1" s="513"/>
      <c r="DQ1" s="513"/>
      <c r="DR1" s="513"/>
      <c r="DS1" s="58"/>
      <c r="DT1" s="58"/>
      <c r="DU1" s="58"/>
      <c r="DV1" s="58"/>
      <c r="DW1" s="513"/>
      <c r="DX1" s="513"/>
      <c r="DY1" s="513"/>
      <c r="DZ1" s="58"/>
      <c r="EA1" s="58"/>
      <c r="EB1" s="513"/>
      <c r="EC1" s="513"/>
      <c r="ED1" s="513"/>
      <c r="EE1" s="701"/>
      <c r="EF1" s="701"/>
      <c r="EG1" s="701"/>
      <c r="EH1" s="58"/>
      <c r="EI1" s="513"/>
      <c r="EJ1" s="513"/>
      <c r="EK1" s="513"/>
      <c r="EL1" s="513"/>
      <c r="EM1" s="701"/>
      <c r="EN1" s="513"/>
      <c r="EO1" s="513"/>
      <c r="EP1" s="513"/>
      <c r="EQ1" s="513"/>
      <c r="ER1" s="513"/>
      <c r="ES1" s="513"/>
      <c r="ET1" s="513"/>
      <c r="EU1" s="513"/>
      <c r="EV1" s="513"/>
      <c r="EW1" s="513"/>
      <c r="EX1" s="513"/>
      <c r="EY1" s="513"/>
      <c r="EZ1" s="513"/>
      <c r="FA1" s="513"/>
      <c r="FB1" s="513"/>
      <c r="FC1" s="513"/>
      <c r="FD1" s="513"/>
      <c r="FE1" s="513"/>
      <c r="FF1" s="513"/>
      <c r="FG1" s="513"/>
      <c r="FH1" s="513"/>
      <c r="FI1" s="513"/>
      <c r="FJ1" s="513"/>
      <c r="FK1" s="513"/>
      <c r="FL1" s="513"/>
      <c r="FM1" s="513"/>
      <c r="FN1" s="513"/>
      <c r="FO1" s="513"/>
      <c r="FP1" s="513"/>
      <c r="FQ1" s="513"/>
      <c r="FR1" s="513"/>
      <c r="FS1" s="513"/>
      <c r="FT1" s="513"/>
      <c r="FU1" s="513"/>
      <c r="FV1" s="58"/>
      <c r="FW1" s="513"/>
      <c r="FX1" s="513"/>
      <c r="FY1" s="701"/>
      <c r="FZ1" s="513"/>
      <c r="GA1" s="513"/>
      <c r="GB1" s="513"/>
      <c r="GC1" s="513"/>
      <c r="GD1" s="513"/>
      <c r="GE1" s="513"/>
      <c r="GF1" s="701"/>
      <c r="GG1" s="513"/>
      <c r="GH1" s="513"/>
      <c r="GI1" s="513"/>
      <c r="GJ1" s="513"/>
      <c r="GK1" s="513"/>
      <c r="GL1" s="513"/>
      <c r="GM1" s="513"/>
      <c r="GN1" s="513"/>
      <c r="GO1" s="513"/>
      <c r="GP1" s="513"/>
      <c r="GQ1" s="513"/>
      <c r="GR1" s="513"/>
      <c r="GS1" s="513"/>
      <c r="GT1" s="513"/>
      <c r="GU1" s="513"/>
      <c r="GV1" s="513"/>
      <c r="GW1" s="513"/>
      <c r="GX1" s="513"/>
      <c r="GY1" s="58"/>
      <c r="GZ1" s="58"/>
      <c r="HA1" s="58"/>
      <c r="HB1" s="58"/>
      <c r="HC1" s="58"/>
      <c r="HD1" s="58"/>
      <c r="HE1" s="58"/>
      <c r="HF1" s="701"/>
      <c r="HG1" s="701"/>
      <c r="HH1" s="701"/>
      <c r="HI1" s="701"/>
      <c r="HJ1" s="701"/>
      <c r="HK1" s="701"/>
      <c r="HL1" s="701"/>
      <c r="HM1" s="58"/>
      <c r="HN1" s="58"/>
      <c r="HO1" s="58"/>
      <c r="HP1" s="513"/>
      <c r="HQ1" s="58"/>
      <c r="HR1" s="513"/>
      <c r="HS1" s="701"/>
      <c r="HT1" s="701"/>
      <c r="HU1" s="701"/>
      <c r="HV1" s="701"/>
      <c r="HW1" s="701"/>
      <c r="HX1" s="701"/>
      <c r="HY1" s="701"/>
      <c r="HZ1" s="701"/>
      <c r="IA1" s="701"/>
      <c r="IB1" s="701"/>
      <c r="IC1" s="701"/>
      <c r="ID1" s="701"/>
      <c r="IE1" s="701"/>
      <c r="IF1" s="701"/>
      <c r="IG1" s="701"/>
      <c r="IH1" s="701"/>
      <c r="II1" s="701"/>
      <c r="IJ1" s="701"/>
      <c r="IK1" s="701"/>
      <c r="IL1" s="701"/>
      <c r="IM1" s="701"/>
      <c r="IN1" s="701"/>
      <c r="IO1" s="701"/>
      <c r="IP1" s="701"/>
      <c r="IQ1" s="701"/>
      <c r="IR1" s="701"/>
      <c r="IS1" s="701"/>
      <c r="IT1" s="701"/>
      <c r="IU1" s="701"/>
      <c r="IV1" s="701"/>
      <c r="IW1" s="513"/>
      <c r="IX1" s="513"/>
      <c r="IY1" s="513"/>
      <c r="IZ1" s="513"/>
      <c r="JA1" s="701"/>
      <c r="JB1" s="513"/>
      <c r="JC1" s="513"/>
      <c r="JD1" s="513"/>
      <c r="JE1" s="513"/>
      <c r="JF1" s="513"/>
      <c r="JG1" s="513"/>
      <c r="JH1" s="513"/>
      <c r="JI1" s="513"/>
      <c r="JJ1" s="701"/>
      <c r="JK1" s="513"/>
      <c r="JL1" s="513"/>
      <c r="JM1" s="176"/>
      <c r="JN1" s="176"/>
      <c r="JO1" s="176"/>
      <c r="JP1" s="176"/>
      <c r="JQ1" s="513"/>
      <c r="JR1" s="513"/>
      <c r="JS1" s="58"/>
      <c r="JT1" s="58"/>
      <c r="JU1" s="58"/>
      <c r="JV1" s="58"/>
      <c r="JW1" s="58"/>
      <c r="JX1" s="58"/>
      <c r="JY1" s="58"/>
      <c r="JZ1" s="58"/>
      <c r="KA1" s="58"/>
      <c r="KB1" s="58"/>
      <c r="KC1" s="58"/>
      <c r="KD1" s="58"/>
      <c r="KE1" s="58"/>
      <c r="KF1" s="58"/>
      <c r="KG1" s="58"/>
      <c r="KH1" s="58"/>
      <c r="KI1" s="58"/>
      <c r="KJ1" s="58"/>
      <c r="KK1" s="58"/>
      <c r="KL1" s="58"/>
      <c r="KM1" s="58"/>
      <c r="KN1" s="58"/>
      <c r="KO1" s="58"/>
      <c r="KP1" s="58"/>
      <c r="KQ1" s="58"/>
      <c r="KR1" s="58"/>
      <c r="KS1" s="58"/>
      <c r="KT1" s="703"/>
      <c r="KU1" s="58"/>
      <c r="KV1" s="58"/>
      <c r="KW1" s="58"/>
      <c r="KX1" s="701"/>
      <c r="KY1" s="58"/>
      <c r="KZ1" s="58"/>
      <c r="LA1" s="58"/>
      <c r="LB1" s="58"/>
      <c r="LC1" s="701"/>
      <c r="LD1" s="701"/>
      <c r="LE1" s="701"/>
      <c r="LF1" s="701"/>
      <c r="LG1" s="701"/>
      <c r="LH1" s="701"/>
      <c r="LI1" s="58"/>
      <c r="LJ1" s="701"/>
      <c r="LK1" s="701"/>
      <c r="LL1" s="701"/>
      <c r="LM1" s="701"/>
      <c r="LN1" s="513"/>
      <c r="LO1" s="513"/>
      <c r="LP1" s="513"/>
      <c r="LQ1" s="513"/>
      <c r="LR1" s="513"/>
      <c r="LS1" s="513"/>
      <c r="LT1" s="513"/>
      <c r="LU1" s="513"/>
      <c r="LV1" s="513"/>
      <c r="LW1" s="513"/>
      <c r="LX1" s="58"/>
      <c r="LY1" s="58"/>
      <c r="LZ1" s="58"/>
      <c r="MA1" s="58"/>
      <c r="MB1" s="701"/>
      <c r="MC1" s="58"/>
      <c r="MD1" s="58"/>
      <c r="ME1" s="58"/>
      <c r="MF1" s="58"/>
      <c r="MG1" s="701"/>
      <c r="MH1" s="513"/>
      <c r="MI1" s="513"/>
      <c r="MJ1" s="513"/>
      <c r="MK1" s="513"/>
      <c r="ML1" s="513"/>
      <c r="MM1" s="513"/>
      <c r="MN1" s="513"/>
      <c r="MO1" s="513"/>
      <c r="MP1" s="513"/>
      <c r="MQ1" s="513"/>
      <c r="MR1" s="58"/>
      <c r="MS1" s="58"/>
      <c r="MT1" s="58"/>
      <c r="MU1" s="58"/>
      <c r="MV1" s="58"/>
      <c r="MX1" s="20"/>
      <c r="MY1" s="20"/>
      <c r="MZ1" s="20"/>
      <c r="NA1" s="20"/>
      <c r="NB1" s="20"/>
      <c r="NC1" s="20"/>
      <c r="ND1" s="20"/>
      <c r="NE1" s="513"/>
      <c r="NF1" s="513"/>
      <c r="NG1" s="513"/>
      <c r="NH1" s="513"/>
      <c r="NI1" s="20"/>
      <c r="NK1" s="20"/>
      <c r="NL1" s="20"/>
      <c r="NM1" s="20"/>
      <c r="NN1" s="20"/>
      <c r="NO1" s="20"/>
      <c r="NP1" s="20"/>
      <c r="NQ1" s="58"/>
      <c r="NR1" s="65"/>
      <c r="NS1" s="65"/>
      <c r="NT1" s="559"/>
      <c r="NU1" s="20"/>
      <c r="NV1" s="20"/>
      <c r="NW1" s="20"/>
      <c r="NX1" s="20"/>
      <c r="RV1" s="271"/>
      <c r="RW1" s="271"/>
      <c r="RX1" s="271"/>
      <c r="RY1" s="271"/>
      <c r="RZ1" s="271"/>
      <c r="SA1" s="271"/>
    </row>
    <row r="2" spans="1:534" s="19" customFormat="1" ht="18" customHeight="1" x14ac:dyDescent="0.3">
      <c r="A2" s="19" t="s">
        <v>87</v>
      </c>
      <c r="B2" s="18" t="s">
        <v>250</v>
      </c>
      <c r="C2" s="18"/>
      <c r="D2" s="704"/>
      <c r="E2" s="18"/>
      <c r="F2" s="18"/>
      <c r="G2" s="18"/>
      <c r="H2" s="18"/>
      <c r="I2" s="18"/>
      <c r="J2" s="18"/>
      <c r="K2" s="18"/>
      <c r="L2" s="18"/>
      <c r="M2" s="18"/>
      <c r="N2" s="18" t="s">
        <v>168</v>
      </c>
      <c r="O2" s="18"/>
      <c r="P2" s="18"/>
      <c r="Q2" s="18"/>
      <c r="R2" s="18"/>
      <c r="S2" s="18"/>
      <c r="T2" s="18"/>
      <c r="U2" s="18"/>
      <c r="V2" s="18" t="s">
        <v>979</v>
      </c>
      <c r="W2" s="18"/>
      <c r="X2" s="18"/>
      <c r="Y2" s="18"/>
      <c r="Z2" s="18"/>
      <c r="AA2" s="18"/>
      <c r="AB2" s="18" t="s">
        <v>329</v>
      </c>
      <c r="AC2" s="18"/>
      <c r="AD2" s="18"/>
      <c r="AE2" s="18"/>
      <c r="AF2" s="18"/>
      <c r="AG2" s="18"/>
      <c r="AH2" s="18"/>
      <c r="AI2" s="18"/>
      <c r="AJ2" s="18"/>
      <c r="AK2" s="18" t="s">
        <v>796</v>
      </c>
      <c r="AL2" s="18"/>
      <c r="AM2" s="18"/>
      <c r="AN2" s="18"/>
      <c r="AO2" s="18"/>
      <c r="AP2" s="18"/>
      <c r="AQ2" s="18"/>
      <c r="AR2" s="18"/>
      <c r="AS2" s="18"/>
      <c r="AT2" s="18"/>
      <c r="AU2" s="18"/>
      <c r="AV2" s="18"/>
      <c r="AW2" s="18"/>
      <c r="AX2" s="18"/>
      <c r="AY2" s="18"/>
      <c r="AZ2" s="18"/>
      <c r="BA2" s="18"/>
      <c r="BB2" s="18"/>
      <c r="BC2" s="18"/>
      <c r="BD2" s="18"/>
      <c r="BE2" s="18"/>
      <c r="BF2" s="18"/>
      <c r="BG2" s="18"/>
      <c r="BH2" s="18"/>
      <c r="BI2" s="18"/>
      <c r="BJ2" s="18"/>
      <c r="BK2" s="18"/>
      <c r="BL2" s="18"/>
      <c r="BM2" s="18"/>
      <c r="BN2" s="18"/>
      <c r="BO2" s="18"/>
      <c r="BP2" s="619" t="s">
        <v>459</v>
      </c>
      <c r="BQ2" s="619"/>
      <c r="BR2" s="619"/>
      <c r="BS2" s="619"/>
      <c r="BT2" s="619"/>
      <c r="BU2" s="619"/>
      <c r="BV2" s="619" t="s">
        <v>345</v>
      </c>
      <c r="BW2" s="619"/>
      <c r="BX2" s="619"/>
      <c r="BY2" s="619"/>
      <c r="BZ2" s="619"/>
      <c r="CA2" s="619"/>
      <c r="CB2" s="619"/>
      <c r="CC2" s="619"/>
      <c r="CD2" s="619"/>
      <c r="CE2" s="619"/>
      <c r="CF2" s="619"/>
      <c r="CG2" s="619"/>
      <c r="CH2" s="619"/>
      <c r="CI2" s="619"/>
      <c r="CJ2" s="619"/>
      <c r="CK2" s="619"/>
      <c r="CL2" s="619"/>
      <c r="CM2" s="619"/>
      <c r="CN2" s="619"/>
      <c r="CO2" s="619"/>
      <c r="CP2" s="619"/>
      <c r="CQ2" s="619"/>
      <c r="CR2" s="619"/>
      <c r="CS2" s="619"/>
      <c r="CT2" s="619"/>
      <c r="CU2" s="619"/>
      <c r="CV2" s="619"/>
      <c r="CW2" s="619"/>
      <c r="CX2" s="619"/>
      <c r="CY2" s="619"/>
      <c r="CZ2" s="619"/>
      <c r="DA2" s="619"/>
      <c r="DB2" s="619"/>
      <c r="DC2" s="619"/>
      <c r="DD2" s="619"/>
      <c r="DE2" s="619"/>
      <c r="DF2" s="619"/>
      <c r="DG2" s="619"/>
      <c r="DH2" s="619"/>
      <c r="DI2" s="619"/>
      <c r="DJ2" s="619"/>
      <c r="DK2" s="619"/>
      <c r="DL2" s="619"/>
      <c r="DM2" s="619"/>
      <c r="DN2" s="619"/>
      <c r="DO2" s="619"/>
      <c r="DP2" s="619"/>
      <c r="DQ2" s="619"/>
      <c r="DR2" s="619"/>
      <c r="DS2" s="619"/>
      <c r="DT2" s="619"/>
      <c r="DU2" s="619"/>
      <c r="DV2" s="619"/>
      <c r="DW2" s="619"/>
      <c r="DX2" s="619"/>
      <c r="DY2" s="619"/>
      <c r="DZ2" s="619"/>
      <c r="EA2" s="619"/>
      <c r="EB2" s="619"/>
      <c r="EC2" s="619"/>
      <c r="ED2" s="619"/>
      <c r="EE2" s="619"/>
      <c r="EF2" s="619"/>
      <c r="EG2" s="619"/>
      <c r="EH2" s="619"/>
      <c r="EI2" s="619"/>
      <c r="EJ2" s="619"/>
      <c r="EK2" s="619"/>
      <c r="EL2" s="619"/>
      <c r="EM2" s="619"/>
      <c r="EN2" s="619"/>
      <c r="EO2" s="619"/>
      <c r="EP2" s="619"/>
      <c r="EQ2" s="619"/>
      <c r="ER2" s="619"/>
      <c r="ES2" s="619"/>
      <c r="ET2" s="619"/>
      <c r="EU2" s="619"/>
      <c r="EV2" s="619"/>
      <c r="EW2" s="619"/>
      <c r="EX2" s="619"/>
      <c r="EY2" s="619"/>
      <c r="EZ2" s="619"/>
      <c r="FA2" s="619"/>
      <c r="FB2" s="517" t="s">
        <v>62</v>
      </c>
      <c r="FC2" s="517"/>
      <c r="FD2" s="517"/>
      <c r="FE2" s="517"/>
      <c r="FF2" s="517"/>
      <c r="FG2" s="517"/>
      <c r="FH2" s="517"/>
      <c r="FI2" s="517"/>
      <c r="FJ2" s="517"/>
      <c r="FK2" s="517"/>
      <c r="FL2" s="517"/>
      <c r="FM2" s="517"/>
      <c r="FN2" s="517"/>
      <c r="FO2" s="517"/>
      <c r="FP2" s="517"/>
      <c r="FQ2" s="517"/>
      <c r="FR2" s="517"/>
      <c r="FS2" s="517"/>
      <c r="FT2" s="517"/>
      <c r="FU2" s="517"/>
      <c r="FV2" s="517"/>
      <c r="FW2" s="517"/>
      <c r="FX2" s="517"/>
      <c r="FY2" s="517"/>
      <c r="FZ2" s="517"/>
      <c r="GA2" s="517"/>
      <c r="GB2" s="517"/>
      <c r="GC2" s="517"/>
      <c r="GD2" s="517"/>
      <c r="GE2" s="517"/>
      <c r="GF2" s="517"/>
      <c r="GG2" s="517"/>
      <c r="GH2" s="517"/>
      <c r="GI2" s="517"/>
      <c r="GJ2" s="517"/>
      <c r="GK2" s="517"/>
      <c r="GL2" s="517"/>
      <c r="GM2" s="517"/>
      <c r="GN2" s="517"/>
      <c r="GO2" s="517"/>
      <c r="GP2" s="517"/>
      <c r="GQ2" s="517"/>
      <c r="GR2" s="517"/>
      <c r="GS2" s="517"/>
      <c r="GT2" s="517"/>
      <c r="GU2" s="568" t="s">
        <v>745</v>
      </c>
      <c r="GV2" s="568"/>
      <c r="GW2" s="568"/>
      <c r="GX2" s="568"/>
      <c r="GY2" s="568"/>
      <c r="GZ2" s="568"/>
      <c r="HA2" s="568"/>
      <c r="HB2" s="568"/>
      <c r="HC2" s="568"/>
      <c r="HD2" s="568"/>
      <c r="HE2" s="568"/>
      <c r="HF2" s="568"/>
      <c r="HG2" s="568"/>
      <c r="HH2" s="568"/>
      <c r="HI2" s="568"/>
      <c r="HJ2" s="568"/>
      <c r="HK2" s="568"/>
      <c r="HL2" s="568"/>
      <c r="HM2" s="568"/>
      <c r="HN2" s="568"/>
      <c r="HO2" s="568"/>
      <c r="HP2" s="568"/>
      <c r="HQ2" s="568"/>
      <c r="HR2" s="568"/>
      <c r="HS2" s="568"/>
      <c r="HT2" s="568"/>
      <c r="HU2" s="568"/>
      <c r="HV2" s="568"/>
      <c r="HW2" s="568"/>
      <c r="HX2" s="568"/>
      <c r="HY2" s="568"/>
      <c r="HZ2" s="568"/>
      <c r="IA2" s="568"/>
      <c r="IB2" s="568"/>
      <c r="IC2" s="568"/>
      <c r="ID2" s="568"/>
      <c r="IE2" s="568"/>
      <c r="IF2" s="568"/>
      <c r="IG2" s="568"/>
      <c r="IH2" s="568"/>
      <c r="II2" s="568"/>
      <c r="IJ2" s="568"/>
      <c r="IK2" s="568"/>
      <c r="IL2" s="568"/>
      <c r="IM2" s="568"/>
      <c r="IN2" s="568"/>
      <c r="IO2" s="570" t="s">
        <v>430</v>
      </c>
      <c r="IP2" s="177"/>
      <c r="IQ2" s="177"/>
      <c r="IR2" s="177"/>
      <c r="IS2" s="177"/>
      <c r="IT2" s="177"/>
      <c r="IU2" s="177"/>
      <c r="IV2" s="177"/>
      <c r="IW2" s="177"/>
      <c r="IX2" s="177"/>
      <c r="IY2" s="177"/>
      <c r="IZ2" s="177"/>
      <c r="JA2" s="177"/>
      <c r="JB2" s="177"/>
      <c r="JC2" s="177"/>
      <c r="JD2" s="177"/>
      <c r="JE2" s="177"/>
      <c r="JF2" s="177"/>
      <c r="JG2" s="177"/>
      <c r="JH2" s="177"/>
      <c r="JI2" s="177"/>
      <c r="JJ2" s="177"/>
      <c r="JK2" s="177"/>
      <c r="JL2" s="177"/>
      <c r="JM2" s="177"/>
      <c r="JN2" s="177"/>
      <c r="JO2" s="177"/>
      <c r="JP2" s="478"/>
      <c r="JQ2" s="177"/>
      <c r="JR2" s="177"/>
      <c r="JS2" s="177"/>
      <c r="JT2" s="177"/>
      <c r="JU2" s="177"/>
      <c r="JV2" s="177"/>
      <c r="JW2" s="177"/>
      <c r="JX2" s="177"/>
      <c r="JY2" s="177"/>
      <c r="JZ2" s="177"/>
      <c r="KA2" s="177"/>
      <c r="KB2" s="177"/>
      <c r="KC2" s="177"/>
      <c r="KD2" s="478"/>
      <c r="KE2" s="478"/>
      <c r="KF2" s="478"/>
      <c r="KG2" s="478"/>
      <c r="KH2" s="478"/>
      <c r="KI2" s="478"/>
      <c r="KJ2" s="571" t="s">
        <v>323</v>
      </c>
      <c r="KK2" s="571"/>
      <c r="KL2" s="571"/>
      <c r="KM2" s="571"/>
      <c r="KN2" s="571"/>
      <c r="KO2" s="571"/>
      <c r="KP2" s="571"/>
      <c r="KQ2" s="571"/>
      <c r="KR2" s="571"/>
      <c r="KS2" s="571"/>
      <c r="KT2" s="571"/>
      <c r="KU2" s="571"/>
      <c r="KV2" s="571"/>
      <c r="KW2" s="571"/>
      <c r="KX2" s="571"/>
      <c r="KY2" s="571"/>
      <c r="KZ2" s="571"/>
      <c r="LA2" s="571"/>
      <c r="LB2" s="571"/>
      <c r="LC2" s="571"/>
      <c r="LD2" s="571"/>
      <c r="LE2" s="571"/>
      <c r="LF2" s="571"/>
      <c r="LG2" s="571"/>
      <c r="LH2" s="571"/>
      <c r="LI2" s="571"/>
      <c r="LJ2" s="571"/>
      <c r="LK2" s="571"/>
      <c r="LL2" s="571"/>
      <c r="LM2" s="571"/>
      <c r="LN2" s="571"/>
      <c r="LO2" s="571"/>
      <c r="LP2" s="571"/>
      <c r="LQ2" s="571"/>
      <c r="LR2" s="571"/>
      <c r="LS2" s="571"/>
      <c r="LT2" s="571"/>
      <c r="LU2" s="571"/>
      <c r="LV2" s="571"/>
      <c r="LW2" s="571"/>
      <c r="LX2" s="571"/>
      <c r="LY2" s="571"/>
      <c r="LZ2" s="571"/>
      <c r="MA2" s="571"/>
      <c r="MB2" s="571"/>
      <c r="MC2" s="571"/>
      <c r="MD2" s="571"/>
      <c r="ME2" s="571"/>
      <c r="MF2" s="571"/>
      <c r="MG2" s="571"/>
      <c r="MH2" s="571"/>
      <c r="MI2" s="571"/>
      <c r="MJ2" s="571"/>
      <c r="MK2" s="571"/>
      <c r="ML2" s="571"/>
      <c r="MM2" s="571"/>
      <c r="MN2" s="571"/>
      <c r="MO2" s="571"/>
      <c r="MP2" s="571"/>
      <c r="MQ2" s="571"/>
      <c r="MR2" s="255" t="s">
        <v>489</v>
      </c>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t="s">
        <v>304</v>
      </c>
      <c r="NR2" s="255"/>
      <c r="NS2" s="255"/>
      <c r="NT2" s="19" t="s">
        <v>88</v>
      </c>
      <c r="RF2" s="19" t="s">
        <v>8</v>
      </c>
      <c r="RG2" s="19" t="s">
        <v>35</v>
      </c>
      <c r="RI2" s="19" t="s">
        <v>0</v>
      </c>
      <c r="RK2" s="19" t="s">
        <v>19</v>
      </c>
      <c r="RM2" s="19" t="s">
        <v>1</v>
      </c>
      <c r="RU2" s="620"/>
      <c r="RV2" s="620"/>
      <c r="RW2" s="620"/>
      <c r="RX2" s="620"/>
      <c r="RY2" s="620"/>
      <c r="RZ2" s="620"/>
      <c r="TG2" s="19" t="s">
        <v>5</v>
      </c>
    </row>
    <row r="3" spans="1:534" s="25" customFormat="1" ht="15" customHeight="1" x14ac:dyDescent="0.3">
      <c r="A3" s="621"/>
      <c r="B3" s="25" t="s">
        <v>294</v>
      </c>
      <c r="D3" s="705"/>
      <c r="E3" s="89"/>
      <c r="F3" s="89"/>
      <c r="G3" s="89"/>
      <c r="H3" s="89"/>
      <c r="I3" s="89"/>
      <c r="J3" s="89"/>
      <c r="K3" s="89"/>
      <c r="L3" s="89"/>
      <c r="M3" s="89"/>
      <c r="N3" s="25" t="s">
        <v>93</v>
      </c>
      <c r="O3" s="25" t="s">
        <v>171</v>
      </c>
      <c r="V3" s="25" t="s">
        <v>149</v>
      </c>
      <c r="X3" s="89"/>
      <c r="AB3" s="25" t="s">
        <v>507</v>
      </c>
      <c r="AE3" s="25" t="s">
        <v>330</v>
      </c>
      <c r="AH3" s="89"/>
      <c r="AI3" s="89"/>
      <c r="AJ3" s="89"/>
      <c r="AK3" s="25" t="s">
        <v>320</v>
      </c>
      <c r="AO3" s="25" t="s">
        <v>511</v>
      </c>
      <c r="AZ3" s="89"/>
      <c r="BA3" s="89"/>
      <c r="BB3" s="89"/>
      <c r="BC3" s="89"/>
      <c r="BD3" s="89"/>
      <c r="BE3" s="89"/>
      <c r="BF3" s="89"/>
      <c r="BG3" s="89"/>
      <c r="BH3" s="89"/>
      <c r="BI3" s="89"/>
      <c r="BP3" s="25" t="s">
        <v>989</v>
      </c>
      <c r="BS3" s="25" t="s">
        <v>503</v>
      </c>
      <c r="BV3" s="25" t="s">
        <v>513</v>
      </c>
      <c r="CO3" s="89"/>
      <c r="CP3" s="89"/>
      <c r="CQ3" s="89"/>
      <c r="CR3" s="180"/>
      <c r="CS3" s="180"/>
      <c r="CT3" s="180"/>
      <c r="CU3" s="180"/>
      <c r="CV3" s="180"/>
      <c r="CW3" s="89"/>
      <c r="CX3" s="89"/>
      <c r="CY3" s="89"/>
      <c r="CZ3" s="89"/>
      <c r="DA3" s="89"/>
      <c r="DB3" s="89"/>
      <c r="DC3" s="89"/>
      <c r="DD3" s="89"/>
      <c r="DE3" s="89"/>
      <c r="DF3" s="89"/>
      <c r="DG3" s="89"/>
      <c r="DH3" s="89"/>
      <c r="DI3" s="89"/>
      <c r="DJ3" s="89"/>
      <c r="DK3" s="89"/>
      <c r="DL3" s="25" t="s">
        <v>499</v>
      </c>
      <c r="DM3" s="89"/>
      <c r="DN3" s="89"/>
      <c r="DO3" s="89"/>
      <c r="DP3" s="89"/>
      <c r="DQ3" s="89"/>
      <c r="DR3" s="89"/>
      <c r="DS3" s="89"/>
      <c r="DT3" s="89"/>
      <c r="DU3" s="89"/>
      <c r="DV3" s="89"/>
      <c r="DW3" s="89"/>
      <c r="DX3" s="89"/>
      <c r="DY3" s="89"/>
      <c r="EE3" s="89"/>
      <c r="EF3" s="89"/>
      <c r="EG3" s="89"/>
      <c r="EM3" s="89"/>
      <c r="EN3" s="89"/>
      <c r="EO3" s="89"/>
      <c r="EP3" s="89"/>
      <c r="EQ3" s="89"/>
      <c r="ER3" s="89"/>
      <c r="ES3" s="89"/>
      <c r="ET3" s="89"/>
      <c r="EU3" s="89"/>
      <c r="EV3" s="89"/>
      <c r="EW3" s="89"/>
      <c r="EX3" s="89"/>
      <c r="EY3" s="89"/>
      <c r="EZ3" s="89"/>
      <c r="FA3" s="89"/>
      <c r="FB3" s="25" t="s">
        <v>122</v>
      </c>
      <c r="FE3" s="25" t="s">
        <v>330</v>
      </c>
      <c r="FV3" s="89"/>
      <c r="FY3" s="89"/>
      <c r="FZ3" s="89"/>
      <c r="GF3" s="89"/>
      <c r="GU3" s="25" t="s">
        <v>122</v>
      </c>
      <c r="GX3" s="89" t="s">
        <v>6</v>
      </c>
      <c r="GY3" s="25" t="s">
        <v>363</v>
      </c>
      <c r="GZ3" s="178"/>
      <c r="HA3" s="178"/>
      <c r="HB3" s="178"/>
      <c r="HC3" s="178"/>
      <c r="HD3" s="178"/>
      <c r="HE3" s="178"/>
      <c r="HF3" s="178"/>
      <c r="HG3" s="178"/>
      <c r="HH3" s="178"/>
      <c r="HI3" s="178"/>
      <c r="HJ3" s="178"/>
      <c r="HK3" s="178"/>
      <c r="HL3" s="178"/>
      <c r="HO3" s="178"/>
      <c r="HS3" s="89"/>
      <c r="HT3" s="89"/>
      <c r="HU3" s="89"/>
      <c r="HV3" s="89"/>
      <c r="HW3" s="89"/>
      <c r="HX3" s="89"/>
      <c r="HY3" s="89"/>
      <c r="HZ3" s="89"/>
      <c r="IA3" s="89"/>
      <c r="IB3" s="89"/>
      <c r="IC3" s="89"/>
      <c r="ID3" s="89"/>
      <c r="IE3" s="89"/>
      <c r="IF3" s="89"/>
      <c r="IG3" s="89"/>
      <c r="IH3" s="89"/>
      <c r="II3" s="89"/>
      <c r="IJ3" s="89"/>
      <c r="IK3" s="89"/>
      <c r="IL3" s="89"/>
      <c r="IM3" s="89"/>
      <c r="IN3" s="89"/>
      <c r="IO3" s="89" t="s">
        <v>848</v>
      </c>
      <c r="IP3" s="20"/>
      <c r="IQ3" s="65"/>
      <c r="IR3" s="65"/>
      <c r="IS3" s="65"/>
      <c r="IT3" s="65"/>
      <c r="IU3" s="180"/>
      <c r="IV3" s="89" t="s">
        <v>870</v>
      </c>
      <c r="IX3" s="89"/>
      <c r="IY3" s="89"/>
      <c r="IZ3" s="89"/>
      <c r="JA3" s="89"/>
      <c r="JB3" s="89"/>
      <c r="JC3" s="89"/>
      <c r="JD3" s="89"/>
      <c r="JE3" s="89"/>
      <c r="JF3" s="89"/>
      <c r="JG3" s="89"/>
      <c r="JH3" s="89"/>
      <c r="JI3" s="89"/>
      <c r="JJ3" s="89"/>
      <c r="JK3" s="25" t="s">
        <v>274</v>
      </c>
      <c r="JL3" s="89"/>
      <c r="JM3" s="178"/>
      <c r="JN3" s="178"/>
      <c r="JO3" s="178"/>
      <c r="JP3" s="178"/>
      <c r="JQ3" s="89" t="s">
        <v>296</v>
      </c>
      <c r="JR3" s="89"/>
      <c r="JT3" s="89"/>
      <c r="JU3" s="89"/>
      <c r="JV3" s="89"/>
      <c r="JW3" s="89"/>
      <c r="JX3" s="89"/>
      <c r="JY3" s="89"/>
      <c r="JZ3" s="89" t="s">
        <v>250</v>
      </c>
      <c r="KA3" s="89"/>
      <c r="KC3" s="89"/>
      <c r="KD3" s="178"/>
      <c r="KE3" s="178"/>
      <c r="KF3" s="178"/>
      <c r="KG3" s="178"/>
      <c r="KH3" s="178"/>
      <c r="KI3" s="178"/>
      <c r="KJ3" s="25" t="s">
        <v>985</v>
      </c>
      <c r="KK3" s="178"/>
      <c r="KL3" s="178"/>
      <c r="KM3" s="178"/>
      <c r="KN3" s="178"/>
      <c r="KO3" s="178"/>
      <c r="KP3" s="178"/>
      <c r="KQ3" s="178"/>
      <c r="KR3" s="178"/>
      <c r="KS3" s="178"/>
      <c r="KX3" s="89"/>
      <c r="KY3" s="89"/>
      <c r="KZ3" s="89"/>
      <c r="LA3" s="89"/>
      <c r="LB3" s="89"/>
      <c r="LC3" s="89"/>
      <c r="LD3" s="89"/>
      <c r="LE3" s="89"/>
      <c r="LF3" s="89"/>
      <c r="LG3" s="89"/>
      <c r="LH3" s="89"/>
      <c r="LI3" s="89"/>
      <c r="LJ3" s="89"/>
      <c r="LK3" s="89"/>
      <c r="LL3" s="89"/>
      <c r="LM3" s="89"/>
      <c r="LN3" s="25" t="s">
        <v>499</v>
      </c>
      <c r="LO3" s="89"/>
      <c r="LP3" s="89"/>
      <c r="LQ3" s="89"/>
      <c r="LR3" s="89"/>
      <c r="LS3" s="89"/>
      <c r="LT3" s="89"/>
      <c r="LU3" s="89"/>
      <c r="LV3" s="89"/>
      <c r="LW3" s="89"/>
      <c r="MB3" s="89"/>
      <c r="MG3" s="89"/>
      <c r="MH3" s="89"/>
      <c r="MI3" s="89"/>
      <c r="MJ3" s="89"/>
      <c r="MK3" s="89"/>
      <c r="ML3" s="89"/>
      <c r="MM3" s="89"/>
      <c r="MN3" s="89"/>
      <c r="MO3" s="89"/>
      <c r="MP3" s="89"/>
      <c r="MQ3" s="89"/>
      <c r="MS3" s="25" t="s">
        <v>513</v>
      </c>
      <c r="NE3" s="25" t="s">
        <v>499</v>
      </c>
      <c r="NF3" s="89"/>
      <c r="NG3" s="89"/>
      <c r="NH3" s="89"/>
      <c r="NJ3" s="89"/>
      <c r="NK3" s="89"/>
      <c r="NL3" s="89"/>
      <c r="NM3" s="89"/>
      <c r="NN3" s="89"/>
      <c r="NO3" s="89"/>
      <c r="NP3" s="89"/>
      <c r="NQ3" s="25" t="s">
        <v>990</v>
      </c>
      <c r="RU3" s="180"/>
      <c r="RV3" s="180"/>
      <c r="RW3" s="180"/>
      <c r="RX3" s="180"/>
      <c r="RY3" s="180"/>
      <c r="RZ3" s="180"/>
    </row>
    <row r="4" spans="1:534" s="20" customFormat="1" ht="15" customHeight="1" x14ac:dyDescent="0.3">
      <c r="A4" s="622"/>
      <c r="B4" s="20" t="s">
        <v>366</v>
      </c>
      <c r="D4" s="706"/>
      <c r="E4" s="65" t="s">
        <v>369</v>
      </c>
      <c r="F4" s="65"/>
      <c r="G4" s="65"/>
      <c r="H4" s="65"/>
      <c r="I4" s="65"/>
      <c r="J4" s="65"/>
      <c r="K4" s="65"/>
      <c r="L4" s="65"/>
      <c r="M4" s="65"/>
      <c r="O4" s="20" t="s">
        <v>6</v>
      </c>
      <c r="R4" s="20" t="s">
        <v>169</v>
      </c>
      <c r="T4" s="20" t="s">
        <v>203</v>
      </c>
      <c r="X4" s="65"/>
      <c r="AB4" s="20" t="s">
        <v>46</v>
      </c>
      <c r="AC4" s="65" t="s">
        <v>39</v>
      </c>
      <c r="AD4" s="65" t="s">
        <v>57</v>
      </c>
      <c r="AE4" s="65" t="s">
        <v>43</v>
      </c>
      <c r="AF4" s="65"/>
      <c r="AG4" s="65" t="s">
        <v>39</v>
      </c>
      <c r="AH4" s="65"/>
      <c r="AI4" s="65" t="s">
        <v>40</v>
      </c>
      <c r="AJ4" s="65"/>
      <c r="AL4" s="20" t="s">
        <v>151</v>
      </c>
      <c r="AO4" s="65" t="s">
        <v>468</v>
      </c>
      <c r="AP4" s="65"/>
      <c r="AQ4" s="65"/>
      <c r="AR4" s="65"/>
      <c r="AS4" s="65"/>
      <c r="AT4" s="65" t="s">
        <v>321</v>
      </c>
      <c r="AU4" s="65"/>
      <c r="AY4" s="65"/>
      <c r="AZ4" s="65" t="s">
        <v>460</v>
      </c>
      <c r="BA4" s="65"/>
      <c r="BB4" s="65"/>
      <c r="BC4" s="65" t="s">
        <v>467</v>
      </c>
      <c r="BD4" s="65" t="s">
        <v>824</v>
      </c>
      <c r="BE4" s="65"/>
      <c r="BF4" s="65"/>
      <c r="BG4" s="65"/>
      <c r="BH4" s="65"/>
      <c r="BI4" s="65"/>
      <c r="BJ4" s="65" t="s">
        <v>823</v>
      </c>
      <c r="BK4" s="65"/>
      <c r="BL4" s="65"/>
      <c r="BM4" s="65"/>
      <c r="BN4" s="65"/>
      <c r="BO4" s="65"/>
      <c r="BP4" s="65" t="s">
        <v>46</v>
      </c>
      <c r="BQ4" s="65" t="s">
        <v>39</v>
      </c>
      <c r="BR4" s="65" t="s">
        <v>40</v>
      </c>
      <c r="BS4" s="65" t="s">
        <v>46</v>
      </c>
      <c r="BT4" s="65" t="s">
        <v>39</v>
      </c>
      <c r="BU4" s="65" t="s">
        <v>40</v>
      </c>
      <c r="BV4" s="65" t="s">
        <v>505</v>
      </c>
      <c r="BW4" s="65"/>
      <c r="BX4" s="65"/>
      <c r="BY4" s="65"/>
      <c r="BZ4" s="65"/>
      <c r="CA4" s="65"/>
      <c r="CB4" s="65"/>
      <c r="CC4" s="65"/>
      <c r="CD4" s="65"/>
      <c r="CE4" s="65"/>
      <c r="CF4" s="65"/>
      <c r="CG4" s="65"/>
      <c r="CH4" s="65"/>
      <c r="CI4" s="65"/>
      <c r="CJ4" s="65" t="s">
        <v>39</v>
      </c>
      <c r="CL4" s="65"/>
      <c r="CM4" s="65"/>
      <c r="CN4" s="65"/>
      <c r="CO4" s="65"/>
      <c r="CP4" s="65"/>
      <c r="CQ4" s="65"/>
      <c r="CR4" s="119"/>
      <c r="CS4" s="119"/>
      <c r="CT4" s="119"/>
      <c r="CU4" s="119"/>
      <c r="CV4" s="119"/>
      <c r="CW4" s="65"/>
      <c r="CX4" s="65" t="s">
        <v>40</v>
      </c>
      <c r="CY4" s="65"/>
      <c r="CZ4" s="65"/>
      <c r="DA4" s="65"/>
      <c r="DB4" s="65"/>
      <c r="DC4" s="65"/>
      <c r="DD4" s="65"/>
      <c r="DE4" s="65"/>
      <c r="DF4" s="65"/>
      <c r="DG4" s="65"/>
      <c r="DH4" s="65"/>
      <c r="DI4" s="65"/>
      <c r="DJ4" s="65"/>
      <c r="DK4" s="65"/>
      <c r="DL4" s="65" t="s">
        <v>505</v>
      </c>
      <c r="DM4" s="65"/>
      <c r="DN4" s="65"/>
      <c r="DO4" s="65"/>
      <c r="DP4" s="65"/>
      <c r="DQ4" s="65"/>
      <c r="DR4" s="65"/>
      <c r="DS4" s="65"/>
      <c r="DT4" s="65"/>
      <c r="DU4" s="65"/>
      <c r="DV4" s="65"/>
      <c r="DW4" s="65"/>
      <c r="DX4" s="65"/>
      <c r="DY4" s="65"/>
      <c r="DZ4" s="65" t="s">
        <v>39</v>
      </c>
      <c r="EC4" s="65"/>
      <c r="ED4" s="65"/>
      <c r="EE4" s="65"/>
      <c r="EF4" s="65"/>
      <c r="EG4" s="65"/>
      <c r="EH4" s="65"/>
      <c r="EI4" s="119"/>
      <c r="EJ4" s="119"/>
      <c r="EK4" s="119"/>
      <c r="EL4" s="119"/>
      <c r="EM4" s="119"/>
      <c r="EN4" s="65" t="s">
        <v>40</v>
      </c>
      <c r="EP4" s="65"/>
      <c r="EQ4" s="65"/>
      <c r="ER4" s="65"/>
      <c r="ES4" s="65"/>
      <c r="ET4" s="65"/>
      <c r="EU4" s="65"/>
      <c r="EV4" s="65"/>
      <c r="EW4" s="65"/>
      <c r="EX4" s="65"/>
      <c r="EY4" s="65"/>
      <c r="EZ4" s="65"/>
      <c r="FA4" s="65"/>
      <c r="FB4" s="20" t="s">
        <v>46</v>
      </c>
      <c r="FC4" s="20" t="s">
        <v>56</v>
      </c>
      <c r="FD4" s="20" t="s">
        <v>57</v>
      </c>
      <c r="FE4" s="65" t="s">
        <v>505</v>
      </c>
      <c r="FS4" s="20" t="s">
        <v>39</v>
      </c>
      <c r="FV4" s="65"/>
      <c r="FY4" s="65"/>
      <c r="FZ4" s="65"/>
      <c r="GF4" s="65"/>
      <c r="GG4" s="20" t="s">
        <v>40</v>
      </c>
      <c r="GU4" s="20" t="s">
        <v>46</v>
      </c>
      <c r="GV4" s="20" t="s">
        <v>56</v>
      </c>
      <c r="GW4" s="20" t="s">
        <v>57</v>
      </c>
      <c r="GX4" s="20" t="s">
        <v>980</v>
      </c>
      <c r="GY4" s="65" t="s">
        <v>505</v>
      </c>
      <c r="HM4" s="20" t="s">
        <v>39</v>
      </c>
      <c r="HS4" s="65"/>
      <c r="HT4" s="65"/>
      <c r="HU4" s="65"/>
      <c r="HV4" s="65"/>
      <c r="HW4" s="65"/>
      <c r="HX4" s="65"/>
      <c r="HY4" s="65"/>
      <c r="HZ4" s="65"/>
      <c r="IA4" s="20" t="s">
        <v>40</v>
      </c>
      <c r="IG4" s="65"/>
      <c r="IH4" s="65"/>
      <c r="II4" s="65"/>
      <c r="IJ4" s="65"/>
      <c r="IK4" s="65"/>
      <c r="IL4" s="65"/>
      <c r="IM4" s="65"/>
      <c r="IN4" s="65"/>
      <c r="IO4" s="119" t="s">
        <v>2</v>
      </c>
      <c r="IP4" s="20" t="s">
        <v>981</v>
      </c>
      <c r="IS4" s="20" t="s">
        <v>250</v>
      </c>
      <c r="IT4" s="94"/>
      <c r="IU4" s="120"/>
      <c r="IV4" s="20" t="s">
        <v>274</v>
      </c>
      <c r="IX4" s="65"/>
      <c r="IY4" s="65"/>
      <c r="IZ4" s="65"/>
      <c r="JA4" s="65"/>
      <c r="JB4" s="65"/>
      <c r="JC4" s="65"/>
      <c r="JD4" s="65"/>
      <c r="JE4" s="65"/>
      <c r="JF4" s="65"/>
      <c r="JG4" s="65"/>
      <c r="JH4" s="65"/>
      <c r="JI4" s="65"/>
      <c r="JJ4" s="65"/>
      <c r="JK4" s="20" t="s">
        <v>364</v>
      </c>
      <c r="JP4" s="178" t="s">
        <v>456</v>
      </c>
      <c r="JQ4" s="20" t="s">
        <v>364</v>
      </c>
      <c r="JR4" s="65"/>
      <c r="JS4" s="65"/>
      <c r="JT4" s="65"/>
      <c r="JU4" s="65"/>
      <c r="JZ4" s="20" t="s">
        <v>364</v>
      </c>
      <c r="KA4" s="65"/>
      <c r="KD4" s="65"/>
      <c r="KE4" s="65"/>
      <c r="KF4" s="65"/>
      <c r="KG4" s="65"/>
      <c r="KH4" s="65"/>
      <c r="KJ4" s="65" t="s">
        <v>505</v>
      </c>
      <c r="KK4" s="65"/>
      <c r="KL4" s="65"/>
      <c r="KM4" s="65"/>
      <c r="KN4" s="65"/>
      <c r="KO4" s="65"/>
      <c r="KP4" s="65"/>
      <c r="KQ4" s="65"/>
      <c r="KR4" s="65"/>
      <c r="KS4" s="65"/>
      <c r="KT4" s="65" t="s">
        <v>39</v>
      </c>
      <c r="KU4" s="65"/>
      <c r="KV4" s="65"/>
      <c r="KW4" s="65"/>
      <c r="KX4" s="65"/>
      <c r="KY4" s="65"/>
      <c r="KZ4" s="65"/>
      <c r="LA4" s="65"/>
      <c r="LB4" s="65"/>
      <c r="LC4" s="65"/>
      <c r="LD4" s="65" t="s">
        <v>40</v>
      </c>
      <c r="LE4" s="65"/>
      <c r="LF4" s="65"/>
      <c r="LG4" s="65"/>
      <c r="LH4" s="65"/>
      <c r="LI4" s="65"/>
      <c r="LJ4" s="65"/>
      <c r="LK4" s="65"/>
      <c r="LL4" s="65"/>
      <c r="LM4" s="65"/>
      <c r="LN4" s="65" t="s">
        <v>505</v>
      </c>
      <c r="LO4" s="65"/>
      <c r="LP4" s="65"/>
      <c r="LQ4" s="65"/>
      <c r="LR4" s="65"/>
      <c r="LS4" s="65"/>
      <c r="LT4" s="65"/>
      <c r="LU4" s="65"/>
      <c r="LV4" s="65"/>
      <c r="LW4" s="65"/>
      <c r="LX4" s="65" t="s">
        <v>39</v>
      </c>
      <c r="LY4" s="65"/>
      <c r="LZ4" s="65"/>
      <c r="MA4" s="65"/>
      <c r="MB4" s="65"/>
      <c r="MC4" s="65"/>
      <c r="MD4" s="65"/>
      <c r="ME4" s="65"/>
      <c r="MF4" s="65"/>
      <c r="MG4" s="65"/>
      <c r="MH4" s="65" t="s">
        <v>40</v>
      </c>
      <c r="MI4" s="65"/>
      <c r="MJ4" s="65"/>
      <c r="MK4" s="65"/>
      <c r="ML4" s="65"/>
      <c r="MM4" s="65"/>
      <c r="MN4" s="65"/>
      <c r="MO4" s="65"/>
      <c r="MP4" s="65"/>
      <c r="MQ4" s="65"/>
      <c r="MR4" s="65"/>
      <c r="MS4" s="65" t="s">
        <v>504</v>
      </c>
      <c r="MT4" s="65"/>
      <c r="MU4" s="65"/>
      <c r="MV4" s="65"/>
      <c r="MW4" s="65" t="s">
        <v>39</v>
      </c>
      <c r="MX4" s="65"/>
      <c r="MY4" s="65"/>
      <c r="MZ4" s="65"/>
      <c r="NA4" s="65" t="s">
        <v>40</v>
      </c>
      <c r="NB4" s="65"/>
      <c r="NC4" s="65"/>
      <c r="ND4" s="65"/>
      <c r="NE4" s="65" t="s">
        <v>504</v>
      </c>
      <c r="NF4" s="65"/>
      <c r="NG4" s="65"/>
      <c r="NH4" s="65"/>
      <c r="NI4" s="65" t="s">
        <v>39</v>
      </c>
      <c r="NJ4" s="65"/>
      <c r="NK4" s="65"/>
      <c r="NL4" s="65"/>
      <c r="NM4" s="65" t="s">
        <v>40</v>
      </c>
      <c r="NN4" s="65"/>
      <c r="NO4" s="65"/>
      <c r="NP4" s="65"/>
      <c r="NQ4" s="65" t="s">
        <v>46</v>
      </c>
      <c r="NR4" s="65" t="s">
        <v>39</v>
      </c>
      <c r="NS4" s="65" t="s">
        <v>40</v>
      </c>
      <c r="NT4" s="20" t="s">
        <v>33</v>
      </c>
      <c r="NU4" s="20" t="s">
        <v>236</v>
      </c>
      <c r="NV4" s="20" t="s">
        <v>982</v>
      </c>
      <c r="NY4" s="20" t="s">
        <v>983</v>
      </c>
      <c r="OA4" s="20" t="s">
        <v>130</v>
      </c>
      <c r="OC4" s="20" t="s">
        <v>16</v>
      </c>
      <c r="OE4" s="94" t="s">
        <v>387</v>
      </c>
      <c r="RG4" s="20" t="s">
        <v>36</v>
      </c>
      <c r="RH4" s="20" t="s">
        <v>37</v>
      </c>
      <c r="RM4" s="20" t="s">
        <v>9</v>
      </c>
      <c r="RU4" s="119" t="s">
        <v>31</v>
      </c>
      <c r="RV4" s="119"/>
      <c r="RW4" s="119"/>
      <c r="RX4" s="119" t="s">
        <v>32</v>
      </c>
      <c r="RY4" s="119"/>
      <c r="RZ4" s="119"/>
      <c r="SA4" s="20" t="s">
        <v>968</v>
      </c>
      <c r="SI4" s="20" t="s">
        <v>12</v>
      </c>
      <c r="SQ4" s="20" t="s">
        <v>13</v>
      </c>
      <c r="SY4" s="20" t="s">
        <v>14</v>
      </c>
      <c r="TG4" s="20" t="s">
        <v>2</v>
      </c>
      <c r="TI4" s="20" t="s">
        <v>3</v>
      </c>
      <c r="TL4" s="20" t="s">
        <v>4</v>
      </c>
    </row>
    <row r="5" spans="1:534" s="94" customFormat="1" ht="15" customHeight="1" x14ac:dyDescent="0.3">
      <c r="A5" s="573"/>
      <c r="D5" s="707"/>
      <c r="E5" s="114" t="s">
        <v>371</v>
      </c>
      <c r="F5" s="114"/>
      <c r="G5" s="114"/>
      <c r="H5" s="114"/>
      <c r="I5" s="114"/>
      <c r="J5" s="114"/>
      <c r="K5" s="114"/>
      <c r="L5" s="114"/>
      <c r="M5" s="114"/>
      <c r="X5" s="114"/>
      <c r="AE5" s="114" t="s">
        <v>333</v>
      </c>
      <c r="AF5" s="114" t="s">
        <v>334</v>
      </c>
      <c r="AG5" s="114" t="s">
        <v>333</v>
      </c>
      <c r="AH5" s="114" t="s">
        <v>334</v>
      </c>
      <c r="AI5" s="114" t="s">
        <v>333</v>
      </c>
      <c r="AJ5" s="114" t="s">
        <v>334</v>
      </c>
      <c r="AO5" s="114"/>
      <c r="AP5" s="114"/>
      <c r="AQ5" s="114"/>
      <c r="AR5" s="114"/>
      <c r="AS5" s="114"/>
      <c r="AT5" s="94" t="s">
        <v>463</v>
      </c>
      <c r="AU5" s="114"/>
      <c r="AY5" s="114"/>
      <c r="AZ5" s="94" t="s">
        <v>462</v>
      </c>
      <c r="BA5" s="114"/>
      <c r="BB5" s="114"/>
      <c r="BC5" s="94" t="s">
        <v>469</v>
      </c>
      <c r="BD5" s="94" t="s">
        <v>463</v>
      </c>
      <c r="BE5" s="114"/>
      <c r="BF5" s="114"/>
      <c r="BG5" s="114"/>
      <c r="BH5" s="114"/>
      <c r="BI5" s="114"/>
      <c r="BJ5" s="94" t="s">
        <v>463</v>
      </c>
      <c r="BK5" s="114"/>
      <c r="BL5" s="114"/>
      <c r="BM5" s="114"/>
      <c r="BN5" s="114"/>
      <c r="BO5" s="114"/>
      <c r="BP5" s="114"/>
      <c r="BQ5" s="114"/>
      <c r="BR5" s="114"/>
      <c r="BS5" s="114"/>
      <c r="BT5" s="114"/>
      <c r="BU5" s="114"/>
      <c r="BV5" s="114" t="s">
        <v>411</v>
      </c>
      <c r="BX5" s="114"/>
      <c r="BY5" s="114"/>
      <c r="BZ5" s="114"/>
      <c r="CA5" s="114"/>
      <c r="CB5" s="114"/>
      <c r="CC5" s="120" t="s">
        <v>331</v>
      </c>
      <c r="CG5" s="114"/>
      <c r="CH5" s="114"/>
      <c r="CI5" s="114"/>
      <c r="CJ5" s="114" t="s">
        <v>411</v>
      </c>
      <c r="CL5" s="114"/>
      <c r="CM5" s="114"/>
      <c r="CN5" s="114"/>
      <c r="CO5" s="114"/>
      <c r="CP5" s="114"/>
      <c r="CQ5" s="120" t="s">
        <v>331</v>
      </c>
      <c r="CU5" s="120"/>
      <c r="CV5" s="120"/>
      <c r="CW5" s="114"/>
      <c r="CX5" s="114" t="s">
        <v>411</v>
      </c>
      <c r="CZ5" s="114"/>
      <c r="DA5" s="114"/>
      <c r="DB5" s="114"/>
      <c r="DC5" s="114"/>
      <c r="DD5" s="114"/>
      <c r="DE5" s="120" t="s">
        <v>331</v>
      </c>
      <c r="DI5" s="114"/>
      <c r="DJ5" s="114"/>
      <c r="DK5" s="114"/>
      <c r="DL5" s="114" t="s">
        <v>411</v>
      </c>
      <c r="DN5" s="114"/>
      <c r="DO5" s="114"/>
      <c r="DP5" s="114"/>
      <c r="DQ5" s="114"/>
      <c r="DR5" s="114"/>
      <c r="DS5" s="120" t="s">
        <v>331</v>
      </c>
      <c r="DW5" s="114"/>
      <c r="DX5" s="114"/>
      <c r="DY5" s="114"/>
      <c r="DZ5" s="114" t="s">
        <v>411</v>
      </c>
      <c r="EB5" s="114"/>
      <c r="EC5" s="114"/>
      <c r="ED5" s="114"/>
      <c r="EE5" s="114"/>
      <c r="EF5" s="114"/>
      <c r="EG5" s="120" t="s">
        <v>331</v>
      </c>
      <c r="EK5" s="114"/>
      <c r="EL5" s="114"/>
      <c r="EM5" s="114"/>
      <c r="EN5" s="114" t="s">
        <v>411</v>
      </c>
      <c r="EP5" s="114"/>
      <c r="EQ5" s="114"/>
      <c r="ER5" s="114"/>
      <c r="ES5" s="114"/>
      <c r="ET5" s="114"/>
      <c r="EU5" s="120" t="s">
        <v>331</v>
      </c>
      <c r="EY5" s="114"/>
      <c r="EZ5" s="114"/>
      <c r="FA5" s="114"/>
      <c r="FB5" s="114"/>
      <c r="FC5" s="114"/>
      <c r="FD5" s="114"/>
      <c r="FE5" s="114" t="s">
        <v>411</v>
      </c>
      <c r="FH5" s="114"/>
      <c r="FK5" s="114"/>
      <c r="FL5" s="120" t="s">
        <v>331</v>
      </c>
      <c r="FR5" s="114"/>
      <c r="FS5" s="114" t="s">
        <v>411</v>
      </c>
      <c r="FV5" s="114"/>
      <c r="FY5" s="114"/>
      <c r="FZ5" s="120" t="s">
        <v>331</v>
      </c>
      <c r="GF5" s="114"/>
      <c r="GG5" s="114" t="s">
        <v>411</v>
      </c>
      <c r="GJ5" s="114"/>
      <c r="GM5" s="114"/>
      <c r="GN5" s="120" t="s">
        <v>331</v>
      </c>
      <c r="GT5" s="114"/>
      <c r="GU5" s="114"/>
      <c r="GV5" s="114"/>
      <c r="GW5" s="114"/>
      <c r="GX5" s="120" t="s">
        <v>46</v>
      </c>
      <c r="GY5" s="114" t="s">
        <v>322</v>
      </c>
      <c r="HB5" s="114"/>
      <c r="HD5" s="114"/>
      <c r="HE5" s="114"/>
      <c r="HF5" s="94" t="s">
        <v>331</v>
      </c>
      <c r="HG5" s="114"/>
      <c r="HH5" s="114"/>
      <c r="HI5" s="114"/>
      <c r="HJ5" s="114"/>
      <c r="HK5" s="114"/>
      <c r="HL5" s="114"/>
      <c r="HM5" s="114" t="s">
        <v>322</v>
      </c>
      <c r="HP5" s="114"/>
      <c r="HR5" s="114"/>
      <c r="HS5" s="114"/>
      <c r="HT5" s="94" t="s">
        <v>331</v>
      </c>
      <c r="HU5" s="114"/>
      <c r="HV5" s="114"/>
      <c r="HW5" s="114"/>
      <c r="HX5" s="114"/>
      <c r="HY5" s="114"/>
      <c r="HZ5" s="114"/>
      <c r="IA5" s="114" t="s">
        <v>322</v>
      </c>
      <c r="ID5" s="114"/>
      <c r="IF5" s="114"/>
      <c r="IG5" s="114"/>
      <c r="IH5" s="94" t="s">
        <v>331</v>
      </c>
      <c r="II5" s="114"/>
      <c r="IJ5" s="114"/>
      <c r="IK5" s="114"/>
      <c r="IL5" s="114"/>
      <c r="IM5" s="114"/>
      <c r="IN5" s="114"/>
      <c r="IO5" s="476"/>
      <c r="IP5" s="114" t="s">
        <v>869</v>
      </c>
      <c r="IQ5" s="114" t="s">
        <v>868</v>
      </c>
      <c r="IR5" s="114" t="s">
        <v>269</v>
      </c>
      <c r="IS5" s="114" t="s">
        <v>529</v>
      </c>
      <c r="IT5" s="114" t="s">
        <v>528</v>
      </c>
      <c r="IU5" s="477" t="s">
        <v>269</v>
      </c>
      <c r="IV5" s="114" t="s">
        <v>322</v>
      </c>
      <c r="IX5" s="114"/>
      <c r="IY5" s="114"/>
      <c r="IZ5" s="114"/>
      <c r="JE5" s="94" t="s">
        <v>331</v>
      </c>
      <c r="JG5" s="114"/>
      <c r="JH5" s="114"/>
      <c r="JI5" s="114"/>
      <c r="JJ5" s="114"/>
      <c r="JK5" s="94" t="s">
        <v>273</v>
      </c>
      <c r="JL5" s="114"/>
      <c r="JM5" s="114" t="s">
        <v>437</v>
      </c>
      <c r="JN5" s="114" t="s">
        <v>417</v>
      </c>
      <c r="JO5" s="114" t="s">
        <v>416</v>
      </c>
      <c r="JP5" s="95" t="s">
        <v>273</v>
      </c>
      <c r="JQ5" s="94" t="s">
        <v>273</v>
      </c>
      <c r="JR5" s="114"/>
      <c r="JS5" s="114" t="s">
        <v>361</v>
      </c>
      <c r="JT5" s="114"/>
      <c r="JU5" s="114" t="s">
        <v>362</v>
      </c>
      <c r="JX5" s="114" t="s">
        <v>269</v>
      </c>
      <c r="JZ5" s="94" t="s">
        <v>273</v>
      </c>
      <c r="KA5" s="114"/>
      <c r="KB5" s="114" t="s">
        <v>361</v>
      </c>
      <c r="KD5" s="114" t="s">
        <v>292</v>
      </c>
      <c r="KE5" s="114"/>
      <c r="KF5" s="114" t="s">
        <v>362</v>
      </c>
      <c r="KH5" s="114" t="s">
        <v>269</v>
      </c>
      <c r="KJ5" s="114" t="s">
        <v>156</v>
      </c>
      <c r="KK5" s="114"/>
      <c r="KL5" s="114"/>
      <c r="KM5" s="114"/>
      <c r="KN5" s="114"/>
      <c r="KO5" s="94" t="s">
        <v>331</v>
      </c>
      <c r="KQ5" s="114"/>
      <c r="KR5" s="114"/>
      <c r="KS5" s="114"/>
      <c r="KT5" s="114" t="s">
        <v>156</v>
      </c>
      <c r="KU5" s="114"/>
      <c r="KV5" s="114"/>
      <c r="KW5" s="114"/>
      <c r="KX5" s="114"/>
      <c r="KY5" s="94" t="s">
        <v>331</v>
      </c>
      <c r="LA5" s="114"/>
      <c r="LB5" s="114"/>
      <c r="LC5" s="114"/>
      <c r="LD5" s="114" t="s">
        <v>156</v>
      </c>
      <c r="LE5" s="114"/>
      <c r="LF5" s="114"/>
      <c r="LG5" s="114"/>
      <c r="LH5" s="114"/>
      <c r="LI5" s="94" t="s">
        <v>331</v>
      </c>
      <c r="LK5" s="114"/>
      <c r="LL5" s="114"/>
      <c r="LM5" s="114"/>
      <c r="LN5" s="114" t="s">
        <v>156</v>
      </c>
      <c r="LO5" s="114"/>
      <c r="LP5" s="114"/>
      <c r="LQ5" s="114"/>
      <c r="LR5" s="114"/>
      <c r="LS5" s="94" t="s">
        <v>331</v>
      </c>
      <c r="LU5" s="114"/>
      <c r="LV5" s="114"/>
      <c r="LW5" s="114"/>
      <c r="LX5" s="114" t="s">
        <v>156</v>
      </c>
      <c r="LY5" s="114"/>
      <c r="LZ5" s="114"/>
      <c r="MA5" s="114"/>
      <c r="MB5" s="114"/>
      <c r="MC5" s="94" t="s">
        <v>331</v>
      </c>
      <c r="ME5" s="114"/>
      <c r="MF5" s="114"/>
      <c r="MG5" s="114"/>
      <c r="MH5" s="114" t="s">
        <v>156</v>
      </c>
      <c r="MI5" s="114"/>
      <c r="MJ5" s="114"/>
      <c r="MK5" s="114"/>
      <c r="ML5" s="114"/>
      <c r="MM5" s="94" t="s">
        <v>331</v>
      </c>
      <c r="MO5" s="114"/>
      <c r="MP5" s="114"/>
      <c r="MQ5" s="114"/>
      <c r="MS5" s="114" t="s">
        <v>322</v>
      </c>
      <c r="MT5" s="114"/>
      <c r="MU5" s="94" t="s">
        <v>331</v>
      </c>
      <c r="MV5" s="114"/>
      <c r="MW5" s="114" t="s">
        <v>322</v>
      </c>
      <c r="MX5" s="114"/>
      <c r="MY5" s="94" t="s">
        <v>331</v>
      </c>
      <c r="MZ5" s="114"/>
      <c r="NA5" s="114" t="s">
        <v>322</v>
      </c>
      <c r="NB5" s="114"/>
      <c r="NC5" s="94" t="s">
        <v>331</v>
      </c>
      <c r="ND5" s="114"/>
      <c r="NE5" s="114" t="s">
        <v>322</v>
      </c>
      <c r="NF5" s="114"/>
      <c r="NG5" s="94" t="s">
        <v>331</v>
      </c>
      <c r="NH5" s="114"/>
      <c r="NI5" s="114" t="s">
        <v>322</v>
      </c>
      <c r="NJ5" s="114"/>
      <c r="NK5" s="94" t="s">
        <v>331</v>
      </c>
      <c r="NL5" s="114"/>
      <c r="NM5" s="114" t="s">
        <v>322</v>
      </c>
      <c r="NN5" s="114"/>
      <c r="NO5" s="94" t="s">
        <v>331</v>
      </c>
      <c r="NP5" s="114"/>
      <c r="NQ5" s="114" t="s">
        <v>322</v>
      </c>
      <c r="NR5" s="114" t="s">
        <v>322</v>
      </c>
      <c r="NS5" s="114" t="s">
        <v>322</v>
      </c>
      <c r="RU5" s="120"/>
      <c r="RV5" s="120"/>
      <c r="RW5" s="120"/>
      <c r="RX5" s="120"/>
      <c r="RY5" s="120"/>
      <c r="RZ5" s="120"/>
    </row>
    <row r="6" spans="1:534" s="94" customFormat="1" ht="15" customHeight="1" x14ac:dyDescent="0.3">
      <c r="A6" s="573"/>
      <c r="D6" s="707"/>
      <c r="E6" s="114"/>
      <c r="F6" s="114"/>
      <c r="G6" s="114"/>
      <c r="H6" s="114"/>
      <c r="I6" s="114"/>
      <c r="J6" s="114"/>
      <c r="K6" s="114" t="s">
        <v>508</v>
      </c>
      <c r="L6" s="114"/>
      <c r="M6" s="114"/>
      <c r="X6" s="114"/>
      <c r="AH6" s="114"/>
      <c r="AI6" s="114"/>
      <c r="AJ6" s="114"/>
      <c r="AZ6" s="114" t="s">
        <v>991</v>
      </c>
      <c r="BA6" s="114" t="s">
        <v>464</v>
      </c>
      <c r="BB6" s="114" t="s">
        <v>465</v>
      </c>
      <c r="BC6" s="114"/>
      <c r="CA6" s="114"/>
      <c r="CB6" s="114"/>
      <c r="CI6" s="114"/>
      <c r="CO6" s="114"/>
      <c r="CP6" s="114"/>
      <c r="CU6" s="120"/>
      <c r="CV6" s="120"/>
      <c r="CW6" s="114"/>
      <c r="DC6" s="114"/>
      <c r="DD6" s="114"/>
      <c r="DK6" s="114"/>
      <c r="DQ6" s="114"/>
      <c r="DR6" s="114"/>
      <c r="DY6" s="114"/>
      <c r="EE6" s="114"/>
      <c r="EF6" s="114"/>
      <c r="EM6" s="114"/>
      <c r="ES6" s="114"/>
      <c r="ET6" s="114"/>
      <c r="FA6" s="114"/>
      <c r="FH6" s="114"/>
      <c r="FK6" s="114"/>
      <c r="FR6" s="114"/>
      <c r="FV6" s="114"/>
      <c r="FY6" s="114"/>
      <c r="GF6" s="114"/>
      <c r="GJ6" s="114"/>
      <c r="GM6" s="114"/>
      <c r="GT6" s="114"/>
      <c r="GU6" s="94" t="s">
        <v>273</v>
      </c>
      <c r="GV6" s="114"/>
      <c r="GW6" s="114"/>
      <c r="GX6" s="94" t="s">
        <v>273</v>
      </c>
      <c r="GY6" s="94" t="s">
        <v>273</v>
      </c>
      <c r="GZ6" s="114"/>
      <c r="HA6" s="114"/>
      <c r="HB6" s="114"/>
      <c r="HC6" s="114"/>
      <c r="HD6" s="114"/>
      <c r="HE6" s="114"/>
      <c r="HF6" s="94" t="s">
        <v>273</v>
      </c>
      <c r="HG6" s="114"/>
      <c r="HH6" s="114"/>
      <c r="HI6" s="114"/>
      <c r="HJ6" s="114"/>
      <c r="HK6" s="114"/>
      <c r="HL6" s="114"/>
      <c r="HM6" s="94" t="s">
        <v>273</v>
      </c>
      <c r="HN6" s="114"/>
      <c r="HO6" s="114"/>
      <c r="HP6" s="114"/>
      <c r="HQ6" s="114"/>
      <c r="HR6" s="114"/>
      <c r="HS6" s="114"/>
      <c r="HT6" s="94" t="s">
        <v>273</v>
      </c>
      <c r="HU6" s="114"/>
      <c r="HV6" s="114"/>
      <c r="HW6" s="114"/>
      <c r="HX6" s="114"/>
      <c r="HY6" s="114"/>
      <c r="HZ6" s="114"/>
      <c r="IA6" s="94" t="s">
        <v>273</v>
      </c>
      <c r="IB6" s="114"/>
      <c r="IC6" s="114"/>
      <c r="ID6" s="114"/>
      <c r="IE6" s="114"/>
      <c r="IF6" s="114"/>
      <c r="IG6" s="114"/>
      <c r="IH6" s="94" t="s">
        <v>273</v>
      </c>
      <c r="II6" s="114"/>
      <c r="IJ6" s="114"/>
      <c r="IK6" s="114"/>
      <c r="IL6" s="114"/>
      <c r="IM6" s="114"/>
      <c r="IN6" s="114"/>
      <c r="IV6" s="94" t="s">
        <v>273</v>
      </c>
      <c r="IX6" s="114"/>
      <c r="IY6" s="114"/>
      <c r="IZ6" s="114"/>
      <c r="JA6" s="95"/>
      <c r="JB6" s="95" t="s">
        <v>437</v>
      </c>
      <c r="JC6" s="95" t="s">
        <v>417</v>
      </c>
      <c r="JD6" s="95" t="s">
        <v>416</v>
      </c>
      <c r="JE6" s="95"/>
      <c r="JF6" s="114"/>
      <c r="JG6" s="114"/>
      <c r="JH6" s="114"/>
      <c r="JI6" s="114"/>
      <c r="JJ6" s="114"/>
      <c r="JK6" s="114"/>
      <c r="JL6" s="114"/>
      <c r="JM6" s="95"/>
      <c r="JN6" s="95"/>
      <c r="JO6" s="95"/>
      <c r="JP6" s="95"/>
      <c r="JQ6" s="114"/>
      <c r="JR6" s="114"/>
      <c r="JT6" s="114"/>
      <c r="JU6" s="114"/>
      <c r="JV6" s="114"/>
      <c r="JW6" s="114"/>
      <c r="JX6" s="114"/>
      <c r="JY6" s="114"/>
      <c r="JZ6" s="114"/>
      <c r="KA6" s="114"/>
      <c r="KB6" s="114"/>
      <c r="KC6" s="114"/>
      <c r="KD6" s="114"/>
      <c r="KE6" s="114"/>
      <c r="KF6" s="114"/>
      <c r="KG6" s="114"/>
      <c r="KH6" s="114"/>
      <c r="KI6" s="114"/>
      <c r="KN6" s="114"/>
      <c r="KS6" s="114"/>
      <c r="KX6" s="114"/>
      <c r="LC6" s="114"/>
      <c r="LH6" s="114"/>
      <c r="LM6" s="114"/>
      <c r="LR6" s="114"/>
      <c r="LW6" s="114"/>
      <c r="MB6" s="114"/>
      <c r="MG6" s="114"/>
      <c r="ML6" s="114"/>
      <c r="MQ6" s="114"/>
      <c r="MS6" s="114"/>
      <c r="MT6" s="114"/>
      <c r="MU6" s="114"/>
      <c r="MV6" s="114"/>
      <c r="MW6" s="114"/>
      <c r="MX6" s="114"/>
      <c r="MY6" s="114"/>
      <c r="MZ6" s="114"/>
      <c r="NA6" s="114"/>
      <c r="NB6" s="114"/>
      <c r="NC6" s="114"/>
      <c r="ND6" s="114"/>
      <c r="NE6" s="114"/>
      <c r="NF6" s="114"/>
      <c r="NG6" s="114"/>
      <c r="NH6" s="114"/>
      <c r="NI6" s="114"/>
      <c r="NJ6" s="114"/>
      <c r="NK6" s="114"/>
      <c r="NL6" s="114"/>
      <c r="NM6" s="114"/>
      <c r="NN6" s="114"/>
      <c r="NO6" s="114"/>
      <c r="NP6" s="114"/>
      <c r="NQ6" s="114"/>
      <c r="RU6" s="120"/>
      <c r="RV6" s="120"/>
      <c r="RW6" s="120"/>
      <c r="RX6" s="120"/>
      <c r="RY6" s="120"/>
      <c r="RZ6" s="120"/>
    </row>
    <row r="7" spans="1:534" s="4" customFormat="1" ht="84" customHeight="1" x14ac:dyDescent="0.25">
      <c r="A7" s="49"/>
      <c r="B7" s="4" t="s">
        <v>319</v>
      </c>
      <c r="C7" s="4" t="s">
        <v>133</v>
      </c>
      <c r="D7" s="34" t="s">
        <v>368</v>
      </c>
      <c r="E7" s="60" t="s">
        <v>370</v>
      </c>
      <c r="F7" s="60" t="s">
        <v>479</v>
      </c>
      <c r="G7" s="60" t="s">
        <v>834</v>
      </c>
      <c r="H7" s="60" t="s">
        <v>835</v>
      </c>
      <c r="I7" s="60" t="s">
        <v>840</v>
      </c>
      <c r="J7" s="60" t="s">
        <v>841</v>
      </c>
      <c r="K7" s="60" t="s">
        <v>46</v>
      </c>
      <c r="L7" s="60" t="s">
        <v>509</v>
      </c>
      <c r="M7" s="60" t="s">
        <v>510</v>
      </c>
      <c r="N7" s="4" t="s">
        <v>204</v>
      </c>
      <c r="O7" s="4" t="s">
        <v>48</v>
      </c>
      <c r="P7" s="4" t="s">
        <v>50</v>
      </c>
      <c r="Q7" s="4" t="s">
        <v>170</v>
      </c>
      <c r="R7" s="4" t="s">
        <v>48</v>
      </c>
      <c r="S7" s="4" t="s">
        <v>50</v>
      </c>
      <c r="T7" s="4" t="s">
        <v>48</v>
      </c>
      <c r="U7" s="4" t="s">
        <v>50</v>
      </c>
      <c r="V7" s="4" t="s">
        <v>48</v>
      </c>
      <c r="W7" s="4" t="s">
        <v>50</v>
      </c>
      <c r="X7" s="60" t="s">
        <v>238</v>
      </c>
      <c r="Y7" s="4" t="s">
        <v>290</v>
      </c>
      <c r="Z7" s="4" t="s">
        <v>150</v>
      </c>
      <c r="AA7" s="4" t="s">
        <v>110</v>
      </c>
      <c r="AB7" s="4" t="s">
        <v>225</v>
      </c>
      <c r="AC7" s="4" t="s">
        <v>225</v>
      </c>
      <c r="AD7" s="4" t="s">
        <v>225</v>
      </c>
      <c r="AE7" s="4" t="s">
        <v>225</v>
      </c>
      <c r="AF7" s="4" t="s">
        <v>225</v>
      </c>
      <c r="AG7" s="4" t="s">
        <v>225</v>
      </c>
      <c r="AH7" s="4" t="s">
        <v>225</v>
      </c>
      <c r="AI7" s="4" t="s">
        <v>225</v>
      </c>
      <c r="AJ7" s="4" t="s">
        <v>225</v>
      </c>
      <c r="AK7" s="4" t="s">
        <v>152</v>
      </c>
      <c r="AL7" s="4" t="s">
        <v>326</v>
      </c>
      <c r="AM7" s="4" t="s">
        <v>153</v>
      </c>
      <c r="AN7" s="4" t="s">
        <v>399</v>
      </c>
      <c r="AO7" s="4" t="s">
        <v>401</v>
      </c>
      <c r="AP7" s="4" t="s">
        <v>404</v>
      </c>
      <c r="AQ7" s="4" t="s">
        <v>102</v>
      </c>
      <c r="AR7" s="4" t="s">
        <v>121</v>
      </c>
      <c r="AS7" s="4" t="s">
        <v>400</v>
      </c>
      <c r="AT7" s="4" t="s">
        <v>403</v>
      </c>
      <c r="AU7" s="4" t="s">
        <v>405</v>
      </c>
      <c r="AV7" s="4" t="s">
        <v>328</v>
      </c>
      <c r="AW7" s="4" t="s">
        <v>406</v>
      </c>
      <c r="AX7" s="4" t="s">
        <v>407</v>
      </c>
      <c r="AY7" s="4" t="s">
        <v>332</v>
      </c>
      <c r="AZ7" s="4" t="s">
        <v>461</v>
      </c>
      <c r="BA7" s="4" t="s">
        <v>461</v>
      </c>
      <c r="BB7" s="4" t="s">
        <v>461</v>
      </c>
      <c r="BC7" s="4" t="s">
        <v>466</v>
      </c>
      <c r="BD7" s="4" t="s">
        <v>402</v>
      </c>
      <c r="BE7" s="4" t="s">
        <v>408</v>
      </c>
      <c r="BF7" s="4" t="s">
        <v>458</v>
      </c>
      <c r="BG7" s="4" t="s">
        <v>409</v>
      </c>
      <c r="BH7" s="4" t="s">
        <v>410</v>
      </c>
      <c r="BI7" s="4" t="s">
        <v>335</v>
      </c>
      <c r="BJ7" s="4" t="s">
        <v>402</v>
      </c>
      <c r="BK7" s="4" t="s">
        <v>408</v>
      </c>
      <c r="BL7" s="4" t="s">
        <v>458</v>
      </c>
      <c r="BM7" s="4" t="s">
        <v>409</v>
      </c>
      <c r="BN7" s="4" t="s">
        <v>410</v>
      </c>
      <c r="BO7" s="4" t="s">
        <v>335</v>
      </c>
      <c r="BP7" s="4" t="s">
        <v>154</v>
      </c>
      <c r="BQ7" s="4" t="s">
        <v>154</v>
      </c>
      <c r="BR7" s="4" t="s">
        <v>154</v>
      </c>
      <c r="BS7" s="4" t="s">
        <v>154</v>
      </c>
      <c r="BT7" s="4" t="s">
        <v>154</v>
      </c>
      <c r="BU7" s="4" t="s">
        <v>154</v>
      </c>
      <c r="BV7" s="4" t="s">
        <v>423</v>
      </c>
      <c r="BW7" s="4" t="s">
        <v>154</v>
      </c>
      <c r="BX7" s="4" t="s">
        <v>85</v>
      </c>
      <c r="BY7" s="4" t="s">
        <v>155</v>
      </c>
      <c r="BZ7" s="4" t="s">
        <v>291</v>
      </c>
      <c r="CA7" s="4" t="s">
        <v>440</v>
      </c>
      <c r="CB7" s="4" t="s">
        <v>486</v>
      </c>
      <c r="CC7" s="4" t="s">
        <v>423</v>
      </c>
      <c r="CD7" s="4" t="s">
        <v>154</v>
      </c>
      <c r="CE7" s="4" t="s">
        <v>85</v>
      </c>
      <c r="CF7" s="4" t="s">
        <v>155</v>
      </c>
      <c r="CG7" s="4" t="s">
        <v>441</v>
      </c>
      <c r="CH7" s="4" t="s">
        <v>440</v>
      </c>
      <c r="CI7" s="4" t="s">
        <v>486</v>
      </c>
      <c r="CJ7" s="4" t="s">
        <v>423</v>
      </c>
      <c r="CK7" s="4" t="s">
        <v>154</v>
      </c>
      <c r="CL7" s="4" t="s">
        <v>85</v>
      </c>
      <c r="CM7" s="4" t="s">
        <v>155</v>
      </c>
      <c r="CN7" s="4" t="s">
        <v>441</v>
      </c>
      <c r="CO7" s="4" t="s">
        <v>440</v>
      </c>
      <c r="CP7" s="4" t="s">
        <v>486</v>
      </c>
      <c r="CQ7" s="4" t="s">
        <v>423</v>
      </c>
      <c r="CR7" s="4" t="s">
        <v>154</v>
      </c>
      <c r="CS7" s="4" t="s">
        <v>85</v>
      </c>
      <c r="CT7" s="4" t="s">
        <v>155</v>
      </c>
      <c r="CU7" s="4" t="s">
        <v>441</v>
      </c>
      <c r="CV7" s="4" t="s">
        <v>440</v>
      </c>
      <c r="CW7" s="4" t="s">
        <v>486</v>
      </c>
      <c r="CX7" s="4" t="s">
        <v>423</v>
      </c>
      <c r="CY7" s="4" t="s">
        <v>154</v>
      </c>
      <c r="CZ7" s="4" t="s">
        <v>85</v>
      </c>
      <c r="DA7" s="4" t="s">
        <v>155</v>
      </c>
      <c r="DB7" s="4" t="s">
        <v>291</v>
      </c>
      <c r="DC7" s="4" t="s">
        <v>440</v>
      </c>
      <c r="DD7" s="4" t="s">
        <v>486</v>
      </c>
      <c r="DE7" s="4" t="s">
        <v>423</v>
      </c>
      <c r="DF7" s="4" t="s">
        <v>154</v>
      </c>
      <c r="DG7" s="4" t="s">
        <v>85</v>
      </c>
      <c r="DH7" s="4" t="s">
        <v>155</v>
      </c>
      <c r="DI7" s="4" t="s">
        <v>441</v>
      </c>
      <c r="DJ7" s="4" t="s">
        <v>440</v>
      </c>
      <c r="DK7" s="4" t="s">
        <v>486</v>
      </c>
      <c r="DL7" s="4" t="s">
        <v>423</v>
      </c>
      <c r="DM7" s="4" t="s">
        <v>154</v>
      </c>
      <c r="DN7" s="4" t="s">
        <v>85</v>
      </c>
      <c r="DO7" s="4" t="s">
        <v>155</v>
      </c>
      <c r="DP7" s="4" t="s">
        <v>291</v>
      </c>
      <c r="DQ7" s="4" t="s">
        <v>440</v>
      </c>
      <c r="DR7" s="4" t="s">
        <v>486</v>
      </c>
      <c r="DS7" s="4" t="s">
        <v>423</v>
      </c>
      <c r="DT7" s="4" t="s">
        <v>154</v>
      </c>
      <c r="DU7" s="4" t="s">
        <v>85</v>
      </c>
      <c r="DV7" s="4" t="s">
        <v>155</v>
      </c>
      <c r="DW7" s="4" t="s">
        <v>441</v>
      </c>
      <c r="DX7" s="4" t="s">
        <v>440</v>
      </c>
      <c r="DY7" s="4" t="s">
        <v>486</v>
      </c>
      <c r="DZ7" s="4" t="s">
        <v>423</v>
      </c>
      <c r="EA7" s="4" t="s">
        <v>154</v>
      </c>
      <c r="EB7" s="4" t="s">
        <v>85</v>
      </c>
      <c r="EC7" s="4" t="s">
        <v>155</v>
      </c>
      <c r="ED7" s="4" t="s">
        <v>291</v>
      </c>
      <c r="EE7" s="4" t="s">
        <v>440</v>
      </c>
      <c r="EF7" s="4" t="s">
        <v>486</v>
      </c>
      <c r="EG7" s="4" t="s">
        <v>423</v>
      </c>
      <c r="EH7" s="4" t="s">
        <v>154</v>
      </c>
      <c r="EI7" s="4" t="s">
        <v>85</v>
      </c>
      <c r="EJ7" s="4" t="s">
        <v>155</v>
      </c>
      <c r="EK7" s="4" t="s">
        <v>441</v>
      </c>
      <c r="EL7" s="4" t="s">
        <v>440</v>
      </c>
      <c r="EM7" s="4" t="s">
        <v>486</v>
      </c>
      <c r="EN7" s="4" t="s">
        <v>423</v>
      </c>
      <c r="EO7" s="4" t="s">
        <v>154</v>
      </c>
      <c r="EP7" s="4" t="s">
        <v>85</v>
      </c>
      <c r="EQ7" s="4" t="s">
        <v>155</v>
      </c>
      <c r="ER7" s="4" t="s">
        <v>291</v>
      </c>
      <c r="ES7" s="4" t="s">
        <v>440</v>
      </c>
      <c r="ET7" s="4" t="s">
        <v>486</v>
      </c>
      <c r="EU7" s="4" t="s">
        <v>423</v>
      </c>
      <c r="EV7" s="4" t="s">
        <v>154</v>
      </c>
      <c r="EW7" s="4" t="s">
        <v>85</v>
      </c>
      <c r="EX7" s="4" t="s">
        <v>155</v>
      </c>
      <c r="EY7" s="4" t="s">
        <v>441</v>
      </c>
      <c r="EZ7" s="4" t="s">
        <v>440</v>
      </c>
      <c r="FA7" s="4" t="s">
        <v>486</v>
      </c>
      <c r="FB7" s="4" t="s">
        <v>318</v>
      </c>
      <c r="FC7" s="4" t="s">
        <v>318</v>
      </c>
      <c r="FD7" s="4" t="s">
        <v>318</v>
      </c>
      <c r="FE7" s="4" t="s">
        <v>431</v>
      </c>
      <c r="FF7" s="4" t="s">
        <v>318</v>
      </c>
      <c r="FG7" s="4" t="s">
        <v>360</v>
      </c>
      <c r="FH7" s="4" t="s">
        <v>317</v>
      </c>
      <c r="FI7" s="4" t="s">
        <v>443</v>
      </c>
      <c r="FJ7" s="4" t="s">
        <v>442</v>
      </c>
      <c r="FK7" s="4" t="s">
        <v>487</v>
      </c>
      <c r="FL7" s="4" t="s">
        <v>431</v>
      </c>
      <c r="FM7" s="4" t="s">
        <v>318</v>
      </c>
      <c r="FN7" s="4" t="s">
        <v>360</v>
      </c>
      <c r="FO7" s="4" t="s">
        <v>317</v>
      </c>
      <c r="FP7" s="4" t="s">
        <v>443</v>
      </c>
      <c r="FQ7" s="4" t="s">
        <v>442</v>
      </c>
      <c r="FR7" s="4" t="s">
        <v>487</v>
      </c>
      <c r="FS7" s="4" t="s">
        <v>431</v>
      </c>
      <c r="FT7" s="4" t="s">
        <v>318</v>
      </c>
      <c r="FU7" s="4" t="s">
        <v>360</v>
      </c>
      <c r="FV7" s="4" t="s">
        <v>317</v>
      </c>
      <c r="FW7" s="4" t="s">
        <v>443</v>
      </c>
      <c r="FX7" s="4" t="s">
        <v>442</v>
      </c>
      <c r="FY7" s="4" t="s">
        <v>487</v>
      </c>
      <c r="FZ7" s="4" t="s">
        <v>431</v>
      </c>
      <c r="GA7" s="4" t="s">
        <v>318</v>
      </c>
      <c r="GB7" s="4" t="s">
        <v>360</v>
      </c>
      <c r="GC7" s="4" t="s">
        <v>317</v>
      </c>
      <c r="GD7" s="4" t="s">
        <v>443</v>
      </c>
      <c r="GE7" s="4" t="s">
        <v>442</v>
      </c>
      <c r="GF7" s="4" t="s">
        <v>487</v>
      </c>
      <c r="GG7" s="4" t="s">
        <v>431</v>
      </c>
      <c r="GH7" s="4" t="s">
        <v>318</v>
      </c>
      <c r="GI7" s="4" t="s">
        <v>360</v>
      </c>
      <c r="GJ7" s="4" t="s">
        <v>317</v>
      </c>
      <c r="GK7" s="4" t="s">
        <v>443</v>
      </c>
      <c r="GL7" s="4" t="s">
        <v>442</v>
      </c>
      <c r="GM7" s="4" t="s">
        <v>487</v>
      </c>
      <c r="GN7" s="4" t="s">
        <v>431</v>
      </c>
      <c r="GO7" s="4" t="s">
        <v>318</v>
      </c>
      <c r="GP7" s="4" t="s">
        <v>360</v>
      </c>
      <c r="GQ7" s="4" t="s">
        <v>317</v>
      </c>
      <c r="GR7" s="4" t="s">
        <v>443</v>
      </c>
      <c r="GS7" s="4" t="s">
        <v>442</v>
      </c>
      <c r="GT7" s="4" t="s">
        <v>487</v>
      </c>
      <c r="GU7" s="4" t="s">
        <v>286</v>
      </c>
      <c r="GV7" s="4" t="s">
        <v>286</v>
      </c>
      <c r="GW7" s="4" t="s">
        <v>286</v>
      </c>
      <c r="GX7" s="60" t="s">
        <v>851</v>
      </c>
      <c r="GY7" s="4" t="s">
        <v>419</v>
      </c>
      <c r="GZ7" s="4" t="s">
        <v>287</v>
      </c>
      <c r="HA7" s="4" t="s">
        <v>281</v>
      </c>
      <c r="HB7" s="4" t="s">
        <v>282</v>
      </c>
      <c r="HC7" s="4" t="s">
        <v>438</v>
      </c>
      <c r="HD7" s="4" t="s">
        <v>429</v>
      </c>
      <c r="HE7" s="4" t="s">
        <v>486</v>
      </c>
      <c r="HF7" s="4" t="s">
        <v>419</v>
      </c>
      <c r="HG7" s="4" t="s">
        <v>287</v>
      </c>
      <c r="HH7" s="4" t="s">
        <v>281</v>
      </c>
      <c r="HI7" s="4" t="s">
        <v>282</v>
      </c>
      <c r="HJ7" s="4" t="s">
        <v>438</v>
      </c>
      <c r="HK7" s="4" t="s">
        <v>429</v>
      </c>
      <c r="HL7" s="4" t="s">
        <v>486</v>
      </c>
      <c r="HM7" s="4" t="s">
        <v>419</v>
      </c>
      <c r="HN7" s="4" t="s">
        <v>287</v>
      </c>
      <c r="HO7" s="4" t="s">
        <v>281</v>
      </c>
      <c r="HP7" s="4" t="s">
        <v>282</v>
      </c>
      <c r="HQ7" s="4" t="s">
        <v>438</v>
      </c>
      <c r="HR7" s="4" t="s">
        <v>429</v>
      </c>
      <c r="HS7" s="4" t="s">
        <v>486</v>
      </c>
      <c r="HT7" s="4" t="s">
        <v>419</v>
      </c>
      <c r="HU7" s="4" t="s">
        <v>287</v>
      </c>
      <c r="HV7" s="4" t="s">
        <v>281</v>
      </c>
      <c r="HW7" s="4" t="s">
        <v>282</v>
      </c>
      <c r="HX7" s="4" t="s">
        <v>438</v>
      </c>
      <c r="HY7" s="4" t="s">
        <v>429</v>
      </c>
      <c r="HZ7" s="4" t="s">
        <v>486</v>
      </c>
      <c r="IA7" s="4" t="s">
        <v>419</v>
      </c>
      <c r="IB7" s="4" t="s">
        <v>287</v>
      </c>
      <c r="IC7" s="4" t="s">
        <v>281</v>
      </c>
      <c r="ID7" s="4" t="s">
        <v>282</v>
      </c>
      <c r="IE7" s="4" t="s">
        <v>438</v>
      </c>
      <c r="IF7" s="4" t="s">
        <v>429</v>
      </c>
      <c r="IG7" s="4" t="s">
        <v>486</v>
      </c>
      <c r="IH7" s="4" t="s">
        <v>419</v>
      </c>
      <c r="II7" s="4" t="s">
        <v>287</v>
      </c>
      <c r="IJ7" s="4" t="s">
        <v>281</v>
      </c>
      <c r="IK7" s="4" t="s">
        <v>282</v>
      </c>
      <c r="IL7" s="4" t="s">
        <v>438</v>
      </c>
      <c r="IM7" s="4" t="s">
        <v>429</v>
      </c>
      <c r="IN7" s="4" t="s">
        <v>486</v>
      </c>
      <c r="IO7" s="60" t="s">
        <v>851</v>
      </c>
      <c r="IP7" s="60" t="s">
        <v>852</v>
      </c>
      <c r="IQ7" s="60" t="s">
        <v>851</v>
      </c>
      <c r="IR7" s="60" t="s">
        <v>851</v>
      </c>
      <c r="IS7" s="60" t="s">
        <v>852</v>
      </c>
      <c r="IT7" s="60" t="s">
        <v>851</v>
      </c>
      <c r="IU7" s="60" t="s">
        <v>851</v>
      </c>
      <c r="IV7" s="4" t="s">
        <v>413</v>
      </c>
      <c r="IW7" s="4" t="s">
        <v>286</v>
      </c>
      <c r="IX7" s="4" t="s">
        <v>281</v>
      </c>
      <c r="IY7" s="4" t="s">
        <v>282</v>
      </c>
      <c r="IZ7" s="4" t="s">
        <v>439</v>
      </c>
      <c r="JA7" s="4" t="s">
        <v>488</v>
      </c>
      <c r="JB7" s="123" t="s">
        <v>286</v>
      </c>
      <c r="JC7" s="123" t="s">
        <v>286</v>
      </c>
      <c r="JD7" s="123" t="s">
        <v>286</v>
      </c>
      <c r="JE7" s="4" t="s">
        <v>413</v>
      </c>
      <c r="JF7" s="4" t="s">
        <v>286</v>
      </c>
      <c r="JG7" s="4" t="s">
        <v>281</v>
      </c>
      <c r="JH7" s="4" t="s">
        <v>282</v>
      </c>
      <c r="JI7" s="4" t="s">
        <v>288</v>
      </c>
      <c r="JJ7" s="4" t="s">
        <v>488</v>
      </c>
      <c r="JK7" s="4" t="s">
        <v>286</v>
      </c>
      <c r="JL7" s="4" t="s">
        <v>288</v>
      </c>
      <c r="JM7" s="123" t="s">
        <v>286</v>
      </c>
      <c r="JN7" s="123" t="s">
        <v>286</v>
      </c>
      <c r="JO7" s="123" t="s">
        <v>286</v>
      </c>
      <c r="JP7" s="49" t="s">
        <v>286</v>
      </c>
      <c r="JQ7" s="4" t="s">
        <v>287</v>
      </c>
      <c r="JR7" s="4" t="s">
        <v>289</v>
      </c>
      <c r="JS7" s="4" t="s">
        <v>287</v>
      </c>
      <c r="JT7" s="4" t="s">
        <v>289</v>
      </c>
      <c r="JU7" s="4" t="s">
        <v>286</v>
      </c>
      <c r="JV7" s="4" t="s">
        <v>288</v>
      </c>
      <c r="JW7" s="60" t="s">
        <v>984</v>
      </c>
      <c r="JX7" s="4" t="s">
        <v>286</v>
      </c>
      <c r="JY7" s="4" t="s">
        <v>288</v>
      </c>
      <c r="JZ7" s="4" t="s">
        <v>287</v>
      </c>
      <c r="KA7" s="4" t="s">
        <v>289</v>
      </c>
      <c r="KB7" s="4" t="s">
        <v>286</v>
      </c>
      <c r="KC7" s="4" t="s">
        <v>289</v>
      </c>
      <c r="KD7" s="49" t="s">
        <v>295</v>
      </c>
      <c r="KE7" s="49" t="s">
        <v>457</v>
      </c>
      <c r="KF7" s="4" t="s">
        <v>286</v>
      </c>
      <c r="KG7" s="4" t="s">
        <v>288</v>
      </c>
      <c r="KH7" s="4" t="s">
        <v>286</v>
      </c>
      <c r="KI7" s="4" t="s">
        <v>288</v>
      </c>
      <c r="KJ7" s="4" t="s">
        <v>286</v>
      </c>
      <c r="KK7" s="4" t="s">
        <v>288</v>
      </c>
      <c r="KL7" s="4" t="s">
        <v>281</v>
      </c>
      <c r="KM7" s="4" t="s">
        <v>282</v>
      </c>
      <c r="KN7" s="4" t="s">
        <v>488</v>
      </c>
      <c r="KO7" s="4" t="s">
        <v>286</v>
      </c>
      <c r="KP7" s="4" t="s">
        <v>288</v>
      </c>
      <c r="KQ7" s="4" t="s">
        <v>281</v>
      </c>
      <c r="KR7" s="4" t="s">
        <v>282</v>
      </c>
      <c r="KS7" s="4" t="s">
        <v>488</v>
      </c>
      <c r="KT7" s="4" t="s">
        <v>286</v>
      </c>
      <c r="KU7" s="4" t="s">
        <v>288</v>
      </c>
      <c r="KV7" s="4" t="s">
        <v>281</v>
      </c>
      <c r="KW7" s="4" t="s">
        <v>282</v>
      </c>
      <c r="KX7" s="4" t="s">
        <v>488</v>
      </c>
      <c r="KY7" s="4" t="s">
        <v>286</v>
      </c>
      <c r="KZ7" s="4" t="s">
        <v>288</v>
      </c>
      <c r="LA7" s="4" t="s">
        <v>281</v>
      </c>
      <c r="LB7" s="4" t="s">
        <v>282</v>
      </c>
      <c r="LC7" s="4" t="s">
        <v>488</v>
      </c>
      <c r="LD7" s="4" t="s">
        <v>286</v>
      </c>
      <c r="LE7" s="4" t="s">
        <v>288</v>
      </c>
      <c r="LF7" s="4" t="s">
        <v>281</v>
      </c>
      <c r="LG7" s="4" t="s">
        <v>282</v>
      </c>
      <c r="LH7" s="4" t="s">
        <v>488</v>
      </c>
      <c r="LI7" s="4" t="s">
        <v>286</v>
      </c>
      <c r="LJ7" s="4" t="s">
        <v>288</v>
      </c>
      <c r="LK7" s="4" t="s">
        <v>281</v>
      </c>
      <c r="LL7" s="4" t="s">
        <v>282</v>
      </c>
      <c r="LM7" s="4" t="s">
        <v>488</v>
      </c>
      <c r="LN7" s="4" t="s">
        <v>286</v>
      </c>
      <c r="LO7" s="4" t="s">
        <v>288</v>
      </c>
      <c r="LP7" s="4" t="s">
        <v>281</v>
      </c>
      <c r="LQ7" s="4" t="s">
        <v>282</v>
      </c>
      <c r="LR7" s="4" t="s">
        <v>488</v>
      </c>
      <c r="LS7" s="4" t="s">
        <v>286</v>
      </c>
      <c r="LT7" s="4" t="s">
        <v>288</v>
      </c>
      <c r="LU7" s="4" t="s">
        <v>281</v>
      </c>
      <c r="LV7" s="4" t="s">
        <v>282</v>
      </c>
      <c r="LW7" s="4" t="s">
        <v>488</v>
      </c>
      <c r="LX7" s="4" t="s">
        <v>286</v>
      </c>
      <c r="LY7" s="4" t="s">
        <v>288</v>
      </c>
      <c r="LZ7" s="4" t="s">
        <v>281</v>
      </c>
      <c r="MA7" s="4" t="s">
        <v>282</v>
      </c>
      <c r="MB7" s="4" t="s">
        <v>488</v>
      </c>
      <c r="MC7" s="4" t="s">
        <v>286</v>
      </c>
      <c r="MD7" s="4" t="s">
        <v>288</v>
      </c>
      <c r="ME7" s="4" t="s">
        <v>281</v>
      </c>
      <c r="MF7" s="4" t="s">
        <v>282</v>
      </c>
      <c r="MG7" s="4" t="s">
        <v>488</v>
      </c>
      <c r="MH7" s="4" t="s">
        <v>286</v>
      </c>
      <c r="MI7" s="4" t="s">
        <v>288</v>
      </c>
      <c r="MJ7" s="4" t="s">
        <v>281</v>
      </c>
      <c r="MK7" s="4" t="s">
        <v>282</v>
      </c>
      <c r="ML7" s="4" t="s">
        <v>488</v>
      </c>
      <c r="MM7" s="4" t="s">
        <v>286</v>
      </c>
      <c r="MN7" s="4" t="s">
        <v>288</v>
      </c>
      <c r="MO7" s="4" t="s">
        <v>281</v>
      </c>
      <c r="MP7" s="4" t="s">
        <v>282</v>
      </c>
      <c r="MQ7" s="4" t="s">
        <v>488</v>
      </c>
      <c r="MR7" s="4" t="s">
        <v>385</v>
      </c>
      <c r="MS7" s="4" t="s">
        <v>288</v>
      </c>
      <c r="MT7" s="4" t="s">
        <v>488</v>
      </c>
      <c r="MU7" s="4" t="s">
        <v>288</v>
      </c>
      <c r="MV7" s="4" t="s">
        <v>488</v>
      </c>
      <c r="MW7" s="4" t="s">
        <v>288</v>
      </c>
      <c r="MX7" s="4" t="s">
        <v>488</v>
      </c>
      <c r="MY7" s="4" t="s">
        <v>288</v>
      </c>
      <c r="MZ7" s="4" t="s">
        <v>488</v>
      </c>
      <c r="NA7" s="4" t="s">
        <v>288</v>
      </c>
      <c r="NB7" s="4" t="s">
        <v>488</v>
      </c>
      <c r="NC7" s="4" t="s">
        <v>288</v>
      </c>
      <c r="ND7" s="4" t="s">
        <v>488</v>
      </c>
      <c r="NE7" s="4" t="s">
        <v>288</v>
      </c>
      <c r="NF7" s="4" t="s">
        <v>488</v>
      </c>
      <c r="NG7" s="4" t="s">
        <v>288</v>
      </c>
      <c r="NH7" s="4" t="s">
        <v>488</v>
      </c>
      <c r="NI7" s="4" t="s">
        <v>288</v>
      </c>
      <c r="NJ7" s="4" t="s">
        <v>488</v>
      </c>
      <c r="NK7" s="4" t="s">
        <v>288</v>
      </c>
      <c r="NL7" s="4" t="s">
        <v>488</v>
      </c>
      <c r="NM7" s="4" t="s">
        <v>288</v>
      </c>
      <c r="NN7" s="4" t="s">
        <v>488</v>
      </c>
      <c r="NO7" s="4" t="s">
        <v>288</v>
      </c>
      <c r="NP7" s="4" t="s">
        <v>488</v>
      </c>
      <c r="NQ7" s="4" t="s">
        <v>506</v>
      </c>
      <c r="NR7" s="4" t="s">
        <v>506</v>
      </c>
      <c r="NS7" s="4" t="s">
        <v>506</v>
      </c>
      <c r="NT7" s="4" t="s">
        <v>34</v>
      </c>
      <c r="NU7" s="4" t="s">
        <v>237</v>
      </c>
      <c r="NV7" s="4" t="s">
        <v>128</v>
      </c>
      <c r="NW7" s="4" t="s">
        <v>129</v>
      </c>
      <c r="NX7" s="4" t="s">
        <v>227</v>
      </c>
      <c r="NY7" s="4" t="s">
        <v>129</v>
      </c>
      <c r="NZ7" s="4" t="s">
        <v>227</v>
      </c>
      <c r="OA7" s="4" t="s">
        <v>131</v>
      </c>
      <c r="OB7" s="4" t="s">
        <v>132</v>
      </c>
      <c r="OC7" s="4" t="s">
        <v>34</v>
      </c>
      <c r="OD7" s="4" t="s">
        <v>18</v>
      </c>
      <c r="OE7" s="4" t="s">
        <v>34</v>
      </c>
      <c r="OF7" s="4" t="s">
        <v>18</v>
      </c>
      <c r="RF7" s="4" t="s">
        <v>6</v>
      </c>
      <c r="RG7" s="4" t="s">
        <v>6</v>
      </c>
      <c r="RH7" s="4" t="s">
        <v>6</v>
      </c>
      <c r="RI7" s="4" t="s">
        <v>6</v>
      </c>
      <c r="RJ7" s="4" t="s">
        <v>7</v>
      </c>
      <c r="RK7" s="49" t="s">
        <v>6</v>
      </c>
      <c r="RL7" s="49" t="s">
        <v>29</v>
      </c>
      <c r="RM7" s="4" t="s">
        <v>6</v>
      </c>
      <c r="RN7" s="4" t="s">
        <v>10</v>
      </c>
      <c r="RO7" s="4" t="s">
        <v>6</v>
      </c>
      <c r="RP7" s="4" t="s">
        <v>11</v>
      </c>
      <c r="RQ7" s="4" t="s">
        <v>10</v>
      </c>
      <c r="RR7" s="4" t="s">
        <v>7</v>
      </c>
      <c r="RS7" s="4" t="s">
        <v>6</v>
      </c>
      <c r="RT7" s="4" t="s">
        <v>11</v>
      </c>
      <c r="RU7" s="149"/>
      <c r="RV7" s="149"/>
      <c r="RW7" s="149"/>
      <c r="RX7" s="149"/>
      <c r="RY7" s="149"/>
      <c r="RZ7" s="149"/>
      <c r="SA7" s="4" t="s">
        <v>6</v>
      </c>
      <c r="SB7" s="4" t="s">
        <v>15</v>
      </c>
      <c r="SC7" s="4" t="s">
        <v>6</v>
      </c>
      <c r="SD7" s="4" t="s">
        <v>20</v>
      </c>
      <c r="SE7" s="4" t="s">
        <v>15</v>
      </c>
      <c r="SF7" s="4" t="s">
        <v>6</v>
      </c>
      <c r="SG7" s="4" t="s">
        <v>20</v>
      </c>
      <c r="SH7" s="4" t="s">
        <v>15</v>
      </c>
      <c r="SI7" s="4" t="s">
        <v>6</v>
      </c>
      <c r="SJ7" s="4" t="s">
        <v>15</v>
      </c>
      <c r="SK7" s="4" t="s">
        <v>6</v>
      </c>
      <c r="SL7" s="4" t="s">
        <v>20</v>
      </c>
      <c r="SM7" s="4" t="s">
        <v>15</v>
      </c>
      <c r="SN7" s="4" t="s">
        <v>6</v>
      </c>
      <c r="SO7" s="4" t="s">
        <v>20</v>
      </c>
      <c r="SP7" s="4" t="s">
        <v>15</v>
      </c>
      <c r="SQ7" s="4" t="s">
        <v>6</v>
      </c>
      <c r="SR7" s="4" t="s">
        <v>15</v>
      </c>
      <c r="SS7" s="4" t="s">
        <v>6</v>
      </c>
      <c r="ST7" s="4" t="s">
        <v>20</v>
      </c>
      <c r="SU7" s="4" t="s">
        <v>15</v>
      </c>
      <c r="SV7" s="4" t="s">
        <v>6</v>
      </c>
      <c r="SW7" s="4" t="s">
        <v>20</v>
      </c>
      <c r="SX7" s="4" t="s">
        <v>15</v>
      </c>
      <c r="SY7" s="4" t="s">
        <v>6</v>
      </c>
      <c r="SZ7" s="4" t="s">
        <v>15</v>
      </c>
      <c r="TA7" s="4" t="s">
        <v>6</v>
      </c>
      <c r="TB7" s="4" t="s">
        <v>20</v>
      </c>
      <c r="TC7" s="4" t="s">
        <v>15</v>
      </c>
      <c r="TD7" s="4" t="s">
        <v>6</v>
      </c>
      <c r="TE7" s="4" t="s">
        <v>20</v>
      </c>
      <c r="TF7" s="4" t="s">
        <v>15</v>
      </c>
      <c r="TG7" s="4" t="s">
        <v>6</v>
      </c>
      <c r="TH7" s="4" t="s">
        <v>10</v>
      </c>
      <c r="TI7" s="4" t="s">
        <v>6</v>
      </c>
      <c r="TJ7" s="4" t="s">
        <v>20</v>
      </c>
      <c r="TK7" s="4" t="s">
        <v>15</v>
      </c>
      <c r="TL7" s="4" t="s">
        <v>6</v>
      </c>
      <c r="TM7" s="4" t="s">
        <v>20</v>
      </c>
      <c r="TN7" s="4" t="s">
        <v>15</v>
      </c>
    </row>
    <row r="8" spans="1:534" s="4" customFormat="1" x14ac:dyDescent="0.25">
      <c r="A8" s="14"/>
      <c r="B8" s="14"/>
      <c r="C8" s="14"/>
      <c r="D8" s="708"/>
      <c r="E8" s="102"/>
      <c r="F8" s="102"/>
      <c r="G8" s="102"/>
      <c r="H8" s="102"/>
      <c r="I8" s="102"/>
      <c r="J8" s="102"/>
      <c r="K8" s="102"/>
      <c r="L8" s="102"/>
      <c r="M8" s="102"/>
      <c r="N8" s="14"/>
      <c r="O8" s="14"/>
      <c r="P8" s="14"/>
      <c r="Q8" s="14"/>
      <c r="R8" s="14"/>
      <c r="S8" s="14"/>
      <c r="T8" s="14"/>
      <c r="U8" s="14"/>
      <c r="X8" s="60"/>
      <c r="AH8" s="60"/>
      <c r="AI8" s="60"/>
      <c r="AJ8" s="60"/>
      <c r="AZ8" s="60"/>
      <c r="BA8" s="60"/>
      <c r="BB8" s="60"/>
      <c r="BC8" s="60"/>
      <c r="BD8" s="60"/>
      <c r="BE8" s="60"/>
      <c r="BF8" s="60"/>
      <c r="BG8" s="60"/>
      <c r="BH8" s="60"/>
      <c r="BI8" s="60"/>
      <c r="CO8" s="60"/>
      <c r="CP8" s="60"/>
      <c r="CQ8" s="60"/>
      <c r="CR8" s="97"/>
      <c r="CS8" s="97"/>
      <c r="CT8" s="97"/>
      <c r="CU8" s="97"/>
      <c r="CV8" s="97"/>
      <c r="CW8" s="60"/>
      <c r="CX8" s="60"/>
      <c r="CY8" s="60"/>
      <c r="CZ8" s="60"/>
      <c r="DA8" s="60"/>
      <c r="DB8" s="60"/>
      <c r="DC8" s="60"/>
      <c r="DD8" s="60"/>
      <c r="DE8" s="60"/>
      <c r="DF8" s="60"/>
      <c r="DG8" s="60"/>
      <c r="DH8" s="60"/>
      <c r="DI8" s="60"/>
      <c r="DJ8" s="60"/>
      <c r="DK8" s="60"/>
      <c r="DL8" s="60"/>
      <c r="DM8" s="60"/>
      <c r="DN8" s="60"/>
      <c r="DO8" s="60"/>
      <c r="DP8" s="60"/>
      <c r="DQ8" s="60"/>
      <c r="DR8" s="60"/>
      <c r="DS8" s="60"/>
      <c r="DT8" s="60"/>
      <c r="DU8" s="60"/>
      <c r="DV8" s="60"/>
      <c r="DW8" s="60"/>
      <c r="DX8" s="60"/>
      <c r="DY8" s="60"/>
      <c r="EE8" s="60"/>
      <c r="EF8" s="60"/>
      <c r="EG8" s="60"/>
      <c r="EM8" s="60"/>
      <c r="EN8" s="60"/>
      <c r="EO8" s="60"/>
      <c r="EP8" s="60"/>
      <c r="EQ8" s="60"/>
      <c r="ER8" s="60"/>
      <c r="ES8" s="60"/>
      <c r="ET8" s="60"/>
      <c r="EU8" s="60"/>
      <c r="EV8" s="60"/>
      <c r="EW8" s="60"/>
      <c r="EX8" s="60"/>
      <c r="EY8" s="60"/>
      <c r="EZ8" s="60"/>
      <c r="FA8" s="60"/>
      <c r="FV8" s="60"/>
      <c r="FY8" s="60"/>
      <c r="FZ8" s="60"/>
      <c r="GF8" s="60"/>
      <c r="GY8" s="123"/>
      <c r="GZ8" s="123"/>
      <c r="HA8" s="123"/>
      <c r="HB8" s="123"/>
      <c r="HC8" s="123"/>
      <c r="HD8" s="123"/>
      <c r="HE8" s="123"/>
      <c r="HF8" s="123"/>
      <c r="HG8" s="123"/>
      <c r="HH8" s="123"/>
      <c r="HI8" s="123"/>
      <c r="HJ8" s="123"/>
      <c r="HK8" s="123"/>
      <c r="HL8" s="123"/>
      <c r="HM8" s="123"/>
      <c r="HN8" s="123"/>
      <c r="HO8" s="123"/>
      <c r="HP8" s="60"/>
      <c r="HQ8" s="123"/>
      <c r="HR8" s="60"/>
      <c r="HS8" s="60"/>
      <c r="HT8" s="60"/>
      <c r="HU8" s="60"/>
      <c r="HV8" s="60"/>
      <c r="HW8" s="60"/>
      <c r="HX8" s="60"/>
      <c r="HY8" s="60"/>
      <c r="HZ8" s="60"/>
      <c r="IA8" s="60"/>
      <c r="IB8" s="60"/>
      <c r="IC8" s="60"/>
      <c r="ID8" s="60"/>
      <c r="IE8" s="60"/>
      <c r="IF8" s="60"/>
      <c r="IG8" s="60"/>
      <c r="IH8" s="60"/>
      <c r="II8" s="60"/>
      <c r="IJ8" s="60"/>
      <c r="IK8" s="60"/>
      <c r="IL8" s="60"/>
      <c r="IM8" s="60"/>
      <c r="IN8" s="60"/>
      <c r="IO8" s="97"/>
      <c r="IP8" s="97"/>
      <c r="IQ8" s="97"/>
      <c r="IR8" s="97"/>
      <c r="IS8" s="97"/>
      <c r="IT8" s="97"/>
      <c r="IU8" s="97"/>
      <c r="IW8" s="60"/>
      <c r="IX8" s="60"/>
      <c r="IY8" s="60"/>
      <c r="IZ8" s="60"/>
      <c r="JA8" s="60"/>
      <c r="JB8" s="60"/>
      <c r="JC8" s="60"/>
      <c r="JD8" s="60"/>
      <c r="JE8" s="60"/>
      <c r="JF8" s="60"/>
      <c r="JG8" s="60"/>
      <c r="JH8" s="60"/>
      <c r="JI8" s="60"/>
      <c r="JJ8" s="60"/>
      <c r="JK8" s="60"/>
      <c r="JL8" s="60"/>
      <c r="JM8" s="123"/>
      <c r="JN8" s="123"/>
      <c r="JO8" s="123"/>
      <c r="JP8" s="123"/>
      <c r="JQ8" s="60"/>
      <c r="JR8" s="60"/>
      <c r="JS8" s="60"/>
      <c r="JT8" s="60"/>
      <c r="JU8" s="60"/>
      <c r="JV8" s="60"/>
      <c r="JW8" s="60"/>
      <c r="JX8" s="60"/>
      <c r="JY8" s="60"/>
      <c r="JZ8" s="60"/>
      <c r="KA8" s="60"/>
      <c r="KB8" s="60"/>
      <c r="KC8" s="60"/>
      <c r="KD8" s="123"/>
      <c r="KE8" s="123"/>
      <c r="KF8" s="123"/>
      <c r="KG8" s="123"/>
      <c r="KH8" s="123"/>
      <c r="KI8" s="123"/>
      <c r="KJ8" s="123"/>
      <c r="KK8" s="123"/>
      <c r="KL8" s="123"/>
      <c r="KM8" s="123"/>
      <c r="KN8" s="123"/>
      <c r="KO8" s="123"/>
      <c r="KP8" s="123"/>
      <c r="KQ8" s="123"/>
      <c r="KR8" s="123"/>
      <c r="KS8" s="123"/>
      <c r="KT8" s="60"/>
      <c r="KU8" s="60"/>
      <c r="KV8" s="60"/>
      <c r="KW8" s="60"/>
      <c r="KX8" s="60"/>
      <c r="KY8" s="60"/>
      <c r="KZ8" s="60"/>
      <c r="LA8" s="60"/>
      <c r="LB8" s="60"/>
      <c r="LC8" s="60"/>
      <c r="LD8" s="60"/>
      <c r="LE8" s="60"/>
      <c r="LF8" s="60"/>
      <c r="LG8" s="60"/>
      <c r="LH8" s="60"/>
      <c r="LI8" s="60"/>
      <c r="LJ8" s="60"/>
      <c r="LK8" s="60"/>
      <c r="LL8" s="60"/>
      <c r="LM8" s="60"/>
      <c r="LN8" s="60"/>
      <c r="LO8" s="60"/>
      <c r="LP8" s="60"/>
      <c r="LQ8" s="60"/>
      <c r="LR8" s="60"/>
      <c r="LS8" s="60"/>
      <c r="LT8" s="60"/>
      <c r="LU8" s="60"/>
      <c r="LV8" s="60"/>
      <c r="LW8" s="60"/>
      <c r="LX8" s="60"/>
      <c r="LY8" s="60"/>
      <c r="LZ8" s="60"/>
      <c r="MA8" s="60"/>
      <c r="MB8" s="60"/>
      <c r="MC8" s="60"/>
      <c r="MD8" s="60"/>
      <c r="ME8" s="60"/>
      <c r="MF8" s="60"/>
      <c r="MG8" s="60"/>
      <c r="MH8" s="60"/>
      <c r="MI8" s="60"/>
      <c r="MJ8" s="60"/>
      <c r="MK8" s="60"/>
      <c r="ML8" s="60"/>
      <c r="MM8" s="60"/>
      <c r="MN8" s="60"/>
      <c r="MO8" s="60"/>
      <c r="MP8" s="60"/>
      <c r="MQ8" s="60"/>
      <c r="MR8" s="60"/>
      <c r="MS8" s="60"/>
      <c r="MT8" s="60"/>
      <c r="MU8" s="60"/>
      <c r="MV8" s="60"/>
      <c r="MW8" s="60"/>
      <c r="MX8" s="60"/>
      <c r="MY8" s="60"/>
      <c r="MZ8" s="60"/>
      <c r="NA8" s="60"/>
      <c r="NB8" s="60"/>
      <c r="NC8" s="60"/>
      <c r="ND8" s="60"/>
      <c r="NE8" s="60"/>
      <c r="NF8" s="60"/>
      <c r="NG8" s="60"/>
      <c r="NH8" s="60"/>
      <c r="NI8" s="60"/>
      <c r="NJ8" s="60"/>
      <c r="NK8" s="60"/>
      <c r="NL8" s="60"/>
      <c r="NM8" s="60"/>
      <c r="NN8" s="60"/>
      <c r="NO8" s="60"/>
      <c r="NP8" s="60"/>
      <c r="NQ8" s="60"/>
      <c r="NR8" s="60"/>
      <c r="NS8" s="60"/>
      <c r="RU8" s="97"/>
      <c r="RV8" s="97"/>
      <c r="RW8" s="97"/>
      <c r="RX8" s="97"/>
      <c r="RY8" s="97"/>
      <c r="RZ8" s="97"/>
    </row>
    <row r="9" spans="1:534" s="11" customFormat="1" ht="14.4" x14ac:dyDescent="0.3">
      <c r="A9" s="23" t="s">
        <v>122</v>
      </c>
      <c r="B9" s="13"/>
      <c r="C9" s="13"/>
      <c r="D9" s="709"/>
      <c r="E9" s="23"/>
      <c r="F9" s="23"/>
      <c r="G9" s="23"/>
      <c r="H9" s="23"/>
      <c r="I9" s="23"/>
      <c r="J9" s="23"/>
      <c r="K9" s="23"/>
      <c r="L9" s="23"/>
      <c r="M9" s="23"/>
      <c r="N9" s="13"/>
      <c r="O9" s="13"/>
      <c r="P9" s="13"/>
      <c r="Q9" s="13"/>
      <c r="R9" s="13"/>
      <c r="S9" s="13"/>
      <c r="T9" s="13"/>
      <c r="U9" s="13"/>
      <c r="X9" s="623"/>
      <c r="AH9" s="623"/>
      <c r="AI9" s="623"/>
      <c r="AJ9" s="623"/>
      <c r="AZ9" s="623"/>
      <c r="BA9" s="623"/>
      <c r="BB9" s="623"/>
      <c r="BC9" s="623"/>
      <c r="BD9" s="623"/>
      <c r="BE9" s="623"/>
      <c r="BF9" s="623"/>
      <c r="BG9" s="623"/>
      <c r="BH9" s="623"/>
      <c r="BI9" s="623"/>
      <c r="CO9" s="623"/>
      <c r="CP9" s="623"/>
      <c r="CQ9" s="623"/>
      <c r="CR9" s="624"/>
      <c r="CS9" s="624"/>
      <c r="CT9" s="624"/>
      <c r="CU9" s="624"/>
      <c r="CV9" s="624"/>
      <c r="CW9" s="623"/>
      <c r="CX9" s="623"/>
      <c r="CY9" s="623"/>
      <c r="CZ9" s="623"/>
      <c r="DA9" s="623"/>
      <c r="DB9" s="623"/>
      <c r="DC9" s="623"/>
      <c r="DD9" s="623"/>
      <c r="DE9" s="623"/>
      <c r="DF9" s="623"/>
      <c r="DG9" s="623"/>
      <c r="DH9" s="623"/>
      <c r="DI9" s="623"/>
      <c r="DJ9" s="623"/>
      <c r="DK9" s="623"/>
      <c r="DL9" s="623"/>
      <c r="DM9" s="623"/>
      <c r="DN9" s="623"/>
      <c r="DO9" s="623"/>
      <c r="DP9" s="623"/>
      <c r="DQ9" s="623"/>
      <c r="DR9" s="623"/>
      <c r="DS9" s="623"/>
      <c r="DT9" s="623"/>
      <c r="DU9" s="623"/>
      <c r="DV9" s="623"/>
      <c r="DW9" s="623"/>
      <c r="DX9" s="623"/>
      <c r="DY9" s="623"/>
      <c r="EE9" s="623"/>
      <c r="EF9" s="623"/>
      <c r="EG9" s="623"/>
      <c r="EM9" s="623"/>
      <c r="EN9" s="623"/>
      <c r="EO9" s="623"/>
      <c r="EP9" s="623"/>
      <c r="EQ9" s="623"/>
      <c r="ER9" s="623"/>
      <c r="ES9" s="623"/>
      <c r="ET9" s="623"/>
      <c r="EU9" s="623"/>
      <c r="EV9" s="623"/>
      <c r="EW9" s="623"/>
      <c r="EX9" s="623"/>
      <c r="EY9" s="623"/>
      <c r="EZ9" s="623"/>
      <c r="FA9" s="623"/>
      <c r="FV9" s="623"/>
      <c r="FY9" s="623"/>
      <c r="FZ9" s="623"/>
      <c r="GF9" s="623"/>
      <c r="GY9" s="146"/>
      <c r="GZ9" s="146"/>
      <c r="HA9" s="146"/>
      <c r="HB9" s="146"/>
      <c r="HC9" s="146"/>
      <c r="HD9" s="146"/>
      <c r="HE9" s="146"/>
      <c r="HF9" s="146"/>
      <c r="HG9" s="146"/>
      <c r="HH9" s="146"/>
      <c r="HI9" s="146"/>
      <c r="HJ9" s="146"/>
      <c r="HK9" s="146"/>
      <c r="HL9" s="146"/>
      <c r="HM9" s="146"/>
      <c r="HN9" s="146"/>
      <c r="HO9" s="146"/>
      <c r="HP9" s="623"/>
      <c r="HQ9" s="146"/>
      <c r="HR9" s="623"/>
      <c r="HS9" s="623"/>
      <c r="HT9" s="623"/>
      <c r="HU9" s="623"/>
      <c r="HV9" s="623"/>
      <c r="HW9" s="623"/>
      <c r="HX9" s="623"/>
      <c r="HY9" s="623"/>
      <c r="HZ9" s="623"/>
      <c r="IA9" s="623"/>
      <c r="IB9" s="623"/>
      <c r="IC9" s="623"/>
      <c r="ID9" s="623"/>
      <c r="IE9" s="623"/>
      <c r="IF9" s="623"/>
      <c r="IG9" s="623"/>
      <c r="IH9" s="623"/>
      <c r="II9" s="623"/>
      <c r="IJ9" s="623"/>
      <c r="IK9" s="623"/>
      <c r="IL9" s="623"/>
      <c r="IM9" s="623"/>
      <c r="IN9" s="623"/>
      <c r="IO9" s="97"/>
      <c r="IP9" s="97"/>
      <c r="IQ9" s="97"/>
      <c r="IR9" s="97"/>
      <c r="IS9" s="97"/>
      <c r="IT9" s="97"/>
      <c r="IU9" s="97"/>
      <c r="IW9" s="623"/>
      <c r="IX9" s="623"/>
      <c r="IY9" s="623"/>
      <c r="IZ9" s="623"/>
      <c r="JA9" s="623"/>
      <c r="JB9" s="623"/>
      <c r="JC9" s="623"/>
      <c r="JD9" s="623"/>
      <c r="JE9" s="623"/>
      <c r="JF9" s="623"/>
      <c r="JG9" s="623"/>
      <c r="JH9" s="623"/>
      <c r="JI9" s="623"/>
      <c r="JJ9" s="623"/>
      <c r="JK9" s="623"/>
      <c r="JL9" s="623"/>
      <c r="JM9" s="146"/>
      <c r="JN9" s="146"/>
      <c r="JO9" s="146"/>
      <c r="JP9" s="146"/>
      <c r="JQ9" s="623"/>
      <c r="JR9" s="623"/>
      <c r="JS9" s="623"/>
      <c r="JT9" s="623"/>
      <c r="JU9" s="623"/>
      <c r="JV9" s="623"/>
      <c r="JW9" s="623"/>
      <c r="JX9" s="623"/>
      <c r="JY9" s="623"/>
      <c r="JZ9" s="623"/>
      <c r="KA9" s="623"/>
      <c r="KB9" s="623"/>
      <c r="KC9" s="623"/>
      <c r="KD9" s="146"/>
      <c r="KE9" s="146"/>
      <c r="KF9" s="146"/>
      <c r="KG9" s="146"/>
      <c r="KH9" s="146"/>
      <c r="KI9" s="146"/>
      <c r="KJ9" s="146"/>
      <c r="KK9" s="146"/>
      <c r="KL9" s="146"/>
      <c r="KM9" s="146"/>
      <c r="KN9" s="146"/>
      <c r="KO9" s="146"/>
      <c r="KP9" s="146"/>
      <c r="KQ9" s="146"/>
      <c r="KR9" s="146"/>
      <c r="KS9" s="146"/>
      <c r="KT9" s="623"/>
      <c r="KU9" s="623"/>
      <c r="KV9" s="623"/>
      <c r="KW9" s="623"/>
      <c r="KX9" s="623"/>
      <c r="KY9" s="623"/>
      <c r="KZ9" s="623"/>
      <c r="LA9" s="623"/>
      <c r="LB9" s="623"/>
      <c r="LC9" s="623"/>
      <c r="LD9" s="623"/>
      <c r="LE9" s="623"/>
      <c r="LF9" s="623"/>
      <c r="LG9" s="623"/>
      <c r="LH9" s="623"/>
      <c r="LI9" s="623"/>
      <c r="LJ9" s="623"/>
      <c r="LK9" s="623"/>
      <c r="LL9" s="623"/>
      <c r="LM9" s="623"/>
      <c r="LN9" s="623"/>
      <c r="LO9" s="623"/>
      <c r="LP9" s="623"/>
      <c r="LQ9" s="623"/>
      <c r="LR9" s="623"/>
      <c r="LS9" s="623"/>
      <c r="LT9" s="623"/>
      <c r="LU9" s="623"/>
      <c r="LV9" s="623"/>
      <c r="LW9" s="623"/>
      <c r="LX9" s="623"/>
      <c r="LY9" s="623"/>
      <c r="LZ9" s="623"/>
      <c r="MA9" s="623"/>
      <c r="MB9" s="623"/>
      <c r="MC9" s="623"/>
      <c r="MD9" s="623"/>
      <c r="ME9" s="623"/>
      <c r="MF9" s="623"/>
      <c r="MG9" s="623"/>
      <c r="MH9" s="623"/>
      <c r="MI9" s="623"/>
      <c r="MJ9" s="623"/>
      <c r="MK9" s="623"/>
      <c r="ML9" s="623"/>
      <c r="MM9" s="623"/>
      <c r="MN9" s="623"/>
      <c r="MO9" s="623"/>
      <c r="MP9" s="623"/>
      <c r="MQ9" s="623"/>
      <c r="MR9" s="623"/>
      <c r="MS9" s="623"/>
      <c r="MT9" s="623"/>
      <c r="MU9" s="623"/>
      <c r="MV9" s="623"/>
      <c r="MW9" s="623"/>
      <c r="MX9" s="623"/>
      <c r="MY9" s="623"/>
      <c r="MZ9" s="623"/>
      <c r="NA9" s="623"/>
      <c r="NB9" s="623"/>
      <c r="NC9" s="623"/>
      <c r="ND9" s="623"/>
      <c r="NE9" s="623"/>
      <c r="NF9" s="623"/>
      <c r="NG9" s="623"/>
      <c r="NH9" s="623"/>
      <c r="NI9" s="623"/>
      <c r="NJ9" s="623"/>
      <c r="NK9" s="623"/>
      <c r="NL9" s="623"/>
      <c r="NM9" s="623"/>
      <c r="NN9" s="623"/>
      <c r="NO9" s="623"/>
      <c r="NP9" s="623"/>
      <c r="NQ9" s="623"/>
      <c r="NR9" s="623"/>
      <c r="NS9" s="623"/>
      <c r="RU9" s="624"/>
      <c r="RV9" s="624"/>
      <c r="RW9" s="624"/>
      <c r="RX9" s="624"/>
      <c r="RY9" s="624"/>
      <c r="RZ9" s="624"/>
    </row>
    <row r="10" spans="1:534" s="4" customFormat="1" x14ac:dyDescent="0.25">
      <c r="A10" s="14"/>
      <c r="B10" s="14"/>
      <c r="C10" s="14"/>
      <c r="D10" s="708"/>
      <c r="E10" s="102"/>
      <c r="F10" s="102"/>
      <c r="G10" s="102"/>
      <c r="H10" s="102"/>
      <c r="I10" s="102"/>
      <c r="J10" s="102"/>
      <c r="K10" s="102"/>
      <c r="L10" s="102"/>
      <c r="M10" s="102"/>
      <c r="N10" s="14"/>
      <c r="P10" s="14"/>
      <c r="Q10" s="14"/>
      <c r="R10" s="94"/>
      <c r="S10" s="14"/>
      <c r="T10" s="14"/>
      <c r="U10" s="14"/>
      <c r="X10" s="60"/>
      <c r="AH10" s="60"/>
      <c r="AI10" s="60"/>
      <c r="AJ10" s="60"/>
      <c r="AZ10" s="60"/>
      <c r="BA10" s="60"/>
      <c r="BB10" s="60"/>
      <c r="BC10" s="60"/>
      <c r="BD10" s="60"/>
      <c r="BE10" s="60"/>
      <c r="BF10" s="60"/>
      <c r="BG10" s="60"/>
      <c r="BH10" s="60"/>
      <c r="BI10" s="60"/>
      <c r="CO10" s="60"/>
      <c r="CP10" s="60"/>
      <c r="CQ10" s="60"/>
      <c r="CR10" s="97"/>
      <c r="CS10" s="97"/>
      <c r="CT10" s="97"/>
      <c r="CU10" s="97"/>
      <c r="CV10" s="97"/>
      <c r="CW10" s="60"/>
      <c r="CX10" s="60"/>
      <c r="CY10" s="60"/>
      <c r="CZ10" s="60"/>
      <c r="DA10" s="60"/>
      <c r="DB10" s="60"/>
      <c r="DC10" s="60"/>
      <c r="DD10" s="60"/>
      <c r="DE10" s="60"/>
      <c r="DF10" s="60"/>
      <c r="DG10" s="60"/>
      <c r="DH10" s="60"/>
      <c r="DI10" s="60"/>
      <c r="DJ10" s="60"/>
      <c r="DK10" s="60"/>
      <c r="DL10" s="60"/>
      <c r="DM10" s="60"/>
      <c r="DN10" s="60"/>
      <c r="DO10" s="60"/>
      <c r="DP10" s="60"/>
      <c r="DQ10" s="60"/>
      <c r="DR10" s="60"/>
      <c r="DS10" s="60"/>
      <c r="DT10" s="60"/>
      <c r="DU10" s="60"/>
      <c r="DV10" s="60"/>
      <c r="DW10" s="60"/>
      <c r="DX10" s="60"/>
      <c r="DY10" s="60"/>
      <c r="EE10" s="60"/>
      <c r="EF10" s="60"/>
      <c r="EG10" s="60"/>
      <c r="EM10" s="60"/>
      <c r="EN10" s="60"/>
      <c r="EO10" s="60"/>
      <c r="EP10" s="60"/>
      <c r="EQ10" s="60"/>
      <c r="ER10" s="60"/>
      <c r="ES10" s="60"/>
      <c r="ET10" s="60"/>
      <c r="EU10" s="60"/>
      <c r="EV10" s="60"/>
      <c r="EW10" s="60"/>
      <c r="EX10" s="60"/>
      <c r="EY10" s="60"/>
      <c r="EZ10" s="60"/>
      <c r="FA10" s="60"/>
      <c r="FV10" s="60"/>
      <c r="FY10" s="60"/>
      <c r="FZ10" s="60"/>
      <c r="GF10" s="60"/>
      <c r="GY10" s="123"/>
      <c r="GZ10" s="123"/>
      <c r="HA10" s="123"/>
      <c r="HB10" s="123"/>
      <c r="HC10" s="123"/>
      <c r="HD10" s="123"/>
      <c r="HE10" s="123"/>
      <c r="HF10" s="123"/>
      <c r="HG10" s="123"/>
      <c r="HH10" s="123"/>
      <c r="HI10" s="123"/>
      <c r="HJ10" s="123"/>
      <c r="HK10" s="123"/>
      <c r="HL10" s="123"/>
      <c r="HM10" s="123"/>
      <c r="HN10" s="123"/>
      <c r="HO10" s="123"/>
      <c r="HP10" s="60"/>
      <c r="HQ10" s="123"/>
      <c r="HR10" s="60"/>
      <c r="HS10" s="60"/>
      <c r="HT10" s="60"/>
      <c r="HU10" s="60"/>
      <c r="HV10" s="60"/>
      <c r="HW10" s="60"/>
      <c r="HX10" s="60"/>
      <c r="HY10" s="60"/>
      <c r="HZ10" s="60"/>
      <c r="IA10" s="60"/>
      <c r="IB10" s="60"/>
      <c r="IC10" s="60"/>
      <c r="ID10" s="60"/>
      <c r="IE10" s="60"/>
      <c r="IF10" s="60"/>
      <c r="IG10" s="60"/>
      <c r="IH10" s="60"/>
      <c r="II10" s="60"/>
      <c r="IJ10" s="60"/>
      <c r="IK10" s="60"/>
      <c r="IL10" s="60"/>
      <c r="IM10" s="60"/>
      <c r="IN10" s="60"/>
      <c r="IO10" s="97"/>
      <c r="IP10" s="97"/>
      <c r="IQ10" s="97"/>
      <c r="IR10" s="97"/>
      <c r="IS10" s="97"/>
      <c r="IT10" s="97"/>
      <c r="IU10" s="97"/>
      <c r="IW10" s="60"/>
      <c r="IX10" s="60"/>
      <c r="IY10" s="60"/>
      <c r="IZ10" s="60"/>
      <c r="JA10" s="60"/>
      <c r="JB10" s="60"/>
      <c r="JC10" s="60"/>
      <c r="JD10" s="60"/>
      <c r="JE10" s="60"/>
      <c r="JF10" s="60"/>
      <c r="JG10" s="60"/>
      <c r="JH10" s="60"/>
      <c r="JI10" s="60"/>
      <c r="JJ10" s="60"/>
      <c r="JK10" s="60"/>
      <c r="JL10" s="60"/>
      <c r="JM10" s="123"/>
      <c r="JN10" s="123"/>
      <c r="JO10" s="123"/>
      <c r="JP10" s="123"/>
      <c r="JQ10" s="60"/>
      <c r="JR10" s="60"/>
      <c r="JS10" s="60"/>
      <c r="JT10" s="60"/>
      <c r="JU10" s="60"/>
      <c r="JV10" s="60"/>
      <c r="JW10" s="60"/>
      <c r="JX10" s="60"/>
      <c r="JY10" s="60"/>
      <c r="JZ10" s="60"/>
      <c r="KA10" s="60"/>
      <c r="KB10" s="60"/>
      <c r="KC10" s="60"/>
      <c r="KD10" s="123"/>
      <c r="KE10" s="123"/>
      <c r="KF10" s="123"/>
      <c r="KG10" s="123"/>
      <c r="KH10" s="123"/>
      <c r="KI10" s="123"/>
      <c r="KJ10" s="123"/>
      <c r="KK10" s="123"/>
      <c r="KL10" s="123"/>
      <c r="KM10" s="123"/>
      <c r="KN10" s="123"/>
      <c r="KO10" s="123"/>
      <c r="KP10" s="123"/>
      <c r="KQ10" s="123"/>
      <c r="KR10" s="123"/>
      <c r="KS10" s="123"/>
      <c r="KT10" s="60"/>
      <c r="KU10" s="60"/>
      <c r="KV10" s="60"/>
      <c r="KW10" s="60"/>
      <c r="KX10" s="60"/>
      <c r="KY10" s="60"/>
      <c r="KZ10" s="60"/>
      <c r="LA10" s="60"/>
      <c r="LB10" s="60"/>
      <c r="LC10" s="60"/>
      <c r="LD10" s="60"/>
      <c r="LE10" s="60"/>
      <c r="LF10" s="60"/>
      <c r="LG10" s="60"/>
      <c r="LH10" s="60"/>
      <c r="LI10" s="60"/>
      <c r="LJ10" s="60"/>
      <c r="LK10" s="60"/>
      <c r="LL10" s="60"/>
      <c r="LM10" s="60"/>
      <c r="LN10" s="60"/>
      <c r="LO10" s="60"/>
      <c r="LP10" s="60"/>
      <c r="LQ10" s="60"/>
      <c r="LR10" s="60"/>
      <c r="LS10" s="60"/>
      <c r="LT10" s="60"/>
      <c r="LU10" s="60"/>
      <c r="LV10" s="60"/>
      <c r="LW10" s="60"/>
      <c r="LX10" s="60"/>
      <c r="LY10" s="60"/>
      <c r="LZ10" s="60"/>
      <c r="MA10" s="60"/>
      <c r="MB10" s="60"/>
      <c r="MC10" s="60"/>
      <c r="MD10" s="60"/>
      <c r="ME10" s="60"/>
      <c r="MF10" s="60"/>
      <c r="MG10" s="60"/>
      <c r="MH10" s="60"/>
      <c r="MI10" s="60"/>
      <c r="MJ10" s="60"/>
      <c r="MK10" s="60"/>
      <c r="ML10" s="60"/>
      <c r="MM10" s="60"/>
      <c r="MN10" s="60"/>
      <c r="MO10" s="60"/>
      <c r="MP10" s="60"/>
      <c r="MQ10" s="60"/>
      <c r="MR10" s="60"/>
      <c r="MS10" s="60"/>
      <c r="MT10" s="60"/>
      <c r="MU10" s="60"/>
      <c r="MV10" s="60"/>
      <c r="MW10" s="60"/>
      <c r="MX10" s="60"/>
      <c r="MY10" s="60"/>
      <c r="MZ10" s="60"/>
      <c r="NA10" s="60"/>
      <c r="NB10" s="60"/>
      <c r="NC10" s="60"/>
      <c r="ND10" s="60"/>
      <c r="NE10" s="60"/>
      <c r="NF10" s="60"/>
      <c r="NG10" s="60"/>
      <c r="NH10" s="60"/>
      <c r="NI10" s="60"/>
      <c r="NJ10" s="60"/>
      <c r="NK10" s="60"/>
      <c r="NL10" s="60"/>
      <c r="NM10" s="60"/>
      <c r="NN10" s="60"/>
      <c r="NO10" s="60"/>
      <c r="NP10" s="60"/>
      <c r="NQ10" s="60"/>
      <c r="NR10" s="60"/>
      <c r="NS10" s="60"/>
      <c r="RU10" s="97"/>
      <c r="RV10" s="97"/>
      <c r="RW10" s="97"/>
      <c r="RX10" s="97"/>
      <c r="RY10" s="97"/>
      <c r="RZ10" s="97"/>
    </row>
    <row r="11" spans="1:534" s="4" customFormat="1" ht="13.8" x14ac:dyDescent="0.3">
      <c r="A11" s="15" t="s">
        <v>74</v>
      </c>
      <c r="B11" s="14"/>
      <c r="C11" s="14"/>
      <c r="D11" s="708"/>
      <c r="E11" s="102"/>
      <c r="F11" s="102"/>
      <c r="G11" s="102"/>
      <c r="H11" s="102"/>
      <c r="I11" s="102"/>
      <c r="J11" s="102"/>
      <c r="K11" s="102"/>
      <c r="L11" s="102"/>
      <c r="M11" s="102"/>
      <c r="N11" s="14"/>
      <c r="Q11" s="14"/>
      <c r="R11" s="67"/>
      <c r="S11" s="67"/>
      <c r="T11" s="14"/>
      <c r="U11" s="14"/>
      <c r="X11" s="60"/>
      <c r="AH11" s="60"/>
      <c r="AI11" s="60"/>
      <c r="AJ11" s="60"/>
      <c r="AZ11" s="60"/>
      <c r="BA11" s="60"/>
      <c r="BB11" s="60"/>
      <c r="BC11" s="60"/>
      <c r="BD11" s="60"/>
      <c r="BE11" s="60"/>
      <c r="BF11" s="60"/>
      <c r="BG11" s="60"/>
      <c r="BH11" s="60"/>
      <c r="BI11" s="60"/>
      <c r="CK11" s="37"/>
      <c r="CN11" s="37"/>
      <c r="CO11" s="74"/>
      <c r="CP11" s="74"/>
      <c r="CQ11" s="74"/>
      <c r="CR11" s="97"/>
      <c r="CS11" s="97"/>
      <c r="CT11" s="97"/>
      <c r="CU11" s="97"/>
      <c r="CV11" s="97"/>
      <c r="CW11" s="74"/>
      <c r="CX11" s="74"/>
      <c r="CY11" s="74"/>
      <c r="CZ11" s="74"/>
      <c r="DA11" s="74"/>
      <c r="DB11" s="74"/>
      <c r="DC11" s="74"/>
      <c r="DD11" s="74"/>
      <c r="DE11" s="74"/>
      <c r="DF11" s="74"/>
      <c r="DG11" s="74"/>
      <c r="DH11" s="74"/>
      <c r="DI11" s="74"/>
      <c r="DJ11" s="74"/>
      <c r="DK11" s="74"/>
      <c r="DL11" s="74"/>
      <c r="DM11" s="74"/>
      <c r="DN11" s="74"/>
      <c r="DO11" s="74"/>
      <c r="DP11" s="74"/>
      <c r="DQ11" s="74"/>
      <c r="DR11" s="74"/>
      <c r="DS11" s="74"/>
      <c r="DT11" s="74"/>
      <c r="DU11" s="74"/>
      <c r="DV11" s="74"/>
      <c r="DW11" s="74"/>
      <c r="DX11" s="74"/>
      <c r="DY11" s="74"/>
      <c r="EE11" s="74"/>
      <c r="EF11" s="74"/>
      <c r="EG11" s="74"/>
      <c r="EM11" s="74"/>
      <c r="EN11" s="74"/>
      <c r="EO11" s="74"/>
      <c r="EP11" s="74"/>
      <c r="EQ11" s="74"/>
      <c r="ER11" s="74"/>
      <c r="ES11" s="74"/>
      <c r="ET11" s="74"/>
      <c r="EU11" s="74"/>
      <c r="EV11" s="74"/>
      <c r="EW11" s="74"/>
      <c r="EX11" s="74"/>
      <c r="EY11" s="74"/>
      <c r="EZ11" s="74"/>
      <c r="FA11" s="74"/>
      <c r="FV11" s="60"/>
      <c r="FY11" s="74"/>
      <c r="FZ11" s="60"/>
      <c r="GF11" s="74"/>
      <c r="GY11" s="123"/>
      <c r="GZ11" s="123"/>
      <c r="HA11" s="123"/>
      <c r="HB11" s="123"/>
      <c r="HC11" s="123"/>
      <c r="HD11" s="123"/>
      <c r="HE11" s="123"/>
      <c r="HF11" s="123"/>
      <c r="HG11" s="123"/>
      <c r="HH11" s="123"/>
      <c r="HI11" s="123"/>
      <c r="HJ11" s="123"/>
      <c r="HK11" s="123"/>
      <c r="HL11" s="123"/>
      <c r="HM11" s="123"/>
      <c r="HN11" s="123"/>
      <c r="HO11" s="123"/>
      <c r="HP11" s="60"/>
      <c r="HQ11" s="123"/>
      <c r="HR11" s="60"/>
      <c r="HS11" s="74"/>
      <c r="HT11" s="74"/>
      <c r="HU11" s="74"/>
      <c r="HV11" s="74"/>
      <c r="HW11" s="74"/>
      <c r="HX11" s="74"/>
      <c r="HY11" s="74"/>
      <c r="HZ11" s="74"/>
      <c r="IA11" s="74"/>
      <c r="IB11" s="74"/>
      <c r="IC11" s="74"/>
      <c r="ID11" s="74"/>
      <c r="IE11" s="74"/>
      <c r="IF11" s="74"/>
      <c r="IG11" s="74"/>
      <c r="IH11" s="74"/>
      <c r="II11" s="74"/>
      <c r="IJ11" s="74"/>
      <c r="IK11" s="74"/>
      <c r="IL11" s="74"/>
      <c r="IM11" s="74"/>
      <c r="IN11" s="74"/>
      <c r="IO11" s="97"/>
      <c r="IP11" s="97"/>
      <c r="IQ11" s="97"/>
      <c r="IR11" s="97"/>
      <c r="IS11" s="97"/>
      <c r="IT11" s="97"/>
      <c r="IU11" s="97"/>
      <c r="IW11" s="60"/>
      <c r="IX11" s="60"/>
      <c r="IY11" s="60"/>
      <c r="IZ11" s="60"/>
      <c r="JA11" s="60"/>
      <c r="JB11" s="60"/>
      <c r="JC11" s="60"/>
      <c r="JD11" s="60"/>
      <c r="JE11" s="60"/>
      <c r="JF11" s="60"/>
      <c r="JG11" s="60"/>
      <c r="JH11" s="60"/>
      <c r="JI11" s="60"/>
      <c r="JJ11" s="60"/>
      <c r="JK11" s="60"/>
      <c r="JL11" s="60"/>
      <c r="JM11" s="123"/>
      <c r="JN11" s="123"/>
      <c r="JO11" s="123"/>
      <c r="JP11" s="123"/>
      <c r="JQ11" s="60"/>
      <c r="JR11" s="60"/>
      <c r="JS11" s="60"/>
      <c r="JT11" s="60"/>
      <c r="JU11" s="60"/>
      <c r="JV11" s="60"/>
      <c r="JW11" s="60"/>
      <c r="JX11" s="60"/>
      <c r="JY11" s="60"/>
      <c r="JZ11" s="60"/>
      <c r="KA11" s="60"/>
      <c r="KB11" s="60"/>
      <c r="KC11" s="60"/>
      <c r="KD11" s="123"/>
      <c r="KE11" s="123"/>
      <c r="KF11" s="123"/>
      <c r="KG11" s="123"/>
      <c r="KH11" s="123"/>
      <c r="KI11" s="123"/>
      <c r="KJ11" s="123"/>
      <c r="KK11" s="123"/>
      <c r="KL11" s="123"/>
      <c r="KM11" s="123"/>
      <c r="KN11" s="123"/>
      <c r="KO11" s="123"/>
      <c r="KP11" s="123"/>
      <c r="KQ11" s="123"/>
      <c r="KR11" s="123"/>
      <c r="KS11" s="123"/>
      <c r="KT11" s="60"/>
      <c r="KU11" s="60"/>
      <c r="KV11" s="60"/>
      <c r="KW11" s="60"/>
      <c r="KX11" s="74"/>
      <c r="KY11" s="60"/>
      <c r="KZ11" s="60"/>
      <c r="LA11" s="60"/>
      <c r="LB11" s="60"/>
      <c r="LC11" s="74"/>
      <c r="LD11" s="74"/>
      <c r="LE11" s="74"/>
      <c r="LF11" s="74"/>
      <c r="LG11" s="74"/>
      <c r="LH11" s="74"/>
      <c r="LI11" s="74"/>
      <c r="LJ11" s="74"/>
      <c r="LK11" s="74"/>
      <c r="LL11" s="74"/>
      <c r="LM11" s="74"/>
      <c r="LN11" s="74"/>
      <c r="LO11" s="74"/>
      <c r="LP11" s="74"/>
      <c r="LQ11" s="74"/>
      <c r="LR11" s="74"/>
      <c r="LS11" s="74"/>
      <c r="LT11" s="74"/>
      <c r="LU11" s="74"/>
      <c r="LV11" s="74"/>
      <c r="LW11" s="74"/>
      <c r="LX11" s="60"/>
      <c r="LY11" s="60"/>
      <c r="LZ11" s="60"/>
      <c r="MA11" s="60"/>
      <c r="MB11" s="74"/>
      <c r="MC11" s="60"/>
      <c r="MD11" s="60"/>
      <c r="ME11" s="60"/>
      <c r="MF11" s="60"/>
      <c r="MG11" s="74"/>
      <c r="MH11" s="74"/>
      <c r="MI11" s="74"/>
      <c r="MJ11" s="74"/>
      <c r="MK11" s="74"/>
      <c r="ML11" s="74"/>
      <c r="MM11" s="74"/>
      <c r="MN11" s="74"/>
      <c r="MO11" s="74"/>
      <c r="MP11" s="74"/>
      <c r="MQ11" s="74"/>
      <c r="MR11" s="60"/>
      <c r="MS11" s="60"/>
      <c r="MT11" s="60"/>
      <c r="MU11" s="60"/>
      <c r="MV11" s="60"/>
      <c r="MW11" s="74"/>
      <c r="MX11" s="74"/>
      <c r="MY11" s="74"/>
      <c r="MZ11" s="74"/>
      <c r="NA11" s="74"/>
      <c r="NB11" s="74"/>
      <c r="NC11" s="74"/>
      <c r="ND11" s="74"/>
      <c r="NE11" s="74"/>
      <c r="NF11" s="74"/>
      <c r="NG11" s="74"/>
      <c r="NH11" s="74"/>
      <c r="NI11" s="74"/>
      <c r="NJ11" s="74"/>
      <c r="NK11" s="74"/>
      <c r="NL11" s="74"/>
      <c r="NM11" s="74"/>
      <c r="NN11" s="74"/>
      <c r="NO11" s="74"/>
      <c r="NP11" s="74"/>
      <c r="NQ11" s="74"/>
      <c r="NR11" s="60"/>
      <c r="NS11" s="60"/>
      <c r="RU11" s="97"/>
      <c r="RV11" s="97"/>
      <c r="RW11" s="97"/>
      <c r="RX11" s="97"/>
      <c r="RY11" s="97"/>
      <c r="RZ11" s="97"/>
    </row>
    <row r="12" spans="1:534" s="49" customFormat="1" x14ac:dyDescent="0.25">
      <c r="A12" s="50" t="s">
        <v>246</v>
      </c>
      <c r="B12" s="50"/>
      <c r="C12" s="50"/>
      <c r="D12" s="710"/>
      <c r="E12" s="575"/>
      <c r="F12" s="575"/>
      <c r="G12" s="575"/>
      <c r="H12" s="575"/>
      <c r="I12" s="575"/>
      <c r="J12" s="575"/>
      <c r="K12" s="575"/>
      <c r="L12" s="575"/>
      <c r="M12" s="575"/>
      <c r="N12" s="625">
        <f>'Crops; pasture AMORTIZED'!P19</f>
        <v>1922.0228</v>
      </c>
      <c r="P12" s="577">
        <f>P14+P15+P16+P17</f>
        <v>1030.3550016126335</v>
      </c>
      <c r="Q12" s="711">
        <f t="shared" ref="Q12" si="0">P12/N12</f>
        <v>0.5360784490239312</v>
      </c>
      <c r="R12" s="152"/>
      <c r="S12" s="152"/>
      <c r="T12" s="50"/>
      <c r="U12" s="50"/>
      <c r="X12" s="123"/>
      <c r="AH12" s="123"/>
      <c r="AI12" s="123"/>
      <c r="AJ12" s="123"/>
      <c r="AZ12" s="123"/>
      <c r="BA12" s="123"/>
      <c r="BB12" s="123"/>
      <c r="BC12" s="123"/>
      <c r="BD12" s="123"/>
      <c r="BE12" s="123"/>
      <c r="BF12" s="123"/>
      <c r="BG12" s="123"/>
      <c r="BH12" s="123"/>
      <c r="BI12" s="123"/>
      <c r="CK12" s="54"/>
      <c r="CN12" s="54"/>
      <c r="CO12" s="133"/>
      <c r="CP12" s="133"/>
      <c r="CQ12" s="133"/>
      <c r="CR12" s="149"/>
      <c r="CS12" s="149"/>
      <c r="CT12" s="149"/>
      <c r="CU12" s="149"/>
      <c r="CV12" s="149"/>
      <c r="CW12" s="133"/>
      <c r="CX12" s="133"/>
      <c r="CY12" s="133"/>
      <c r="CZ12" s="133"/>
      <c r="DA12" s="133"/>
      <c r="DB12" s="133"/>
      <c r="DC12" s="133"/>
      <c r="DD12" s="133"/>
      <c r="DE12" s="133"/>
      <c r="DF12" s="133"/>
      <c r="DG12" s="133"/>
      <c r="DH12" s="133"/>
      <c r="DI12" s="133"/>
      <c r="DJ12" s="133"/>
      <c r="DK12" s="133"/>
      <c r="DL12" s="133"/>
      <c r="DM12" s="133"/>
      <c r="DN12" s="133"/>
      <c r="DO12" s="133"/>
      <c r="DP12" s="133"/>
      <c r="DQ12" s="133"/>
      <c r="DR12" s="133"/>
      <c r="DS12" s="133"/>
      <c r="DT12" s="133"/>
      <c r="DU12" s="133"/>
      <c r="DV12" s="133"/>
      <c r="DW12" s="133"/>
      <c r="DX12" s="133"/>
      <c r="DY12" s="133"/>
      <c r="EE12" s="133"/>
      <c r="EF12" s="133"/>
      <c r="EG12" s="133"/>
      <c r="EM12" s="133"/>
      <c r="EN12" s="133"/>
      <c r="EO12" s="133"/>
      <c r="EP12" s="133"/>
      <c r="EQ12" s="133"/>
      <c r="ER12" s="133"/>
      <c r="ES12" s="133"/>
      <c r="ET12" s="133"/>
      <c r="EU12" s="133"/>
      <c r="EV12" s="133"/>
      <c r="EW12" s="133"/>
      <c r="EX12" s="133"/>
      <c r="EY12" s="133"/>
      <c r="EZ12" s="133"/>
      <c r="FA12" s="133"/>
      <c r="FV12" s="123"/>
      <c r="FY12" s="133"/>
      <c r="FZ12" s="123"/>
      <c r="GF12" s="133"/>
      <c r="GY12" s="123"/>
      <c r="GZ12" s="123"/>
      <c r="HA12" s="123"/>
      <c r="HB12" s="123"/>
      <c r="HC12" s="123"/>
      <c r="HD12" s="123"/>
      <c r="HE12" s="123"/>
      <c r="HF12" s="123"/>
      <c r="HG12" s="123"/>
      <c r="HH12" s="123"/>
      <c r="HI12" s="123"/>
      <c r="HJ12" s="123"/>
      <c r="HK12" s="123"/>
      <c r="HL12" s="123"/>
      <c r="HM12" s="123"/>
      <c r="HN12" s="123"/>
      <c r="HO12" s="123"/>
      <c r="HP12" s="123"/>
      <c r="HQ12" s="123"/>
      <c r="HR12" s="123"/>
      <c r="HS12" s="133"/>
      <c r="HT12" s="133"/>
      <c r="HU12" s="133"/>
      <c r="HV12" s="133"/>
      <c r="HW12" s="133"/>
      <c r="HX12" s="133"/>
      <c r="HY12" s="133"/>
      <c r="HZ12" s="133"/>
      <c r="IA12" s="133"/>
      <c r="IB12" s="133"/>
      <c r="IC12" s="133"/>
      <c r="ID12" s="133"/>
      <c r="IE12" s="133"/>
      <c r="IF12" s="133"/>
      <c r="IG12" s="133"/>
      <c r="IH12" s="133"/>
      <c r="II12" s="133"/>
      <c r="IJ12" s="133"/>
      <c r="IK12" s="133"/>
      <c r="IL12" s="133"/>
      <c r="IM12" s="133"/>
      <c r="IN12" s="133"/>
      <c r="IO12" s="97"/>
      <c r="IP12" s="97"/>
      <c r="IQ12" s="97"/>
      <c r="IR12" s="97"/>
      <c r="IS12" s="97"/>
      <c r="IT12" s="97"/>
      <c r="IU12" s="97"/>
      <c r="IW12" s="123"/>
      <c r="IX12" s="123"/>
      <c r="IY12" s="123"/>
      <c r="IZ12" s="123"/>
      <c r="JA12" s="123"/>
      <c r="JB12" s="123"/>
      <c r="JC12" s="123"/>
      <c r="JD12" s="123"/>
      <c r="JE12" s="123"/>
      <c r="JF12" s="123"/>
      <c r="JG12" s="123"/>
      <c r="JH12" s="123"/>
      <c r="JI12" s="123"/>
      <c r="JJ12" s="123"/>
      <c r="JK12" s="123"/>
      <c r="JL12" s="123"/>
      <c r="JM12" s="123"/>
      <c r="JN12" s="123"/>
      <c r="JO12" s="123"/>
      <c r="JP12" s="123"/>
      <c r="JQ12" s="123"/>
      <c r="JR12" s="123"/>
      <c r="JS12" s="123"/>
      <c r="JT12" s="123"/>
      <c r="JU12" s="123"/>
      <c r="JV12" s="123"/>
      <c r="JW12" s="123"/>
      <c r="JX12" s="123"/>
      <c r="JY12" s="123"/>
      <c r="JZ12" s="123"/>
      <c r="KA12" s="123"/>
      <c r="KB12" s="123"/>
      <c r="KC12" s="123"/>
      <c r="KD12" s="123"/>
      <c r="KE12" s="123"/>
      <c r="KF12" s="123"/>
      <c r="KG12" s="123"/>
      <c r="KH12" s="123"/>
      <c r="KI12" s="123"/>
      <c r="KJ12" s="123"/>
      <c r="KK12" s="123"/>
      <c r="KL12" s="123"/>
      <c r="KM12" s="123"/>
      <c r="KN12" s="123"/>
      <c r="KO12" s="123"/>
      <c r="KP12" s="123"/>
      <c r="KQ12" s="123"/>
      <c r="KR12" s="123"/>
      <c r="KS12" s="123"/>
      <c r="KT12" s="123"/>
      <c r="KU12" s="123"/>
      <c r="KV12" s="123"/>
      <c r="KW12" s="123"/>
      <c r="KX12" s="133"/>
      <c r="KY12" s="123"/>
      <c r="KZ12" s="123"/>
      <c r="LA12" s="123"/>
      <c r="LB12" s="123"/>
      <c r="LC12" s="133"/>
      <c r="LD12" s="133"/>
      <c r="LE12" s="133"/>
      <c r="LF12" s="133"/>
      <c r="LG12" s="133"/>
      <c r="LH12" s="133"/>
      <c r="LI12" s="133"/>
      <c r="LJ12" s="133"/>
      <c r="LK12" s="133"/>
      <c r="LL12" s="133"/>
      <c r="LM12" s="133"/>
      <c r="LN12" s="133"/>
      <c r="LO12" s="133"/>
      <c r="LP12" s="133"/>
      <c r="LQ12" s="133"/>
      <c r="LR12" s="133"/>
      <c r="LS12" s="133"/>
      <c r="LT12" s="133"/>
      <c r="LU12" s="133"/>
      <c r="LV12" s="133"/>
      <c r="LW12" s="133"/>
      <c r="LX12" s="123"/>
      <c r="LY12" s="123"/>
      <c r="LZ12" s="123"/>
      <c r="MA12" s="123"/>
      <c r="MB12" s="133"/>
      <c r="MC12" s="123"/>
      <c r="MD12" s="123"/>
      <c r="ME12" s="123"/>
      <c r="MF12" s="123"/>
      <c r="MG12" s="133"/>
      <c r="MH12" s="133"/>
      <c r="MI12" s="133"/>
      <c r="MJ12" s="133"/>
      <c r="MK12" s="133"/>
      <c r="ML12" s="133"/>
      <c r="MM12" s="133"/>
      <c r="MN12" s="133"/>
      <c r="MO12" s="133"/>
      <c r="MP12" s="133"/>
      <c r="MQ12" s="133"/>
      <c r="MR12" s="123"/>
      <c r="MS12" s="123"/>
      <c r="MT12" s="123"/>
      <c r="MU12" s="123"/>
      <c r="MV12" s="123"/>
      <c r="MW12" s="133"/>
      <c r="MX12" s="133"/>
      <c r="MY12" s="133"/>
      <c r="MZ12" s="133"/>
      <c r="NA12" s="133"/>
      <c r="NB12" s="133"/>
      <c r="NC12" s="133"/>
      <c r="ND12" s="133"/>
      <c r="NE12" s="133"/>
      <c r="NF12" s="133"/>
      <c r="NG12" s="133"/>
      <c r="NH12" s="133"/>
      <c r="NI12" s="133"/>
      <c r="NJ12" s="133"/>
      <c r="NK12" s="133"/>
      <c r="NL12" s="133"/>
      <c r="NM12" s="133"/>
      <c r="NN12" s="133"/>
      <c r="NO12" s="133"/>
      <c r="NP12" s="133"/>
      <c r="NQ12" s="133"/>
      <c r="NR12" s="123"/>
      <c r="NS12" s="123"/>
      <c r="RU12" s="149"/>
      <c r="RV12" s="149"/>
      <c r="RW12" s="149"/>
      <c r="RX12" s="149"/>
      <c r="RY12" s="149"/>
      <c r="RZ12" s="149"/>
    </row>
    <row r="13" spans="1:534" s="49" customFormat="1" x14ac:dyDescent="0.25">
      <c r="A13" s="50" t="s">
        <v>173</v>
      </c>
      <c r="B13" s="50"/>
      <c r="C13" s="50"/>
      <c r="D13" s="710"/>
      <c r="E13" s="575"/>
      <c r="F13" s="575"/>
      <c r="G13" s="575"/>
      <c r="H13" s="575"/>
      <c r="I13" s="575"/>
      <c r="J13" s="575"/>
      <c r="K13" s="575"/>
      <c r="L13" s="575"/>
      <c r="M13" s="575"/>
      <c r="N13" s="50"/>
      <c r="R13" s="712">
        <f>R14+0.8*R15+R16</f>
        <v>934.32042095835209</v>
      </c>
      <c r="S13" s="152"/>
      <c r="T13" s="50"/>
      <c r="U13" s="50"/>
      <c r="X13" s="123"/>
      <c r="AH13" s="123"/>
      <c r="AI13" s="123"/>
      <c r="AJ13" s="123"/>
      <c r="AZ13" s="123"/>
      <c r="BA13" s="123"/>
      <c r="BB13" s="123"/>
      <c r="BC13" s="123"/>
      <c r="BD13" s="123"/>
      <c r="BE13" s="123"/>
      <c r="BF13" s="123"/>
      <c r="BG13" s="123"/>
      <c r="BH13" s="123"/>
      <c r="BI13" s="123"/>
      <c r="CK13" s="54"/>
      <c r="CN13" s="54"/>
      <c r="CO13" s="133"/>
      <c r="CP13" s="133"/>
      <c r="CQ13" s="133"/>
      <c r="CR13" s="149"/>
      <c r="CS13" s="149"/>
      <c r="CT13" s="149"/>
      <c r="CU13" s="149"/>
      <c r="CV13" s="149"/>
      <c r="CW13" s="133"/>
      <c r="CX13" s="133"/>
      <c r="CY13" s="133"/>
      <c r="CZ13" s="133"/>
      <c r="DA13" s="133"/>
      <c r="DB13" s="133"/>
      <c r="DC13" s="133"/>
      <c r="DD13" s="133"/>
      <c r="DE13" s="133"/>
      <c r="DF13" s="133"/>
      <c r="DG13" s="133"/>
      <c r="DH13" s="133"/>
      <c r="DI13" s="133"/>
      <c r="DJ13" s="133"/>
      <c r="DK13" s="133"/>
      <c r="DL13" s="133"/>
      <c r="DM13" s="133"/>
      <c r="DN13" s="133"/>
      <c r="DO13" s="133"/>
      <c r="DP13" s="133"/>
      <c r="DQ13" s="133"/>
      <c r="DR13" s="133"/>
      <c r="DS13" s="133"/>
      <c r="DT13" s="133"/>
      <c r="DU13" s="133"/>
      <c r="DV13" s="133"/>
      <c r="DW13" s="133"/>
      <c r="DX13" s="133"/>
      <c r="DY13" s="133"/>
      <c r="EE13" s="133"/>
      <c r="EF13" s="133"/>
      <c r="EG13" s="133"/>
      <c r="EM13" s="133"/>
      <c r="EN13" s="133"/>
      <c r="EO13" s="133"/>
      <c r="EP13" s="133"/>
      <c r="EQ13" s="133"/>
      <c r="ER13" s="133"/>
      <c r="ES13" s="133"/>
      <c r="ET13" s="133"/>
      <c r="EU13" s="133"/>
      <c r="EV13" s="133"/>
      <c r="EW13" s="133"/>
      <c r="EX13" s="133"/>
      <c r="EY13" s="133"/>
      <c r="EZ13" s="133"/>
      <c r="FA13" s="133"/>
      <c r="FV13" s="123"/>
      <c r="FY13" s="133"/>
      <c r="FZ13" s="123"/>
      <c r="GF13" s="133"/>
      <c r="GY13" s="123"/>
      <c r="GZ13" s="123"/>
      <c r="HA13" s="123"/>
      <c r="HB13" s="123"/>
      <c r="HC13" s="123"/>
      <c r="HD13" s="123"/>
      <c r="HE13" s="123"/>
      <c r="HF13" s="123"/>
      <c r="HG13" s="123"/>
      <c r="HH13" s="123"/>
      <c r="HI13" s="123"/>
      <c r="HJ13" s="123"/>
      <c r="HK13" s="123"/>
      <c r="HL13" s="123"/>
      <c r="HM13" s="123"/>
      <c r="HN13" s="123"/>
      <c r="HO13" s="123"/>
      <c r="HP13" s="123"/>
      <c r="HQ13" s="123"/>
      <c r="HR13" s="123"/>
      <c r="HS13" s="133"/>
      <c r="HT13" s="133"/>
      <c r="HU13" s="133"/>
      <c r="HV13" s="133"/>
      <c r="HW13" s="133"/>
      <c r="HX13" s="133"/>
      <c r="HY13" s="133"/>
      <c r="HZ13" s="133"/>
      <c r="IA13" s="133"/>
      <c r="IB13" s="133"/>
      <c r="IC13" s="133"/>
      <c r="ID13" s="133"/>
      <c r="IE13" s="133"/>
      <c r="IF13" s="133"/>
      <c r="IG13" s="133"/>
      <c r="IH13" s="133"/>
      <c r="II13" s="133"/>
      <c r="IJ13" s="133"/>
      <c r="IK13" s="133"/>
      <c r="IL13" s="133"/>
      <c r="IM13" s="133"/>
      <c r="IN13" s="133"/>
      <c r="IO13" s="97"/>
      <c r="IP13" s="97"/>
      <c r="IQ13" s="97"/>
      <c r="IR13" s="97"/>
      <c r="IS13" s="97"/>
      <c r="IT13" s="97"/>
      <c r="IU13" s="97"/>
      <c r="IW13" s="123"/>
      <c r="IX13" s="123"/>
      <c r="IY13" s="123"/>
      <c r="IZ13" s="123"/>
      <c r="JA13" s="123"/>
      <c r="JB13" s="123"/>
      <c r="JC13" s="123"/>
      <c r="JD13" s="123"/>
      <c r="JE13" s="123"/>
      <c r="JF13" s="123"/>
      <c r="JG13" s="123"/>
      <c r="JH13" s="123"/>
      <c r="JI13" s="123"/>
      <c r="JJ13" s="123"/>
      <c r="JK13" s="123"/>
      <c r="JL13" s="123"/>
      <c r="JM13" s="123"/>
      <c r="JN13" s="123"/>
      <c r="JO13" s="123"/>
      <c r="JP13" s="123"/>
      <c r="JQ13" s="123"/>
      <c r="JR13" s="123"/>
      <c r="JS13" s="123"/>
      <c r="JT13" s="123"/>
      <c r="JU13" s="123"/>
      <c r="JV13" s="123"/>
      <c r="JW13" s="123"/>
      <c r="JX13" s="123"/>
      <c r="JY13" s="123"/>
      <c r="JZ13" s="123"/>
      <c r="KA13" s="123"/>
      <c r="KB13" s="123"/>
      <c r="KC13" s="123"/>
      <c r="KD13" s="123"/>
      <c r="KE13" s="123"/>
      <c r="KF13" s="123"/>
      <c r="KG13" s="123"/>
      <c r="KH13" s="123"/>
      <c r="KI13" s="123"/>
      <c r="KJ13" s="123"/>
      <c r="KK13" s="123"/>
      <c r="KL13" s="123"/>
      <c r="KM13" s="123"/>
      <c r="KN13" s="123"/>
      <c r="KO13" s="123"/>
      <c r="KP13" s="123"/>
      <c r="KQ13" s="123"/>
      <c r="KR13" s="123"/>
      <c r="KS13" s="123"/>
      <c r="KT13" s="123"/>
      <c r="KU13" s="123"/>
      <c r="KV13" s="123"/>
      <c r="KW13" s="123"/>
      <c r="KX13" s="133"/>
      <c r="KY13" s="123"/>
      <c r="KZ13" s="123"/>
      <c r="LA13" s="123"/>
      <c r="LB13" s="123"/>
      <c r="LC13" s="133"/>
      <c r="LD13" s="133"/>
      <c r="LE13" s="133"/>
      <c r="LF13" s="133"/>
      <c r="LG13" s="133"/>
      <c r="LH13" s="133"/>
      <c r="LI13" s="133"/>
      <c r="LJ13" s="133"/>
      <c r="LK13" s="133"/>
      <c r="LL13" s="133"/>
      <c r="LM13" s="133"/>
      <c r="LN13" s="133"/>
      <c r="LO13" s="133"/>
      <c r="LP13" s="133"/>
      <c r="LQ13" s="133"/>
      <c r="LR13" s="133"/>
      <c r="LS13" s="133"/>
      <c r="LT13" s="133"/>
      <c r="LU13" s="133"/>
      <c r="LV13" s="133"/>
      <c r="LW13" s="133"/>
      <c r="LX13" s="123"/>
      <c r="LY13" s="123"/>
      <c r="LZ13" s="123"/>
      <c r="MA13" s="123"/>
      <c r="MB13" s="133"/>
      <c r="MC13" s="123"/>
      <c r="MD13" s="123"/>
      <c r="ME13" s="123"/>
      <c r="MF13" s="123"/>
      <c r="MG13" s="133"/>
      <c r="MH13" s="133"/>
      <c r="MI13" s="133"/>
      <c r="MJ13" s="133"/>
      <c r="MK13" s="133"/>
      <c r="ML13" s="133"/>
      <c r="MM13" s="133"/>
      <c r="MN13" s="133"/>
      <c r="MO13" s="133"/>
      <c r="MP13" s="133"/>
      <c r="MQ13" s="133"/>
      <c r="MR13" s="123"/>
      <c r="MS13" s="123"/>
      <c r="MT13" s="123"/>
      <c r="MU13" s="123"/>
      <c r="MV13" s="123"/>
      <c r="MW13" s="133"/>
      <c r="MX13" s="133"/>
      <c r="MY13" s="133"/>
      <c r="MZ13" s="133"/>
      <c r="NA13" s="133"/>
      <c r="NB13" s="133"/>
      <c r="NC13" s="133"/>
      <c r="ND13" s="133"/>
      <c r="NE13" s="133"/>
      <c r="NF13" s="133"/>
      <c r="NG13" s="133"/>
      <c r="NH13" s="133"/>
      <c r="NI13" s="133"/>
      <c r="NJ13" s="133"/>
      <c r="NK13" s="133"/>
      <c r="NL13" s="133"/>
      <c r="NM13" s="133"/>
      <c r="NN13" s="133"/>
      <c r="NO13" s="133"/>
      <c r="NP13" s="133"/>
      <c r="NQ13" s="133"/>
      <c r="NR13" s="123"/>
      <c r="NS13" s="123"/>
      <c r="RU13" s="149"/>
      <c r="RV13" s="149"/>
      <c r="RW13" s="149"/>
      <c r="RX13" s="149"/>
      <c r="RY13" s="149"/>
      <c r="RZ13" s="149"/>
    </row>
    <row r="14" spans="1:534" s="4" customFormat="1" x14ac:dyDescent="0.25">
      <c r="A14" s="14" t="s">
        <v>52</v>
      </c>
      <c r="B14" s="14"/>
      <c r="C14" s="14"/>
      <c r="D14" s="708"/>
      <c r="E14" s="102"/>
      <c r="F14" s="102"/>
      <c r="G14" s="102"/>
      <c r="H14" s="102"/>
      <c r="I14" s="102"/>
      <c r="J14" s="102"/>
      <c r="K14" s="102"/>
      <c r="L14" s="102"/>
      <c r="M14" s="102"/>
      <c r="N14" s="628">
        <f>'Crops; pasture AMORTIZED'!P20</f>
        <v>626.68319999999994</v>
      </c>
      <c r="O14" s="67">
        <f t="shared" ref="O14:P17" si="1">R14+T14</f>
        <v>148.34381044487429</v>
      </c>
      <c r="P14" s="67">
        <f t="shared" si="1"/>
        <v>130.54255319148936</v>
      </c>
      <c r="Q14" s="627">
        <f>P14/N14</f>
        <v>0.2083070891185361</v>
      </c>
      <c r="R14" s="713">
        <f>S14/$NT14</f>
        <v>105.11363636363636</v>
      </c>
      <c r="S14" s="630">
        <f>W44/C44</f>
        <v>92.5</v>
      </c>
      <c r="T14" s="713">
        <f>U14/$NT14</f>
        <v>43.230174081237919</v>
      </c>
      <c r="U14" s="630">
        <f>W107/C107</f>
        <v>38.042553191489368</v>
      </c>
      <c r="X14" s="60"/>
      <c r="AB14" s="126">
        <f>'Crops; pasture AMORTIZED'!L20</f>
        <v>2.1685598082093156</v>
      </c>
      <c r="AC14" s="126">
        <f>'Crops; pasture AMORTIZED'!M20</f>
        <v>2.4126616483304382</v>
      </c>
      <c r="AD14" s="126">
        <f>'Crops; pasture AMORTIZED'!N20</f>
        <v>1.4204545454545454</v>
      </c>
      <c r="AE14" s="126"/>
      <c r="AF14" s="126"/>
      <c r="AG14" s="126"/>
      <c r="AH14" s="126"/>
      <c r="AI14" s="126"/>
      <c r="AJ14" s="126"/>
      <c r="AK14" s="60"/>
      <c r="AL14" s="60"/>
      <c r="AM14" s="60"/>
      <c r="AN14" s="60"/>
      <c r="AO14" s="126"/>
      <c r="AP14" s="126"/>
      <c r="AQ14" s="126"/>
      <c r="AR14" s="126"/>
      <c r="AS14" s="126"/>
      <c r="AT14" s="126"/>
      <c r="AU14" s="126"/>
      <c r="AV14" s="126"/>
      <c r="AW14" s="126"/>
      <c r="AX14" s="126"/>
      <c r="AY14" s="126"/>
      <c r="AZ14" s="126"/>
      <c r="BA14" s="126"/>
      <c r="BB14" s="126"/>
      <c r="BC14" s="126"/>
      <c r="BD14" s="126"/>
      <c r="BE14" s="126"/>
      <c r="BF14" s="126"/>
      <c r="BG14" s="126"/>
      <c r="BH14" s="126"/>
      <c r="BI14" s="126"/>
      <c r="BJ14" s="126"/>
      <c r="BK14" s="126"/>
      <c r="BL14" s="126"/>
      <c r="BM14" s="126"/>
      <c r="BN14" s="126"/>
      <c r="BO14" s="126"/>
      <c r="BP14" s="126">
        <f>'Crops; pasture AMORTIZED'!CZ20</f>
        <v>0.77146568322279163</v>
      </c>
      <c r="BQ14" s="126">
        <f>'Crops; pasture AMORTIZED'!DD20</f>
        <v>0.92069785036381169</v>
      </c>
      <c r="BR14" s="126">
        <f>'Crops; pasture AMORTIZED'!DH20</f>
        <v>0.31390261002655034</v>
      </c>
      <c r="BS14" s="126">
        <f>'Crops; pasture AMORTIZED'!DL20</f>
        <v>0.72292185104754914</v>
      </c>
      <c r="BT14" s="126">
        <f>'Crops; pasture AMORTIZED'!DP20</f>
        <v>0.8408060778044083</v>
      </c>
      <c r="BU14" s="126">
        <f>'Crops; pasture AMORTIZED'!DT20</f>
        <v>0.3616389930862019</v>
      </c>
      <c r="BV14" s="126"/>
      <c r="BW14" s="126"/>
      <c r="BX14" s="126"/>
      <c r="BY14" s="126"/>
      <c r="BZ14" s="126"/>
      <c r="CA14" s="126"/>
      <c r="CB14" s="126"/>
      <c r="CC14" s="126"/>
      <c r="CD14" s="126"/>
      <c r="CE14" s="126"/>
      <c r="CF14" s="126"/>
      <c r="CG14" s="126"/>
      <c r="CH14" s="126"/>
      <c r="CI14" s="126"/>
      <c r="CJ14" s="41"/>
      <c r="CL14" s="714"/>
      <c r="CM14" s="32"/>
      <c r="CN14" s="67"/>
      <c r="CO14" s="68"/>
      <c r="CP14" s="68"/>
      <c r="CQ14" s="68"/>
      <c r="CR14" s="97"/>
      <c r="CS14" s="97"/>
      <c r="CT14" s="97"/>
      <c r="CU14" s="97"/>
      <c r="CV14" s="97"/>
      <c r="CW14" s="68"/>
      <c r="CX14" s="68"/>
      <c r="CY14" s="68"/>
      <c r="CZ14" s="68"/>
      <c r="DA14" s="68"/>
      <c r="DB14" s="68"/>
      <c r="DC14" s="68"/>
      <c r="DD14" s="68"/>
      <c r="DE14" s="68"/>
      <c r="DF14" s="68"/>
      <c r="DG14" s="68"/>
      <c r="DH14" s="68"/>
      <c r="DI14" s="68"/>
      <c r="DJ14" s="68"/>
      <c r="DK14" s="68"/>
      <c r="DL14" s="68"/>
      <c r="DM14" s="68"/>
      <c r="DN14" s="68"/>
      <c r="DO14" s="68"/>
      <c r="DP14" s="68"/>
      <c r="DQ14" s="68"/>
      <c r="DR14" s="68"/>
      <c r="DS14" s="68"/>
      <c r="DT14" s="68"/>
      <c r="DU14" s="68"/>
      <c r="DV14" s="68"/>
      <c r="DW14" s="68"/>
      <c r="DX14" s="68"/>
      <c r="DY14" s="68"/>
      <c r="DZ14" s="41"/>
      <c r="EE14" s="68"/>
      <c r="EF14" s="68"/>
      <c r="EG14" s="68"/>
      <c r="EM14" s="68"/>
      <c r="EN14" s="68"/>
      <c r="EO14" s="68"/>
      <c r="EP14" s="68"/>
      <c r="EQ14" s="68"/>
      <c r="ER14" s="68"/>
      <c r="ES14" s="68"/>
      <c r="ET14" s="68"/>
      <c r="EU14" s="68"/>
      <c r="EV14" s="68"/>
      <c r="EW14" s="68"/>
      <c r="EX14" s="68"/>
      <c r="EY14" s="68"/>
      <c r="EZ14" s="68"/>
      <c r="FA14" s="68"/>
      <c r="FB14" s="126">
        <f>'Crops; pasture AMORTIZED'!DX20</f>
        <v>1.4396316990785778</v>
      </c>
      <c r="FC14" s="126">
        <f>'Crops; pasture AMORTIZED'!EA20</f>
        <v>1.6743871839413242</v>
      </c>
      <c r="FD14" s="126">
        <f>'Crops; pasture AMORTIZED'!ED20</f>
        <v>0.72017045454545459</v>
      </c>
      <c r="FE14" s="126"/>
      <c r="FF14" s="126"/>
      <c r="FG14" s="126"/>
      <c r="FH14" s="126"/>
      <c r="FI14" s="126"/>
      <c r="FJ14" s="126"/>
      <c r="FK14" s="126"/>
      <c r="FL14" s="126"/>
      <c r="FM14" s="126"/>
      <c r="FN14" s="126"/>
      <c r="FO14" s="126"/>
      <c r="FP14" s="126"/>
      <c r="FQ14" s="126"/>
      <c r="FR14" s="126"/>
      <c r="FS14" s="126"/>
      <c r="FV14" s="60"/>
      <c r="FY14" s="68"/>
      <c r="FZ14" s="60"/>
      <c r="GF14" s="68"/>
      <c r="GG14" s="126"/>
      <c r="GH14" s="126"/>
      <c r="GI14" s="126"/>
      <c r="GJ14" s="126"/>
      <c r="GK14" s="126"/>
      <c r="GL14" s="126"/>
      <c r="GM14" s="126"/>
      <c r="GN14" s="126"/>
      <c r="GO14" s="126"/>
      <c r="GP14" s="126"/>
      <c r="GQ14" s="126"/>
      <c r="GR14" s="126"/>
      <c r="GS14" s="126"/>
      <c r="GT14" s="126"/>
      <c r="GU14" s="126">
        <f>'Crops; pasture AMORTIZED'!EK20</f>
        <v>0.12614324514635142</v>
      </c>
      <c r="GV14" s="126">
        <f>'Crops; pasture AMORTIZED'!EP20</f>
        <v>0.15505257575757572</v>
      </c>
      <c r="GW14" s="334">
        <f>'Crops; pasture AMORTIZED'!EW20</f>
        <v>3.7544067187500002E-2</v>
      </c>
      <c r="GX14" s="334"/>
      <c r="GY14" s="123"/>
      <c r="GZ14" s="123"/>
      <c r="HA14" s="123"/>
      <c r="HB14" s="123"/>
      <c r="HC14" s="123"/>
      <c r="HD14" s="123"/>
      <c r="HE14" s="123"/>
      <c r="HF14" s="123"/>
      <c r="HG14" s="123"/>
      <c r="HH14" s="123"/>
      <c r="HI14" s="123"/>
      <c r="HJ14" s="123"/>
      <c r="HK14" s="123"/>
      <c r="HL14" s="123"/>
      <c r="HM14" s="123"/>
      <c r="HN14" s="123"/>
      <c r="HO14" s="123"/>
      <c r="HP14" s="60"/>
      <c r="HQ14" s="123"/>
      <c r="HR14" s="60"/>
      <c r="HS14" s="68"/>
      <c r="HT14" s="68"/>
      <c r="HU14" s="68"/>
      <c r="HV14" s="68"/>
      <c r="HW14" s="68"/>
      <c r="HX14" s="68"/>
      <c r="HY14" s="68"/>
      <c r="HZ14" s="68"/>
      <c r="IA14" s="68"/>
      <c r="IB14" s="68"/>
      <c r="IC14" s="68"/>
      <c r="ID14" s="68"/>
      <c r="IE14" s="68"/>
      <c r="IF14" s="68"/>
      <c r="IG14" s="68"/>
      <c r="IH14" s="68"/>
      <c r="II14" s="68"/>
      <c r="IJ14" s="68"/>
      <c r="IK14" s="68"/>
      <c r="IL14" s="68"/>
      <c r="IM14" s="68"/>
      <c r="IN14" s="68"/>
      <c r="IO14" s="97"/>
      <c r="IP14" s="97"/>
      <c r="IQ14" s="97"/>
      <c r="IR14" s="97"/>
      <c r="IS14" s="97"/>
      <c r="IT14" s="97"/>
      <c r="IU14" s="97"/>
      <c r="IV14" s="41"/>
      <c r="IW14" s="60"/>
      <c r="IX14" s="60"/>
      <c r="IY14" s="60"/>
      <c r="IZ14" s="60"/>
      <c r="JA14" s="60"/>
      <c r="JB14" s="60"/>
      <c r="JC14" s="60"/>
      <c r="JD14" s="60"/>
      <c r="JE14" s="60"/>
      <c r="JF14" s="60"/>
      <c r="JG14" s="60"/>
      <c r="JH14" s="60"/>
      <c r="JI14" s="60"/>
      <c r="JJ14" s="60"/>
      <c r="JK14" s="60"/>
      <c r="JL14" s="60"/>
      <c r="JM14" s="123"/>
      <c r="JN14" s="123"/>
      <c r="JO14" s="123"/>
      <c r="JP14" s="123"/>
      <c r="JQ14" s="60"/>
      <c r="JR14" s="60"/>
      <c r="JS14" s="60"/>
      <c r="JT14" s="60"/>
      <c r="JU14" s="60"/>
      <c r="JV14" s="60"/>
      <c r="JW14" s="60"/>
      <c r="JX14" s="60"/>
      <c r="JY14" s="60"/>
      <c r="JZ14" s="60"/>
      <c r="KA14" s="60"/>
      <c r="KB14" s="60"/>
      <c r="KC14" s="60"/>
      <c r="KD14" s="123"/>
      <c r="KE14" s="123"/>
      <c r="KF14" s="123"/>
      <c r="KG14" s="123"/>
      <c r="KH14" s="123"/>
      <c r="KI14" s="123"/>
      <c r="KJ14" s="123"/>
      <c r="KK14" s="123"/>
      <c r="KL14" s="123"/>
      <c r="KM14" s="123"/>
      <c r="KN14" s="123"/>
      <c r="KO14" s="123"/>
      <c r="KP14" s="123"/>
      <c r="KQ14" s="123"/>
      <c r="KR14" s="123"/>
      <c r="KS14" s="123"/>
      <c r="KT14" s="60"/>
      <c r="KU14" s="60"/>
      <c r="KV14" s="60"/>
      <c r="KW14" s="60"/>
      <c r="KX14" s="68"/>
      <c r="KY14" s="60"/>
      <c r="KZ14" s="60"/>
      <c r="LA14" s="60"/>
      <c r="LB14" s="60"/>
      <c r="LC14" s="68"/>
      <c r="LD14" s="68"/>
      <c r="LE14" s="68"/>
      <c r="LF14" s="68"/>
      <c r="LG14" s="68"/>
      <c r="LH14" s="68"/>
      <c r="LI14" s="68"/>
      <c r="LJ14" s="68"/>
      <c r="LK14" s="68"/>
      <c r="LL14" s="68"/>
      <c r="LM14" s="68"/>
      <c r="LN14" s="68"/>
      <c r="LO14" s="68"/>
      <c r="LP14" s="68"/>
      <c r="LQ14" s="68"/>
      <c r="LR14" s="68"/>
      <c r="LS14" s="68"/>
      <c r="LT14" s="68"/>
      <c r="LU14" s="68"/>
      <c r="LV14" s="68"/>
      <c r="LW14" s="68"/>
      <c r="LX14" s="60"/>
      <c r="LY14" s="60"/>
      <c r="LZ14" s="60"/>
      <c r="MA14" s="60"/>
      <c r="MB14" s="68"/>
      <c r="MC14" s="60"/>
      <c r="MD14" s="60"/>
      <c r="ME14" s="60"/>
      <c r="MF14" s="60"/>
      <c r="MG14" s="68"/>
      <c r="MH14" s="68"/>
      <c r="MI14" s="68"/>
      <c r="MJ14" s="68"/>
      <c r="MK14" s="68"/>
      <c r="ML14" s="68"/>
      <c r="MM14" s="68"/>
      <c r="MN14" s="68"/>
      <c r="MO14" s="68"/>
      <c r="MP14" s="68"/>
      <c r="MQ14" s="68"/>
      <c r="MR14" s="60"/>
      <c r="MS14" s="60"/>
      <c r="MT14" s="60"/>
      <c r="MU14" s="60"/>
      <c r="MV14" s="60"/>
      <c r="MW14" s="68"/>
      <c r="MX14" s="68"/>
      <c r="MY14" s="68"/>
      <c r="MZ14" s="68"/>
      <c r="NA14" s="68"/>
      <c r="NB14" s="68"/>
      <c r="NC14" s="68"/>
      <c r="ND14" s="68"/>
      <c r="NE14" s="68"/>
      <c r="NF14" s="68"/>
      <c r="NG14" s="68"/>
      <c r="NH14" s="68"/>
      <c r="NI14" s="68"/>
      <c r="NJ14" s="68"/>
      <c r="NK14" s="68"/>
      <c r="NL14" s="68"/>
      <c r="NM14" s="68"/>
      <c r="NN14" s="68"/>
      <c r="NO14" s="68"/>
      <c r="NP14" s="68"/>
      <c r="NQ14" s="68"/>
      <c r="NR14" s="60"/>
      <c r="NS14" s="60"/>
      <c r="NT14" s="631">
        <f>'Crops; pasture AMORTIZED'!HB20</f>
        <v>0.88</v>
      </c>
      <c r="NU14" s="631"/>
      <c r="NV14" s="41">
        <f>'Crops; pasture AMORTIZED'!HC20</f>
        <v>16.544</v>
      </c>
      <c r="NW14" s="41">
        <f>'Crops; pasture AMORTIZED'!HD20</f>
        <v>18.8</v>
      </c>
      <c r="NX14" s="41"/>
      <c r="NY14" s="41"/>
      <c r="NZ14" s="41"/>
      <c r="OA14" s="41">
        <f>'Crops; pasture AMORTIZED'!HE20</f>
        <v>13.2</v>
      </c>
      <c r="OB14" s="41">
        <f>'Crops; pasture AMORTIZED'!HF20</f>
        <v>15</v>
      </c>
      <c r="OC14" s="631">
        <f>'Crops; pasture AMORTIZED'!HG20</f>
        <v>8.8000000000000009E-2</v>
      </c>
      <c r="OD14" s="631">
        <f>'Crops; pasture AMORTIZED'!HH20</f>
        <v>0.1</v>
      </c>
      <c r="OE14" s="631">
        <f>'Crops; pasture AMORTIZED'!HI20</f>
        <v>3.5200000000000002E-2</v>
      </c>
      <c r="OF14" s="631">
        <f>'Crops; pasture AMORTIZED'!HJ20</f>
        <v>0.04</v>
      </c>
      <c r="RU14" s="97"/>
      <c r="RV14" s="97"/>
      <c r="RW14" s="97"/>
      <c r="RX14" s="97"/>
      <c r="RY14" s="97"/>
      <c r="RZ14" s="97"/>
    </row>
    <row r="15" spans="1:534" s="4" customFormat="1" x14ac:dyDescent="0.25">
      <c r="A15" s="4" t="s">
        <v>66</v>
      </c>
      <c r="B15" s="14"/>
      <c r="C15" s="14"/>
      <c r="D15" s="708"/>
      <c r="E15" s="102"/>
      <c r="F15" s="102"/>
      <c r="G15" s="102"/>
      <c r="H15" s="102"/>
      <c r="I15" s="102"/>
      <c r="J15" s="102"/>
      <c r="K15" s="102"/>
      <c r="L15" s="102"/>
      <c r="M15" s="102"/>
      <c r="N15" s="628">
        <f>'Crops; pasture AMORTIZED'!P21</f>
        <v>546.42264</v>
      </c>
      <c r="O15" s="67">
        <f t="shared" si="1"/>
        <v>507.38916256157637</v>
      </c>
      <c r="P15" s="67">
        <f t="shared" si="1"/>
        <v>441.42857142857144</v>
      </c>
      <c r="Q15" s="627">
        <f t="shared" ref="Q15:Q17" si="2">P15/N15</f>
        <v>0.80785190640814486</v>
      </c>
      <c r="R15" s="713">
        <f>S15/$NT15</f>
        <v>507.38916256157637</v>
      </c>
      <c r="S15" s="630">
        <f>W49/C49</f>
        <v>441.42857142857144</v>
      </c>
      <c r="T15" s="14"/>
      <c r="U15" s="14"/>
      <c r="X15" s="60"/>
      <c r="AB15" s="126">
        <f>'Crops; pasture AMORTIZED'!L21</f>
        <v>1.9819822985372644</v>
      </c>
      <c r="AC15" s="126">
        <f>'Crops; pasture AMORTIZED'!M21</f>
        <v>3.707823507601038</v>
      </c>
      <c r="AD15" s="126">
        <f>'Crops; pasture AMORTIZED'!N21</f>
        <v>1.4793118241394103</v>
      </c>
      <c r="AE15" s="126"/>
      <c r="AF15" s="126"/>
      <c r="AG15" s="126"/>
      <c r="AH15" s="126"/>
      <c r="AI15" s="126"/>
      <c r="AJ15" s="126"/>
      <c r="AK15" s="60"/>
      <c r="AL15" s="60"/>
      <c r="AM15" s="60"/>
      <c r="AN15" s="60"/>
      <c r="AO15" s="126"/>
      <c r="AP15" s="126"/>
      <c r="AQ15" s="126"/>
      <c r="AR15" s="126"/>
      <c r="AS15" s="126"/>
      <c r="AT15" s="126"/>
      <c r="AU15" s="126"/>
      <c r="AV15" s="126"/>
      <c r="AW15" s="126"/>
      <c r="AX15" s="126"/>
      <c r="AY15" s="126"/>
      <c r="AZ15" s="126"/>
      <c r="BA15" s="126"/>
      <c r="BB15" s="126"/>
      <c r="BC15" s="126"/>
      <c r="BD15" s="126"/>
      <c r="BE15" s="126"/>
      <c r="BF15" s="126"/>
      <c r="BG15" s="126"/>
      <c r="BH15" s="126"/>
      <c r="BI15" s="126"/>
      <c r="BJ15" s="126"/>
      <c r="BK15" s="126"/>
      <c r="BL15" s="126"/>
      <c r="BM15" s="126"/>
      <c r="BN15" s="126"/>
      <c r="BO15" s="126"/>
      <c r="BP15" s="126">
        <f>'Crops; pasture AMORTIZED'!CZ21</f>
        <v>0.74673579907361975</v>
      </c>
      <c r="BQ15" s="126">
        <f>'Crops; pasture AMORTIZED'!DD21</f>
        <v>1.4323769643642352</v>
      </c>
      <c r="BR15" s="126">
        <f>'Crops; pasture AMORTIZED'!DH21</f>
        <v>0.54705874579828628</v>
      </c>
      <c r="BS15" s="126">
        <f>'Crops; pasture AMORTIZED'!DL21</f>
        <v>0.69294863405819451</v>
      </c>
      <c r="BT15" s="126">
        <f>'Crops; pasture AMORTIZED'!DP21</f>
        <v>1.3964335297639834</v>
      </c>
      <c r="BU15" s="126">
        <f>'Crops; pasture AMORTIZED'!DT21</f>
        <v>0.48805082283488721</v>
      </c>
      <c r="BV15" s="126"/>
      <c r="BW15" s="126"/>
      <c r="BX15" s="126"/>
      <c r="BY15" s="126"/>
      <c r="BZ15" s="126"/>
      <c r="CA15" s="126"/>
      <c r="CB15" s="126"/>
      <c r="CC15" s="126"/>
      <c r="CD15" s="126"/>
      <c r="CE15" s="126"/>
      <c r="CF15" s="126"/>
      <c r="CG15" s="126"/>
      <c r="CH15" s="126"/>
      <c r="CI15" s="126"/>
      <c r="CJ15" s="41"/>
      <c r="CL15" s="714"/>
      <c r="CM15" s="32"/>
      <c r="CN15" s="67"/>
      <c r="CO15" s="68"/>
      <c r="CP15" s="68"/>
      <c r="CQ15" s="68"/>
      <c r="CR15" s="97"/>
      <c r="CS15" s="97"/>
      <c r="CT15" s="97"/>
      <c r="CU15" s="97"/>
      <c r="CV15" s="97"/>
      <c r="CW15" s="68"/>
      <c r="CX15" s="68"/>
      <c r="CY15" s="68"/>
      <c r="CZ15" s="68"/>
      <c r="DA15" s="68"/>
      <c r="DB15" s="68"/>
      <c r="DC15" s="68"/>
      <c r="DD15" s="68"/>
      <c r="DE15" s="68"/>
      <c r="DF15" s="68"/>
      <c r="DG15" s="68"/>
      <c r="DH15" s="68"/>
      <c r="DI15" s="68"/>
      <c r="DJ15" s="68"/>
      <c r="DK15" s="68"/>
      <c r="DL15" s="68"/>
      <c r="DM15" s="68"/>
      <c r="DN15" s="68"/>
      <c r="DO15" s="68"/>
      <c r="DP15" s="68"/>
      <c r="DQ15" s="68"/>
      <c r="DR15" s="68"/>
      <c r="DS15" s="68"/>
      <c r="DT15" s="68"/>
      <c r="DU15" s="68"/>
      <c r="DV15" s="68"/>
      <c r="DW15" s="68"/>
      <c r="DX15" s="68"/>
      <c r="DY15" s="68"/>
      <c r="DZ15" s="41"/>
      <c r="EE15" s="68"/>
      <c r="EF15" s="68"/>
      <c r="EG15" s="68"/>
      <c r="EM15" s="68"/>
      <c r="EN15" s="68"/>
      <c r="EO15" s="68"/>
      <c r="EP15" s="68"/>
      <c r="EQ15" s="68"/>
      <c r="ER15" s="68"/>
      <c r="ES15" s="68"/>
      <c r="ET15" s="68"/>
      <c r="EU15" s="68"/>
      <c r="EV15" s="68"/>
      <c r="EW15" s="68"/>
      <c r="EX15" s="68"/>
      <c r="EY15" s="68"/>
      <c r="EZ15" s="68"/>
      <c r="FA15" s="68"/>
      <c r="FB15" s="126">
        <f>'Crops; pasture AMORTIZED'!DX21</f>
        <v>1.3799428222813024</v>
      </c>
      <c r="FC15" s="126">
        <f>'Crops; pasture AMORTIZED'!EA21</f>
        <v>2.7808676307007785</v>
      </c>
      <c r="FD15" s="126">
        <f>'Crops; pasture AMORTIZED'!ED21</f>
        <v>0.97190786845959265</v>
      </c>
      <c r="FE15" s="126"/>
      <c r="FF15" s="126"/>
      <c r="FG15" s="126"/>
      <c r="FH15" s="126"/>
      <c r="FI15" s="126"/>
      <c r="FJ15" s="126"/>
      <c r="FK15" s="126"/>
      <c r="FL15" s="126"/>
      <c r="FM15" s="126"/>
      <c r="FN15" s="126"/>
      <c r="FO15" s="126"/>
      <c r="FP15" s="126"/>
      <c r="FQ15" s="126"/>
      <c r="FR15" s="126"/>
      <c r="FS15" s="126"/>
      <c r="FV15" s="60"/>
      <c r="FY15" s="68"/>
      <c r="FZ15" s="60"/>
      <c r="GF15" s="68"/>
      <c r="GG15" s="126"/>
      <c r="GH15" s="126"/>
      <c r="GI15" s="126"/>
      <c r="GJ15" s="126"/>
      <c r="GK15" s="126"/>
      <c r="GL15" s="126"/>
      <c r="GM15" s="126"/>
      <c r="GN15" s="126"/>
      <c r="GO15" s="126"/>
      <c r="GP15" s="126"/>
      <c r="GQ15" s="126"/>
      <c r="GR15" s="126"/>
      <c r="GS15" s="126"/>
      <c r="GT15" s="126"/>
      <c r="GU15" s="126">
        <f>'Crops; pasture AMORTIZED'!EK21</f>
        <v>0.28003970250207788</v>
      </c>
      <c r="GV15" s="126">
        <f>'Crops; pasture AMORTIZED'!EP21</f>
        <v>0.4906587245087134</v>
      </c>
      <c r="GW15" s="126">
        <f>'Crops; pasture AMORTIZED'!EW21</f>
        <v>0.21869456648766994</v>
      </c>
      <c r="GX15" s="126"/>
      <c r="GY15" s="123"/>
      <c r="GZ15" s="123"/>
      <c r="HA15" s="123"/>
      <c r="HB15" s="123"/>
      <c r="HC15" s="123"/>
      <c r="HD15" s="123"/>
      <c r="HE15" s="123"/>
      <c r="HF15" s="123"/>
      <c r="HG15" s="123"/>
      <c r="HH15" s="123"/>
      <c r="HI15" s="123"/>
      <c r="HJ15" s="123"/>
      <c r="HK15" s="123"/>
      <c r="HL15" s="123"/>
      <c r="HM15" s="123"/>
      <c r="HN15" s="123"/>
      <c r="HO15" s="123"/>
      <c r="HP15" s="60"/>
      <c r="HQ15" s="123"/>
      <c r="HR15" s="60"/>
      <c r="HS15" s="68"/>
      <c r="HT15" s="68"/>
      <c r="HU15" s="68"/>
      <c r="HV15" s="68"/>
      <c r="HW15" s="68"/>
      <c r="HX15" s="68"/>
      <c r="HY15" s="68"/>
      <c r="HZ15" s="68"/>
      <c r="IA15" s="68"/>
      <c r="IB15" s="68"/>
      <c r="IC15" s="68"/>
      <c r="ID15" s="68"/>
      <c r="IE15" s="68"/>
      <c r="IF15" s="68"/>
      <c r="IG15" s="68"/>
      <c r="IH15" s="68"/>
      <c r="II15" s="68"/>
      <c r="IJ15" s="68"/>
      <c r="IK15" s="68"/>
      <c r="IL15" s="68"/>
      <c r="IM15" s="68"/>
      <c r="IN15" s="68"/>
      <c r="IO15" s="97"/>
      <c r="IP15" s="97"/>
      <c r="IQ15" s="97"/>
      <c r="IR15" s="97"/>
      <c r="IS15" s="97"/>
      <c r="IT15" s="97"/>
      <c r="IU15" s="97"/>
      <c r="IV15" s="41"/>
      <c r="IW15" s="60"/>
      <c r="IX15" s="60"/>
      <c r="IY15" s="60"/>
      <c r="IZ15" s="60"/>
      <c r="JA15" s="60"/>
      <c r="JB15" s="60"/>
      <c r="JC15" s="60"/>
      <c r="JD15" s="60"/>
      <c r="JE15" s="60"/>
      <c r="JF15" s="60"/>
      <c r="JG15" s="60"/>
      <c r="JH15" s="60"/>
      <c r="JI15" s="60"/>
      <c r="JJ15" s="60"/>
      <c r="JK15" s="60"/>
      <c r="JL15" s="60"/>
      <c r="JM15" s="123"/>
      <c r="JN15" s="123"/>
      <c r="JO15" s="123"/>
      <c r="JP15" s="123"/>
      <c r="JQ15" s="60"/>
      <c r="JR15" s="60"/>
      <c r="JS15" s="60"/>
      <c r="JT15" s="60"/>
      <c r="JU15" s="60"/>
      <c r="JV15" s="60"/>
      <c r="JW15" s="60"/>
      <c r="JX15" s="60"/>
      <c r="JY15" s="60"/>
      <c r="JZ15" s="60"/>
      <c r="KA15" s="60"/>
      <c r="KB15" s="60"/>
      <c r="KC15" s="60"/>
      <c r="KD15" s="123"/>
      <c r="KE15" s="123"/>
      <c r="KF15" s="123"/>
      <c r="KG15" s="123"/>
      <c r="KH15" s="123"/>
      <c r="KI15" s="123"/>
      <c r="KJ15" s="123"/>
      <c r="KK15" s="123"/>
      <c r="KL15" s="123"/>
      <c r="KM15" s="123"/>
      <c r="KN15" s="123"/>
      <c r="KO15" s="123"/>
      <c r="KP15" s="123"/>
      <c r="KQ15" s="123"/>
      <c r="KR15" s="123"/>
      <c r="KS15" s="123"/>
      <c r="KT15" s="60"/>
      <c r="KU15" s="60"/>
      <c r="KV15" s="60"/>
      <c r="KW15" s="60"/>
      <c r="KX15" s="68"/>
      <c r="KY15" s="60"/>
      <c r="KZ15" s="60"/>
      <c r="LA15" s="60"/>
      <c r="LB15" s="60"/>
      <c r="LC15" s="68"/>
      <c r="LD15" s="68"/>
      <c r="LE15" s="68"/>
      <c r="LF15" s="68"/>
      <c r="LG15" s="68"/>
      <c r="LH15" s="68"/>
      <c r="LI15" s="68"/>
      <c r="LJ15" s="68"/>
      <c r="LK15" s="68"/>
      <c r="LL15" s="68"/>
      <c r="LM15" s="68"/>
      <c r="LN15" s="68"/>
      <c r="LO15" s="68"/>
      <c r="LP15" s="68"/>
      <c r="LQ15" s="68"/>
      <c r="LR15" s="68"/>
      <c r="LS15" s="68"/>
      <c r="LT15" s="68"/>
      <c r="LU15" s="68"/>
      <c r="LV15" s="68"/>
      <c r="LW15" s="68"/>
      <c r="LX15" s="60"/>
      <c r="LY15" s="60"/>
      <c r="LZ15" s="60"/>
      <c r="MA15" s="60"/>
      <c r="MB15" s="68"/>
      <c r="MC15" s="60"/>
      <c r="MD15" s="60"/>
      <c r="ME15" s="60"/>
      <c r="MF15" s="60"/>
      <c r="MG15" s="68"/>
      <c r="MH15" s="68"/>
      <c r="MI15" s="68"/>
      <c r="MJ15" s="68"/>
      <c r="MK15" s="68"/>
      <c r="ML15" s="68"/>
      <c r="MM15" s="68"/>
      <c r="MN15" s="68"/>
      <c r="MO15" s="68"/>
      <c r="MP15" s="68"/>
      <c r="MQ15" s="68"/>
      <c r="MR15" s="60"/>
      <c r="MS15" s="60"/>
      <c r="MT15" s="60"/>
      <c r="MU15" s="60"/>
      <c r="MV15" s="60"/>
      <c r="MW15" s="68"/>
      <c r="MX15" s="68"/>
      <c r="MY15" s="68"/>
      <c r="MZ15" s="68"/>
      <c r="NA15" s="68"/>
      <c r="NB15" s="68"/>
      <c r="NC15" s="68"/>
      <c r="ND15" s="68"/>
      <c r="NE15" s="68"/>
      <c r="NF15" s="68"/>
      <c r="NG15" s="68"/>
      <c r="NH15" s="68"/>
      <c r="NI15" s="68"/>
      <c r="NJ15" s="68"/>
      <c r="NK15" s="68"/>
      <c r="NL15" s="68"/>
      <c r="NM15" s="68"/>
      <c r="NN15" s="68"/>
      <c r="NO15" s="68"/>
      <c r="NP15" s="68"/>
      <c r="NQ15" s="68"/>
      <c r="NR15" s="60"/>
      <c r="NS15" s="60"/>
      <c r="NT15" s="631">
        <f>'Crops; pasture AMORTIZED'!HB21</f>
        <v>0.87</v>
      </c>
      <c r="NU15" s="631"/>
      <c r="NV15" s="41">
        <f>'Crops; pasture AMORTIZED'!HC21</f>
        <v>15.572999999999999</v>
      </c>
      <c r="NW15" s="41">
        <f>'Crops; pasture AMORTIZED'!HD21</f>
        <v>17.899999999999999</v>
      </c>
      <c r="NX15" s="41"/>
      <c r="NY15" s="41"/>
      <c r="NZ15" s="41"/>
      <c r="OA15" s="41">
        <f>'Crops; pasture AMORTIZED'!HE21</f>
        <v>10.005000000000001</v>
      </c>
      <c r="OB15" s="41">
        <f>'Crops; pasture AMORTIZED'!HF21</f>
        <v>11.5</v>
      </c>
      <c r="OC15" s="631">
        <f>'Crops; pasture AMORTIZED'!HG21</f>
        <v>6.9599999999999995E-2</v>
      </c>
      <c r="OD15" s="631">
        <f>'Crops; pasture AMORTIZED'!HH21</f>
        <v>0.08</v>
      </c>
      <c r="OE15" s="631">
        <f>'Crops; pasture AMORTIZED'!HI21</f>
        <v>1.3049999999999999E-2</v>
      </c>
      <c r="OF15" s="631">
        <f>'Crops; pasture AMORTIZED'!HJ21</f>
        <v>1.4999999999999999E-2</v>
      </c>
      <c r="RU15" s="97"/>
      <c r="RV15" s="97"/>
      <c r="RW15" s="97"/>
      <c r="RX15" s="97"/>
      <c r="RY15" s="97"/>
      <c r="RZ15" s="97"/>
    </row>
    <row r="16" spans="1:534" s="4" customFormat="1" x14ac:dyDescent="0.25">
      <c r="A16" s="4" t="s">
        <v>65</v>
      </c>
      <c r="B16" s="14"/>
      <c r="C16" s="14"/>
      <c r="D16" s="708"/>
      <c r="E16" s="102"/>
      <c r="F16" s="102"/>
      <c r="G16" s="102"/>
      <c r="H16" s="102"/>
      <c r="I16" s="102"/>
      <c r="J16" s="102"/>
      <c r="K16" s="102"/>
      <c r="L16" s="102"/>
      <c r="M16" s="102"/>
      <c r="N16" s="628">
        <f>'Crops; pasture AMORTIZED'!P22</f>
        <v>544.09431999999993</v>
      </c>
      <c r="O16" s="67">
        <f t="shared" si="1"/>
        <v>439.02263744160979</v>
      </c>
      <c r="P16" s="67">
        <f t="shared" si="1"/>
        <v>386.33992094861662</v>
      </c>
      <c r="Q16" s="627">
        <f t="shared" si="2"/>
        <v>0.710060566242663</v>
      </c>
      <c r="R16" s="713">
        <f>S16/$NT16</f>
        <v>423.29545454545456</v>
      </c>
      <c r="S16" s="630">
        <f>W54/C54</f>
        <v>372.5</v>
      </c>
      <c r="T16" s="713">
        <f>U16/$NT16</f>
        <v>15.727182896155231</v>
      </c>
      <c r="U16" s="630">
        <f>W112/C112</f>
        <v>13.839920948616603</v>
      </c>
      <c r="X16" s="60"/>
      <c r="AB16" s="126">
        <f>'Crops; pasture AMORTIZED'!L22</f>
        <v>3.607830348238152</v>
      </c>
      <c r="AC16" s="126">
        <f>'Crops; pasture AMORTIZED'!M22</f>
        <v>4.2720437457279559</v>
      </c>
      <c r="AD16" s="126">
        <f>'Crops; pasture AMORTIZED'!N22</f>
        <v>2.3527197440240917</v>
      </c>
      <c r="AE16" s="126"/>
      <c r="AF16" s="126"/>
      <c r="AG16" s="126"/>
      <c r="AH16" s="126"/>
      <c r="AI16" s="126"/>
      <c r="AJ16" s="126"/>
      <c r="AK16" s="60"/>
      <c r="AL16" s="60"/>
      <c r="AM16" s="60"/>
      <c r="AN16" s="60"/>
      <c r="AO16" s="126"/>
      <c r="AP16" s="126"/>
      <c r="AQ16" s="126"/>
      <c r="AR16" s="126"/>
      <c r="AS16" s="126"/>
      <c r="AT16" s="126"/>
      <c r="AU16" s="126"/>
      <c r="AV16" s="126"/>
      <c r="AW16" s="126"/>
      <c r="AX16" s="126"/>
      <c r="AY16" s="126"/>
      <c r="AZ16" s="126"/>
      <c r="BA16" s="126"/>
      <c r="BB16" s="126"/>
      <c r="BC16" s="126"/>
      <c r="BD16" s="126"/>
      <c r="BE16" s="126"/>
      <c r="BF16" s="126"/>
      <c r="BG16" s="126"/>
      <c r="BH16" s="126"/>
      <c r="BI16" s="126"/>
      <c r="BJ16" s="126"/>
      <c r="BK16" s="126"/>
      <c r="BL16" s="126"/>
      <c r="BM16" s="126"/>
      <c r="BN16" s="126"/>
      <c r="BO16" s="126"/>
      <c r="BP16" s="126">
        <f>'Crops; pasture AMORTIZED'!CZ22</f>
        <v>0.61599069680503005</v>
      </c>
      <c r="BQ16" s="126">
        <f>'Crops; pasture AMORTIZED'!DD22</f>
        <v>0.82864184303595489</v>
      </c>
      <c r="BR16" s="126">
        <f>'Crops; pasture AMORTIZED'!DH22</f>
        <v>0.21336759830677568</v>
      </c>
      <c r="BS16" s="126">
        <f>'Crops; pasture AMORTIZED'!DL22</f>
        <v>0.79110797353721041</v>
      </c>
      <c r="BT16" s="126">
        <f>'Crops; pasture AMORTIZED'!DP22</f>
        <v>1.0146979503775622</v>
      </c>
      <c r="BU16" s="126">
        <f>'Crops; pasture AMORTIZED'!DT22</f>
        <v>0.36860798785661603</v>
      </c>
      <c r="BV16" s="126"/>
      <c r="BW16" s="126"/>
      <c r="BX16" s="126"/>
      <c r="BY16" s="126"/>
      <c r="BZ16" s="126"/>
      <c r="CA16" s="126"/>
      <c r="CB16" s="126"/>
      <c r="CC16" s="126"/>
      <c r="CD16" s="126"/>
      <c r="CE16" s="126"/>
      <c r="CF16" s="126"/>
      <c r="CG16" s="126"/>
      <c r="CH16" s="126"/>
      <c r="CI16" s="126"/>
      <c r="CJ16" s="41"/>
      <c r="CL16" s="714"/>
      <c r="CM16" s="32"/>
      <c r="CN16" s="67"/>
      <c r="CO16" s="68"/>
      <c r="CP16" s="68"/>
      <c r="CQ16" s="68"/>
      <c r="CR16" s="97"/>
      <c r="CS16" s="97"/>
      <c r="CT16" s="97"/>
      <c r="CU16" s="97"/>
      <c r="CV16" s="97"/>
      <c r="CW16" s="68"/>
      <c r="CX16" s="68"/>
      <c r="CY16" s="68"/>
      <c r="CZ16" s="68"/>
      <c r="DA16" s="68"/>
      <c r="DB16" s="68"/>
      <c r="DC16" s="68"/>
      <c r="DD16" s="68"/>
      <c r="DE16" s="68"/>
      <c r="DF16" s="68"/>
      <c r="DG16" s="68"/>
      <c r="DH16" s="68"/>
      <c r="DI16" s="68"/>
      <c r="DJ16" s="68"/>
      <c r="DK16" s="68"/>
      <c r="DL16" s="68"/>
      <c r="DM16" s="68"/>
      <c r="DN16" s="68"/>
      <c r="DO16" s="68"/>
      <c r="DP16" s="68"/>
      <c r="DQ16" s="68"/>
      <c r="DR16" s="68"/>
      <c r="DS16" s="68"/>
      <c r="DT16" s="68"/>
      <c r="DU16" s="68"/>
      <c r="DV16" s="68"/>
      <c r="DW16" s="68"/>
      <c r="DX16" s="68"/>
      <c r="DY16" s="68"/>
      <c r="DZ16" s="41"/>
      <c r="EE16" s="68"/>
      <c r="EF16" s="68"/>
      <c r="EG16" s="68"/>
      <c r="EM16" s="68"/>
      <c r="EN16" s="68"/>
      <c r="EO16" s="68"/>
      <c r="EP16" s="68"/>
      <c r="EQ16" s="68"/>
      <c r="ER16" s="68"/>
      <c r="ES16" s="68"/>
      <c r="ET16" s="68"/>
      <c r="EU16" s="68"/>
      <c r="EV16" s="68"/>
      <c r="EW16" s="68"/>
      <c r="EX16" s="68"/>
      <c r="EY16" s="68"/>
      <c r="EZ16" s="68"/>
      <c r="FA16" s="68"/>
      <c r="FB16" s="126">
        <f>'Crops; pasture AMORTIZED'!DX22</f>
        <v>1.5754180267862383</v>
      </c>
      <c r="FC16" s="126">
        <f>'Crops; pasture AMORTIZED'!EA22</f>
        <v>2.0206766917293235</v>
      </c>
      <c r="FD16" s="126">
        <f>'Crops; pasture AMORTIZED'!ED22</f>
        <v>0.73404856013551667</v>
      </c>
      <c r="FE16" s="126"/>
      <c r="FF16" s="126"/>
      <c r="FG16" s="126"/>
      <c r="FH16" s="126"/>
      <c r="FI16" s="126"/>
      <c r="FJ16" s="126"/>
      <c r="FK16" s="126"/>
      <c r="FL16" s="126"/>
      <c r="FM16" s="126"/>
      <c r="FN16" s="126"/>
      <c r="FO16" s="126"/>
      <c r="FP16" s="126"/>
      <c r="FQ16" s="126"/>
      <c r="FR16" s="126"/>
      <c r="FS16" s="126"/>
      <c r="FV16" s="60"/>
      <c r="FY16" s="68"/>
      <c r="FZ16" s="60"/>
      <c r="GF16" s="68"/>
      <c r="GG16" s="126"/>
      <c r="GH16" s="126"/>
      <c r="GI16" s="126"/>
      <c r="GJ16" s="126"/>
      <c r="GK16" s="126"/>
      <c r="GL16" s="126"/>
      <c r="GM16" s="126"/>
      <c r="GN16" s="126"/>
      <c r="GO16" s="126"/>
      <c r="GP16" s="126"/>
      <c r="GQ16" s="126"/>
      <c r="GR16" s="126"/>
      <c r="GS16" s="126"/>
      <c r="GT16" s="126"/>
      <c r="GU16" s="126">
        <f>'Crops; pasture AMORTIZED'!EK22</f>
        <v>0.12730423645613503</v>
      </c>
      <c r="GV16" s="126">
        <f>'Crops; pasture AMORTIZED'!EP22</f>
        <v>0.19189135097402596</v>
      </c>
      <c r="GW16" s="126">
        <f>'Crops; pasture AMORTIZED'!EW22</f>
        <v>5.2591638434029749E-3</v>
      </c>
      <c r="GX16" s="126"/>
      <c r="GY16" s="123"/>
      <c r="GZ16" s="123"/>
      <c r="HA16" s="123"/>
      <c r="HB16" s="123"/>
      <c r="HC16" s="123"/>
      <c r="HD16" s="123"/>
      <c r="HE16" s="123"/>
      <c r="HF16" s="123"/>
      <c r="HG16" s="123"/>
      <c r="HH16" s="123"/>
      <c r="HI16" s="123"/>
      <c r="HJ16" s="123"/>
      <c r="HK16" s="123"/>
      <c r="HL16" s="123"/>
      <c r="HM16" s="123"/>
      <c r="HN16" s="123"/>
      <c r="HO16" s="123"/>
      <c r="HP16" s="60"/>
      <c r="HQ16" s="123"/>
      <c r="HR16" s="60"/>
      <c r="HS16" s="68"/>
      <c r="HT16" s="68"/>
      <c r="HU16" s="68"/>
      <c r="HV16" s="68"/>
      <c r="HW16" s="68"/>
      <c r="HX16" s="68"/>
      <c r="HY16" s="68"/>
      <c r="HZ16" s="68"/>
      <c r="IA16" s="68"/>
      <c r="IB16" s="68"/>
      <c r="IC16" s="68"/>
      <c r="ID16" s="68"/>
      <c r="IE16" s="68"/>
      <c r="IF16" s="68"/>
      <c r="IG16" s="68"/>
      <c r="IH16" s="68"/>
      <c r="II16" s="68"/>
      <c r="IJ16" s="68"/>
      <c r="IK16" s="68"/>
      <c r="IL16" s="68"/>
      <c r="IM16" s="68"/>
      <c r="IN16" s="68"/>
      <c r="IO16" s="430"/>
      <c r="IP16" s="430"/>
      <c r="IQ16" s="430"/>
      <c r="IR16" s="430"/>
      <c r="IS16" s="430"/>
      <c r="IT16" s="430"/>
      <c r="IU16" s="430"/>
      <c r="IV16" s="41"/>
      <c r="IW16" s="60"/>
      <c r="IX16" s="60"/>
      <c r="IY16" s="60"/>
      <c r="IZ16" s="60"/>
      <c r="JA16" s="60"/>
      <c r="JB16" s="60"/>
      <c r="JC16" s="60"/>
      <c r="JD16" s="60"/>
      <c r="JE16" s="60"/>
      <c r="JF16" s="60"/>
      <c r="JG16" s="60"/>
      <c r="JH16" s="60"/>
      <c r="JI16" s="60"/>
      <c r="JJ16" s="60"/>
      <c r="JK16" s="60"/>
      <c r="JL16" s="60"/>
      <c r="JM16" s="123"/>
      <c r="JN16" s="123"/>
      <c r="JO16" s="123"/>
      <c r="JP16" s="123"/>
      <c r="JQ16" s="60"/>
      <c r="JR16" s="60"/>
      <c r="JS16" s="60"/>
      <c r="JT16" s="60"/>
      <c r="JU16" s="60"/>
      <c r="JV16" s="60"/>
      <c r="JW16" s="60"/>
      <c r="JX16" s="60"/>
      <c r="JY16" s="60"/>
      <c r="JZ16" s="60"/>
      <c r="KA16" s="60"/>
      <c r="KB16" s="60"/>
      <c r="KC16" s="60"/>
      <c r="KD16" s="123"/>
      <c r="KE16" s="123"/>
      <c r="KF16" s="123"/>
      <c r="KG16" s="123"/>
      <c r="KH16" s="123"/>
      <c r="KI16" s="123"/>
      <c r="KJ16" s="123"/>
      <c r="KK16" s="123"/>
      <c r="KL16" s="123"/>
      <c r="KM16" s="123"/>
      <c r="KN16" s="123"/>
      <c r="KO16" s="123"/>
      <c r="KP16" s="123"/>
      <c r="KQ16" s="123"/>
      <c r="KR16" s="123"/>
      <c r="KS16" s="123"/>
      <c r="KT16" s="60"/>
      <c r="KU16" s="60"/>
      <c r="KV16" s="60"/>
      <c r="KW16" s="60"/>
      <c r="KX16" s="68"/>
      <c r="KY16" s="60"/>
      <c r="KZ16" s="60"/>
      <c r="LA16" s="60"/>
      <c r="LB16" s="60"/>
      <c r="LC16" s="68"/>
      <c r="LD16" s="68"/>
      <c r="LE16" s="68"/>
      <c r="LF16" s="68"/>
      <c r="LG16" s="68"/>
      <c r="LH16" s="68"/>
      <c r="LI16" s="68"/>
      <c r="LJ16" s="68"/>
      <c r="LK16" s="68"/>
      <c r="LL16" s="68"/>
      <c r="LM16" s="68"/>
      <c r="LN16" s="68"/>
      <c r="LO16" s="68"/>
      <c r="LP16" s="68"/>
      <c r="LQ16" s="68"/>
      <c r="LR16" s="68"/>
      <c r="LS16" s="68"/>
      <c r="LT16" s="68"/>
      <c r="LU16" s="68"/>
      <c r="LV16" s="68"/>
      <c r="LW16" s="68"/>
      <c r="LX16" s="60"/>
      <c r="LY16" s="60"/>
      <c r="LZ16" s="60"/>
      <c r="MA16" s="60"/>
      <c r="MB16" s="68"/>
      <c r="MC16" s="60"/>
      <c r="MD16" s="60"/>
      <c r="ME16" s="60"/>
      <c r="MF16" s="60"/>
      <c r="MG16" s="68"/>
      <c r="MH16" s="68"/>
      <c r="MI16" s="68"/>
      <c r="MJ16" s="68"/>
      <c r="MK16" s="68"/>
      <c r="ML16" s="68"/>
      <c r="MM16" s="68"/>
      <c r="MN16" s="68"/>
      <c r="MO16" s="68"/>
      <c r="MP16" s="68"/>
      <c r="MQ16" s="68"/>
      <c r="MR16" s="60"/>
      <c r="MS16" s="60"/>
      <c r="MT16" s="60"/>
      <c r="MU16" s="60"/>
      <c r="MV16" s="60"/>
      <c r="MW16" s="68"/>
      <c r="MX16" s="68"/>
      <c r="MY16" s="68"/>
      <c r="MZ16" s="68"/>
      <c r="NA16" s="68"/>
      <c r="NB16" s="68"/>
      <c r="NC16" s="68"/>
      <c r="ND16" s="68"/>
      <c r="NE16" s="68"/>
      <c r="NF16" s="68"/>
      <c r="NG16" s="68"/>
      <c r="NH16" s="68"/>
      <c r="NI16" s="68"/>
      <c r="NJ16" s="68"/>
      <c r="NK16" s="68"/>
      <c r="NL16" s="68"/>
      <c r="NM16" s="68"/>
      <c r="NN16" s="68"/>
      <c r="NO16" s="68"/>
      <c r="NP16" s="68"/>
      <c r="NQ16" s="68"/>
      <c r="NR16" s="60"/>
      <c r="NS16" s="60"/>
      <c r="NT16" s="631">
        <f>'Crops; pasture AMORTIZED'!HB22</f>
        <v>0.88</v>
      </c>
      <c r="NU16" s="631"/>
      <c r="NV16" s="41">
        <f>'Crops; pasture AMORTIZED'!HC22</f>
        <v>16.192</v>
      </c>
      <c r="NW16" s="41">
        <f>'Crops; pasture AMORTIZED'!HD22</f>
        <v>18.399999999999999</v>
      </c>
      <c r="NX16" s="41"/>
      <c r="NY16" s="41"/>
      <c r="NZ16" s="41"/>
      <c r="OA16" s="41">
        <f>'Crops; pasture AMORTIZED'!HE22</f>
        <v>12.32</v>
      </c>
      <c r="OB16" s="41">
        <f>'Crops; pasture AMORTIZED'!HF22</f>
        <v>14</v>
      </c>
      <c r="OC16" s="631">
        <f>'Crops; pasture AMORTIZED'!HG22</f>
        <v>0.1144</v>
      </c>
      <c r="OD16" s="631">
        <f>'Crops; pasture AMORTIZED'!HH22</f>
        <v>0.13</v>
      </c>
      <c r="OE16" s="631">
        <f>'Crops; pasture AMORTIZED'!HI22</f>
        <v>2.2000000000000002E-2</v>
      </c>
      <c r="OF16" s="631">
        <f>'Crops; pasture AMORTIZED'!HJ22</f>
        <v>2.5000000000000001E-2</v>
      </c>
      <c r="RU16" s="97"/>
      <c r="RV16" s="97"/>
      <c r="RW16" s="97"/>
      <c r="RX16" s="97"/>
      <c r="RY16" s="97"/>
      <c r="RZ16" s="97"/>
    </row>
    <row r="17" spans="1:494" s="4" customFormat="1" x14ac:dyDescent="0.25">
      <c r="A17" s="4" t="s">
        <v>67</v>
      </c>
      <c r="B17" s="14"/>
      <c r="C17" s="14"/>
      <c r="D17" s="708"/>
      <c r="E17" s="102"/>
      <c r="F17" s="102"/>
      <c r="G17" s="102"/>
      <c r="H17" s="102"/>
      <c r="I17" s="102"/>
      <c r="J17" s="102"/>
      <c r="K17" s="102"/>
      <c r="L17" s="102"/>
      <c r="M17" s="102"/>
      <c r="N17" s="628">
        <f>'Crops; pasture AMORTIZED'!P23</f>
        <v>126.17439999999999</v>
      </c>
      <c r="O17" s="67">
        <f t="shared" si="1"/>
        <v>81.868131868131869</v>
      </c>
      <c r="P17" s="67">
        <f t="shared" si="1"/>
        <v>72.043956043956044</v>
      </c>
      <c r="Q17" s="627">
        <f t="shared" si="2"/>
        <v>0.57098711025339566</v>
      </c>
      <c r="R17" s="14"/>
      <c r="S17" s="630"/>
      <c r="T17" s="713">
        <f>U17/$NT17</f>
        <v>81.868131868131869</v>
      </c>
      <c r="U17" s="630">
        <f>W126/C126</f>
        <v>72.043956043956044</v>
      </c>
      <c r="X17" s="60"/>
      <c r="AB17" s="126">
        <f>'Crops; pasture AMORTIZED'!L23</f>
        <v>4.4065991199482619</v>
      </c>
      <c r="AC17" s="126">
        <f>'Crops; pasture AMORTIZED'!M23</f>
        <v>4.5093795093795093</v>
      </c>
      <c r="AD17" s="126">
        <f>'Crops; pasture AMORTIZED'!N23</f>
        <v>3.4645232815964526</v>
      </c>
      <c r="AE17" s="126"/>
      <c r="AF17" s="126"/>
      <c r="AG17" s="126"/>
      <c r="AH17" s="126"/>
      <c r="AI17" s="126"/>
      <c r="AJ17" s="126"/>
      <c r="AK17" s="60"/>
      <c r="AL17" s="60"/>
      <c r="AM17" s="60"/>
      <c r="AN17" s="60"/>
      <c r="AO17" s="126"/>
      <c r="AP17" s="126"/>
      <c r="AQ17" s="126"/>
      <c r="AR17" s="126"/>
      <c r="AS17" s="126"/>
      <c r="AT17" s="126"/>
      <c r="AU17" s="126"/>
      <c r="AV17" s="126"/>
      <c r="AW17" s="126"/>
      <c r="AX17" s="126"/>
      <c r="AY17" s="126"/>
      <c r="AZ17" s="126"/>
      <c r="BA17" s="126"/>
      <c r="BB17" s="126"/>
      <c r="BC17" s="126"/>
      <c r="BD17" s="126"/>
      <c r="BE17" s="126"/>
      <c r="BF17" s="126"/>
      <c r="BG17" s="126"/>
      <c r="BH17" s="126"/>
      <c r="BI17" s="126"/>
      <c r="BJ17" s="126"/>
      <c r="BK17" s="126"/>
      <c r="BL17" s="126"/>
      <c r="BM17" s="126"/>
      <c r="BN17" s="126"/>
      <c r="BO17" s="126"/>
      <c r="BP17" s="126">
        <f>'Crops; pasture AMORTIZED'!CZ23</f>
        <v>0.81565868021347876</v>
      </c>
      <c r="BQ17" s="126">
        <f>'Crops; pasture AMORTIZED'!DD23</f>
        <v>0.86953050209054883</v>
      </c>
      <c r="BR17" s="126">
        <f>'Crops; pasture AMORTIZED'!DH23</f>
        <v>0.31998292483238128</v>
      </c>
      <c r="BS17" s="126">
        <f>'Crops; pasture AMORTIZED'!DL23</f>
        <v>1.0243743269106484</v>
      </c>
      <c r="BT17" s="126">
        <f>'Crops; pasture AMORTIZED'!DP23</f>
        <v>1.077863314918331</v>
      </c>
      <c r="BU17" s="126">
        <f>'Crops; pasture AMORTIZED'!DT23</f>
        <v>0.53409905651351319</v>
      </c>
      <c r="BV17" s="126"/>
      <c r="BW17" s="126"/>
      <c r="BX17" s="126"/>
      <c r="BY17" s="126"/>
      <c r="BZ17" s="126"/>
      <c r="CA17" s="126"/>
      <c r="CB17" s="126"/>
      <c r="CC17" s="126"/>
      <c r="CD17" s="126"/>
      <c r="CE17" s="126"/>
      <c r="CF17" s="126"/>
      <c r="CG17" s="126"/>
      <c r="CH17" s="126"/>
      <c r="CI17" s="126"/>
      <c r="CJ17" s="41"/>
      <c r="CL17" s="714"/>
      <c r="CM17" s="32"/>
      <c r="CN17" s="67"/>
      <c r="CO17" s="68"/>
      <c r="CP17" s="68"/>
      <c r="CQ17" s="68"/>
      <c r="CR17" s="97"/>
      <c r="CS17" s="97"/>
      <c r="CT17" s="97"/>
      <c r="CU17" s="97"/>
      <c r="CV17" s="97"/>
      <c r="CW17" s="68"/>
      <c r="CX17" s="68"/>
      <c r="CY17" s="68"/>
      <c r="CZ17" s="68"/>
      <c r="DA17" s="68"/>
      <c r="DB17" s="68"/>
      <c r="DC17" s="68"/>
      <c r="DD17" s="68"/>
      <c r="DE17" s="68"/>
      <c r="DF17" s="68"/>
      <c r="DG17" s="68"/>
      <c r="DH17" s="68"/>
      <c r="DI17" s="68"/>
      <c r="DJ17" s="68"/>
      <c r="DK17" s="68"/>
      <c r="DL17" s="68"/>
      <c r="DM17" s="68"/>
      <c r="DN17" s="68"/>
      <c r="DO17" s="68"/>
      <c r="DP17" s="68"/>
      <c r="DQ17" s="68"/>
      <c r="DR17" s="68"/>
      <c r="DS17" s="68"/>
      <c r="DT17" s="68"/>
      <c r="DU17" s="68"/>
      <c r="DV17" s="68"/>
      <c r="DW17" s="68"/>
      <c r="DX17" s="68"/>
      <c r="DY17" s="68"/>
      <c r="DZ17" s="41"/>
      <c r="EE17" s="68"/>
      <c r="EF17" s="68"/>
      <c r="EG17" s="68"/>
      <c r="EM17" s="68"/>
      <c r="EN17" s="68"/>
      <c r="EO17" s="68"/>
      <c r="EP17" s="68"/>
      <c r="EQ17" s="68"/>
      <c r="ER17" s="68"/>
      <c r="ES17" s="68"/>
      <c r="ET17" s="68"/>
      <c r="EU17" s="68"/>
      <c r="EV17" s="68"/>
      <c r="EW17" s="68"/>
      <c r="EX17" s="68"/>
      <c r="EY17" s="68"/>
      <c r="EZ17" s="68"/>
      <c r="FA17" s="68"/>
      <c r="FB17" s="126">
        <f>'Crops; pasture AMORTIZED'!DX23</f>
        <v>2.0399462965546102</v>
      </c>
      <c r="FC17" s="126">
        <f>'Crops; pasture AMORTIZED'!EA23</f>
        <v>2.1464646464646462</v>
      </c>
      <c r="FD17" s="126">
        <f>'Crops; pasture AMORTIZED'!ED23</f>
        <v>1.063608647450111</v>
      </c>
      <c r="FE17" s="126"/>
      <c r="FF17" s="126"/>
      <c r="FG17" s="126"/>
      <c r="FH17" s="126"/>
      <c r="FI17" s="126"/>
      <c r="FJ17" s="126"/>
      <c r="FK17" s="126"/>
      <c r="FL17" s="126"/>
      <c r="FM17" s="126"/>
      <c r="FN17" s="126"/>
      <c r="FO17" s="126"/>
      <c r="FP17" s="126"/>
      <c r="FQ17" s="126"/>
      <c r="FR17" s="126"/>
      <c r="FS17" s="126"/>
      <c r="FV17" s="60"/>
      <c r="FY17" s="68"/>
      <c r="FZ17" s="60"/>
      <c r="GF17" s="68"/>
      <c r="GG17" s="126"/>
      <c r="GH17" s="126"/>
      <c r="GI17" s="126"/>
      <c r="GJ17" s="126"/>
      <c r="GK17" s="126"/>
      <c r="GL17" s="126"/>
      <c r="GM17" s="126"/>
      <c r="GN17" s="126"/>
      <c r="GO17" s="126"/>
      <c r="GP17" s="126"/>
      <c r="GQ17" s="126"/>
      <c r="GR17" s="126"/>
      <c r="GS17" s="126"/>
      <c r="GT17" s="126"/>
      <c r="GU17" s="126">
        <f>'Crops; pasture AMORTIZED'!EK23</f>
        <v>0.23970175407803801</v>
      </c>
      <c r="GV17" s="126">
        <f>'Crops; pasture AMORTIZED'!EP23</f>
        <v>0.26585319393939394</v>
      </c>
      <c r="GW17" s="126">
        <f>'Crops; pasture AMORTIZED'!EW23</f>
        <v>0</v>
      </c>
      <c r="GX17" s="126"/>
      <c r="GY17" s="123"/>
      <c r="GZ17" s="123"/>
      <c r="HA17" s="123"/>
      <c r="HB17" s="123"/>
      <c r="HC17" s="123"/>
      <c r="HD17" s="123"/>
      <c r="HE17" s="123"/>
      <c r="HF17" s="123"/>
      <c r="HG17" s="123"/>
      <c r="HH17" s="123"/>
      <c r="HI17" s="123"/>
      <c r="HJ17" s="123"/>
      <c r="HK17" s="123"/>
      <c r="HL17" s="123"/>
      <c r="HM17" s="123"/>
      <c r="HN17" s="123"/>
      <c r="HO17" s="123"/>
      <c r="HP17" s="60"/>
      <c r="HQ17" s="123"/>
      <c r="HR17" s="60"/>
      <c r="HS17" s="68"/>
      <c r="HT17" s="68"/>
      <c r="HU17" s="68"/>
      <c r="HV17" s="68"/>
      <c r="HW17" s="68"/>
      <c r="HX17" s="68"/>
      <c r="HY17" s="68"/>
      <c r="HZ17" s="68"/>
      <c r="IA17" s="68"/>
      <c r="IB17" s="68"/>
      <c r="IC17" s="68"/>
      <c r="ID17" s="68"/>
      <c r="IE17" s="68"/>
      <c r="IF17" s="68"/>
      <c r="IG17" s="68"/>
      <c r="IH17" s="68"/>
      <c r="II17" s="68"/>
      <c r="IJ17" s="68"/>
      <c r="IK17" s="68"/>
      <c r="IL17" s="68"/>
      <c r="IM17" s="68"/>
      <c r="IN17" s="68"/>
      <c r="IO17" s="97"/>
      <c r="IP17" s="97"/>
      <c r="IQ17" s="97"/>
      <c r="IR17" s="97"/>
      <c r="IS17" s="97"/>
      <c r="IT17" s="97"/>
      <c r="IU17" s="97"/>
      <c r="IV17" s="41"/>
      <c r="IW17" s="60"/>
      <c r="IX17" s="60"/>
      <c r="IY17" s="60"/>
      <c r="IZ17" s="60"/>
      <c r="JA17" s="60"/>
      <c r="JB17" s="60"/>
      <c r="JC17" s="60"/>
      <c r="JD17" s="60"/>
      <c r="JE17" s="60"/>
      <c r="JF17" s="60"/>
      <c r="JG17" s="60"/>
      <c r="JH17" s="60"/>
      <c r="JI17" s="60"/>
      <c r="JJ17" s="60"/>
      <c r="JK17" s="60"/>
      <c r="JL17" s="60"/>
      <c r="JM17" s="123"/>
      <c r="JN17" s="123"/>
      <c r="JO17" s="123"/>
      <c r="JP17" s="123"/>
      <c r="JQ17" s="60"/>
      <c r="JR17" s="60"/>
      <c r="JS17" s="60"/>
      <c r="JT17" s="60"/>
      <c r="JU17" s="60"/>
      <c r="JV17" s="60"/>
      <c r="JW17" s="60"/>
      <c r="JX17" s="60"/>
      <c r="JY17" s="60"/>
      <c r="JZ17" s="60"/>
      <c r="KA17" s="60"/>
      <c r="KB17" s="60"/>
      <c r="KC17" s="60"/>
      <c r="KD17" s="123"/>
      <c r="KE17" s="123"/>
      <c r="KF17" s="123"/>
      <c r="KG17" s="123"/>
      <c r="KH17" s="123"/>
      <c r="KI17" s="123"/>
      <c r="KJ17" s="123"/>
      <c r="KK17" s="123"/>
      <c r="KL17" s="123"/>
      <c r="KM17" s="123"/>
      <c r="KN17" s="123"/>
      <c r="KO17" s="123"/>
      <c r="KP17" s="123"/>
      <c r="KQ17" s="123"/>
      <c r="KR17" s="123"/>
      <c r="KS17" s="123"/>
      <c r="KT17" s="60"/>
      <c r="KU17" s="60"/>
      <c r="KV17" s="60"/>
      <c r="KW17" s="60"/>
      <c r="KX17" s="68"/>
      <c r="KY17" s="60"/>
      <c r="KZ17" s="60"/>
      <c r="LA17" s="60"/>
      <c r="LB17" s="60"/>
      <c r="LC17" s="68"/>
      <c r="LD17" s="68"/>
      <c r="LE17" s="68"/>
      <c r="LF17" s="68"/>
      <c r="LG17" s="68"/>
      <c r="LH17" s="68"/>
      <c r="LI17" s="68"/>
      <c r="LJ17" s="68"/>
      <c r="LK17" s="68"/>
      <c r="LL17" s="68"/>
      <c r="LM17" s="68"/>
      <c r="LN17" s="68"/>
      <c r="LO17" s="68"/>
      <c r="LP17" s="68"/>
      <c r="LQ17" s="68"/>
      <c r="LR17" s="68"/>
      <c r="LS17" s="68"/>
      <c r="LT17" s="68"/>
      <c r="LU17" s="68"/>
      <c r="LV17" s="68"/>
      <c r="LW17" s="68"/>
      <c r="LX17" s="60"/>
      <c r="LY17" s="60"/>
      <c r="LZ17" s="60"/>
      <c r="MA17" s="60"/>
      <c r="MB17" s="68"/>
      <c r="MC17" s="60"/>
      <c r="MD17" s="60"/>
      <c r="ME17" s="60"/>
      <c r="MF17" s="60"/>
      <c r="MG17" s="68"/>
      <c r="MH17" s="68"/>
      <c r="MI17" s="68"/>
      <c r="MJ17" s="68"/>
      <c r="MK17" s="68"/>
      <c r="ML17" s="68"/>
      <c r="MM17" s="68"/>
      <c r="MN17" s="68"/>
      <c r="MO17" s="68"/>
      <c r="MP17" s="68"/>
      <c r="MQ17" s="68"/>
      <c r="MR17" s="60"/>
      <c r="MS17" s="60"/>
      <c r="MT17" s="60"/>
      <c r="MU17" s="60"/>
      <c r="MV17" s="60"/>
      <c r="MW17" s="68"/>
      <c r="MX17" s="68"/>
      <c r="MY17" s="68"/>
      <c r="MZ17" s="68"/>
      <c r="NA17" s="68"/>
      <c r="NB17" s="68"/>
      <c r="NC17" s="68"/>
      <c r="ND17" s="68"/>
      <c r="NE17" s="68"/>
      <c r="NF17" s="68"/>
      <c r="NG17" s="68"/>
      <c r="NH17" s="68"/>
      <c r="NI17" s="68"/>
      <c r="NJ17" s="68"/>
      <c r="NK17" s="68"/>
      <c r="NL17" s="68"/>
      <c r="NM17" s="68"/>
      <c r="NN17" s="68"/>
      <c r="NO17" s="68"/>
      <c r="NP17" s="68"/>
      <c r="NQ17" s="68"/>
      <c r="NR17" s="60"/>
      <c r="NS17" s="60"/>
      <c r="NT17" s="631">
        <f>'Crops; pasture AMORTIZED'!HB23</f>
        <v>0.88</v>
      </c>
      <c r="NU17" s="631"/>
      <c r="NV17" s="41">
        <f>'Crops; pasture AMORTIZED'!HC23</f>
        <v>16.015999999999998</v>
      </c>
      <c r="NW17" s="41">
        <f>'Crops; pasture AMORTIZED'!HD23</f>
        <v>18.2</v>
      </c>
      <c r="NX17" s="41"/>
      <c r="NY17" s="41"/>
      <c r="NZ17" s="41"/>
      <c r="OA17" s="41">
        <f>'Crops; pasture AMORTIZED'!HE23</f>
        <v>12.32</v>
      </c>
      <c r="OB17" s="41">
        <f>'Crops; pasture AMORTIZED'!HF23</f>
        <v>14</v>
      </c>
      <c r="OC17" s="631">
        <f>'Crops; pasture AMORTIZED'!HG23</f>
        <v>0.1056</v>
      </c>
      <c r="OD17" s="631">
        <f>'Crops; pasture AMORTIZED'!HH23</f>
        <v>0.12</v>
      </c>
      <c r="OE17" s="631">
        <f>'Crops; pasture AMORTIZED'!HI23</f>
        <v>1.7600000000000001E-2</v>
      </c>
      <c r="OF17" s="631">
        <f>'Crops; pasture AMORTIZED'!HJ23</f>
        <v>0.02</v>
      </c>
      <c r="RU17" s="97"/>
      <c r="RV17" s="97"/>
      <c r="RW17" s="97"/>
      <c r="RX17" s="97"/>
      <c r="RY17" s="97"/>
      <c r="RZ17" s="97"/>
    </row>
    <row r="18" spans="1:494" s="4" customFormat="1" x14ac:dyDescent="0.25">
      <c r="B18" s="14"/>
      <c r="C18" s="14"/>
      <c r="D18" s="708"/>
      <c r="E18" s="102"/>
      <c r="F18" s="102"/>
      <c r="G18" s="102"/>
      <c r="H18" s="102"/>
      <c r="I18" s="102"/>
      <c r="J18" s="102"/>
      <c r="K18" s="102"/>
      <c r="L18" s="102"/>
      <c r="M18" s="102"/>
      <c r="N18" s="14"/>
      <c r="O18" s="14"/>
      <c r="P18" s="14"/>
      <c r="Q18" s="14"/>
      <c r="R18" s="14"/>
      <c r="S18" s="14"/>
      <c r="T18" s="14"/>
      <c r="U18" s="14"/>
      <c r="X18" s="60"/>
      <c r="AB18" s="126"/>
      <c r="AC18" s="126"/>
      <c r="AD18" s="126"/>
      <c r="AE18" s="126"/>
      <c r="AF18" s="126"/>
      <c r="AG18" s="126"/>
      <c r="AH18" s="126"/>
      <c r="AI18" s="126"/>
      <c r="AJ18" s="126"/>
      <c r="AK18" s="60"/>
      <c r="AL18" s="60"/>
      <c r="AM18" s="60"/>
      <c r="AN18" s="60"/>
      <c r="AO18" s="126"/>
      <c r="AP18" s="126"/>
      <c r="AQ18" s="126"/>
      <c r="AR18" s="126"/>
      <c r="AS18" s="126"/>
      <c r="AT18" s="126"/>
      <c r="AU18" s="126"/>
      <c r="AV18" s="126"/>
      <c r="AW18" s="126"/>
      <c r="AX18" s="126"/>
      <c r="AY18" s="126"/>
      <c r="AZ18" s="126"/>
      <c r="BA18" s="126"/>
      <c r="BB18" s="126"/>
      <c r="BC18" s="126"/>
      <c r="BD18" s="126"/>
      <c r="BE18" s="126"/>
      <c r="BF18" s="126"/>
      <c r="BG18" s="126"/>
      <c r="BH18" s="126"/>
      <c r="BI18" s="126"/>
      <c r="BJ18" s="126"/>
      <c r="BK18" s="126"/>
      <c r="BL18" s="126"/>
      <c r="BM18" s="126"/>
      <c r="BN18" s="126"/>
      <c r="BO18" s="126"/>
      <c r="BP18" s="60"/>
      <c r="BQ18" s="60"/>
      <c r="BR18" s="60"/>
      <c r="BS18" s="60"/>
      <c r="BT18" s="60"/>
      <c r="BU18" s="60"/>
      <c r="BV18" s="60"/>
      <c r="BW18" s="60"/>
      <c r="BX18" s="60"/>
      <c r="BY18" s="60"/>
      <c r="BZ18" s="60"/>
      <c r="CA18" s="60"/>
      <c r="CB18" s="60"/>
      <c r="CC18" s="60"/>
      <c r="CD18" s="60"/>
      <c r="CE18" s="60"/>
      <c r="CF18" s="60"/>
      <c r="CG18" s="60"/>
      <c r="CH18" s="60"/>
      <c r="CI18" s="60"/>
      <c r="CJ18" s="41"/>
      <c r="CL18" s="67"/>
      <c r="CO18" s="60"/>
      <c r="CP18" s="60"/>
      <c r="CQ18" s="60"/>
      <c r="CR18" s="97"/>
      <c r="CS18" s="97"/>
      <c r="CT18" s="97"/>
      <c r="CU18" s="97"/>
      <c r="CV18" s="97"/>
      <c r="CW18" s="60"/>
      <c r="CX18" s="60"/>
      <c r="CY18" s="60"/>
      <c r="CZ18" s="60"/>
      <c r="DA18" s="60"/>
      <c r="DB18" s="60"/>
      <c r="DC18" s="60"/>
      <c r="DD18" s="60"/>
      <c r="DE18" s="60"/>
      <c r="DF18" s="60"/>
      <c r="DG18" s="60"/>
      <c r="DH18" s="60"/>
      <c r="DI18" s="60"/>
      <c r="DJ18" s="60"/>
      <c r="DK18" s="60"/>
      <c r="DL18" s="60"/>
      <c r="DM18" s="60"/>
      <c r="DN18" s="60"/>
      <c r="DO18" s="60"/>
      <c r="DP18" s="60"/>
      <c r="DQ18" s="60"/>
      <c r="DR18" s="60"/>
      <c r="DS18" s="60"/>
      <c r="DT18" s="60"/>
      <c r="DU18" s="60"/>
      <c r="DV18" s="60"/>
      <c r="DW18" s="60"/>
      <c r="DX18" s="60"/>
      <c r="DY18" s="60"/>
      <c r="DZ18" s="41"/>
      <c r="EE18" s="60"/>
      <c r="EF18" s="60"/>
      <c r="EG18" s="60"/>
      <c r="EM18" s="60"/>
      <c r="EN18" s="60"/>
      <c r="EO18" s="60"/>
      <c r="EP18" s="60"/>
      <c r="EQ18" s="60"/>
      <c r="ER18" s="60"/>
      <c r="ES18" s="60"/>
      <c r="ET18" s="60"/>
      <c r="EU18" s="60"/>
      <c r="EV18" s="60"/>
      <c r="EW18" s="60"/>
      <c r="EX18" s="60"/>
      <c r="EY18" s="60"/>
      <c r="EZ18" s="60"/>
      <c r="FA18" s="60"/>
      <c r="FB18" s="60"/>
      <c r="FC18" s="60"/>
      <c r="FD18" s="60"/>
      <c r="FE18" s="60"/>
      <c r="FF18" s="60"/>
      <c r="FG18" s="60"/>
      <c r="FH18" s="60"/>
      <c r="FI18" s="60"/>
      <c r="FJ18" s="60"/>
      <c r="FK18" s="60"/>
      <c r="FL18" s="60"/>
      <c r="FM18" s="60"/>
      <c r="FN18" s="60"/>
      <c r="FO18" s="60"/>
      <c r="FP18" s="60"/>
      <c r="FQ18" s="60"/>
      <c r="FR18" s="60"/>
      <c r="FS18" s="60"/>
      <c r="FV18" s="60"/>
      <c r="FY18" s="60"/>
      <c r="FZ18" s="60"/>
      <c r="GF18" s="60"/>
      <c r="GG18" s="60"/>
      <c r="GH18" s="60"/>
      <c r="GI18" s="60"/>
      <c r="GJ18" s="60"/>
      <c r="GK18" s="60"/>
      <c r="GL18" s="60"/>
      <c r="GM18" s="60"/>
      <c r="GN18" s="60"/>
      <c r="GO18" s="60"/>
      <c r="GP18" s="60"/>
      <c r="GQ18" s="60"/>
      <c r="GR18" s="60"/>
      <c r="GS18" s="60"/>
      <c r="GT18" s="60"/>
      <c r="GU18" s="60"/>
      <c r="GV18" s="60"/>
      <c r="GW18" s="60"/>
      <c r="GX18" s="60"/>
      <c r="GY18" s="123"/>
      <c r="GZ18" s="123"/>
      <c r="HA18" s="123"/>
      <c r="HB18" s="123"/>
      <c r="HC18" s="123"/>
      <c r="HD18" s="123"/>
      <c r="HE18" s="123"/>
      <c r="HF18" s="123"/>
      <c r="HG18" s="123"/>
      <c r="HH18" s="123"/>
      <c r="HI18" s="123"/>
      <c r="HJ18" s="123"/>
      <c r="HK18" s="123"/>
      <c r="HL18" s="123"/>
      <c r="HM18" s="123"/>
      <c r="HN18" s="123"/>
      <c r="HO18" s="123"/>
      <c r="HP18" s="60"/>
      <c r="HQ18" s="123"/>
      <c r="HR18" s="60"/>
      <c r="HS18" s="60"/>
      <c r="HT18" s="60"/>
      <c r="HU18" s="60"/>
      <c r="HV18" s="60"/>
      <c r="HW18" s="60"/>
      <c r="HX18" s="60"/>
      <c r="HY18" s="60"/>
      <c r="HZ18" s="60"/>
      <c r="IA18" s="60"/>
      <c r="IB18" s="60"/>
      <c r="IC18" s="60"/>
      <c r="ID18" s="60"/>
      <c r="IE18" s="60"/>
      <c r="IF18" s="60"/>
      <c r="IG18" s="60"/>
      <c r="IH18" s="60"/>
      <c r="II18" s="60"/>
      <c r="IJ18" s="60"/>
      <c r="IK18" s="60"/>
      <c r="IL18" s="60"/>
      <c r="IM18" s="60"/>
      <c r="IN18" s="60"/>
      <c r="IO18" s="97"/>
      <c r="IP18" s="97"/>
      <c r="IQ18" s="97"/>
      <c r="IR18" s="97"/>
      <c r="IS18" s="97"/>
      <c r="IT18" s="97"/>
      <c r="IU18" s="97"/>
      <c r="IV18" s="41"/>
      <c r="IW18" s="60"/>
      <c r="IX18" s="60"/>
      <c r="IY18" s="60"/>
      <c r="IZ18" s="60"/>
      <c r="JA18" s="60"/>
      <c r="JB18" s="60"/>
      <c r="JC18" s="60"/>
      <c r="JD18" s="60"/>
      <c r="JE18" s="60"/>
      <c r="JF18" s="60"/>
      <c r="JG18" s="60"/>
      <c r="JH18" s="60"/>
      <c r="JI18" s="60"/>
      <c r="JJ18" s="60"/>
      <c r="JK18" s="60"/>
      <c r="JL18" s="60"/>
      <c r="JM18" s="123"/>
      <c r="JN18" s="123"/>
      <c r="JO18" s="123"/>
      <c r="JP18" s="123"/>
      <c r="JQ18" s="60"/>
      <c r="JR18" s="60"/>
      <c r="JS18" s="60"/>
      <c r="JT18" s="60"/>
      <c r="JU18" s="60"/>
      <c r="JV18" s="60"/>
      <c r="JW18" s="60"/>
      <c r="JX18" s="60"/>
      <c r="JY18" s="60"/>
      <c r="JZ18" s="60"/>
      <c r="KA18" s="60"/>
      <c r="KB18" s="60"/>
      <c r="KC18" s="60"/>
      <c r="KD18" s="123"/>
      <c r="KE18" s="123"/>
      <c r="KF18" s="123"/>
      <c r="KG18" s="123"/>
      <c r="KH18" s="123"/>
      <c r="KI18" s="123"/>
      <c r="KJ18" s="123"/>
      <c r="KK18" s="123"/>
      <c r="KL18" s="123"/>
      <c r="KM18" s="123"/>
      <c r="KN18" s="123"/>
      <c r="KO18" s="123"/>
      <c r="KP18" s="123"/>
      <c r="KQ18" s="123"/>
      <c r="KR18" s="123"/>
      <c r="KS18" s="123"/>
      <c r="KT18" s="60"/>
      <c r="KU18" s="60"/>
      <c r="KV18" s="60"/>
      <c r="KW18" s="60"/>
      <c r="KX18" s="60"/>
      <c r="KY18" s="60"/>
      <c r="KZ18" s="60"/>
      <c r="LA18" s="60"/>
      <c r="LB18" s="60"/>
      <c r="LC18" s="60"/>
      <c r="LD18" s="60"/>
      <c r="LE18" s="60"/>
      <c r="LF18" s="60"/>
      <c r="LG18" s="60"/>
      <c r="LH18" s="60"/>
      <c r="LI18" s="60"/>
      <c r="LJ18" s="60"/>
      <c r="LK18" s="60"/>
      <c r="LL18" s="60"/>
      <c r="LM18" s="60"/>
      <c r="LN18" s="60"/>
      <c r="LO18" s="60"/>
      <c r="LP18" s="60"/>
      <c r="LQ18" s="60"/>
      <c r="LR18" s="60"/>
      <c r="LS18" s="60"/>
      <c r="LT18" s="60"/>
      <c r="LU18" s="60"/>
      <c r="LV18" s="60"/>
      <c r="LW18" s="60"/>
      <c r="LX18" s="60"/>
      <c r="LY18" s="60"/>
      <c r="LZ18" s="60"/>
      <c r="MA18" s="60"/>
      <c r="MB18" s="60"/>
      <c r="MC18" s="60"/>
      <c r="MD18" s="60"/>
      <c r="ME18" s="60"/>
      <c r="MF18" s="60"/>
      <c r="MG18" s="60"/>
      <c r="MH18" s="60"/>
      <c r="MI18" s="60"/>
      <c r="MJ18" s="60"/>
      <c r="MK18" s="60"/>
      <c r="ML18" s="60"/>
      <c r="MM18" s="60"/>
      <c r="MN18" s="60"/>
      <c r="MO18" s="60"/>
      <c r="MP18" s="60"/>
      <c r="MQ18" s="60"/>
      <c r="MR18" s="60"/>
      <c r="MS18" s="60"/>
      <c r="MT18" s="60"/>
      <c r="MU18" s="60"/>
      <c r="MV18" s="60"/>
      <c r="MW18" s="60"/>
      <c r="MX18" s="60"/>
      <c r="MY18" s="60"/>
      <c r="MZ18" s="60"/>
      <c r="NA18" s="60"/>
      <c r="NB18" s="60"/>
      <c r="NC18" s="60"/>
      <c r="ND18" s="60"/>
      <c r="NE18" s="60"/>
      <c r="NF18" s="60"/>
      <c r="NG18" s="60"/>
      <c r="NH18" s="60"/>
      <c r="NI18" s="60"/>
      <c r="NJ18" s="60"/>
      <c r="NK18" s="60"/>
      <c r="NL18" s="60"/>
      <c r="NM18" s="60"/>
      <c r="NN18" s="60"/>
      <c r="NO18" s="60"/>
      <c r="NP18" s="60"/>
      <c r="NQ18" s="60"/>
      <c r="NR18" s="60"/>
      <c r="NS18" s="60"/>
      <c r="RU18" s="97"/>
      <c r="RV18" s="97"/>
      <c r="RW18" s="97"/>
      <c r="RX18" s="97"/>
      <c r="RY18" s="97"/>
      <c r="RZ18" s="97"/>
    </row>
    <row r="19" spans="1:494" s="4" customFormat="1" ht="13.8" x14ac:dyDescent="0.3">
      <c r="A19" s="15" t="s">
        <v>76</v>
      </c>
      <c r="B19" s="14"/>
      <c r="C19" s="14"/>
      <c r="D19" s="708"/>
      <c r="E19" s="102"/>
      <c r="F19" s="102"/>
      <c r="G19" s="102"/>
      <c r="H19" s="102"/>
      <c r="I19" s="102"/>
      <c r="J19" s="102"/>
      <c r="K19" s="102"/>
      <c r="L19" s="102"/>
      <c r="M19" s="102"/>
      <c r="N19" s="14"/>
      <c r="O19" s="14"/>
      <c r="P19" s="14"/>
      <c r="Q19" s="14"/>
      <c r="R19" s="14"/>
      <c r="S19" s="14"/>
      <c r="T19" s="14"/>
      <c r="U19" s="14"/>
      <c r="X19" s="60"/>
      <c r="AB19" s="126"/>
      <c r="AC19" s="126"/>
      <c r="AD19" s="126"/>
      <c r="AE19" s="126"/>
      <c r="AF19" s="126"/>
      <c r="AG19" s="126"/>
      <c r="AH19" s="126"/>
      <c r="AI19" s="126"/>
      <c r="AJ19" s="126"/>
      <c r="AK19" s="60"/>
      <c r="AL19" s="60"/>
      <c r="AM19" s="60"/>
      <c r="AN19" s="60"/>
      <c r="AO19" s="126"/>
      <c r="AP19" s="126"/>
      <c r="AQ19" s="126"/>
      <c r="AR19" s="126"/>
      <c r="AS19" s="126"/>
      <c r="AT19" s="126"/>
      <c r="AU19" s="126"/>
      <c r="AV19" s="126"/>
      <c r="AW19" s="126"/>
      <c r="AX19" s="126"/>
      <c r="AY19" s="126"/>
      <c r="AZ19" s="126"/>
      <c r="BA19" s="126"/>
      <c r="BB19" s="126"/>
      <c r="BC19" s="126"/>
      <c r="BD19" s="126"/>
      <c r="BE19" s="126"/>
      <c r="BF19" s="126"/>
      <c r="BG19" s="126"/>
      <c r="BH19" s="126"/>
      <c r="BI19" s="126"/>
      <c r="BJ19" s="126"/>
      <c r="BK19" s="126"/>
      <c r="BL19" s="126"/>
      <c r="BM19" s="126"/>
      <c r="BN19" s="126"/>
      <c r="BO19" s="126"/>
      <c r="BP19" s="60"/>
      <c r="BQ19" s="60"/>
      <c r="BR19" s="60"/>
      <c r="BS19" s="60"/>
      <c r="BT19" s="60"/>
      <c r="BU19" s="60"/>
      <c r="BV19" s="60"/>
      <c r="BW19" s="60"/>
      <c r="BX19" s="60"/>
      <c r="BY19" s="60"/>
      <c r="BZ19" s="60"/>
      <c r="CA19" s="60"/>
      <c r="CB19" s="60"/>
      <c r="CC19" s="60"/>
      <c r="CD19" s="60"/>
      <c r="CE19" s="60"/>
      <c r="CF19" s="60"/>
      <c r="CG19" s="60"/>
      <c r="CH19" s="60"/>
      <c r="CI19" s="60"/>
      <c r="CJ19" s="41"/>
      <c r="CL19" s="67"/>
      <c r="CO19" s="60"/>
      <c r="CP19" s="60"/>
      <c r="CQ19" s="60"/>
      <c r="CR19" s="97"/>
      <c r="CS19" s="97"/>
      <c r="CT19" s="97"/>
      <c r="CU19" s="97"/>
      <c r="CV19" s="97"/>
      <c r="CW19" s="60"/>
      <c r="CX19" s="60"/>
      <c r="CY19" s="60"/>
      <c r="CZ19" s="60"/>
      <c r="DA19" s="60"/>
      <c r="DB19" s="60"/>
      <c r="DC19" s="60"/>
      <c r="DD19" s="60"/>
      <c r="DE19" s="60"/>
      <c r="DF19" s="60"/>
      <c r="DG19" s="60"/>
      <c r="DH19" s="60"/>
      <c r="DI19" s="60"/>
      <c r="DJ19" s="60"/>
      <c r="DK19" s="60"/>
      <c r="DL19" s="60"/>
      <c r="DM19" s="60"/>
      <c r="DN19" s="60"/>
      <c r="DO19" s="60"/>
      <c r="DP19" s="60"/>
      <c r="DQ19" s="60"/>
      <c r="DR19" s="60"/>
      <c r="DS19" s="60"/>
      <c r="DT19" s="60"/>
      <c r="DU19" s="60"/>
      <c r="DV19" s="60"/>
      <c r="DW19" s="60"/>
      <c r="DX19" s="60"/>
      <c r="DY19" s="60"/>
      <c r="DZ19" s="41"/>
      <c r="EE19" s="60"/>
      <c r="EF19" s="60"/>
      <c r="EG19" s="60"/>
      <c r="EM19" s="60"/>
      <c r="EN19" s="60"/>
      <c r="EO19" s="60"/>
      <c r="EP19" s="60"/>
      <c r="EQ19" s="60"/>
      <c r="ER19" s="60"/>
      <c r="ES19" s="60"/>
      <c r="ET19" s="60"/>
      <c r="EU19" s="60"/>
      <c r="EV19" s="60"/>
      <c r="EW19" s="60"/>
      <c r="EX19" s="60"/>
      <c r="EY19" s="60"/>
      <c r="EZ19" s="60"/>
      <c r="FA19" s="60"/>
      <c r="FB19" s="60"/>
      <c r="FC19" s="60"/>
      <c r="FD19" s="60"/>
      <c r="FE19" s="60"/>
      <c r="FF19" s="60"/>
      <c r="FG19" s="60"/>
      <c r="FH19" s="60"/>
      <c r="FI19" s="60"/>
      <c r="FJ19" s="60"/>
      <c r="FK19" s="60"/>
      <c r="FL19" s="60"/>
      <c r="FM19" s="60"/>
      <c r="FN19" s="60"/>
      <c r="FO19" s="60"/>
      <c r="FP19" s="60"/>
      <c r="FQ19" s="60"/>
      <c r="FR19" s="60"/>
      <c r="FS19" s="60"/>
      <c r="FV19" s="60"/>
      <c r="FY19" s="60"/>
      <c r="FZ19" s="60"/>
      <c r="GF19" s="60"/>
      <c r="GG19" s="60"/>
      <c r="GH19" s="60"/>
      <c r="GI19" s="60"/>
      <c r="GJ19" s="60"/>
      <c r="GK19" s="60"/>
      <c r="GL19" s="60"/>
      <c r="GM19" s="60"/>
      <c r="GN19" s="60"/>
      <c r="GO19" s="60"/>
      <c r="GP19" s="60"/>
      <c r="GQ19" s="60"/>
      <c r="GR19" s="60"/>
      <c r="GS19" s="60"/>
      <c r="GT19" s="60"/>
      <c r="GU19" s="60"/>
      <c r="GV19" s="60"/>
      <c r="GW19" s="60"/>
      <c r="GX19" s="60"/>
      <c r="GY19" s="123"/>
      <c r="GZ19" s="123"/>
      <c r="HA19" s="123"/>
      <c r="HB19" s="123"/>
      <c r="HC19" s="123"/>
      <c r="HD19" s="123"/>
      <c r="HE19" s="123"/>
      <c r="HF19" s="123"/>
      <c r="HG19" s="123"/>
      <c r="HH19" s="123"/>
      <c r="HI19" s="123"/>
      <c r="HJ19" s="123"/>
      <c r="HK19" s="123"/>
      <c r="HL19" s="123"/>
      <c r="HM19" s="123"/>
      <c r="HN19" s="123"/>
      <c r="HO19" s="123"/>
      <c r="HP19" s="60"/>
      <c r="HQ19" s="123"/>
      <c r="HR19" s="60"/>
      <c r="HS19" s="60"/>
      <c r="HT19" s="60"/>
      <c r="HU19" s="60"/>
      <c r="HV19" s="60"/>
      <c r="HW19" s="60"/>
      <c r="HX19" s="60"/>
      <c r="HY19" s="60"/>
      <c r="HZ19" s="60"/>
      <c r="IA19" s="60"/>
      <c r="IB19" s="60"/>
      <c r="IC19" s="60"/>
      <c r="ID19" s="60"/>
      <c r="IE19" s="60"/>
      <c r="IF19" s="60"/>
      <c r="IG19" s="60"/>
      <c r="IH19" s="60"/>
      <c r="II19" s="60"/>
      <c r="IJ19" s="60"/>
      <c r="IK19" s="60"/>
      <c r="IL19" s="60"/>
      <c r="IM19" s="60"/>
      <c r="IN19" s="60"/>
      <c r="IO19" s="97"/>
      <c r="IP19" s="97"/>
      <c r="IQ19" s="97"/>
      <c r="IR19" s="97"/>
      <c r="IS19" s="97"/>
      <c r="IT19" s="97"/>
      <c r="IU19" s="97"/>
      <c r="IV19" s="41"/>
      <c r="IW19" s="60"/>
      <c r="IX19" s="60"/>
      <c r="IY19" s="60"/>
      <c r="IZ19" s="60"/>
      <c r="JA19" s="60"/>
      <c r="JB19" s="60"/>
      <c r="JC19" s="60"/>
      <c r="JD19" s="60"/>
      <c r="JE19" s="60"/>
      <c r="JF19" s="60"/>
      <c r="JG19" s="60"/>
      <c r="JH19" s="60"/>
      <c r="JI19" s="60"/>
      <c r="JJ19" s="60"/>
      <c r="JK19" s="60"/>
      <c r="JL19" s="60"/>
      <c r="JM19" s="123"/>
      <c r="JN19" s="123"/>
      <c r="JO19" s="123"/>
      <c r="JP19" s="123"/>
      <c r="JQ19" s="60"/>
      <c r="JR19" s="60"/>
      <c r="JS19" s="60"/>
      <c r="JT19" s="60"/>
      <c r="JU19" s="60"/>
      <c r="JV19" s="60"/>
      <c r="JW19" s="60"/>
      <c r="JX19" s="60"/>
      <c r="JY19" s="60"/>
      <c r="JZ19" s="60"/>
      <c r="KA19" s="60"/>
      <c r="KB19" s="60"/>
      <c r="KC19" s="60"/>
      <c r="KD19" s="123"/>
      <c r="KE19" s="123"/>
      <c r="KF19" s="123"/>
      <c r="KG19" s="123"/>
      <c r="KH19" s="123"/>
      <c r="KI19" s="123"/>
      <c r="KJ19" s="123"/>
      <c r="KK19" s="123"/>
      <c r="KL19" s="123"/>
      <c r="KM19" s="123"/>
      <c r="KN19" s="123"/>
      <c r="KO19" s="123"/>
      <c r="KP19" s="123"/>
      <c r="KQ19" s="123"/>
      <c r="KR19" s="123"/>
      <c r="KS19" s="123"/>
      <c r="KT19" s="60"/>
      <c r="KU19" s="60"/>
      <c r="KV19" s="60"/>
      <c r="KW19" s="60"/>
      <c r="KX19" s="60"/>
      <c r="KY19" s="60"/>
      <c r="KZ19" s="60"/>
      <c r="LA19" s="60"/>
      <c r="LB19" s="60"/>
      <c r="LC19" s="60"/>
      <c r="LD19" s="60"/>
      <c r="LE19" s="60"/>
      <c r="LF19" s="60"/>
      <c r="LG19" s="60"/>
      <c r="LH19" s="60"/>
      <c r="LI19" s="60"/>
      <c r="LJ19" s="60"/>
      <c r="LK19" s="60"/>
      <c r="LL19" s="60"/>
      <c r="LM19" s="60"/>
      <c r="LN19" s="60"/>
      <c r="LO19" s="60"/>
      <c r="LP19" s="60"/>
      <c r="LQ19" s="60"/>
      <c r="LR19" s="60"/>
      <c r="LS19" s="60"/>
      <c r="LT19" s="60"/>
      <c r="LU19" s="60"/>
      <c r="LV19" s="60"/>
      <c r="LW19" s="60"/>
      <c r="LX19" s="60"/>
      <c r="LY19" s="60"/>
      <c r="LZ19" s="60"/>
      <c r="MA19" s="60"/>
      <c r="MB19" s="60"/>
      <c r="MC19" s="60"/>
      <c r="MD19" s="60"/>
      <c r="ME19" s="60"/>
      <c r="MF19" s="60"/>
      <c r="MG19" s="60"/>
      <c r="MH19" s="60"/>
      <c r="MI19" s="60"/>
      <c r="MJ19" s="60"/>
      <c r="MK19" s="60"/>
      <c r="ML19" s="60"/>
      <c r="MM19" s="60"/>
      <c r="MN19" s="60"/>
      <c r="MO19" s="60"/>
      <c r="MP19" s="60"/>
      <c r="MQ19" s="60"/>
      <c r="MR19" s="60"/>
      <c r="MS19" s="60"/>
      <c r="MT19" s="60"/>
      <c r="MU19" s="60"/>
      <c r="MV19" s="60"/>
      <c r="MW19" s="60"/>
      <c r="MX19" s="60"/>
      <c r="MY19" s="60"/>
      <c r="MZ19" s="60"/>
      <c r="NA19" s="60"/>
      <c r="NB19" s="60"/>
      <c r="NC19" s="60"/>
      <c r="ND19" s="60"/>
      <c r="NE19" s="60"/>
      <c r="NF19" s="60"/>
      <c r="NG19" s="60"/>
      <c r="NH19" s="60"/>
      <c r="NI19" s="60"/>
      <c r="NJ19" s="60"/>
      <c r="NK19" s="60"/>
      <c r="NL19" s="60"/>
      <c r="NM19" s="60"/>
      <c r="NN19" s="60"/>
      <c r="NO19" s="60"/>
      <c r="NP19" s="60"/>
      <c r="NQ19" s="60"/>
      <c r="NR19" s="60"/>
      <c r="NS19" s="60"/>
      <c r="RU19" s="97"/>
      <c r="RV19" s="97"/>
      <c r="RW19" s="97"/>
      <c r="RX19" s="97"/>
      <c r="RY19" s="97"/>
      <c r="RZ19" s="97"/>
    </row>
    <row r="20" spans="1:494" s="49" customFormat="1" ht="10.199999999999999" x14ac:dyDescent="0.2">
      <c r="A20" s="50" t="s">
        <v>252</v>
      </c>
      <c r="B20" s="50"/>
      <c r="C20" s="50"/>
      <c r="D20" s="710"/>
      <c r="E20" s="575"/>
      <c r="F20" s="575"/>
      <c r="G20" s="575"/>
      <c r="H20" s="575"/>
      <c r="I20" s="575"/>
      <c r="J20" s="575"/>
      <c r="K20" s="575"/>
      <c r="L20" s="575"/>
      <c r="M20" s="575"/>
      <c r="N20" s="625">
        <f>'Crops; pasture AMORTIZED'!P33</f>
        <v>426.57960000000003</v>
      </c>
      <c r="O20" s="50"/>
      <c r="P20" s="634">
        <f>P21+P22</f>
        <v>398.70441880101322</v>
      </c>
      <c r="Q20" s="711">
        <f t="shared" ref="Q20" si="3">P20/N20</f>
        <v>0.9346542094394884</v>
      </c>
      <c r="R20" s="50"/>
      <c r="S20" s="50"/>
      <c r="T20" s="50"/>
      <c r="U20" s="50"/>
      <c r="X20" s="123"/>
      <c r="AB20" s="550"/>
      <c r="AC20" s="550"/>
      <c r="AD20" s="550"/>
      <c r="AE20" s="550"/>
      <c r="AF20" s="550"/>
      <c r="AG20" s="550"/>
      <c r="AH20" s="550"/>
      <c r="AI20" s="550"/>
      <c r="AJ20" s="550"/>
      <c r="AK20" s="123"/>
      <c r="AL20" s="123"/>
      <c r="AM20" s="123"/>
      <c r="AN20" s="123"/>
      <c r="AO20" s="550"/>
      <c r="AP20" s="550"/>
      <c r="AQ20" s="550"/>
      <c r="AR20" s="550"/>
      <c r="AS20" s="550"/>
      <c r="AT20" s="550"/>
      <c r="AU20" s="550"/>
      <c r="AV20" s="550"/>
      <c r="AW20" s="550"/>
      <c r="AX20" s="550"/>
      <c r="AY20" s="550"/>
      <c r="AZ20" s="550"/>
      <c r="BA20" s="550"/>
      <c r="BB20" s="550"/>
      <c r="BC20" s="550"/>
      <c r="BD20" s="550"/>
      <c r="BE20" s="550"/>
      <c r="BF20" s="550"/>
      <c r="BG20" s="550"/>
      <c r="BH20" s="550"/>
      <c r="BI20" s="550"/>
      <c r="BJ20" s="550"/>
      <c r="BK20" s="550"/>
      <c r="BL20" s="550"/>
      <c r="BM20" s="550"/>
      <c r="BN20" s="550"/>
      <c r="BO20" s="550"/>
      <c r="BP20" s="123"/>
      <c r="BQ20" s="123"/>
      <c r="BR20" s="123"/>
      <c r="BS20" s="123"/>
      <c r="BT20" s="123"/>
      <c r="BU20" s="123"/>
      <c r="BV20" s="123"/>
      <c r="BW20" s="123"/>
      <c r="BX20" s="123"/>
      <c r="BY20" s="123"/>
      <c r="BZ20" s="123"/>
      <c r="CA20" s="123"/>
      <c r="CB20" s="123"/>
      <c r="CC20" s="123"/>
      <c r="CD20" s="123"/>
      <c r="CE20" s="123"/>
      <c r="CF20" s="123"/>
      <c r="CG20" s="123"/>
      <c r="CH20" s="123"/>
      <c r="CI20" s="123"/>
      <c r="CJ20" s="715"/>
      <c r="CL20" s="152"/>
      <c r="CO20" s="123"/>
      <c r="CP20" s="123"/>
      <c r="CQ20" s="123"/>
      <c r="CR20" s="149"/>
      <c r="CS20" s="149"/>
      <c r="CT20" s="149"/>
      <c r="CU20" s="149"/>
      <c r="CV20" s="149"/>
      <c r="CW20" s="123"/>
      <c r="CX20" s="123"/>
      <c r="CY20" s="123"/>
      <c r="CZ20" s="123"/>
      <c r="DA20" s="123"/>
      <c r="DB20" s="123"/>
      <c r="DC20" s="123"/>
      <c r="DD20" s="123"/>
      <c r="DE20" s="123"/>
      <c r="DF20" s="123"/>
      <c r="DG20" s="123"/>
      <c r="DH20" s="123"/>
      <c r="DI20" s="123"/>
      <c r="DJ20" s="123"/>
      <c r="DK20" s="123"/>
      <c r="DL20" s="123"/>
      <c r="DM20" s="123"/>
      <c r="DN20" s="123"/>
      <c r="DO20" s="123"/>
      <c r="DP20" s="123"/>
      <c r="DQ20" s="123"/>
      <c r="DR20" s="123"/>
      <c r="DS20" s="123"/>
      <c r="DT20" s="123"/>
      <c r="DU20" s="123"/>
      <c r="DV20" s="123"/>
      <c r="DW20" s="123"/>
      <c r="DX20" s="123"/>
      <c r="DY20" s="123"/>
      <c r="DZ20" s="715"/>
      <c r="EE20" s="123"/>
      <c r="EF20" s="123"/>
      <c r="EG20" s="123"/>
      <c r="EM20" s="123"/>
      <c r="EN20" s="123"/>
      <c r="EO20" s="123"/>
      <c r="EP20" s="123"/>
      <c r="EQ20" s="123"/>
      <c r="ER20" s="123"/>
      <c r="ES20" s="123"/>
      <c r="ET20" s="123"/>
      <c r="EU20" s="123"/>
      <c r="EV20" s="123"/>
      <c r="EW20" s="123"/>
      <c r="EX20" s="123"/>
      <c r="EY20" s="123"/>
      <c r="EZ20" s="123"/>
      <c r="FA20" s="123"/>
      <c r="FB20" s="123"/>
      <c r="FC20" s="123"/>
      <c r="FD20" s="123"/>
      <c r="FE20" s="123"/>
      <c r="FF20" s="123"/>
      <c r="FG20" s="123"/>
      <c r="FH20" s="123"/>
      <c r="FI20" s="123"/>
      <c r="FJ20" s="123"/>
      <c r="FK20" s="123"/>
      <c r="FL20" s="123"/>
      <c r="FM20" s="123"/>
      <c r="FN20" s="123"/>
      <c r="FO20" s="123"/>
      <c r="FP20" s="123"/>
      <c r="FQ20" s="123"/>
      <c r="FR20" s="123"/>
      <c r="FS20" s="123"/>
      <c r="FV20" s="123"/>
      <c r="FY20" s="123"/>
      <c r="FZ20" s="123"/>
      <c r="GF20" s="123"/>
      <c r="GG20" s="123"/>
      <c r="GH20" s="123"/>
      <c r="GI20" s="123"/>
      <c r="GJ20" s="123"/>
      <c r="GK20" s="123"/>
      <c r="GL20" s="123"/>
      <c r="GM20" s="123"/>
      <c r="GN20" s="123"/>
      <c r="GO20" s="123"/>
      <c r="GP20" s="123"/>
      <c r="GQ20" s="123"/>
      <c r="GR20" s="123"/>
      <c r="GS20" s="123"/>
      <c r="GT20" s="123"/>
      <c r="GU20" s="123"/>
      <c r="GV20" s="123"/>
      <c r="GW20" s="123"/>
      <c r="GX20" s="123"/>
      <c r="GY20" s="123"/>
      <c r="GZ20" s="123"/>
      <c r="HA20" s="123"/>
      <c r="HB20" s="123"/>
      <c r="HC20" s="123"/>
      <c r="HD20" s="123"/>
      <c r="HE20" s="123"/>
      <c r="HF20" s="123"/>
      <c r="HG20" s="123"/>
      <c r="HH20" s="123"/>
      <c r="HI20" s="123"/>
      <c r="HJ20" s="123"/>
      <c r="HK20" s="123"/>
      <c r="HL20" s="123"/>
      <c r="HM20" s="123"/>
      <c r="HN20" s="123"/>
      <c r="HO20" s="123"/>
      <c r="HP20" s="123"/>
      <c r="HQ20" s="123"/>
      <c r="HR20" s="123"/>
      <c r="HS20" s="123"/>
      <c r="HT20" s="123"/>
      <c r="HU20" s="123"/>
      <c r="HV20" s="123"/>
      <c r="HW20" s="123"/>
      <c r="HX20" s="123"/>
      <c r="HY20" s="123"/>
      <c r="HZ20" s="123"/>
      <c r="IA20" s="123"/>
      <c r="IB20" s="123"/>
      <c r="IC20" s="123"/>
      <c r="ID20" s="123"/>
      <c r="IE20" s="123"/>
      <c r="IF20" s="123"/>
      <c r="IG20" s="123"/>
      <c r="IH20" s="123"/>
      <c r="II20" s="123"/>
      <c r="IJ20" s="123"/>
      <c r="IK20" s="123"/>
      <c r="IL20" s="123"/>
      <c r="IM20" s="123"/>
      <c r="IN20" s="123"/>
      <c r="IO20" s="595"/>
      <c r="IP20" s="595"/>
      <c r="IQ20" s="595"/>
      <c r="IR20" s="595"/>
      <c r="IS20" s="595"/>
      <c r="IT20" s="595"/>
      <c r="IU20" s="595"/>
      <c r="IV20" s="715"/>
      <c r="IW20" s="123"/>
      <c r="IX20" s="123"/>
      <c r="IY20" s="123"/>
      <c r="IZ20" s="123"/>
      <c r="JA20" s="123"/>
      <c r="JB20" s="123"/>
      <c r="JC20" s="123"/>
      <c r="JD20" s="123"/>
      <c r="JE20" s="123"/>
      <c r="JF20" s="123"/>
      <c r="JG20" s="123"/>
      <c r="JH20" s="123"/>
      <c r="JI20" s="123"/>
      <c r="JJ20" s="123"/>
      <c r="JK20" s="123"/>
      <c r="JL20" s="123"/>
      <c r="JM20" s="123"/>
      <c r="JN20" s="123"/>
      <c r="JO20" s="123"/>
      <c r="JP20" s="123"/>
      <c r="JQ20" s="123"/>
      <c r="JR20" s="123"/>
      <c r="JS20" s="123"/>
      <c r="JT20" s="123"/>
      <c r="JU20" s="123"/>
      <c r="JV20" s="123"/>
      <c r="JW20" s="123"/>
      <c r="JX20" s="123"/>
      <c r="JY20" s="123"/>
      <c r="JZ20" s="123"/>
      <c r="KA20" s="123"/>
      <c r="KB20" s="123"/>
      <c r="KC20" s="123"/>
      <c r="KD20" s="123"/>
      <c r="KE20" s="123"/>
      <c r="KF20" s="123"/>
      <c r="KG20" s="123"/>
      <c r="KH20" s="123"/>
      <c r="KI20" s="123"/>
      <c r="KJ20" s="123"/>
      <c r="KK20" s="123"/>
      <c r="KL20" s="123"/>
      <c r="KM20" s="123"/>
      <c r="KN20" s="123"/>
      <c r="KO20" s="123"/>
      <c r="KP20" s="123"/>
      <c r="KQ20" s="123"/>
      <c r="KR20" s="123"/>
      <c r="KS20" s="123"/>
      <c r="KT20" s="123"/>
      <c r="KU20" s="123"/>
      <c r="KV20" s="123"/>
      <c r="KW20" s="123"/>
      <c r="KX20" s="123"/>
      <c r="KY20" s="123"/>
      <c r="KZ20" s="123"/>
      <c r="LA20" s="123"/>
      <c r="LB20" s="123"/>
      <c r="LC20" s="123"/>
      <c r="LD20" s="123"/>
      <c r="LE20" s="123"/>
      <c r="LF20" s="123"/>
      <c r="LG20" s="123"/>
      <c r="LH20" s="123"/>
      <c r="LI20" s="123"/>
      <c r="LJ20" s="123"/>
      <c r="LK20" s="123"/>
      <c r="LL20" s="123"/>
      <c r="LM20" s="123"/>
      <c r="LN20" s="123"/>
      <c r="LO20" s="123"/>
      <c r="LP20" s="123"/>
      <c r="LQ20" s="123"/>
      <c r="LR20" s="123"/>
      <c r="LS20" s="123"/>
      <c r="LT20" s="123"/>
      <c r="LU20" s="123"/>
      <c r="LV20" s="123"/>
      <c r="LW20" s="123"/>
      <c r="LX20" s="123"/>
      <c r="LY20" s="123"/>
      <c r="LZ20" s="123"/>
      <c r="MA20" s="123"/>
      <c r="MB20" s="123"/>
      <c r="MC20" s="123"/>
      <c r="MD20" s="123"/>
      <c r="ME20" s="123"/>
      <c r="MF20" s="123"/>
      <c r="MG20" s="123"/>
      <c r="MH20" s="123"/>
      <c r="MI20" s="123"/>
      <c r="MJ20" s="123"/>
      <c r="MK20" s="123"/>
      <c r="ML20" s="123"/>
      <c r="MM20" s="123"/>
      <c r="MN20" s="123"/>
      <c r="MO20" s="123"/>
      <c r="MP20" s="123"/>
      <c r="MQ20" s="123"/>
      <c r="MR20" s="123"/>
      <c r="MS20" s="123"/>
      <c r="MT20" s="123"/>
      <c r="MU20" s="123"/>
      <c r="MV20" s="123"/>
      <c r="MW20" s="123"/>
      <c r="MX20" s="123"/>
      <c r="MY20" s="123"/>
      <c r="MZ20" s="123"/>
      <c r="NA20" s="123"/>
      <c r="NB20" s="123"/>
      <c r="NC20" s="123"/>
      <c r="ND20" s="123"/>
      <c r="NE20" s="123"/>
      <c r="NF20" s="123"/>
      <c r="NG20" s="123"/>
      <c r="NH20" s="123"/>
      <c r="NI20" s="123"/>
      <c r="NJ20" s="123"/>
      <c r="NK20" s="123"/>
      <c r="NL20" s="123"/>
      <c r="NM20" s="123"/>
      <c r="NN20" s="123"/>
      <c r="NO20" s="123"/>
      <c r="NP20" s="123"/>
      <c r="NQ20" s="123"/>
      <c r="NR20" s="123"/>
      <c r="NS20" s="123"/>
      <c r="RU20" s="149"/>
      <c r="RV20" s="149"/>
      <c r="RW20" s="149"/>
      <c r="RX20" s="149"/>
      <c r="RY20" s="149"/>
      <c r="RZ20" s="149"/>
    </row>
    <row r="21" spans="1:494" s="4" customFormat="1" x14ac:dyDescent="0.25">
      <c r="A21" s="14" t="s">
        <v>72</v>
      </c>
      <c r="B21" s="14"/>
      <c r="C21" s="14"/>
      <c r="D21" s="708"/>
      <c r="E21" s="102"/>
      <c r="F21" s="102"/>
      <c r="G21" s="102"/>
      <c r="H21" s="102"/>
      <c r="I21" s="102"/>
      <c r="J21" s="102"/>
      <c r="K21" s="102"/>
      <c r="L21" s="102"/>
      <c r="M21" s="102"/>
      <c r="N21" s="628">
        <f>'Crops; pasture AMORTIZED'!P34</f>
        <v>365.07240000000002</v>
      </c>
      <c r="O21" s="67">
        <f t="shared" ref="O21:O22" si="4">R21+T21</f>
        <v>1261.1948171081297</v>
      </c>
      <c r="P21" s="67">
        <f t="shared" ref="P21:P22" si="5">S21+U21</f>
        <v>340.52260061919503</v>
      </c>
      <c r="Q21" s="627">
        <f t="shared" ref="Q21:Q22" si="6">P21/N21</f>
        <v>0.93275361440414295</v>
      </c>
      <c r="R21" s="674">
        <f>S21/NT21</f>
        <v>1037.037037037037</v>
      </c>
      <c r="S21" s="630">
        <f>W63/C63</f>
        <v>280</v>
      </c>
      <c r="T21" s="713">
        <f>U21/$NT21</f>
        <v>224.15778007109276</v>
      </c>
      <c r="U21" s="716">
        <f>W117/C117</f>
        <v>60.522600619195046</v>
      </c>
      <c r="X21" s="60"/>
      <c r="AB21" s="126">
        <f>'Crops; pasture AMORTIZED'!L34</f>
        <v>0.54783653872492133</v>
      </c>
      <c r="AC21" s="126">
        <f>'Crops; pasture AMORTIZED'!M34</f>
        <v>0.60125060125060115</v>
      </c>
      <c r="AD21" s="126">
        <f>'Crops; pasture AMORTIZED'!N34</f>
        <v>0.48797150246425602</v>
      </c>
      <c r="AE21" s="126"/>
      <c r="AF21" s="126"/>
      <c r="AG21" s="126"/>
      <c r="AH21" s="126"/>
      <c r="AI21" s="126"/>
      <c r="AJ21" s="126"/>
      <c r="AK21" s="60"/>
      <c r="AL21" s="60"/>
      <c r="AM21" s="60"/>
      <c r="AN21" s="60"/>
      <c r="AO21" s="126"/>
      <c r="AP21" s="126"/>
      <c r="AQ21" s="126"/>
      <c r="AR21" s="126"/>
      <c r="AS21" s="126"/>
      <c r="AT21" s="126"/>
      <c r="AU21" s="126"/>
      <c r="AV21" s="126"/>
      <c r="AW21" s="126"/>
      <c r="AX21" s="126"/>
      <c r="AY21" s="126"/>
      <c r="AZ21" s="126"/>
      <c r="BA21" s="126"/>
      <c r="BB21" s="126"/>
      <c r="BC21" s="126"/>
      <c r="BD21" s="126"/>
      <c r="BE21" s="126"/>
      <c r="BF21" s="126"/>
      <c r="BG21" s="126"/>
      <c r="BH21" s="126"/>
      <c r="BI21" s="126"/>
      <c r="BJ21" s="126"/>
      <c r="BK21" s="126"/>
      <c r="BL21" s="126"/>
      <c r="BM21" s="126"/>
      <c r="BN21" s="126"/>
      <c r="BO21" s="126"/>
      <c r="BP21" s="126">
        <f>'Crops; pasture AMORTIZED'!CZ34</f>
        <v>0.19709090211057023</v>
      </c>
      <c r="BQ21" s="126">
        <f>'Crops; pasture AMORTIZED'!DD34</f>
        <v>0.27856770451199991</v>
      </c>
      <c r="BR21" s="126">
        <f>'Crops; pasture AMORTIZED'!DH34</f>
        <v>0.10597772247442455</v>
      </c>
      <c r="BS21" s="126">
        <f>'Crops; pasture AMORTIZED'!DL34</f>
        <v>0.20269384594011763</v>
      </c>
      <c r="BT21" s="126">
        <f>'Crops; pasture AMORTIZED'!DP34</f>
        <v>0.26176680505159472</v>
      </c>
      <c r="BU21" s="126">
        <f>'Crops; pasture AMORTIZED'!DT34</f>
        <v>0.1364864714770129</v>
      </c>
      <c r="BV21" s="126"/>
      <c r="BW21" s="126"/>
      <c r="BX21" s="126"/>
      <c r="BY21" s="126"/>
      <c r="BZ21" s="126"/>
      <c r="CA21" s="126"/>
      <c r="CB21" s="126"/>
      <c r="CC21" s="126"/>
      <c r="CD21" s="126"/>
      <c r="CE21" s="126"/>
      <c r="CF21" s="126"/>
      <c r="CG21" s="126"/>
      <c r="CH21" s="126"/>
      <c r="CI21" s="126"/>
      <c r="CJ21" s="41"/>
      <c r="CL21" s="714"/>
      <c r="CM21" s="32"/>
      <c r="CN21" s="67"/>
      <c r="CO21" s="68"/>
      <c r="CP21" s="68"/>
      <c r="CQ21" s="68"/>
      <c r="CR21" s="97"/>
      <c r="CS21" s="97"/>
      <c r="CT21" s="97"/>
      <c r="CU21" s="97"/>
      <c r="CV21" s="97"/>
      <c r="CW21" s="68"/>
      <c r="CX21" s="68"/>
      <c r="CY21" s="68"/>
      <c r="CZ21" s="68"/>
      <c r="DA21" s="68"/>
      <c r="DB21" s="68"/>
      <c r="DC21" s="68"/>
      <c r="DD21" s="68"/>
      <c r="DE21" s="68"/>
      <c r="DF21" s="68"/>
      <c r="DG21" s="68"/>
      <c r="DH21" s="68"/>
      <c r="DI21" s="68"/>
      <c r="DJ21" s="68"/>
      <c r="DK21" s="68"/>
      <c r="DL21" s="68"/>
      <c r="DM21" s="68"/>
      <c r="DN21" s="68"/>
      <c r="DO21" s="68"/>
      <c r="DP21" s="68"/>
      <c r="DQ21" s="68"/>
      <c r="DR21" s="68"/>
      <c r="DS21" s="68"/>
      <c r="DT21" s="68"/>
      <c r="DU21" s="68"/>
      <c r="DV21" s="68"/>
      <c r="DW21" s="68"/>
      <c r="DX21" s="68"/>
      <c r="DY21" s="68"/>
      <c r="DZ21" s="41"/>
      <c r="EE21" s="68"/>
      <c r="EF21" s="68"/>
      <c r="EG21" s="68"/>
      <c r="EM21" s="68"/>
      <c r="EN21" s="68"/>
      <c r="EO21" s="68"/>
      <c r="EP21" s="68"/>
      <c r="EQ21" s="68"/>
      <c r="ER21" s="68"/>
      <c r="ES21" s="68"/>
      <c r="ET21" s="68"/>
      <c r="EU21" s="68"/>
      <c r="EV21" s="68"/>
      <c r="EW21" s="68"/>
      <c r="EX21" s="68"/>
      <c r="EY21" s="68"/>
      <c r="EZ21" s="68"/>
      <c r="FA21" s="68"/>
      <c r="FB21" s="126">
        <f>'Crops; pasture AMORTIZED'!DX34</f>
        <v>0.4036459617325221</v>
      </c>
      <c r="FC21" s="126">
        <f>'Crops; pasture AMORTIZED'!EA34</f>
        <v>0.52128427128427124</v>
      </c>
      <c r="FD21" s="126">
        <f>'Crops; pasture AMORTIZED'!ED34</f>
        <v>0.27180012687259064</v>
      </c>
      <c r="FE21" s="126"/>
      <c r="FF21" s="126"/>
      <c r="FG21" s="126"/>
      <c r="FH21" s="126"/>
      <c r="FI21" s="126"/>
      <c r="FJ21" s="126"/>
      <c r="FK21" s="126"/>
      <c r="FL21" s="126"/>
      <c r="FM21" s="126"/>
      <c r="FN21" s="126"/>
      <c r="FO21" s="126"/>
      <c r="FP21" s="126"/>
      <c r="FQ21" s="126"/>
      <c r="FR21" s="126"/>
      <c r="FS21" s="126"/>
      <c r="FV21" s="60"/>
      <c r="FY21" s="68"/>
      <c r="FZ21" s="60"/>
      <c r="GF21" s="68"/>
      <c r="GG21" s="126"/>
      <c r="GH21" s="126"/>
      <c r="GI21" s="126"/>
      <c r="GJ21" s="126"/>
      <c r="GK21" s="126"/>
      <c r="GL21" s="126"/>
      <c r="GM21" s="126"/>
      <c r="GN21" s="126"/>
      <c r="GO21" s="126"/>
      <c r="GP21" s="126"/>
      <c r="GQ21" s="126"/>
      <c r="GR21" s="126"/>
      <c r="GS21" s="126"/>
      <c r="GT21" s="126"/>
      <c r="GU21" s="126">
        <f>'Crops; pasture AMORTIZED'!EK34</f>
        <v>6.6447676696370361E-2</v>
      </c>
      <c r="GV21" s="126">
        <f>'Crops; pasture AMORTIZED'!EP34</f>
        <v>4.6872033999518989E-2</v>
      </c>
      <c r="GW21" s="126">
        <f>'Crops; pasture AMORTIZED'!EW34</f>
        <v>8.8387527448397007E-2</v>
      </c>
      <c r="GX21" s="126"/>
      <c r="GY21" s="123"/>
      <c r="GZ21" s="123"/>
      <c r="HA21" s="123"/>
      <c r="HB21" s="123"/>
      <c r="HC21" s="123"/>
      <c r="HD21" s="123"/>
      <c r="HE21" s="123"/>
      <c r="HF21" s="123"/>
      <c r="HG21" s="123"/>
      <c r="HH21" s="123"/>
      <c r="HI21" s="123"/>
      <c r="HJ21" s="123"/>
      <c r="HK21" s="123"/>
      <c r="HL21" s="123"/>
      <c r="HM21" s="123"/>
      <c r="HN21" s="123"/>
      <c r="HO21" s="123"/>
      <c r="HP21" s="60"/>
      <c r="HQ21" s="123"/>
      <c r="HR21" s="60"/>
      <c r="HS21" s="68"/>
      <c r="HT21" s="68"/>
      <c r="HU21" s="68"/>
      <c r="HV21" s="68"/>
      <c r="HW21" s="68"/>
      <c r="HX21" s="68"/>
      <c r="HY21" s="68"/>
      <c r="HZ21" s="68"/>
      <c r="IA21" s="68"/>
      <c r="IB21" s="68"/>
      <c r="IC21" s="68"/>
      <c r="ID21" s="68"/>
      <c r="IE21" s="68"/>
      <c r="IF21" s="68"/>
      <c r="IG21" s="68"/>
      <c r="IH21" s="68"/>
      <c r="II21" s="68"/>
      <c r="IJ21" s="68"/>
      <c r="IK21" s="68"/>
      <c r="IL21" s="68"/>
      <c r="IM21" s="68"/>
      <c r="IN21" s="68"/>
      <c r="IO21" s="431"/>
      <c r="IP21" s="431"/>
      <c r="IQ21" s="431"/>
      <c r="IR21" s="431"/>
      <c r="IS21" s="431"/>
      <c r="IT21" s="431"/>
      <c r="IU21" s="431"/>
      <c r="IV21" s="41"/>
      <c r="IW21" s="60"/>
      <c r="IX21" s="60"/>
      <c r="IY21" s="60"/>
      <c r="IZ21" s="60"/>
      <c r="JA21" s="60"/>
      <c r="JB21" s="60"/>
      <c r="JC21" s="60"/>
      <c r="JD21" s="60"/>
      <c r="JE21" s="60"/>
      <c r="JF21" s="60"/>
      <c r="JG21" s="60"/>
      <c r="JH21" s="60"/>
      <c r="JI21" s="60"/>
      <c r="JJ21" s="60"/>
      <c r="JK21" s="60"/>
      <c r="JL21" s="60"/>
      <c r="JM21" s="123"/>
      <c r="JN21" s="123"/>
      <c r="JO21" s="123"/>
      <c r="JP21" s="123"/>
      <c r="JQ21" s="60"/>
      <c r="JR21" s="60"/>
      <c r="JS21" s="60"/>
      <c r="JT21" s="60"/>
      <c r="JU21" s="60"/>
      <c r="JV21" s="60"/>
      <c r="JW21" s="60"/>
      <c r="JX21" s="60"/>
      <c r="JY21" s="60"/>
      <c r="JZ21" s="60"/>
      <c r="KA21" s="60"/>
      <c r="KB21" s="60"/>
      <c r="KC21" s="60"/>
      <c r="KD21" s="123"/>
      <c r="KE21" s="123"/>
      <c r="KF21" s="123"/>
      <c r="KG21" s="123"/>
      <c r="KH21" s="123"/>
      <c r="KI21" s="123"/>
      <c r="KJ21" s="123"/>
      <c r="KK21" s="123"/>
      <c r="KL21" s="123"/>
      <c r="KM21" s="123"/>
      <c r="KN21" s="123"/>
      <c r="KO21" s="123"/>
      <c r="KP21" s="123"/>
      <c r="KQ21" s="123"/>
      <c r="KR21" s="123"/>
      <c r="KS21" s="123"/>
      <c r="KT21" s="60"/>
      <c r="KU21" s="60"/>
      <c r="KV21" s="60"/>
      <c r="KW21" s="60"/>
      <c r="KX21" s="68"/>
      <c r="KY21" s="60"/>
      <c r="KZ21" s="60"/>
      <c r="LA21" s="60"/>
      <c r="LB21" s="60"/>
      <c r="LC21" s="68"/>
      <c r="LD21" s="68"/>
      <c r="LE21" s="68"/>
      <c r="LF21" s="68"/>
      <c r="LG21" s="68"/>
      <c r="LH21" s="68"/>
      <c r="LI21" s="68"/>
      <c r="LJ21" s="68"/>
      <c r="LK21" s="68"/>
      <c r="LL21" s="68"/>
      <c r="LM21" s="68"/>
      <c r="LN21" s="68"/>
      <c r="LO21" s="68"/>
      <c r="LP21" s="68"/>
      <c r="LQ21" s="68"/>
      <c r="LR21" s="68"/>
      <c r="LS21" s="68"/>
      <c r="LT21" s="68"/>
      <c r="LU21" s="68"/>
      <c r="LV21" s="68"/>
      <c r="LW21" s="68"/>
      <c r="LX21" s="60"/>
      <c r="LY21" s="60"/>
      <c r="LZ21" s="60"/>
      <c r="MA21" s="60"/>
      <c r="MB21" s="68"/>
      <c r="MC21" s="60"/>
      <c r="MD21" s="60"/>
      <c r="ME21" s="60"/>
      <c r="MF21" s="60"/>
      <c r="MG21" s="68"/>
      <c r="MH21" s="68"/>
      <c r="MI21" s="68"/>
      <c r="MJ21" s="68"/>
      <c r="MK21" s="68"/>
      <c r="ML21" s="68"/>
      <c r="MM21" s="68"/>
      <c r="MN21" s="68"/>
      <c r="MO21" s="68"/>
      <c r="MP21" s="68"/>
      <c r="MQ21" s="68"/>
      <c r="MR21" s="60"/>
      <c r="MS21" s="60"/>
      <c r="MT21" s="60"/>
      <c r="MU21" s="60"/>
      <c r="MV21" s="60"/>
      <c r="MW21" s="68"/>
      <c r="MX21" s="68"/>
      <c r="MY21" s="68"/>
      <c r="MZ21" s="68"/>
      <c r="NA21" s="68"/>
      <c r="NB21" s="68"/>
      <c r="NC21" s="68"/>
      <c r="ND21" s="68"/>
      <c r="NE21" s="68"/>
      <c r="NF21" s="68"/>
      <c r="NG21" s="68"/>
      <c r="NH21" s="68"/>
      <c r="NI21" s="68"/>
      <c r="NJ21" s="68"/>
      <c r="NK21" s="68"/>
      <c r="NL21" s="68"/>
      <c r="NM21" s="68"/>
      <c r="NN21" s="68"/>
      <c r="NO21" s="68"/>
      <c r="NP21" s="68"/>
      <c r="NQ21" s="68"/>
      <c r="NR21" s="60"/>
      <c r="NS21" s="60"/>
      <c r="NT21" s="631">
        <f>'Crops; pasture AMORTIZED'!HB34</f>
        <v>0.27</v>
      </c>
      <c r="NU21" s="631"/>
      <c r="NV21" s="41">
        <f>'Crops; pasture AMORTIZED'!HC34</f>
        <v>4.59</v>
      </c>
      <c r="NW21" s="41">
        <f>'Crops; pasture AMORTIZED'!HD34</f>
        <v>17</v>
      </c>
      <c r="NX21" s="41"/>
      <c r="NY21" s="41"/>
      <c r="NZ21" s="41"/>
      <c r="OA21" s="41">
        <f>'Crops; pasture AMORTIZED'!HE34</f>
        <v>1.5308999999999999</v>
      </c>
      <c r="OB21" s="41">
        <f>'Crops; pasture AMORTIZED'!HF34</f>
        <v>5.669999999999999</v>
      </c>
      <c r="OC21" s="631">
        <f>'Crops; pasture AMORTIZED'!HG34</f>
        <v>4.0499999999999998E-3</v>
      </c>
      <c r="OD21" s="631">
        <f>'Crops; pasture AMORTIZED'!HH34</f>
        <v>1.4999999999999999E-2</v>
      </c>
      <c r="OE21" s="631">
        <f>'Crops; pasture AMORTIZED'!HI34</f>
        <v>0</v>
      </c>
      <c r="OF21" s="631">
        <f>'Crops; pasture AMORTIZED'!HJ34</f>
        <v>0</v>
      </c>
      <c r="RU21" s="97"/>
      <c r="RV21" s="97"/>
      <c r="RW21" s="97"/>
      <c r="RX21" s="97"/>
      <c r="RY21" s="97"/>
      <c r="RZ21" s="97"/>
    </row>
    <row r="22" spans="1:494" s="4" customFormat="1" x14ac:dyDescent="0.25">
      <c r="A22" s="14" t="s">
        <v>73</v>
      </c>
      <c r="B22" s="14"/>
      <c r="C22" s="14"/>
      <c r="D22" s="708"/>
      <c r="E22" s="102"/>
      <c r="F22" s="102"/>
      <c r="G22" s="102"/>
      <c r="H22" s="102"/>
      <c r="I22" s="102"/>
      <c r="J22" s="102"/>
      <c r="K22" s="102"/>
      <c r="L22" s="102"/>
      <c r="M22" s="102"/>
      <c r="N22" s="628">
        <f>'Crops; pasture AMORTIZED'!P35</f>
        <v>61.507199999999997</v>
      </c>
      <c r="O22" s="67">
        <f t="shared" si="4"/>
        <v>242.42424242424244</v>
      </c>
      <c r="P22" s="67">
        <f t="shared" si="5"/>
        <v>58.18181818181818</v>
      </c>
      <c r="Q22" s="627">
        <f t="shared" si="6"/>
        <v>0.94593508047542696</v>
      </c>
      <c r="R22" s="674">
        <f>S22/NT22</f>
        <v>242.42424242424244</v>
      </c>
      <c r="S22" s="716">
        <f>W68/C68</f>
        <v>58.18181818181818</v>
      </c>
      <c r="X22" s="60"/>
      <c r="AB22" s="126">
        <f>'Crops; pasture AMORTIZED'!L35</f>
        <v>0.89420425576192708</v>
      </c>
      <c r="AC22" s="126">
        <f>'Crops; pasture AMORTIZED'!M35</f>
        <v>0.95785440613026829</v>
      </c>
      <c r="AD22" s="126">
        <f>'Crops; pasture AMORTIZED'!N35</f>
        <v>0.73616018845700826</v>
      </c>
      <c r="AE22" s="126"/>
      <c r="AF22" s="126"/>
      <c r="AG22" s="126"/>
      <c r="AH22" s="126"/>
      <c r="AI22" s="126"/>
      <c r="AJ22" s="126"/>
      <c r="AK22" s="60"/>
      <c r="AL22" s="60"/>
      <c r="AM22" s="60"/>
      <c r="AN22" s="60"/>
      <c r="AO22" s="126"/>
      <c r="AP22" s="126"/>
      <c r="AQ22" s="126"/>
      <c r="AR22" s="126"/>
      <c r="AS22" s="126"/>
      <c r="AT22" s="126"/>
      <c r="AU22" s="126"/>
      <c r="AV22" s="126"/>
      <c r="AW22" s="126"/>
      <c r="AX22" s="126"/>
      <c r="AY22" s="126"/>
      <c r="AZ22" s="126"/>
      <c r="BA22" s="126"/>
      <c r="BB22" s="126"/>
      <c r="BC22" s="126"/>
      <c r="BD22" s="126"/>
      <c r="BE22" s="126"/>
      <c r="BF22" s="126"/>
      <c r="BG22" s="126"/>
      <c r="BH22" s="126"/>
      <c r="BI22" s="126"/>
      <c r="BJ22" s="126"/>
      <c r="BK22" s="126"/>
      <c r="BL22" s="126"/>
      <c r="BM22" s="126"/>
      <c r="BN22" s="126"/>
      <c r="BO22" s="126"/>
      <c r="BP22" s="126">
        <f>'Crops; pasture AMORTIZED'!CZ35</f>
        <v>0.22237740392315597</v>
      </c>
      <c r="BQ22" s="126">
        <f>'Crops; pasture AMORTIZED'!DD35</f>
        <v>0.26421896207883433</v>
      </c>
      <c r="BR22" s="126">
        <f>'Crops; pasture AMORTIZED'!DH35</f>
        <v>0.1183102178128968</v>
      </c>
      <c r="BS22" s="126">
        <f>'Crops; pasture AMORTIZED'!DL35</f>
        <v>0.23405964326425835</v>
      </c>
      <c r="BT22" s="126">
        <f>'Crops; pasture AMORTIZED'!DP35</f>
        <v>0.2674325368779113</v>
      </c>
      <c r="BU22" s="126">
        <f>'Crops; pasture AMORTIZED'!DT35</f>
        <v>0.15119435836055617</v>
      </c>
      <c r="BV22" s="126"/>
      <c r="BW22" s="126"/>
      <c r="BX22" s="126"/>
      <c r="BY22" s="126"/>
      <c r="BZ22" s="126"/>
      <c r="CA22" s="126"/>
      <c r="CB22" s="126"/>
      <c r="CC22" s="126"/>
      <c r="CD22" s="126"/>
      <c r="CE22" s="126"/>
      <c r="CF22" s="126"/>
      <c r="CG22" s="126"/>
      <c r="CH22" s="126"/>
      <c r="CI22" s="126"/>
      <c r="CJ22" s="41"/>
      <c r="CL22" s="714"/>
      <c r="CM22" s="32"/>
      <c r="CN22" s="67"/>
      <c r="CO22" s="68"/>
      <c r="CP22" s="68"/>
      <c r="CQ22" s="68"/>
      <c r="CR22" s="97"/>
      <c r="CS22" s="97"/>
      <c r="CT22" s="97"/>
      <c r="CU22" s="97"/>
      <c r="CV22" s="97"/>
      <c r="CW22" s="68"/>
      <c r="CX22" s="68"/>
      <c r="CY22" s="68"/>
      <c r="CZ22" s="68"/>
      <c r="DA22" s="68"/>
      <c r="DB22" s="68"/>
      <c r="DC22" s="68"/>
      <c r="DD22" s="68"/>
      <c r="DE22" s="68"/>
      <c r="DF22" s="68"/>
      <c r="DG22" s="68"/>
      <c r="DH22" s="68"/>
      <c r="DI22" s="68"/>
      <c r="DJ22" s="68"/>
      <c r="DK22" s="68"/>
      <c r="DL22" s="68"/>
      <c r="DM22" s="68"/>
      <c r="DN22" s="68"/>
      <c r="DO22" s="68"/>
      <c r="DP22" s="68"/>
      <c r="DQ22" s="68"/>
      <c r="DR22" s="68"/>
      <c r="DS22" s="68"/>
      <c r="DT22" s="68"/>
      <c r="DU22" s="68"/>
      <c r="DV22" s="68"/>
      <c r="DW22" s="68"/>
      <c r="DX22" s="68"/>
      <c r="DY22" s="68"/>
      <c r="DZ22" s="41"/>
      <c r="EE22" s="68"/>
      <c r="EF22" s="68"/>
      <c r="EG22" s="68"/>
      <c r="EM22" s="68"/>
      <c r="EN22" s="68"/>
      <c r="EO22" s="68"/>
      <c r="EP22" s="68"/>
      <c r="EQ22" s="68"/>
      <c r="ER22" s="68"/>
      <c r="ES22" s="68"/>
      <c r="ET22" s="68"/>
      <c r="EU22" s="68"/>
      <c r="EV22" s="68"/>
      <c r="EW22" s="68"/>
      <c r="EX22" s="68"/>
      <c r="EY22" s="68"/>
      <c r="EZ22" s="68"/>
      <c r="FA22" s="68"/>
      <c r="FB22" s="126">
        <f>'Crops; pasture AMORTIZED'!DX35</f>
        <v>0.46610803288070346</v>
      </c>
      <c r="FC22" s="126">
        <f>'Crops; pasture AMORTIZED'!EA35</f>
        <v>0.53256704980842906</v>
      </c>
      <c r="FD22" s="126">
        <f>'Crops; pasture AMORTIZED'!ED35</f>
        <v>0.30108951707891635</v>
      </c>
      <c r="FE22" s="126"/>
      <c r="FF22" s="126"/>
      <c r="FG22" s="126"/>
      <c r="FH22" s="126"/>
      <c r="FI22" s="126"/>
      <c r="FJ22" s="126"/>
      <c r="FK22" s="126"/>
      <c r="FL22" s="126"/>
      <c r="FM22" s="126"/>
      <c r="FN22" s="126"/>
      <c r="FO22" s="126"/>
      <c r="FP22" s="126"/>
      <c r="FQ22" s="126"/>
      <c r="FR22" s="126"/>
      <c r="FS22" s="126"/>
      <c r="FV22" s="60"/>
      <c r="FY22" s="68"/>
      <c r="FZ22" s="60"/>
      <c r="GF22" s="68"/>
      <c r="GG22" s="126"/>
      <c r="GH22" s="126"/>
      <c r="GI22" s="126"/>
      <c r="GJ22" s="126"/>
      <c r="GK22" s="126"/>
      <c r="GL22" s="126"/>
      <c r="GM22" s="126"/>
      <c r="GN22" s="126"/>
      <c r="GO22" s="126"/>
      <c r="GP22" s="126"/>
      <c r="GQ22" s="126"/>
      <c r="GR22" s="126"/>
      <c r="GS22" s="126"/>
      <c r="GT22" s="126"/>
      <c r="GU22" s="126">
        <f>'Crops; pasture AMORTIZED'!EK35</f>
        <v>5.1830485731751745E-2</v>
      </c>
      <c r="GV22" s="126">
        <f>'Crops; pasture AMORTIZED'!EP35</f>
        <v>6.443722796934867E-2</v>
      </c>
      <c r="GW22" s="126">
        <f>'Crops; pasture AMORTIZED'!EW35</f>
        <v>2.0527797408716138E-2</v>
      </c>
      <c r="GX22" s="126"/>
      <c r="GY22" s="123"/>
      <c r="GZ22" s="123"/>
      <c r="HA22" s="123"/>
      <c r="HB22" s="123"/>
      <c r="HC22" s="123"/>
      <c r="HD22" s="123"/>
      <c r="HE22" s="123"/>
      <c r="HF22" s="123"/>
      <c r="HG22" s="123"/>
      <c r="HH22" s="123"/>
      <c r="HI22" s="123"/>
      <c r="HJ22" s="123"/>
      <c r="HK22" s="123"/>
      <c r="HL22" s="123"/>
      <c r="HM22" s="123"/>
      <c r="HN22" s="123"/>
      <c r="HO22" s="123"/>
      <c r="HP22" s="60"/>
      <c r="HQ22" s="123"/>
      <c r="HR22" s="60"/>
      <c r="HS22" s="68"/>
      <c r="HT22" s="68"/>
      <c r="HU22" s="68"/>
      <c r="HV22" s="68"/>
      <c r="HW22" s="68"/>
      <c r="HX22" s="68"/>
      <c r="HY22" s="68"/>
      <c r="HZ22" s="68"/>
      <c r="IA22" s="68"/>
      <c r="IB22" s="68"/>
      <c r="IC22" s="68"/>
      <c r="ID22" s="68"/>
      <c r="IE22" s="68"/>
      <c r="IF22" s="68"/>
      <c r="IG22" s="68"/>
      <c r="IH22" s="68"/>
      <c r="II22" s="68"/>
      <c r="IJ22" s="68"/>
      <c r="IK22" s="68"/>
      <c r="IL22" s="68"/>
      <c r="IM22" s="68"/>
      <c r="IN22" s="68"/>
      <c r="IO22" s="430"/>
      <c r="IP22" s="430"/>
      <c r="IQ22" s="430"/>
      <c r="IR22" s="430"/>
      <c r="IS22" s="430"/>
      <c r="IT22" s="430"/>
      <c r="IU22" s="430"/>
      <c r="IV22" s="41"/>
      <c r="IW22" s="60"/>
      <c r="IX22" s="60"/>
      <c r="IY22" s="60"/>
      <c r="IZ22" s="60"/>
      <c r="JA22" s="60"/>
      <c r="JB22" s="60"/>
      <c r="JC22" s="60"/>
      <c r="JD22" s="60"/>
      <c r="JE22" s="60"/>
      <c r="JF22" s="60"/>
      <c r="JG22" s="60"/>
      <c r="JH22" s="60"/>
      <c r="JI22" s="60"/>
      <c r="JJ22" s="60"/>
      <c r="JK22" s="60"/>
      <c r="JL22" s="60"/>
      <c r="JM22" s="123"/>
      <c r="JN22" s="123"/>
      <c r="JO22" s="123"/>
      <c r="JP22" s="123"/>
      <c r="JQ22" s="60"/>
      <c r="JR22" s="60"/>
      <c r="JS22" s="60"/>
      <c r="JT22" s="60"/>
      <c r="JU22" s="60"/>
      <c r="JV22" s="60"/>
      <c r="JW22" s="60"/>
      <c r="JX22" s="60"/>
      <c r="JY22" s="60"/>
      <c r="JZ22" s="60"/>
      <c r="KA22" s="60"/>
      <c r="KB22" s="60"/>
      <c r="KC22" s="60"/>
      <c r="KD22" s="123"/>
      <c r="KE22" s="123"/>
      <c r="KF22" s="123"/>
      <c r="KG22" s="123"/>
      <c r="KH22" s="123"/>
      <c r="KI22" s="123"/>
      <c r="KJ22" s="123"/>
      <c r="KK22" s="123"/>
      <c r="KL22" s="123"/>
      <c r="KM22" s="123"/>
      <c r="KN22" s="123"/>
      <c r="KO22" s="123"/>
      <c r="KP22" s="123"/>
      <c r="KQ22" s="123"/>
      <c r="KR22" s="123"/>
      <c r="KS22" s="123"/>
      <c r="KT22" s="60"/>
      <c r="KU22" s="60"/>
      <c r="KV22" s="60"/>
      <c r="KW22" s="60"/>
      <c r="KX22" s="68"/>
      <c r="KY22" s="60"/>
      <c r="KZ22" s="60"/>
      <c r="LA22" s="60"/>
      <c r="LB22" s="60"/>
      <c r="LC22" s="68"/>
      <c r="LD22" s="68"/>
      <c r="LE22" s="68"/>
      <c r="LF22" s="68"/>
      <c r="LG22" s="68"/>
      <c r="LH22" s="68"/>
      <c r="LI22" s="68"/>
      <c r="LJ22" s="68"/>
      <c r="LK22" s="68"/>
      <c r="LL22" s="68"/>
      <c r="LM22" s="68"/>
      <c r="LN22" s="68"/>
      <c r="LO22" s="68"/>
      <c r="LP22" s="68"/>
      <c r="LQ22" s="68"/>
      <c r="LR22" s="68"/>
      <c r="LS22" s="68"/>
      <c r="LT22" s="68"/>
      <c r="LU22" s="68"/>
      <c r="LV22" s="68"/>
      <c r="LW22" s="68"/>
      <c r="LX22" s="60"/>
      <c r="LY22" s="60"/>
      <c r="LZ22" s="60"/>
      <c r="MA22" s="60"/>
      <c r="MB22" s="68"/>
      <c r="MC22" s="60"/>
      <c r="MD22" s="60"/>
      <c r="ME22" s="60"/>
      <c r="MF22" s="60"/>
      <c r="MG22" s="68"/>
      <c r="MH22" s="68"/>
      <c r="MI22" s="68"/>
      <c r="MJ22" s="68"/>
      <c r="MK22" s="68"/>
      <c r="ML22" s="68"/>
      <c r="MM22" s="68"/>
      <c r="MN22" s="68"/>
      <c r="MO22" s="68"/>
      <c r="MP22" s="68"/>
      <c r="MQ22" s="68"/>
      <c r="MR22" s="60"/>
      <c r="MS22" s="60"/>
      <c r="MT22" s="60"/>
      <c r="MU22" s="60"/>
      <c r="MV22" s="60"/>
      <c r="MW22" s="68"/>
      <c r="MX22" s="68"/>
      <c r="MY22" s="68"/>
      <c r="MZ22" s="68"/>
      <c r="NA22" s="68"/>
      <c r="NB22" s="68"/>
      <c r="NC22" s="68"/>
      <c r="ND22" s="68"/>
      <c r="NE22" s="68"/>
      <c r="NF22" s="68"/>
      <c r="NG22" s="68"/>
      <c r="NH22" s="68"/>
      <c r="NI22" s="68"/>
      <c r="NJ22" s="68"/>
      <c r="NK22" s="68"/>
      <c r="NL22" s="68"/>
      <c r="NM22" s="68"/>
      <c r="NN22" s="68"/>
      <c r="NO22" s="68"/>
      <c r="NP22" s="68"/>
      <c r="NQ22" s="68"/>
      <c r="NR22" s="60"/>
      <c r="NS22" s="60"/>
      <c r="NT22" s="631">
        <f>'Crops; pasture AMORTIZED'!HB35</f>
        <v>0.24</v>
      </c>
      <c r="NU22" s="631"/>
      <c r="NV22" s="41">
        <f>'Crops; pasture AMORTIZED'!HC35</f>
        <v>4.08</v>
      </c>
      <c r="NW22" s="41">
        <f>'Crops; pasture AMORTIZED'!HD35</f>
        <v>17</v>
      </c>
      <c r="NX22" s="41"/>
      <c r="NY22" s="41"/>
      <c r="NZ22" s="41"/>
      <c r="OA22" s="41">
        <f>'Crops; pasture AMORTIZED'!HE35</f>
        <v>2.1383999999999999</v>
      </c>
      <c r="OB22" s="41">
        <f>'Crops; pasture AMORTIZED'!HF35</f>
        <v>8.91</v>
      </c>
      <c r="OC22" s="631">
        <f>'Crops; pasture AMORTIZED'!HG35</f>
        <v>8.4000000000000012E-3</v>
      </c>
      <c r="OD22" s="631">
        <f>'Crops; pasture AMORTIZED'!HH35</f>
        <v>3.5000000000000003E-2</v>
      </c>
      <c r="OE22" s="631">
        <f>'Crops; pasture AMORTIZED'!HI35</f>
        <v>0</v>
      </c>
      <c r="OF22" s="631">
        <f>'Crops; pasture AMORTIZED'!HJ35</f>
        <v>0</v>
      </c>
      <c r="RU22" s="97"/>
      <c r="RV22" s="97"/>
      <c r="RW22" s="97"/>
      <c r="RX22" s="97"/>
      <c r="RY22" s="97"/>
      <c r="RZ22" s="97"/>
    </row>
    <row r="23" spans="1:494" s="4" customFormat="1" x14ac:dyDescent="0.25">
      <c r="A23" s="14"/>
      <c r="B23" s="14"/>
      <c r="C23" s="14"/>
      <c r="D23" s="708"/>
      <c r="E23" s="102"/>
      <c r="F23" s="102"/>
      <c r="G23" s="102"/>
      <c r="H23" s="102"/>
      <c r="I23" s="102"/>
      <c r="J23" s="102"/>
      <c r="K23" s="102"/>
      <c r="L23" s="102"/>
      <c r="M23" s="102"/>
      <c r="N23" s="14"/>
      <c r="O23" s="14"/>
      <c r="P23" s="14"/>
      <c r="Q23" s="14"/>
      <c r="R23" s="14"/>
      <c r="S23" s="14"/>
      <c r="T23" s="14"/>
      <c r="U23" s="14"/>
      <c r="X23" s="60"/>
      <c r="AB23" s="126"/>
      <c r="AC23" s="126"/>
      <c r="AD23" s="126"/>
      <c r="AE23" s="126"/>
      <c r="AF23" s="126"/>
      <c r="AG23" s="126"/>
      <c r="AH23" s="126"/>
      <c r="AI23" s="126"/>
      <c r="AJ23" s="126"/>
      <c r="AK23" s="60"/>
      <c r="AL23" s="60"/>
      <c r="AM23" s="60"/>
      <c r="AN23" s="60"/>
      <c r="AO23" s="126"/>
      <c r="AP23" s="126"/>
      <c r="AQ23" s="126"/>
      <c r="AR23" s="126"/>
      <c r="AS23" s="126"/>
      <c r="AT23" s="126"/>
      <c r="AU23" s="126"/>
      <c r="AV23" s="126"/>
      <c r="AW23" s="126"/>
      <c r="AX23" s="126"/>
      <c r="AY23" s="126"/>
      <c r="AZ23" s="126"/>
      <c r="BA23" s="126"/>
      <c r="BB23" s="126"/>
      <c r="BC23" s="126"/>
      <c r="BD23" s="126"/>
      <c r="BE23" s="126"/>
      <c r="BF23" s="126"/>
      <c r="BG23" s="126"/>
      <c r="BH23" s="126"/>
      <c r="BI23" s="126"/>
      <c r="BJ23" s="126"/>
      <c r="BK23" s="126"/>
      <c r="BL23" s="126"/>
      <c r="BM23" s="126"/>
      <c r="BN23" s="126"/>
      <c r="BO23" s="126"/>
      <c r="BP23" s="60"/>
      <c r="BQ23" s="60"/>
      <c r="BR23" s="60"/>
      <c r="BS23" s="60"/>
      <c r="BT23" s="60"/>
      <c r="BU23" s="60"/>
      <c r="BV23" s="60"/>
      <c r="BW23" s="60"/>
      <c r="BX23" s="60"/>
      <c r="BY23" s="60"/>
      <c r="BZ23" s="60"/>
      <c r="CA23" s="60"/>
      <c r="CB23" s="60"/>
      <c r="CC23" s="60"/>
      <c r="CD23" s="60"/>
      <c r="CE23" s="60"/>
      <c r="CF23" s="60"/>
      <c r="CG23" s="60"/>
      <c r="CH23" s="60"/>
      <c r="CI23" s="60"/>
      <c r="CJ23" s="41"/>
      <c r="CL23" s="67"/>
      <c r="CO23" s="60"/>
      <c r="CP23" s="60"/>
      <c r="CQ23" s="60"/>
      <c r="CR23" s="97"/>
      <c r="CS23" s="97"/>
      <c r="CT23" s="97"/>
      <c r="CU23" s="97"/>
      <c r="CV23" s="97"/>
      <c r="CW23" s="60"/>
      <c r="CX23" s="60"/>
      <c r="CY23" s="60"/>
      <c r="CZ23" s="60"/>
      <c r="DA23" s="60"/>
      <c r="DB23" s="60"/>
      <c r="DC23" s="60"/>
      <c r="DD23" s="60"/>
      <c r="DE23" s="60"/>
      <c r="DF23" s="60"/>
      <c r="DG23" s="60"/>
      <c r="DH23" s="60"/>
      <c r="DI23" s="60"/>
      <c r="DJ23" s="60"/>
      <c r="DK23" s="60"/>
      <c r="DL23" s="60"/>
      <c r="DM23" s="60"/>
      <c r="DN23" s="60"/>
      <c r="DO23" s="60"/>
      <c r="DP23" s="60"/>
      <c r="DQ23" s="60"/>
      <c r="DR23" s="60"/>
      <c r="DS23" s="60"/>
      <c r="DT23" s="60"/>
      <c r="DU23" s="60"/>
      <c r="DV23" s="60"/>
      <c r="DW23" s="60"/>
      <c r="DX23" s="60"/>
      <c r="DY23" s="60"/>
      <c r="DZ23" s="41"/>
      <c r="EE23" s="60"/>
      <c r="EF23" s="60"/>
      <c r="EG23" s="60"/>
      <c r="EM23" s="60"/>
      <c r="EN23" s="60"/>
      <c r="EO23" s="60"/>
      <c r="EP23" s="60"/>
      <c r="EQ23" s="60"/>
      <c r="ER23" s="60"/>
      <c r="ES23" s="60"/>
      <c r="ET23" s="60"/>
      <c r="EU23" s="60"/>
      <c r="EV23" s="60"/>
      <c r="EW23" s="60"/>
      <c r="EX23" s="60"/>
      <c r="EY23" s="60"/>
      <c r="EZ23" s="60"/>
      <c r="FA23" s="60"/>
      <c r="FB23" s="60"/>
      <c r="FC23" s="60"/>
      <c r="FD23" s="60"/>
      <c r="FE23" s="60"/>
      <c r="FF23" s="60"/>
      <c r="FG23" s="60"/>
      <c r="FH23" s="60"/>
      <c r="FI23" s="60"/>
      <c r="FJ23" s="60"/>
      <c r="FK23" s="60"/>
      <c r="FL23" s="60"/>
      <c r="FM23" s="60"/>
      <c r="FN23" s="60"/>
      <c r="FO23" s="60"/>
      <c r="FP23" s="60"/>
      <c r="FQ23" s="60"/>
      <c r="FR23" s="60"/>
      <c r="FS23" s="60"/>
      <c r="FV23" s="60"/>
      <c r="FY23" s="60"/>
      <c r="FZ23" s="60"/>
      <c r="GF23" s="60"/>
      <c r="GG23" s="60"/>
      <c r="GH23" s="60"/>
      <c r="GI23" s="60"/>
      <c r="GJ23" s="60"/>
      <c r="GK23" s="60"/>
      <c r="GL23" s="60"/>
      <c r="GM23" s="60"/>
      <c r="GN23" s="60"/>
      <c r="GO23" s="60"/>
      <c r="GP23" s="60"/>
      <c r="GQ23" s="60"/>
      <c r="GR23" s="60"/>
      <c r="GS23" s="60"/>
      <c r="GT23" s="60"/>
      <c r="GU23" s="60"/>
      <c r="GV23" s="60"/>
      <c r="GW23" s="60"/>
      <c r="GX23" s="60"/>
      <c r="GY23" s="123"/>
      <c r="GZ23" s="123"/>
      <c r="HA23" s="123"/>
      <c r="HB23" s="123"/>
      <c r="HC23" s="123"/>
      <c r="HD23" s="123"/>
      <c r="HE23" s="123"/>
      <c r="HF23" s="123"/>
      <c r="HG23" s="123"/>
      <c r="HH23" s="123"/>
      <c r="HI23" s="123"/>
      <c r="HJ23" s="123"/>
      <c r="HK23" s="123"/>
      <c r="HL23" s="123"/>
      <c r="HM23" s="123"/>
      <c r="HN23" s="123"/>
      <c r="HO23" s="123"/>
      <c r="HP23" s="60"/>
      <c r="HQ23" s="123"/>
      <c r="HR23" s="60"/>
      <c r="HS23" s="60"/>
      <c r="HT23" s="60"/>
      <c r="HU23" s="60"/>
      <c r="HV23" s="60"/>
      <c r="HW23" s="60"/>
      <c r="HX23" s="60"/>
      <c r="HY23" s="60"/>
      <c r="HZ23" s="60"/>
      <c r="IA23" s="60"/>
      <c r="IB23" s="60"/>
      <c r="IC23" s="60"/>
      <c r="ID23" s="60"/>
      <c r="IE23" s="60"/>
      <c r="IF23" s="60"/>
      <c r="IG23" s="60"/>
      <c r="IH23" s="60"/>
      <c r="II23" s="60"/>
      <c r="IJ23" s="60"/>
      <c r="IK23" s="60"/>
      <c r="IL23" s="60"/>
      <c r="IM23" s="60"/>
      <c r="IN23" s="60"/>
      <c r="IO23" s="431"/>
      <c r="IP23" s="431"/>
      <c r="IQ23" s="431"/>
      <c r="IR23" s="431"/>
      <c r="IS23" s="431"/>
      <c r="IT23" s="431"/>
      <c r="IU23" s="431"/>
      <c r="IV23" s="41"/>
      <c r="IW23" s="60"/>
      <c r="IX23" s="60"/>
      <c r="IY23" s="60"/>
      <c r="IZ23" s="60"/>
      <c r="JA23" s="60"/>
      <c r="JB23" s="60"/>
      <c r="JC23" s="60"/>
      <c r="JD23" s="60"/>
      <c r="JE23" s="60"/>
      <c r="JF23" s="60"/>
      <c r="JG23" s="60"/>
      <c r="JH23" s="60"/>
      <c r="JI23" s="60"/>
      <c r="JJ23" s="60"/>
      <c r="JK23" s="60"/>
      <c r="JL23" s="60"/>
      <c r="JM23" s="123"/>
      <c r="JN23" s="123"/>
      <c r="JO23" s="123"/>
      <c r="JP23" s="123"/>
      <c r="JQ23" s="60"/>
      <c r="JR23" s="60"/>
      <c r="JS23" s="60"/>
      <c r="JT23" s="60"/>
      <c r="JU23" s="60"/>
      <c r="JV23" s="60"/>
      <c r="JW23" s="60"/>
      <c r="JX23" s="60"/>
      <c r="JY23" s="60"/>
      <c r="JZ23" s="60"/>
      <c r="KA23" s="60"/>
      <c r="KB23" s="60"/>
      <c r="KC23" s="60"/>
      <c r="KD23" s="123"/>
      <c r="KE23" s="123"/>
      <c r="KF23" s="123"/>
      <c r="KG23" s="123"/>
      <c r="KH23" s="123"/>
      <c r="KI23" s="123"/>
      <c r="KJ23" s="123"/>
      <c r="KK23" s="123"/>
      <c r="KL23" s="123"/>
      <c r="KM23" s="123"/>
      <c r="KN23" s="123"/>
      <c r="KO23" s="123"/>
      <c r="KP23" s="123"/>
      <c r="KQ23" s="123"/>
      <c r="KR23" s="123"/>
      <c r="KS23" s="123"/>
      <c r="KT23" s="60"/>
      <c r="KU23" s="60"/>
      <c r="KV23" s="60"/>
      <c r="KW23" s="60"/>
      <c r="KX23" s="60"/>
      <c r="KY23" s="60"/>
      <c r="KZ23" s="60"/>
      <c r="LA23" s="60"/>
      <c r="LB23" s="60"/>
      <c r="LC23" s="60"/>
      <c r="LD23" s="60"/>
      <c r="LE23" s="60"/>
      <c r="LF23" s="60"/>
      <c r="LG23" s="60"/>
      <c r="LH23" s="60"/>
      <c r="LI23" s="60"/>
      <c r="LJ23" s="60"/>
      <c r="LK23" s="60"/>
      <c r="LL23" s="60"/>
      <c r="LM23" s="60"/>
      <c r="LN23" s="60"/>
      <c r="LO23" s="60"/>
      <c r="LP23" s="60"/>
      <c r="LQ23" s="60"/>
      <c r="LR23" s="60"/>
      <c r="LS23" s="60"/>
      <c r="LT23" s="60"/>
      <c r="LU23" s="60"/>
      <c r="LV23" s="60"/>
      <c r="LW23" s="60"/>
      <c r="LX23" s="60"/>
      <c r="LY23" s="60"/>
      <c r="LZ23" s="60"/>
      <c r="MA23" s="60"/>
      <c r="MB23" s="60"/>
      <c r="MC23" s="60"/>
      <c r="MD23" s="60"/>
      <c r="ME23" s="60"/>
      <c r="MF23" s="60"/>
      <c r="MG23" s="60"/>
      <c r="MH23" s="60"/>
      <c r="MI23" s="60"/>
      <c r="MJ23" s="60"/>
      <c r="MK23" s="60"/>
      <c r="ML23" s="60"/>
      <c r="MM23" s="60"/>
      <c r="MN23" s="60"/>
      <c r="MO23" s="60"/>
      <c r="MP23" s="60"/>
      <c r="MQ23" s="60"/>
      <c r="MR23" s="60"/>
      <c r="MS23" s="60"/>
      <c r="MT23" s="60"/>
      <c r="MU23" s="60"/>
      <c r="MV23" s="60"/>
      <c r="MW23" s="60"/>
      <c r="MX23" s="60"/>
      <c r="MY23" s="60"/>
      <c r="MZ23" s="60"/>
      <c r="NA23" s="60"/>
      <c r="NB23" s="60"/>
      <c r="NC23" s="60"/>
      <c r="ND23" s="60"/>
      <c r="NE23" s="60"/>
      <c r="NF23" s="60"/>
      <c r="NG23" s="60"/>
      <c r="NH23" s="60"/>
      <c r="NI23" s="60"/>
      <c r="NJ23" s="60"/>
      <c r="NK23" s="60"/>
      <c r="NL23" s="60"/>
      <c r="NM23" s="60"/>
      <c r="NN23" s="60"/>
      <c r="NO23" s="60"/>
      <c r="NP23" s="60"/>
      <c r="NQ23" s="60"/>
      <c r="NR23" s="60"/>
      <c r="NS23" s="60"/>
      <c r="RU23" s="97"/>
      <c r="RV23" s="97"/>
      <c r="RW23" s="97"/>
      <c r="RX23" s="97"/>
      <c r="RY23" s="97"/>
      <c r="RZ23" s="97"/>
    </row>
    <row r="24" spans="1:494" s="4" customFormat="1" ht="13.8" x14ac:dyDescent="0.3">
      <c r="A24" s="15" t="s">
        <v>78</v>
      </c>
      <c r="B24" s="14"/>
      <c r="C24" s="14"/>
      <c r="D24" s="708"/>
      <c r="E24" s="102"/>
      <c r="F24" s="102"/>
      <c r="G24" s="102"/>
      <c r="H24" s="102"/>
      <c r="I24" s="102"/>
      <c r="J24" s="102"/>
      <c r="K24" s="102"/>
      <c r="L24" s="102"/>
      <c r="M24" s="102"/>
      <c r="N24" s="14"/>
      <c r="O24" s="630"/>
      <c r="P24" s="14"/>
      <c r="Q24" s="14"/>
      <c r="R24" s="14"/>
      <c r="S24" s="14"/>
      <c r="U24" s="14"/>
      <c r="X24" s="60"/>
      <c r="AB24" s="126"/>
      <c r="AC24" s="126"/>
      <c r="AD24" s="126"/>
      <c r="AE24" s="126"/>
      <c r="AF24" s="126"/>
      <c r="AG24" s="126"/>
      <c r="AH24" s="126"/>
      <c r="AI24" s="126"/>
      <c r="AJ24" s="126"/>
      <c r="AK24" s="60"/>
      <c r="AL24" s="60"/>
      <c r="AM24" s="60"/>
      <c r="AN24" s="60"/>
      <c r="AO24" s="126"/>
      <c r="AP24" s="126"/>
      <c r="AQ24" s="126"/>
      <c r="AR24" s="126"/>
      <c r="AS24" s="126"/>
      <c r="AT24" s="126"/>
      <c r="AU24" s="126"/>
      <c r="AV24" s="126"/>
      <c r="AW24" s="126"/>
      <c r="AX24" s="126"/>
      <c r="AY24" s="126"/>
      <c r="AZ24" s="126"/>
      <c r="BA24" s="126"/>
      <c r="BB24" s="126"/>
      <c r="BC24" s="126"/>
      <c r="BD24" s="126"/>
      <c r="BE24" s="126"/>
      <c r="BF24" s="126"/>
      <c r="BG24" s="126"/>
      <c r="BH24" s="126"/>
      <c r="BI24" s="126"/>
      <c r="BJ24" s="126"/>
      <c r="BK24" s="126"/>
      <c r="BL24" s="126"/>
      <c r="BM24" s="126"/>
      <c r="BN24" s="126"/>
      <c r="BO24" s="126"/>
      <c r="BP24" s="74"/>
      <c r="BQ24" s="74"/>
      <c r="BR24" s="74"/>
      <c r="BS24" s="74"/>
      <c r="BT24" s="74"/>
      <c r="BU24" s="74"/>
      <c r="BV24" s="74"/>
      <c r="BW24" s="74"/>
      <c r="BX24" s="74"/>
      <c r="BY24" s="74"/>
      <c r="BZ24" s="74"/>
      <c r="CA24" s="74"/>
      <c r="CB24" s="74"/>
      <c r="CC24" s="74"/>
      <c r="CD24" s="74"/>
      <c r="CE24" s="74"/>
      <c r="CF24" s="74"/>
      <c r="CG24" s="74"/>
      <c r="CH24" s="74"/>
      <c r="CI24" s="74"/>
      <c r="CJ24" s="41"/>
      <c r="CL24" s="55"/>
      <c r="CN24" s="37"/>
      <c r="CO24" s="74"/>
      <c r="CP24" s="74"/>
      <c r="CQ24" s="74"/>
      <c r="CR24" s="97"/>
      <c r="CS24" s="97"/>
      <c r="CT24" s="97"/>
      <c r="CU24" s="97"/>
      <c r="CV24" s="97"/>
      <c r="CW24" s="74"/>
      <c r="CX24" s="74"/>
      <c r="CY24" s="74"/>
      <c r="CZ24" s="74"/>
      <c r="DA24" s="74"/>
      <c r="DB24" s="74"/>
      <c r="DC24" s="74"/>
      <c r="DD24" s="74"/>
      <c r="DE24" s="74"/>
      <c r="DF24" s="74"/>
      <c r="DG24" s="74"/>
      <c r="DH24" s="74"/>
      <c r="DI24" s="74"/>
      <c r="DJ24" s="74"/>
      <c r="DK24" s="74"/>
      <c r="DL24" s="74"/>
      <c r="DM24" s="74"/>
      <c r="DN24" s="74"/>
      <c r="DO24" s="74"/>
      <c r="DP24" s="74"/>
      <c r="DQ24" s="74"/>
      <c r="DR24" s="74"/>
      <c r="DS24" s="74"/>
      <c r="DT24" s="74"/>
      <c r="DU24" s="74"/>
      <c r="DV24" s="74"/>
      <c r="DW24" s="74"/>
      <c r="DX24" s="74"/>
      <c r="DY24" s="74"/>
      <c r="DZ24" s="41"/>
      <c r="EE24" s="74"/>
      <c r="EF24" s="74"/>
      <c r="EG24" s="74"/>
      <c r="EM24" s="74"/>
      <c r="EN24" s="74"/>
      <c r="EO24" s="74"/>
      <c r="EP24" s="74"/>
      <c r="EQ24" s="74"/>
      <c r="ER24" s="74"/>
      <c r="ES24" s="74"/>
      <c r="ET24" s="74"/>
      <c r="EU24" s="74"/>
      <c r="EV24" s="74"/>
      <c r="EW24" s="74"/>
      <c r="EX24" s="74"/>
      <c r="EY24" s="74"/>
      <c r="EZ24" s="74"/>
      <c r="FA24" s="74"/>
      <c r="FB24" s="74"/>
      <c r="FC24" s="74"/>
      <c r="FD24" s="74"/>
      <c r="FE24" s="74"/>
      <c r="FF24" s="74"/>
      <c r="FG24" s="74"/>
      <c r="FH24" s="74"/>
      <c r="FI24" s="74"/>
      <c r="FJ24" s="74"/>
      <c r="FK24" s="74"/>
      <c r="FL24" s="74"/>
      <c r="FM24" s="74"/>
      <c r="FN24" s="74"/>
      <c r="FO24" s="74"/>
      <c r="FP24" s="74"/>
      <c r="FQ24" s="74"/>
      <c r="FR24" s="74"/>
      <c r="FS24" s="74"/>
      <c r="FV24" s="60"/>
      <c r="FY24" s="74"/>
      <c r="FZ24" s="60"/>
      <c r="GF24" s="74"/>
      <c r="GG24" s="74"/>
      <c r="GH24" s="74"/>
      <c r="GI24" s="74"/>
      <c r="GJ24" s="74"/>
      <c r="GK24" s="74"/>
      <c r="GL24" s="74"/>
      <c r="GM24" s="74"/>
      <c r="GN24" s="74"/>
      <c r="GO24" s="74"/>
      <c r="GP24" s="74"/>
      <c r="GQ24" s="74"/>
      <c r="GR24" s="74"/>
      <c r="GS24" s="74"/>
      <c r="GT24" s="74"/>
      <c r="GU24" s="74"/>
      <c r="GV24" s="74"/>
      <c r="GW24" s="74"/>
      <c r="GX24" s="74"/>
      <c r="GY24" s="123"/>
      <c r="GZ24" s="123"/>
      <c r="HA24" s="123"/>
      <c r="HB24" s="123"/>
      <c r="HC24" s="123"/>
      <c r="HD24" s="123"/>
      <c r="HE24" s="123"/>
      <c r="HF24" s="123"/>
      <c r="HG24" s="123"/>
      <c r="HH24" s="123"/>
      <c r="HI24" s="123"/>
      <c r="HJ24" s="123"/>
      <c r="HK24" s="123"/>
      <c r="HL24" s="123"/>
      <c r="HM24" s="123"/>
      <c r="HN24" s="123"/>
      <c r="HO24" s="123"/>
      <c r="HP24" s="60"/>
      <c r="HQ24" s="123"/>
      <c r="HR24" s="60"/>
      <c r="HS24" s="74"/>
      <c r="HT24" s="74"/>
      <c r="HU24" s="74"/>
      <c r="HV24" s="74"/>
      <c r="HW24" s="74"/>
      <c r="HX24" s="74"/>
      <c r="HY24" s="74"/>
      <c r="HZ24" s="74"/>
      <c r="IA24" s="74"/>
      <c r="IB24" s="74"/>
      <c r="IC24" s="74"/>
      <c r="ID24" s="74"/>
      <c r="IE24" s="74"/>
      <c r="IF24" s="74"/>
      <c r="IG24" s="74"/>
      <c r="IH24" s="74"/>
      <c r="II24" s="74"/>
      <c r="IJ24" s="74"/>
      <c r="IK24" s="74"/>
      <c r="IL24" s="74"/>
      <c r="IM24" s="74"/>
      <c r="IN24" s="74"/>
      <c r="IO24" s="431"/>
      <c r="IP24" s="431"/>
      <c r="IQ24" s="431"/>
      <c r="IR24" s="431"/>
      <c r="IS24" s="431"/>
      <c r="IT24" s="431"/>
      <c r="IU24" s="431"/>
      <c r="IV24" s="41"/>
      <c r="IW24" s="60"/>
      <c r="IX24" s="60"/>
      <c r="IY24" s="60"/>
      <c r="IZ24" s="60"/>
      <c r="JA24" s="60"/>
      <c r="JB24" s="60"/>
      <c r="JC24" s="60"/>
      <c r="JD24" s="60"/>
      <c r="JE24" s="60"/>
      <c r="JF24" s="60"/>
      <c r="JG24" s="60"/>
      <c r="JH24" s="60"/>
      <c r="JI24" s="60"/>
      <c r="JJ24" s="60"/>
      <c r="JK24" s="60"/>
      <c r="JL24" s="60"/>
      <c r="JM24" s="123"/>
      <c r="JN24" s="123"/>
      <c r="JO24" s="123"/>
      <c r="JP24" s="123"/>
      <c r="JQ24" s="60"/>
      <c r="JR24" s="60"/>
      <c r="JS24" s="60"/>
      <c r="JT24" s="60"/>
      <c r="JU24" s="60"/>
      <c r="JV24" s="60"/>
      <c r="JW24" s="60"/>
      <c r="JX24" s="60"/>
      <c r="JY24" s="60"/>
      <c r="JZ24" s="60"/>
      <c r="KA24" s="60"/>
      <c r="KB24" s="60"/>
      <c r="KC24" s="60"/>
      <c r="KD24" s="123"/>
      <c r="KE24" s="123"/>
      <c r="KF24" s="123"/>
      <c r="KG24" s="123"/>
      <c r="KH24" s="123"/>
      <c r="KI24" s="123"/>
      <c r="KJ24" s="123"/>
      <c r="KK24" s="123"/>
      <c r="KL24" s="123"/>
      <c r="KM24" s="123"/>
      <c r="KN24" s="123"/>
      <c r="KO24" s="123"/>
      <c r="KP24" s="123"/>
      <c r="KQ24" s="123"/>
      <c r="KR24" s="123"/>
      <c r="KS24" s="123"/>
      <c r="KT24" s="60"/>
      <c r="KU24" s="60"/>
      <c r="KV24" s="60"/>
      <c r="KW24" s="60"/>
      <c r="KX24" s="74"/>
      <c r="KY24" s="60"/>
      <c r="KZ24" s="60"/>
      <c r="LA24" s="60"/>
      <c r="LB24" s="60"/>
      <c r="LC24" s="74"/>
      <c r="LD24" s="74"/>
      <c r="LE24" s="74"/>
      <c r="LF24" s="74"/>
      <c r="LG24" s="74"/>
      <c r="LH24" s="74"/>
      <c r="LI24" s="74"/>
      <c r="LJ24" s="74"/>
      <c r="LK24" s="74"/>
      <c r="LL24" s="74"/>
      <c r="LM24" s="74"/>
      <c r="LN24" s="74"/>
      <c r="LO24" s="74"/>
      <c r="LP24" s="74"/>
      <c r="LQ24" s="74"/>
      <c r="LR24" s="74"/>
      <c r="LS24" s="74"/>
      <c r="LT24" s="74"/>
      <c r="LU24" s="74"/>
      <c r="LV24" s="74"/>
      <c r="LW24" s="74"/>
      <c r="LX24" s="60"/>
      <c r="LY24" s="60"/>
      <c r="LZ24" s="60"/>
      <c r="MA24" s="60"/>
      <c r="MB24" s="74"/>
      <c r="MC24" s="60"/>
      <c r="MD24" s="60"/>
      <c r="ME24" s="60"/>
      <c r="MF24" s="60"/>
      <c r="MG24" s="74"/>
      <c r="MH24" s="74"/>
      <c r="MI24" s="74"/>
      <c r="MJ24" s="74"/>
      <c r="MK24" s="74"/>
      <c r="ML24" s="74"/>
      <c r="MM24" s="74"/>
      <c r="MN24" s="74"/>
      <c r="MO24" s="74"/>
      <c r="MP24" s="74"/>
      <c r="MQ24" s="74"/>
      <c r="MR24" s="60"/>
      <c r="MS24" s="60"/>
      <c r="MT24" s="60"/>
      <c r="MU24" s="60"/>
      <c r="MV24" s="60"/>
      <c r="MW24" s="74"/>
      <c r="MX24" s="74"/>
      <c r="MY24" s="74"/>
      <c r="MZ24" s="74"/>
      <c r="NA24" s="74"/>
      <c r="NB24" s="74"/>
      <c r="NC24" s="74"/>
      <c r="ND24" s="74"/>
      <c r="NE24" s="74"/>
      <c r="NF24" s="74"/>
      <c r="NG24" s="74"/>
      <c r="NH24" s="74"/>
      <c r="NI24" s="74"/>
      <c r="NJ24" s="74"/>
      <c r="NK24" s="74"/>
      <c r="NL24" s="74"/>
      <c r="NM24" s="74"/>
      <c r="NN24" s="74"/>
      <c r="NO24" s="74"/>
      <c r="NP24" s="74"/>
      <c r="NQ24" s="74"/>
      <c r="NR24" s="60"/>
      <c r="NS24" s="60"/>
      <c r="RU24" s="97"/>
      <c r="RV24" s="97"/>
      <c r="RW24" s="97"/>
      <c r="RX24" s="97"/>
      <c r="RY24" s="97"/>
      <c r="RZ24" s="97"/>
    </row>
    <row r="25" spans="1:494" s="49" customFormat="1" x14ac:dyDescent="0.25">
      <c r="A25" s="50" t="s">
        <v>253</v>
      </c>
      <c r="B25" s="50"/>
      <c r="C25" s="50"/>
      <c r="D25" s="710"/>
      <c r="E25" s="575"/>
      <c r="F25" s="575"/>
      <c r="G25" s="575"/>
      <c r="H25" s="575"/>
      <c r="I25" s="575"/>
      <c r="J25" s="575"/>
      <c r="K25" s="575"/>
      <c r="L25" s="575"/>
      <c r="M25" s="575"/>
      <c r="N25" s="625">
        <f>'Crops; pasture AMORTIZED'!P37</f>
        <v>418.87862000000001</v>
      </c>
      <c r="O25" s="634"/>
      <c r="P25" s="634">
        <f>SUM(P26:P30)</f>
        <v>336.494555353902</v>
      </c>
      <c r="Q25" s="711">
        <f t="shared" ref="Q25:Q30" si="7">P25/N25</f>
        <v>0.80332234515550593</v>
      </c>
      <c r="R25" s="50"/>
      <c r="S25" s="50"/>
      <c r="T25" s="634">
        <f>SUM(T26:T30)</f>
        <v>437.76754985722874</v>
      </c>
      <c r="U25" s="50"/>
      <c r="X25" s="123"/>
      <c r="AB25" s="550"/>
      <c r="AC25" s="550"/>
      <c r="AD25" s="550"/>
      <c r="AE25" s="550"/>
      <c r="AF25" s="550"/>
      <c r="AG25" s="550"/>
      <c r="AH25" s="550"/>
      <c r="AI25" s="550"/>
      <c r="AJ25" s="550"/>
      <c r="AK25" s="123"/>
      <c r="AL25" s="123"/>
      <c r="AM25" s="123"/>
      <c r="AN25" s="123"/>
      <c r="AO25" s="550"/>
      <c r="AP25" s="550"/>
      <c r="AQ25" s="550"/>
      <c r="AR25" s="550"/>
      <c r="AS25" s="550"/>
      <c r="AT25" s="550"/>
      <c r="AU25" s="550"/>
      <c r="AV25" s="550"/>
      <c r="AW25" s="550"/>
      <c r="AX25" s="550"/>
      <c r="AY25" s="550"/>
      <c r="AZ25" s="550"/>
      <c r="BA25" s="550"/>
      <c r="BB25" s="550"/>
      <c r="BC25" s="550"/>
      <c r="BD25" s="550"/>
      <c r="BE25" s="550"/>
      <c r="BF25" s="550"/>
      <c r="BG25" s="550"/>
      <c r="BH25" s="550"/>
      <c r="BI25" s="550"/>
      <c r="BJ25" s="550"/>
      <c r="BK25" s="550"/>
      <c r="BL25" s="550"/>
      <c r="BM25" s="550"/>
      <c r="BN25" s="550"/>
      <c r="BO25" s="550"/>
      <c r="BP25" s="133"/>
      <c r="BQ25" s="133"/>
      <c r="BR25" s="133"/>
      <c r="BS25" s="133"/>
      <c r="BT25" s="133"/>
      <c r="BU25" s="133"/>
      <c r="BV25" s="133"/>
      <c r="BW25" s="133"/>
      <c r="BX25" s="133"/>
      <c r="BY25" s="133"/>
      <c r="BZ25" s="133"/>
      <c r="CA25" s="133"/>
      <c r="CB25" s="133"/>
      <c r="CC25" s="133"/>
      <c r="CD25" s="133"/>
      <c r="CE25" s="133"/>
      <c r="CF25" s="133"/>
      <c r="CG25" s="133"/>
      <c r="CH25" s="133"/>
      <c r="CI25" s="133"/>
      <c r="CJ25" s="715"/>
      <c r="CL25" s="689"/>
      <c r="CN25" s="54"/>
      <c r="CO25" s="133"/>
      <c r="CP25" s="133"/>
      <c r="CQ25" s="133"/>
      <c r="CR25" s="149"/>
      <c r="CS25" s="149"/>
      <c r="CT25" s="149"/>
      <c r="CU25" s="149"/>
      <c r="CV25" s="149"/>
      <c r="CW25" s="133"/>
      <c r="CX25" s="133"/>
      <c r="CY25" s="133"/>
      <c r="CZ25" s="133"/>
      <c r="DA25" s="133"/>
      <c r="DB25" s="133"/>
      <c r="DC25" s="133"/>
      <c r="DD25" s="133"/>
      <c r="DE25" s="133"/>
      <c r="DF25" s="133"/>
      <c r="DG25" s="133"/>
      <c r="DH25" s="133"/>
      <c r="DI25" s="133"/>
      <c r="DJ25" s="133"/>
      <c r="DK25" s="133"/>
      <c r="DL25" s="133"/>
      <c r="DM25" s="133"/>
      <c r="DN25" s="133"/>
      <c r="DO25" s="133"/>
      <c r="DP25" s="133"/>
      <c r="DQ25" s="133"/>
      <c r="DR25" s="133"/>
      <c r="DS25" s="133"/>
      <c r="DT25" s="133"/>
      <c r="DU25" s="133"/>
      <c r="DV25" s="133"/>
      <c r="DW25" s="133"/>
      <c r="DX25" s="133"/>
      <c r="DY25" s="133"/>
      <c r="DZ25" s="715"/>
      <c r="EE25" s="133"/>
      <c r="EF25" s="133"/>
      <c r="EG25" s="133"/>
      <c r="EM25" s="133"/>
      <c r="EN25" s="133"/>
      <c r="EO25" s="133"/>
      <c r="EP25" s="133"/>
      <c r="EQ25" s="133"/>
      <c r="ER25" s="133"/>
      <c r="ES25" s="133"/>
      <c r="ET25" s="133"/>
      <c r="EU25" s="133"/>
      <c r="EV25" s="133"/>
      <c r="EW25" s="133"/>
      <c r="EX25" s="133"/>
      <c r="EY25" s="133"/>
      <c r="EZ25" s="133"/>
      <c r="FA25" s="133"/>
      <c r="FB25" s="133"/>
      <c r="FC25" s="133"/>
      <c r="FD25" s="133"/>
      <c r="FE25" s="133"/>
      <c r="FF25" s="133"/>
      <c r="FG25" s="133"/>
      <c r="FH25" s="133"/>
      <c r="FI25" s="133"/>
      <c r="FJ25" s="133"/>
      <c r="FK25" s="133"/>
      <c r="FL25" s="133"/>
      <c r="FM25" s="133"/>
      <c r="FN25" s="133"/>
      <c r="FO25" s="133"/>
      <c r="FP25" s="133"/>
      <c r="FQ25" s="133"/>
      <c r="FR25" s="133"/>
      <c r="FS25" s="133"/>
      <c r="FV25" s="123"/>
      <c r="FY25" s="133"/>
      <c r="FZ25" s="123"/>
      <c r="GF25" s="133"/>
      <c r="GG25" s="133"/>
      <c r="GH25" s="133"/>
      <c r="GI25" s="133"/>
      <c r="GJ25" s="133"/>
      <c r="GK25" s="133"/>
      <c r="GL25" s="133"/>
      <c r="GM25" s="133"/>
      <c r="GN25" s="133"/>
      <c r="GO25" s="133"/>
      <c r="GP25" s="133"/>
      <c r="GQ25" s="133"/>
      <c r="GR25" s="133"/>
      <c r="GS25" s="133"/>
      <c r="GT25" s="133"/>
      <c r="GU25" s="133"/>
      <c r="GV25" s="133"/>
      <c r="GW25" s="133"/>
      <c r="GX25" s="133"/>
      <c r="GY25" s="123"/>
      <c r="GZ25" s="123"/>
      <c r="HA25" s="123"/>
      <c r="HB25" s="123"/>
      <c r="HC25" s="123"/>
      <c r="HD25" s="123"/>
      <c r="HE25" s="123"/>
      <c r="HF25" s="123"/>
      <c r="HG25" s="123"/>
      <c r="HH25" s="123"/>
      <c r="HI25" s="123"/>
      <c r="HJ25" s="123"/>
      <c r="HK25" s="123"/>
      <c r="HL25" s="123"/>
      <c r="HM25" s="123"/>
      <c r="HN25" s="123"/>
      <c r="HO25" s="123"/>
      <c r="HP25" s="123"/>
      <c r="HQ25" s="123"/>
      <c r="HR25" s="123"/>
      <c r="HS25" s="133"/>
      <c r="HT25" s="133"/>
      <c r="HU25" s="133"/>
      <c r="HV25" s="133"/>
      <c r="HW25" s="133"/>
      <c r="HX25" s="133"/>
      <c r="HY25" s="133"/>
      <c r="HZ25" s="133"/>
      <c r="IA25" s="133"/>
      <c r="IB25" s="133"/>
      <c r="IC25" s="133"/>
      <c r="ID25" s="133"/>
      <c r="IE25" s="133"/>
      <c r="IF25" s="133"/>
      <c r="IG25" s="133"/>
      <c r="IH25" s="133"/>
      <c r="II25" s="133"/>
      <c r="IJ25" s="133"/>
      <c r="IK25" s="133"/>
      <c r="IL25" s="133"/>
      <c r="IM25" s="133"/>
      <c r="IN25" s="133"/>
      <c r="IO25" s="431"/>
      <c r="IP25" s="431"/>
      <c r="IQ25" s="431"/>
      <c r="IR25" s="431"/>
      <c r="IS25" s="431"/>
      <c r="IT25" s="431"/>
      <c r="IU25" s="431"/>
      <c r="IV25" s="715"/>
      <c r="IW25" s="123"/>
      <c r="IX25" s="123"/>
      <c r="IY25" s="123"/>
      <c r="IZ25" s="123"/>
      <c r="JA25" s="123"/>
      <c r="JB25" s="123"/>
      <c r="JC25" s="123"/>
      <c r="JD25" s="123"/>
      <c r="JE25" s="123"/>
      <c r="JF25" s="123"/>
      <c r="JG25" s="123"/>
      <c r="JH25" s="123"/>
      <c r="JI25" s="123"/>
      <c r="JJ25" s="123"/>
      <c r="JK25" s="123"/>
      <c r="JL25" s="123"/>
      <c r="JM25" s="123"/>
      <c r="JN25" s="123"/>
      <c r="JO25" s="123"/>
      <c r="JP25" s="123"/>
      <c r="JQ25" s="123"/>
      <c r="JR25" s="123"/>
      <c r="JS25" s="123"/>
      <c r="JT25" s="123"/>
      <c r="JU25" s="123"/>
      <c r="JV25" s="123"/>
      <c r="JW25" s="123"/>
      <c r="JX25" s="123"/>
      <c r="JY25" s="123"/>
      <c r="JZ25" s="123"/>
      <c r="KA25" s="123"/>
      <c r="KB25" s="123"/>
      <c r="KC25" s="123"/>
      <c r="KD25" s="123"/>
      <c r="KE25" s="123"/>
      <c r="KF25" s="123"/>
      <c r="KG25" s="123"/>
      <c r="KH25" s="123"/>
      <c r="KI25" s="123"/>
      <c r="KJ25" s="123"/>
      <c r="KK25" s="123"/>
      <c r="KL25" s="123"/>
      <c r="KM25" s="123"/>
      <c r="KN25" s="123"/>
      <c r="KO25" s="123"/>
      <c r="KP25" s="123"/>
      <c r="KQ25" s="123"/>
      <c r="KR25" s="123"/>
      <c r="KS25" s="123"/>
      <c r="KT25" s="123"/>
      <c r="KU25" s="123"/>
      <c r="KV25" s="123"/>
      <c r="KW25" s="123"/>
      <c r="KX25" s="133"/>
      <c r="KY25" s="123"/>
      <c r="KZ25" s="123"/>
      <c r="LA25" s="123"/>
      <c r="LB25" s="123"/>
      <c r="LC25" s="133"/>
      <c r="LD25" s="133"/>
      <c r="LE25" s="133"/>
      <c r="LF25" s="133"/>
      <c r="LG25" s="133"/>
      <c r="LH25" s="133"/>
      <c r="LI25" s="133"/>
      <c r="LJ25" s="133"/>
      <c r="LK25" s="133"/>
      <c r="LL25" s="133"/>
      <c r="LM25" s="133"/>
      <c r="LN25" s="133"/>
      <c r="LO25" s="133"/>
      <c r="LP25" s="133"/>
      <c r="LQ25" s="133"/>
      <c r="LR25" s="133"/>
      <c r="LS25" s="133"/>
      <c r="LT25" s="133"/>
      <c r="LU25" s="133"/>
      <c r="LV25" s="133"/>
      <c r="LW25" s="133"/>
      <c r="LX25" s="123"/>
      <c r="LY25" s="123"/>
      <c r="LZ25" s="123"/>
      <c r="MA25" s="123"/>
      <c r="MB25" s="133"/>
      <c r="MC25" s="123"/>
      <c r="MD25" s="123"/>
      <c r="ME25" s="123"/>
      <c r="MF25" s="123"/>
      <c r="MG25" s="133"/>
      <c r="MH25" s="133"/>
      <c r="MI25" s="133"/>
      <c r="MJ25" s="133"/>
      <c r="MK25" s="133"/>
      <c r="ML25" s="133"/>
      <c r="MM25" s="133"/>
      <c r="MN25" s="133"/>
      <c r="MO25" s="133"/>
      <c r="MP25" s="133"/>
      <c r="MQ25" s="133"/>
      <c r="MR25" s="123"/>
      <c r="MS25" s="123"/>
      <c r="MT25" s="123"/>
      <c r="MU25" s="123"/>
      <c r="MV25" s="123"/>
      <c r="MW25" s="133"/>
      <c r="MX25" s="133"/>
      <c r="MY25" s="133"/>
      <c r="MZ25" s="133"/>
      <c r="NA25" s="133"/>
      <c r="NB25" s="133"/>
      <c r="NC25" s="133"/>
      <c r="ND25" s="133"/>
      <c r="NE25" s="133"/>
      <c r="NF25" s="133"/>
      <c r="NG25" s="133"/>
      <c r="NH25" s="133"/>
      <c r="NI25" s="133"/>
      <c r="NJ25" s="133"/>
      <c r="NK25" s="133"/>
      <c r="NL25" s="133"/>
      <c r="NM25" s="133"/>
      <c r="NN25" s="133"/>
      <c r="NO25" s="133"/>
      <c r="NP25" s="133"/>
      <c r="NQ25" s="133"/>
      <c r="NR25" s="123"/>
      <c r="NS25" s="123"/>
      <c r="RU25" s="149"/>
      <c r="RV25" s="149"/>
      <c r="RW25" s="149"/>
      <c r="RX25" s="149"/>
      <c r="RY25" s="149"/>
      <c r="RZ25" s="149"/>
    </row>
    <row r="26" spans="1:494" s="4" customFormat="1" x14ac:dyDescent="0.25">
      <c r="A26" s="14" t="s">
        <v>77</v>
      </c>
      <c r="B26" s="14"/>
      <c r="C26" s="14"/>
      <c r="D26" s="708"/>
      <c r="E26" s="102"/>
      <c r="F26" s="102"/>
      <c r="G26" s="102"/>
      <c r="H26" s="102"/>
      <c r="I26" s="102"/>
      <c r="J26" s="102"/>
      <c r="K26" s="102"/>
      <c r="L26" s="102"/>
      <c r="M26" s="102"/>
      <c r="N26" s="628">
        <f>'Crops; pasture AMORTIZED'!P38</f>
        <v>194.63989999999998</v>
      </c>
      <c r="O26" s="67">
        <f t="shared" ref="O26:P30" si="8">R26+T26</f>
        <v>187.91208791208791</v>
      </c>
      <c r="P26" s="67">
        <f t="shared" si="8"/>
        <v>171</v>
      </c>
      <c r="Q26" s="627">
        <f t="shared" si="7"/>
        <v>0.87854545753465763</v>
      </c>
      <c r="R26" s="627"/>
      <c r="S26" s="627"/>
      <c r="T26" s="630">
        <f>U26/NT26</f>
        <v>187.91208791208791</v>
      </c>
      <c r="U26" s="14">
        <f>W79/C79</f>
        <v>171</v>
      </c>
      <c r="X26" s="60"/>
      <c r="AB26" s="126">
        <f>'Crops; pasture AMORTIZED'!L38</f>
        <v>4.593097304304</v>
      </c>
      <c r="AC26" s="126">
        <f>'Crops; pasture AMORTIZED'!M38</f>
        <v>4.6172315079878103</v>
      </c>
      <c r="AD26" s="126">
        <f>'Crops; pasture AMORTIZED'!N38</f>
        <v>4.1625041625041623</v>
      </c>
      <c r="AE26" s="126"/>
      <c r="AF26" s="126"/>
      <c r="AG26" s="126"/>
      <c r="AH26" s="126"/>
      <c r="AI26" s="126"/>
      <c r="AJ26" s="126"/>
      <c r="AK26" s="60"/>
      <c r="AL26" s="60"/>
      <c r="AM26" s="60"/>
      <c r="AN26" s="60"/>
      <c r="AO26" s="126"/>
      <c r="AP26" s="126"/>
      <c r="AQ26" s="126"/>
      <c r="AR26" s="126"/>
      <c r="AS26" s="126"/>
      <c r="AT26" s="126"/>
      <c r="AU26" s="126"/>
      <c r="AV26" s="126"/>
      <c r="AW26" s="126"/>
      <c r="AX26" s="126"/>
      <c r="AY26" s="126"/>
      <c r="AZ26" s="126"/>
      <c r="BA26" s="126"/>
      <c r="BB26" s="126"/>
      <c r="BC26" s="126"/>
      <c r="BD26" s="126"/>
      <c r="BE26" s="126"/>
      <c r="BF26" s="126"/>
      <c r="BG26" s="126"/>
      <c r="BH26" s="126"/>
      <c r="BI26" s="126"/>
      <c r="BJ26" s="126"/>
      <c r="BK26" s="126"/>
      <c r="BL26" s="126"/>
      <c r="BM26" s="126"/>
      <c r="BN26" s="126"/>
      <c r="BO26" s="126"/>
      <c r="BP26" s="126">
        <f>'Crops; pasture AMORTIZED'!CZ38</f>
        <v>1.8986484701644974</v>
      </c>
      <c r="BQ26" s="126">
        <f>'Crops; pasture AMORTIZED'!DD38</f>
        <v>1.9249063705248535</v>
      </c>
      <c r="BR26" s="126">
        <f>'Crops; pasture AMORTIZED'!DH38</f>
        <v>1.4301889901923377</v>
      </c>
      <c r="BS26" s="126">
        <f>'Crops; pasture AMORTIZED'!DL38</f>
        <v>1.5990592470041349</v>
      </c>
      <c r="BT26" s="126">
        <f>'Crops; pasture AMORTIZED'!DP38</f>
        <v>1.6160484607086549</v>
      </c>
      <c r="BU26" s="126">
        <f>'Crops; pasture AMORTIZED'!DT38</f>
        <v>1.2959442571093056</v>
      </c>
      <c r="BV26" s="126"/>
      <c r="BW26" s="126"/>
      <c r="BX26" s="126"/>
      <c r="BY26" s="126"/>
      <c r="BZ26" s="126"/>
      <c r="CA26" s="126"/>
      <c r="CB26" s="126"/>
      <c r="CC26" s="126"/>
      <c r="CD26" s="126"/>
      <c r="CE26" s="126"/>
      <c r="CF26" s="126"/>
      <c r="CG26" s="126"/>
      <c r="CH26" s="126"/>
      <c r="CI26" s="126"/>
      <c r="CJ26" s="41"/>
      <c r="CL26" s="714"/>
      <c r="CM26" s="32"/>
      <c r="CN26" s="67"/>
      <c r="CO26" s="68"/>
      <c r="CP26" s="68"/>
      <c r="CQ26" s="68"/>
      <c r="CR26" s="97"/>
      <c r="CS26" s="97"/>
      <c r="CT26" s="97"/>
      <c r="CU26" s="97"/>
      <c r="CV26" s="97"/>
      <c r="CW26" s="68"/>
      <c r="CX26" s="68"/>
      <c r="CY26" s="68"/>
      <c r="CZ26" s="68"/>
      <c r="DA26" s="68"/>
      <c r="DB26" s="68"/>
      <c r="DC26" s="68"/>
      <c r="DD26" s="68"/>
      <c r="DE26" s="68"/>
      <c r="DF26" s="68"/>
      <c r="DG26" s="68"/>
      <c r="DH26" s="68"/>
      <c r="DI26" s="68"/>
      <c r="DJ26" s="68"/>
      <c r="DK26" s="68"/>
      <c r="DL26" s="68"/>
      <c r="DM26" s="68"/>
      <c r="DN26" s="68"/>
      <c r="DO26" s="68"/>
      <c r="DP26" s="68"/>
      <c r="DQ26" s="68"/>
      <c r="DR26" s="68"/>
      <c r="DS26" s="68"/>
      <c r="DT26" s="68"/>
      <c r="DU26" s="68"/>
      <c r="DV26" s="68"/>
      <c r="DW26" s="68"/>
      <c r="DX26" s="68"/>
      <c r="DY26" s="68"/>
      <c r="DZ26" s="41"/>
      <c r="EE26" s="68"/>
      <c r="EF26" s="68"/>
      <c r="EG26" s="68"/>
      <c r="EM26" s="68"/>
      <c r="EN26" s="68"/>
      <c r="EO26" s="68"/>
      <c r="EP26" s="68"/>
      <c r="EQ26" s="68"/>
      <c r="ER26" s="68"/>
      <c r="ES26" s="68"/>
      <c r="ET26" s="68"/>
      <c r="EU26" s="68"/>
      <c r="EV26" s="68"/>
      <c r="EW26" s="68"/>
      <c r="EX26" s="68"/>
      <c r="EY26" s="68"/>
      <c r="EZ26" s="68"/>
      <c r="FA26" s="68"/>
      <c r="FB26" s="126">
        <f>'Crops; pasture AMORTIZED'!DX38</f>
        <v>3.1843779204572136</v>
      </c>
      <c r="FC26" s="126">
        <f>'Crops; pasture AMORTIZED'!EA38</f>
        <v>3.2182103610675039</v>
      </c>
      <c r="FD26" s="126">
        <f>'Crops; pasture AMORTIZED'!ED38</f>
        <v>2.5807525807525806</v>
      </c>
      <c r="FE26" s="126"/>
      <c r="FF26" s="126"/>
      <c r="FG26" s="126"/>
      <c r="FH26" s="126"/>
      <c r="FI26" s="126"/>
      <c r="FJ26" s="126"/>
      <c r="FK26" s="126"/>
      <c r="FL26" s="126"/>
      <c r="FM26" s="126"/>
      <c r="FN26" s="126"/>
      <c r="FO26" s="126"/>
      <c r="FP26" s="126"/>
      <c r="FQ26" s="126"/>
      <c r="FR26" s="126"/>
      <c r="FS26" s="126"/>
      <c r="FV26" s="60"/>
      <c r="FY26" s="68"/>
      <c r="FZ26" s="60"/>
      <c r="GF26" s="68"/>
      <c r="GG26" s="126"/>
      <c r="GH26" s="126"/>
      <c r="GI26" s="126"/>
      <c r="GJ26" s="126"/>
      <c r="GK26" s="126"/>
      <c r="GL26" s="126"/>
      <c r="GM26" s="126"/>
      <c r="GN26" s="126"/>
      <c r="GO26" s="126"/>
      <c r="GP26" s="126"/>
      <c r="GQ26" s="126"/>
      <c r="GR26" s="126"/>
      <c r="GS26" s="126"/>
      <c r="GT26" s="126"/>
      <c r="GU26" s="126">
        <f>'Crops; pasture AMORTIZED'!EK38</f>
        <v>0.18231504820092898</v>
      </c>
      <c r="GV26" s="126">
        <f>'Crops; pasture AMORTIZED'!EP38</f>
        <v>0.18069602421276199</v>
      </c>
      <c r="GW26" s="126">
        <f>'Crops; pasture AMORTIZED'!EW38</f>
        <v>0.21120104895104894</v>
      </c>
      <c r="GX26" s="126"/>
      <c r="GY26" s="123"/>
      <c r="GZ26" s="123"/>
      <c r="HA26" s="123"/>
      <c r="HB26" s="123"/>
      <c r="HC26" s="123"/>
      <c r="HD26" s="123"/>
      <c r="HE26" s="123"/>
      <c r="HF26" s="123"/>
      <c r="HG26" s="123"/>
      <c r="HH26" s="123"/>
      <c r="HI26" s="123"/>
      <c r="HJ26" s="123"/>
      <c r="HK26" s="123"/>
      <c r="HL26" s="123"/>
      <c r="HM26" s="123"/>
      <c r="HN26" s="123"/>
      <c r="HO26" s="123"/>
      <c r="HP26" s="60"/>
      <c r="HQ26" s="123"/>
      <c r="HR26" s="60"/>
      <c r="HS26" s="68"/>
      <c r="HT26" s="68"/>
      <c r="HU26" s="68"/>
      <c r="HV26" s="68"/>
      <c r="HW26" s="68"/>
      <c r="HX26" s="68"/>
      <c r="HY26" s="68"/>
      <c r="HZ26" s="68"/>
      <c r="IA26" s="68"/>
      <c r="IB26" s="68"/>
      <c r="IC26" s="68"/>
      <c r="ID26" s="68"/>
      <c r="IE26" s="68"/>
      <c r="IF26" s="68"/>
      <c r="IG26" s="68"/>
      <c r="IH26" s="68"/>
      <c r="II26" s="68"/>
      <c r="IJ26" s="68"/>
      <c r="IK26" s="68"/>
      <c r="IL26" s="68"/>
      <c r="IM26" s="68"/>
      <c r="IN26" s="68"/>
      <c r="IO26" s="431"/>
      <c r="IP26" s="431"/>
      <c r="IQ26" s="431"/>
      <c r="IR26" s="431"/>
      <c r="IS26" s="431"/>
      <c r="IT26" s="431"/>
      <c r="IU26" s="431"/>
      <c r="IV26" s="41"/>
      <c r="IW26" s="60"/>
      <c r="IX26" s="60"/>
      <c r="IY26" s="60"/>
      <c r="IZ26" s="60"/>
      <c r="JA26" s="60"/>
      <c r="JB26" s="60"/>
      <c r="JC26" s="60"/>
      <c r="JD26" s="60"/>
      <c r="JE26" s="60"/>
      <c r="JF26" s="60"/>
      <c r="JG26" s="60"/>
      <c r="JH26" s="60"/>
      <c r="JI26" s="60"/>
      <c r="JJ26" s="60"/>
      <c r="JK26" s="60"/>
      <c r="JL26" s="60"/>
      <c r="JM26" s="123"/>
      <c r="JN26" s="123"/>
      <c r="JO26" s="123"/>
      <c r="JP26" s="123"/>
      <c r="JQ26" s="60"/>
      <c r="JR26" s="60"/>
      <c r="JS26" s="60"/>
      <c r="JT26" s="60"/>
      <c r="JU26" s="60"/>
      <c r="JV26" s="60"/>
      <c r="JW26" s="60"/>
      <c r="JX26" s="60"/>
      <c r="JY26" s="60"/>
      <c r="JZ26" s="60"/>
      <c r="KA26" s="60"/>
      <c r="KB26" s="60"/>
      <c r="KC26" s="60"/>
      <c r="KD26" s="123"/>
      <c r="KE26" s="123"/>
      <c r="KF26" s="123"/>
      <c r="KG26" s="123"/>
      <c r="KH26" s="123"/>
      <c r="KI26" s="123"/>
      <c r="KJ26" s="123"/>
      <c r="KK26" s="123"/>
      <c r="KL26" s="123"/>
      <c r="KM26" s="123"/>
      <c r="KN26" s="123"/>
      <c r="KO26" s="123"/>
      <c r="KP26" s="123"/>
      <c r="KQ26" s="123"/>
      <c r="KR26" s="123"/>
      <c r="KS26" s="123"/>
      <c r="KT26" s="60"/>
      <c r="KU26" s="60"/>
      <c r="KV26" s="60"/>
      <c r="KW26" s="60"/>
      <c r="KX26" s="68"/>
      <c r="KY26" s="60"/>
      <c r="KZ26" s="60"/>
      <c r="LA26" s="60"/>
      <c r="LB26" s="60"/>
      <c r="LC26" s="68"/>
      <c r="LD26" s="68"/>
      <c r="LE26" s="68"/>
      <c r="LF26" s="68"/>
      <c r="LG26" s="68"/>
      <c r="LH26" s="68"/>
      <c r="LI26" s="68"/>
      <c r="LJ26" s="68"/>
      <c r="LK26" s="68"/>
      <c r="LL26" s="68"/>
      <c r="LM26" s="68"/>
      <c r="LN26" s="68"/>
      <c r="LO26" s="68"/>
      <c r="LP26" s="68"/>
      <c r="LQ26" s="68"/>
      <c r="LR26" s="68"/>
      <c r="LS26" s="68"/>
      <c r="LT26" s="68"/>
      <c r="LU26" s="68"/>
      <c r="LV26" s="68"/>
      <c r="LW26" s="68"/>
      <c r="LX26" s="60"/>
      <c r="LY26" s="60"/>
      <c r="LZ26" s="60"/>
      <c r="MA26" s="60"/>
      <c r="MB26" s="68"/>
      <c r="MC26" s="60"/>
      <c r="MD26" s="60"/>
      <c r="ME26" s="60"/>
      <c r="MF26" s="60"/>
      <c r="MG26" s="68"/>
      <c r="MH26" s="68"/>
      <c r="MI26" s="68"/>
      <c r="MJ26" s="68"/>
      <c r="MK26" s="68"/>
      <c r="ML26" s="68"/>
      <c r="MM26" s="68"/>
      <c r="MN26" s="68"/>
      <c r="MO26" s="68"/>
      <c r="MP26" s="68"/>
      <c r="MQ26" s="68"/>
      <c r="MR26" s="60"/>
      <c r="MS26" s="60"/>
      <c r="MT26" s="60"/>
      <c r="MU26" s="60"/>
      <c r="MV26" s="60"/>
      <c r="MW26" s="68"/>
      <c r="MX26" s="68"/>
      <c r="MY26" s="68"/>
      <c r="MZ26" s="68"/>
      <c r="NA26" s="68"/>
      <c r="NB26" s="68"/>
      <c r="NC26" s="68"/>
      <c r="ND26" s="68"/>
      <c r="NE26" s="68"/>
      <c r="NF26" s="68"/>
      <c r="NG26" s="68"/>
      <c r="NH26" s="68"/>
      <c r="NI26" s="68"/>
      <c r="NJ26" s="68"/>
      <c r="NK26" s="68"/>
      <c r="NL26" s="68"/>
      <c r="NM26" s="68"/>
      <c r="NN26" s="68"/>
      <c r="NO26" s="68"/>
      <c r="NP26" s="68"/>
      <c r="NQ26" s="68"/>
      <c r="NR26" s="60"/>
      <c r="NS26" s="60"/>
      <c r="NT26" s="631">
        <f>'Crops; pasture AMORTIZED'!HB38</f>
        <v>0.91</v>
      </c>
      <c r="NU26" s="631"/>
      <c r="NV26" s="41">
        <f>'Crops; pasture AMORTIZED'!HC38</f>
        <v>21.385000000000002</v>
      </c>
      <c r="NW26" s="41">
        <f>'Crops; pasture AMORTIZED'!HD38</f>
        <v>23.5</v>
      </c>
      <c r="NX26" s="41"/>
      <c r="NY26" s="41"/>
      <c r="NZ26" s="41"/>
      <c r="OA26" s="41">
        <f>'Crops; pasture AMORTIZED'!HE38</f>
        <v>17.29</v>
      </c>
      <c r="OB26" s="41">
        <f>'Crops; pasture AMORTIZED'!HF38</f>
        <v>19</v>
      </c>
      <c r="OC26" s="631">
        <f>'Crops; pasture AMORTIZED'!HG38</f>
        <v>0.36400000000000005</v>
      </c>
      <c r="OD26" s="631">
        <f>'Crops; pasture AMORTIZED'!HH38</f>
        <v>0.4</v>
      </c>
      <c r="OE26" s="631">
        <f>'Crops; pasture AMORTIZED'!HI38</f>
        <v>0.19109999999999999</v>
      </c>
      <c r="OF26" s="631">
        <f>'Crops; pasture AMORTIZED'!HJ38</f>
        <v>0.21</v>
      </c>
      <c r="RU26" s="97"/>
      <c r="RV26" s="97"/>
      <c r="RW26" s="97"/>
      <c r="RX26" s="97"/>
      <c r="RY26" s="97"/>
      <c r="RZ26" s="97"/>
    </row>
    <row r="27" spans="1:494" s="4" customFormat="1" x14ac:dyDescent="0.25">
      <c r="A27" s="14" t="s">
        <v>134</v>
      </c>
      <c r="B27" s="14"/>
      <c r="C27" s="14"/>
      <c r="D27" s="708"/>
      <c r="E27" s="102"/>
      <c r="F27" s="102"/>
      <c r="G27" s="102"/>
      <c r="H27" s="102"/>
      <c r="I27" s="102"/>
      <c r="J27" s="102"/>
      <c r="K27" s="102"/>
      <c r="L27" s="102"/>
      <c r="M27" s="102"/>
      <c r="N27" s="628">
        <f>'Crops; pasture AMORTIZED'!P39</f>
        <v>93.381600000000006</v>
      </c>
      <c r="O27" s="67">
        <f t="shared" si="8"/>
        <v>160.93117408906883</v>
      </c>
      <c r="P27" s="67">
        <f t="shared" si="8"/>
        <v>83.684210526315795</v>
      </c>
      <c r="Q27" s="627">
        <f t="shared" si="7"/>
        <v>0.89615310217768585</v>
      </c>
      <c r="R27" s="14"/>
      <c r="S27" s="14"/>
      <c r="T27" s="630">
        <f>U27/NT27</f>
        <v>160.93117408906883</v>
      </c>
      <c r="U27" s="630">
        <f>W83/C83</f>
        <v>83.684210526315795</v>
      </c>
      <c r="X27" s="60"/>
      <c r="AB27" s="126">
        <f>'Crops; pasture AMORTIZED'!L39</f>
        <v>1.3171759747102214</v>
      </c>
      <c r="AC27" s="126">
        <f>'Crops; pasture AMORTIZED'!M39</f>
        <v>1.3171759747102214</v>
      </c>
      <c r="AD27" s="126">
        <f>'Crops; pasture AMORTIZED'!N39</f>
        <v>1.6869095816464235</v>
      </c>
      <c r="AE27" s="126"/>
      <c r="AF27" s="126"/>
      <c r="AG27" s="126"/>
      <c r="AH27" s="126"/>
      <c r="AI27" s="126"/>
      <c r="AJ27" s="126"/>
      <c r="AK27" s="60"/>
      <c r="AL27" s="60"/>
      <c r="AM27" s="60"/>
      <c r="AN27" s="60"/>
      <c r="AO27" s="126"/>
      <c r="AP27" s="126"/>
      <c r="AQ27" s="126"/>
      <c r="AR27" s="126"/>
      <c r="AS27" s="126"/>
      <c r="AT27" s="126"/>
      <c r="AU27" s="126"/>
      <c r="AV27" s="126"/>
      <c r="AW27" s="126"/>
      <c r="AX27" s="126"/>
      <c r="AY27" s="126"/>
      <c r="AZ27" s="126"/>
      <c r="BA27" s="126"/>
      <c r="BB27" s="126"/>
      <c r="BC27" s="126"/>
      <c r="BD27" s="126"/>
      <c r="BE27" s="126"/>
      <c r="BF27" s="126"/>
      <c r="BG27" s="126"/>
      <c r="BH27" s="126"/>
      <c r="BI27" s="126"/>
      <c r="BJ27" s="126"/>
      <c r="BK27" s="126"/>
      <c r="BL27" s="126"/>
      <c r="BM27" s="126"/>
      <c r="BN27" s="126"/>
      <c r="BO27" s="126"/>
      <c r="BP27" s="126">
        <f>'Crops; pasture AMORTIZED'!CZ39</f>
        <v>0.87529937994585949</v>
      </c>
      <c r="BQ27" s="126">
        <f>'Crops; pasture AMORTIZED'!DD39</f>
        <v>0.87529937994585982</v>
      </c>
      <c r="BR27" s="126">
        <f>'Crops; pasture AMORTIZED'!DH39</f>
        <v>0.45138980284410674</v>
      </c>
      <c r="BS27" s="126">
        <f>'Crops; pasture AMORTIZED'!DL39</f>
        <v>0.67465838678765933</v>
      </c>
      <c r="BT27" s="126">
        <f>'Crops; pasture AMORTIZED'!DP39</f>
        <v>0.67465838678765933</v>
      </c>
      <c r="BU27" s="126">
        <f>'Crops; pasture AMORTIZED'!DT39</f>
        <v>0.6607335490830637</v>
      </c>
      <c r="BV27" s="126"/>
      <c r="BW27" s="126"/>
      <c r="BX27" s="126"/>
      <c r="BY27" s="126"/>
      <c r="BZ27" s="126"/>
      <c r="CA27" s="126"/>
      <c r="CB27" s="126"/>
      <c r="CC27" s="126"/>
      <c r="CD27" s="126"/>
      <c r="CE27" s="126"/>
      <c r="CF27" s="126"/>
      <c r="CG27" s="126"/>
      <c r="CH27" s="126"/>
      <c r="CI27" s="126"/>
      <c r="CJ27" s="41"/>
      <c r="CL27" s="714"/>
      <c r="CM27" s="32"/>
      <c r="CN27" s="67"/>
      <c r="CO27" s="68"/>
      <c r="CP27" s="68"/>
      <c r="CQ27" s="68"/>
      <c r="CR27" s="97"/>
      <c r="CS27" s="97"/>
      <c r="CT27" s="97"/>
      <c r="CU27" s="97"/>
      <c r="CV27" s="97"/>
      <c r="CW27" s="68"/>
      <c r="CX27" s="68"/>
      <c r="CY27" s="68"/>
      <c r="CZ27" s="68"/>
      <c r="DA27" s="68"/>
      <c r="DB27" s="68"/>
      <c r="DC27" s="68"/>
      <c r="DD27" s="68"/>
      <c r="DE27" s="68"/>
      <c r="DF27" s="68"/>
      <c r="DG27" s="68"/>
      <c r="DH27" s="68"/>
      <c r="DI27" s="68"/>
      <c r="DJ27" s="68"/>
      <c r="DK27" s="68"/>
      <c r="DL27" s="68"/>
      <c r="DM27" s="68"/>
      <c r="DN27" s="68"/>
      <c r="DO27" s="68"/>
      <c r="DP27" s="68"/>
      <c r="DQ27" s="68"/>
      <c r="DR27" s="68"/>
      <c r="DS27" s="68"/>
      <c r="DT27" s="68"/>
      <c r="DU27" s="68"/>
      <c r="DV27" s="68"/>
      <c r="DW27" s="68"/>
      <c r="DX27" s="68"/>
      <c r="DY27" s="68"/>
      <c r="DZ27" s="41"/>
      <c r="EE27" s="68"/>
      <c r="EF27" s="68"/>
      <c r="EG27" s="68"/>
      <c r="EM27" s="68"/>
      <c r="EN27" s="68"/>
      <c r="EO27" s="68"/>
      <c r="EP27" s="68"/>
      <c r="EQ27" s="68"/>
      <c r="ER27" s="68"/>
      <c r="ES27" s="68"/>
      <c r="ET27" s="68"/>
      <c r="EU27" s="68"/>
      <c r="EV27" s="68"/>
      <c r="EW27" s="68"/>
      <c r="EX27" s="68"/>
      <c r="EY27" s="68"/>
      <c r="EZ27" s="68"/>
      <c r="FA27" s="68"/>
      <c r="FB27" s="126">
        <f>'Crops; pasture AMORTIZED'!DX39</f>
        <v>1.3435194942044257</v>
      </c>
      <c r="FC27" s="126">
        <f>'Crops; pasture AMORTIZED'!EA39</f>
        <v>1.3435194942044257</v>
      </c>
      <c r="FD27" s="126">
        <f>'Crops; pasture AMORTIZED'!ED39</f>
        <v>1.3157894736842104</v>
      </c>
      <c r="FE27" s="126"/>
      <c r="FF27" s="126"/>
      <c r="FG27" s="126"/>
      <c r="FH27" s="126"/>
      <c r="FI27" s="126"/>
      <c r="FJ27" s="126"/>
      <c r="FK27" s="126"/>
      <c r="FL27" s="126"/>
      <c r="FM27" s="126"/>
      <c r="FN27" s="126"/>
      <c r="FO27" s="126"/>
      <c r="FP27" s="126"/>
      <c r="FQ27" s="126"/>
      <c r="FR27" s="126"/>
      <c r="FS27" s="126"/>
      <c r="FV27" s="60"/>
      <c r="FY27" s="68"/>
      <c r="FZ27" s="60"/>
      <c r="GF27" s="68"/>
      <c r="GG27" s="126"/>
      <c r="GH27" s="126"/>
      <c r="GI27" s="126"/>
      <c r="GJ27" s="126"/>
      <c r="GK27" s="126"/>
      <c r="GL27" s="126"/>
      <c r="GM27" s="126"/>
      <c r="GN27" s="126"/>
      <c r="GO27" s="126"/>
      <c r="GP27" s="126"/>
      <c r="GQ27" s="126"/>
      <c r="GR27" s="126"/>
      <c r="GS27" s="126"/>
      <c r="GT27" s="126"/>
      <c r="GU27" s="126">
        <f>'Crops; pasture AMORTIZED'!EK39</f>
        <v>1.029674731296101</v>
      </c>
      <c r="GV27" s="126">
        <f>'Crops; pasture AMORTIZED'!EP39</f>
        <v>1.029674731296101</v>
      </c>
      <c r="GW27" s="126">
        <f>'Crops; pasture AMORTIZED'!EW39</f>
        <v>0</v>
      </c>
      <c r="GX27" s="126"/>
      <c r="GY27" s="123"/>
      <c r="GZ27" s="123"/>
      <c r="HA27" s="123"/>
      <c r="HB27" s="123"/>
      <c r="HC27" s="123"/>
      <c r="HD27" s="123"/>
      <c r="HE27" s="123"/>
      <c r="HF27" s="123"/>
      <c r="HG27" s="123"/>
      <c r="HH27" s="123"/>
      <c r="HI27" s="123"/>
      <c r="HJ27" s="123"/>
      <c r="HK27" s="123"/>
      <c r="HL27" s="123"/>
      <c r="HM27" s="123"/>
      <c r="HN27" s="123"/>
      <c r="HO27" s="123"/>
      <c r="HP27" s="60"/>
      <c r="HQ27" s="123"/>
      <c r="HR27" s="60"/>
      <c r="HS27" s="68"/>
      <c r="HT27" s="68"/>
      <c r="HU27" s="68"/>
      <c r="HV27" s="68"/>
      <c r="HW27" s="68"/>
      <c r="HX27" s="68"/>
      <c r="HY27" s="68"/>
      <c r="HZ27" s="68"/>
      <c r="IA27" s="68"/>
      <c r="IB27" s="68"/>
      <c r="IC27" s="68"/>
      <c r="ID27" s="68"/>
      <c r="IE27" s="68"/>
      <c r="IF27" s="68"/>
      <c r="IG27" s="68"/>
      <c r="IH27" s="68"/>
      <c r="II27" s="68"/>
      <c r="IJ27" s="68"/>
      <c r="IK27" s="68"/>
      <c r="IL27" s="68"/>
      <c r="IM27" s="68"/>
      <c r="IN27" s="68"/>
      <c r="IO27" s="97"/>
      <c r="IP27" s="97"/>
      <c r="IQ27" s="97"/>
      <c r="IR27" s="97"/>
      <c r="IS27" s="97"/>
      <c r="IT27" s="97"/>
      <c r="IU27" s="97"/>
      <c r="IV27" s="41"/>
      <c r="IW27" s="60"/>
      <c r="IX27" s="60"/>
      <c r="IY27" s="60"/>
      <c r="IZ27" s="60"/>
      <c r="JA27" s="60"/>
      <c r="JB27" s="60"/>
      <c r="JC27" s="60"/>
      <c r="JD27" s="60"/>
      <c r="JE27" s="60"/>
      <c r="JF27" s="60"/>
      <c r="JG27" s="60"/>
      <c r="JH27" s="60"/>
      <c r="JI27" s="60"/>
      <c r="JJ27" s="60"/>
      <c r="JK27" s="60"/>
      <c r="JL27" s="60"/>
      <c r="JM27" s="123"/>
      <c r="JN27" s="123"/>
      <c r="JO27" s="123"/>
      <c r="JP27" s="123"/>
      <c r="JQ27" s="60"/>
      <c r="JR27" s="60"/>
      <c r="JS27" s="60"/>
      <c r="JT27" s="60"/>
      <c r="JU27" s="60"/>
      <c r="JV27" s="60"/>
      <c r="JW27" s="60"/>
      <c r="JX27" s="60"/>
      <c r="JY27" s="60"/>
      <c r="JZ27" s="60"/>
      <c r="KA27" s="60"/>
      <c r="KB27" s="60"/>
      <c r="KC27" s="60"/>
      <c r="KD27" s="123"/>
      <c r="KE27" s="123"/>
      <c r="KF27" s="123"/>
      <c r="KG27" s="123"/>
      <c r="KH27" s="123"/>
      <c r="KI27" s="123"/>
      <c r="KJ27" s="123"/>
      <c r="KK27" s="123"/>
      <c r="KL27" s="123"/>
      <c r="KM27" s="123"/>
      <c r="KN27" s="123"/>
      <c r="KO27" s="123"/>
      <c r="KP27" s="123"/>
      <c r="KQ27" s="123"/>
      <c r="KR27" s="123"/>
      <c r="KS27" s="123"/>
      <c r="KT27" s="60"/>
      <c r="KU27" s="60"/>
      <c r="KV27" s="60"/>
      <c r="KW27" s="60"/>
      <c r="KX27" s="68"/>
      <c r="KY27" s="60"/>
      <c r="KZ27" s="60"/>
      <c r="LA27" s="60"/>
      <c r="LB27" s="60"/>
      <c r="LC27" s="68"/>
      <c r="LD27" s="68"/>
      <c r="LE27" s="68"/>
      <c r="LF27" s="68"/>
      <c r="LG27" s="68"/>
      <c r="LH27" s="68"/>
      <c r="LI27" s="68"/>
      <c r="LJ27" s="68"/>
      <c r="LK27" s="68"/>
      <c r="LL27" s="68"/>
      <c r="LM27" s="68"/>
      <c r="LN27" s="68"/>
      <c r="LO27" s="68"/>
      <c r="LP27" s="68"/>
      <c r="LQ27" s="68"/>
      <c r="LR27" s="68"/>
      <c r="LS27" s="68"/>
      <c r="LT27" s="68"/>
      <c r="LU27" s="68"/>
      <c r="LV27" s="68"/>
      <c r="LW27" s="68"/>
      <c r="LX27" s="60"/>
      <c r="LY27" s="60"/>
      <c r="LZ27" s="60"/>
      <c r="MA27" s="60"/>
      <c r="MB27" s="68"/>
      <c r="MC27" s="60"/>
      <c r="MD27" s="60"/>
      <c r="ME27" s="60"/>
      <c r="MF27" s="60"/>
      <c r="MG27" s="68"/>
      <c r="MH27" s="68"/>
      <c r="MI27" s="68"/>
      <c r="MJ27" s="68"/>
      <c r="MK27" s="68"/>
      <c r="ML27" s="68"/>
      <c r="MM27" s="68"/>
      <c r="MN27" s="68"/>
      <c r="MO27" s="68"/>
      <c r="MP27" s="68"/>
      <c r="MQ27" s="68"/>
      <c r="MR27" s="60"/>
      <c r="MS27" s="60"/>
      <c r="MT27" s="60"/>
      <c r="MU27" s="60"/>
      <c r="MV27" s="60"/>
      <c r="MW27" s="68"/>
      <c r="MX27" s="68"/>
      <c r="MY27" s="68"/>
      <c r="MZ27" s="68"/>
      <c r="NA27" s="68"/>
      <c r="NB27" s="68"/>
      <c r="NC27" s="68"/>
      <c r="ND27" s="68"/>
      <c r="NE27" s="68"/>
      <c r="NF27" s="68"/>
      <c r="NG27" s="68"/>
      <c r="NH27" s="68"/>
      <c r="NI27" s="68"/>
      <c r="NJ27" s="68"/>
      <c r="NK27" s="68"/>
      <c r="NL27" s="68"/>
      <c r="NM27" s="68"/>
      <c r="NN27" s="68"/>
      <c r="NO27" s="68"/>
      <c r="NP27" s="68"/>
      <c r="NQ27" s="68"/>
      <c r="NR27" s="60"/>
      <c r="NS27" s="60"/>
      <c r="NT27" s="631">
        <f>'Crops; pasture AMORTIZED'!HB39</f>
        <v>0.52</v>
      </c>
      <c r="NU27" s="631"/>
      <c r="NV27" s="41">
        <f>'Crops; pasture AMORTIZED'!HC39</f>
        <v>14.3</v>
      </c>
      <c r="NW27" s="41">
        <f>'Crops; pasture AMORTIZED'!HD39</f>
        <v>27.5</v>
      </c>
      <c r="NX27" s="41"/>
      <c r="NY27" s="41"/>
      <c r="NZ27" s="41"/>
      <c r="OA27" s="41"/>
      <c r="OB27" s="41"/>
      <c r="OC27" s="717">
        <f>'Crops; pasture AMORTIZED'!HG39</f>
        <v>1.8200000000000001E-2</v>
      </c>
      <c r="OD27" s="717">
        <f>'Crops; pasture AMORTIZED'!HH39</f>
        <v>3.5000000000000003E-2</v>
      </c>
      <c r="OE27" s="631">
        <f>'Crops; pasture AMORTIZED'!HI39</f>
        <v>0.26</v>
      </c>
      <c r="OF27" s="631">
        <f>'Crops; pasture AMORTIZED'!HJ39</f>
        <v>0.5</v>
      </c>
      <c r="RU27" s="97"/>
      <c r="RV27" s="97"/>
      <c r="RW27" s="97"/>
      <c r="RX27" s="97"/>
      <c r="RY27" s="97"/>
      <c r="RZ27" s="97"/>
    </row>
    <row r="28" spans="1:494" s="4" customFormat="1" x14ac:dyDescent="0.25">
      <c r="A28" s="14" t="s">
        <v>80</v>
      </c>
      <c r="B28" s="14"/>
      <c r="C28" s="14"/>
      <c r="D28" s="708"/>
      <c r="E28" s="102"/>
      <c r="F28" s="102"/>
      <c r="G28" s="102"/>
      <c r="H28" s="102"/>
      <c r="I28" s="102"/>
      <c r="J28" s="102"/>
      <c r="K28" s="102"/>
      <c r="L28" s="102"/>
      <c r="M28" s="102"/>
      <c r="N28" s="628">
        <f>'Crops; pasture AMORTIZED'!P40</f>
        <v>44.856439999999999</v>
      </c>
      <c r="O28" s="67">
        <f t="shared" si="8"/>
        <v>41.501976284584977</v>
      </c>
      <c r="P28" s="67">
        <f t="shared" si="8"/>
        <v>38.18181818181818</v>
      </c>
      <c r="Q28" s="627">
        <f t="shared" si="7"/>
        <v>0.8512003668106114</v>
      </c>
      <c r="R28" s="14"/>
      <c r="S28" s="14"/>
      <c r="T28" s="630">
        <f>U28/NT28</f>
        <v>41.501976284584977</v>
      </c>
      <c r="U28" s="630">
        <f>W89/C89</f>
        <v>38.18181818181818</v>
      </c>
      <c r="X28" s="60"/>
      <c r="AB28" s="126">
        <f>'Crops; pasture AMORTIZED'!L40</f>
        <v>6.0860826226958711</v>
      </c>
      <c r="AC28" s="126">
        <f>'Crops; pasture AMORTIZED'!M40</f>
        <v>6.0052846504924329</v>
      </c>
      <c r="AD28" s="126">
        <f>'Crops; pasture AMORTIZED'!N40</f>
        <v>6.587615283267457</v>
      </c>
      <c r="AE28" s="126"/>
      <c r="AF28" s="126"/>
      <c r="AG28" s="126"/>
      <c r="AH28" s="126"/>
      <c r="AI28" s="126"/>
      <c r="AJ28" s="126"/>
      <c r="AK28" s="60"/>
      <c r="AL28" s="60"/>
      <c r="AM28" s="60"/>
      <c r="AN28" s="60"/>
      <c r="AO28" s="126"/>
      <c r="AP28" s="126"/>
      <c r="AQ28" s="126"/>
      <c r="AR28" s="126"/>
      <c r="AS28" s="126"/>
      <c r="AT28" s="126"/>
      <c r="AU28" s="126"/>
      <c r="AV28" s="126"/>
      <c r="AW28" s="126"/>
      <c r="AX28" s="126"/>
      <c r="AY28" s="126"/>
      <c r="AZ28" s="126"/>
      <c r="BA28" s="126"/>
      <c r="BB28" s="126"/>
      <c r="BC28" s="126"/>
      <c r="BD28" s="126"/>
      <c r="BE28" s="126"/>
      <c r="BF28" s="126"/>
      <c r="BG28" s="126"/>
      <c r="BH28" s="126"/>
      <c r="BI28" s="126"/>
      <c r="BJ28" s="126"/>
      <c r="BK28" s="126"/>
      <c r="BL28" s="126"/>
      <c r="BM28" s="126"/>
      <c r="BN28" s="126"/>
      <c r="BO28" s="126"/>
      <c r="BP28" s="126">
        <f>'Crops; pasture AMORTIZED'!CZ40</f>
        <v>1.7479114098535204</v>
      </c>
      <c r="BQ28" s="126">
        <f>'Crops; pasture AMORTIZED'!DD40</f>
        <v>1.8049928836061297</v>
      </c>
      <c r="BR28" s="126">
        <f>'Crops; pasture AMORTIZED'!DH40</f>
        <v>1.3863981367946572</v>
      </c>
      <c r="BS28" s="126">
        <f>'Crops; pasture AMORTIZED'!DL40</f>
        <v>1.4928560701175593</v>
      </c>
      <c r="BT28" s="126">
        <f>'Crops; pasture AMORTIZED'!DP40</f>
        <v>1.5409709411596122</v>
      </c>
      <c r="BU28" s="126">
        <f>'Crops; pasture AMORTIZED'!DT40</f>
        <v>1.1941953657867546</v>
      </c>
      <c r="BV28" s="126"/>
      <c r="BW28" s="126"/>
      <c r="BX28" s="126"/>
      <c r="BY28" s="126"/>
      <c r="BZ28" s="126"/>
      <c r="CA28" s="126"/>
      <c r="CB28" s="126"/>
      <c r="CC28" s="126"/>
      <c r="CD28" s="126"/>
      <c r="CE28" s="126"/>
      <c r="CF28" s="126"/>
      <c r="CG28" s="126"/>
      <c r="CH28" s="126"/>
      <c r="CI28" s="126"/>
      <c r="CJ28" s="41"/>
      <c r="CL28" s="714"/>
      <c r="CM28" s="32"/>
      <c r="CN28" s="67"/>
      <c r="CO28" s="68"/>
      <c r="CP28" s="68"/>
      <c r="CQ28" s="68"/>
      <c r="CR28" s="97"/>
      <c r="CS28" s="97"/>
      <c r="CT28" s="97"/>
      <c r="CU28" s="97"/>
      <c r="CV28" s="97"/>
      <c r="CW28" s="68"/>
      <c r="CX28" s="68"/>
      <c r="CY28" s="68"/>
      <c r="CZ28" s="68"/>
      <c r="DA28" s="68"/>
      <c r="DB28" s="68"/>
      <c r="DC28" s="68"/>
      <c r="DD28" s="68"/>
      <c r="DE28" s="68"/>
      <c r="DF28" s="68"/>
      <c r="DG28" s="68"/>
      <c r="DH28" s="68"/>
      <c r="DI28" s="68"/>
      <c r="DJ28" s="68"/>
      <c r="DK28" s="68"/>
      <c r="DL28" s="68"/>
      <c r="DM28" s="68"/>
      <c r="DN28" s="68"/>
      <c r="DO28" s="68"/>
      <c r="DP28" s="68"/>
      <c r="DQ28" s="68"/>
      <c r="DR28" s="68"/>
      <c r="DS28" s="68"/>
      <c r="DT28" s="68"/>
      <c r="DU28" s="68"/>
      <c r="DV28" s="68"/>
      <c r="DW28" s="68"/>
      <c r="DX28" s="68"/>
      <c r="DY28" s="68"/>
      <c r="DZ28" s="41"/>
      <c r="EE28" s="68"/>
      <c r="EF28" s="68"/>
      <c r="EG28" s="68"/>
      <c r="EM28" s="68"/>
      <c r="EN28" s="68"/>
      <c r="EO28" s="68"/>
      <c r="EP28" s="68"/>
      <c r="EQ28" s="68"/>
      <c r="ER28" s="68"/>
      <c r="ES28" s="68"/>
      <c r="ET28" s="68"/>
      <c r="EU28" s="68"/>
      <c r="EV28" s="68"/>
      <c r="EW28" s="68"/>
      <c r="EX28" s="68"/>
      <c r="EY28" s="68"/>
      <c r="EZ28" s="68"/>
      <c r="FA28" s="68"/>
      <c r="FB28" s="126">
        <f>'Crops; pasture AMORTIZED'!DX40</f>
        <v>2.9728841611148815</v>
      </c>
      <c r="FC28" s="126">
        <f>'Crops; pasture AMORTIZED'!EA40</f>
        <v>3.0687004564016336</v>
      </c>
      <c r="FD28" s="126">
        <f>'Crops; pasture AMORTIZED'!ED40</f>
        <v>2.3781291172595518</v>
      </c>
      <c r="FE28" s="126"/>
      <c r="FF28" s="126"/>
      <c r="FG28" s="126"/>
      <c r="FH28" s="126"/>
      <c r="FI28" s="126"/>
      <c r="FJ28" s="126"/>
      <c r="FK28" s="126"/>
      <c r="FL28" s="126"/>
      <c r="FM28" s="126"/>
      <c r="FN28" s="126"/>
      <c r="FO28" s="126"/>
      <c r="FP28" s="126"/>
      <c r="FQ28" s="126"/>
      <c r="FR28" s="126"/>
      <c r="FS28" s="126"/>
      <c r="FV28" s="60"/>
      <c r="FY28" s="68"/>
      <c r="FZ28" s="60"/>
      <c r="GF28" s="68"/>
      <c r="GG28" s="126"/>
      <c r="GH28" s="126"/>
      <c r="GI28" s="126"/>
      <c r="GJ28" s="126"/>
      <c r="GK28" s="126"/>
      <c r="GL28" s="126"/>
      <c r="GM28" s="126"/>
      <c r="GN28" s="126"/>
      <c r="GO28" s="126"/>
      <c r="GP28" s="126"/>
      <c r="GQ28" s="126"/>
      <c r="GR28" s="126"/>
      <c r="GS28" s="126"/>
      <c r="GT28" s="126"/>
      <c r="GU28" s="126">
        <f>'Crops; pasture AMORTIZED'!EK40</f>
        <v>0.66349974151421753</v>
      </c>
      <c r="GV28" s="126">
        <f>'Crops; pasture AMORTIZED'!EP40</f>
        <v>0.75649465387941395</v>
      </c>
      <c r="GW28" s="126">
        <f>'Crops; pasture AMORTIZED'!EW40</f>
        <v>8.6257707509881404E-2</v>
      </c>
      <c r="GX28" s="126"/>
      <c r="GY28" s="123"/>
      <c r="GZ28" s="123"/>
      <c r="HA28" s="123"/>
      <c r="HB28" s="123"/>
      <c r="HC28" s="123"/>
      <c r="HD28" s="123"/>
      <c r="HE28" s="123"/>
      <c r="HF28" s="123"/>
      <c r="HG28" s="123"/>
      <c r="HH28" s="123"/>
      <c r="HI28" s="123"/>
      <c r="HJ28" s="123"/>
      <c r="HK28" s="123"/>
      <c r="HL28" s="123"/>
      <c r="HM28" s="123"/>
      <c r="HN28" s="123"/>
      <c r="HO28" s="123"/>
      <c r="HP28" s="60"/>
      <c r="HQ28" s="123"/>
      <c r="HR28" s="60"/>
      <c r="HS28" s="68"/>
      <c r="HT28" s="68"/>
      <c r="HU28" s="68"/>
      <c r="HV28" s="68"/>
      <c r="HW28" s="68"/>
      <c r="HX28" s="68"/>
      <c r="HY28" s="68"/>
      <c r="HZ28" s="68"/>
      <c r="IA28" s="68"/>
      <c r="IB28" s="68"/>
      <c r="IC28" s="68"/>
      <c r="ID28" s="68"/>
      <c r="IE28" s="68"/>
      <c r="IF28" s="68"/>
      <c r="IG28" s="68"/>
      <c r="IH28" s="68"/>
      <c r="II28" s="68"/>
      <c r="IJ28" s="68"/>
      <c r="IK28" s="68"/>
      <c r="IL28" s="68"/>
      <c r="IM28" s="68"/>
      <c r="IN28" s="68"/>
      <c r="IO28" s="595"/>
      <c r="IP28" s="595"/>
      <c r="IQ28" s="595"/>
      <c r="IR28" s="595"/>
      <c r="IS28" s="595"/>
      <c r="IT28" s="595"/>
      <c r="IU28" s="595"/>
      <c r="IV28" s="41"/>
      <c r="IW28" s="60"/>
      <c r="IX28" s="60"/>
      <c r="IY28" s="60"/>
      <c r="IZ28" s="60"/>
      <c r="JA28" s="60"/>
      <c r="JB28" s="60"/>
      <c r="JC28" s="60"/>
      <c r="JD28" s="60"/>
      <c r="JE28" s="60"/>
      <c r="JF28" s="60"/>
      <c r="JG28" s="60"/>
      <c r="JH28" s="60"/>
      <c r="JI28" s="60"/>
      <c r="JJ28" s="60"/>
      <c r="JK28" s="60"/>
      <c r="JL28" s="60"/>
      <c r="JM28" s="123"/>
      <c r="JN28" s="123"/>
      <c r="JO28" s="123"/>
      <c r="JP28" s="123"/>
      <c r="JQ28" s="60"/>
      <c r="JR28" s="60"/>
      <c r="JS28" s="60"/>
      <c r="JT28" s="60"/>
      <c r="JU28" s="60"/>
      <c r="JV28" s="60"/>
      <c r="JW28" s="60"/>
      <c r="JX28" s="60"/>
      <c r="JY28" s="60"/>
      <c r="JZ28" s="60"/>
      <c r="KA28" s="60"/>
      <c r="KB28" s="60"/>
      <c r="KC28" s="60"/>
      <c r="KD28" s="123"/>
      <c r="KE28" s="123"/>
      <c r="KF28" s="123"/>
      <c r="KG28" s="123"/>
      <c r="KH28" s="123"/>
      <c r="KI28" s="123"/>
      <c r="KJ28" s="123"/>
      <c r="KK28" s="123"/>
      <c r="KL28" s="123"/>
      <c r="KM28" s="123"/>
      <c r="KN28" s="123"/>
      <c r="KO28" s="123"/>
      <c r="KP28" s="123"/>
      <c r="KQ28" s="123"/>
      <c r="KR28" s="123"/>
      <c r="KS28" s="123"/>
      <c r="KT28" s="60"/>
      <c r="KU28" s="60"/>
      <c r="KV28" s="60"/>
      <c r="KW28" s="60"/>
      <c r="KX28" s="68"/>
      <c r="KY28" s="60"/>
      <c r="KZ28" s="60"/>
      <c r="LA28" s="60"/>
      <c r="LB28" s="60"/>
      <c r="LC28" s="68"/>
      <c r="LD28" s="68"/>
      <c r="LE28" s="68"/>
      <c r="LF28" s="68"/>
      <c r="LG28" s="68"/>
      <c r="LH28" s="68"/>
      <c r="LI28" s="68"/>
      <c r="LJ28" s="68"/>
      <c r="LK28" s="68"/>
      <c r="LL28" s="68"/>
      <c r="LM28" s="68"/>
      <c r="LN28" s="68"/>
      <c r="LO28" s="68"/>
      <c r="LP28" s="68"/>
      <c r="LQ28" s="68"/>
      <c r="LR28" s="68"/>
      <c r="LS28" s="68"/>
      <c r="LT28" s="68"/>
      <c r="LU28" s="68"/>
      <c r="LV28" s="68"/>
      <c r="LW28" s="68"/>
      <c r="LX28" s="60"/>
      <c r="LY28" s="60"/>
      <c r="LZ28" s="60"/>
      <c r="MA28" s="60"/>
      <c r="MB28" s="68"/>
      <c r="MC28" s="60"/>
      <c r="MD28" s="60"/>
      <c r="ME28" s="60"/>
      <c r="MF28" s="60"/>
      <c r="MG28" s="68"/>
      <c r="MH28" s="68"/>
      <c r="MI28" s="68"/>
      <c r="MJ28" s="68"/>
      <c r="MK28" s="68"/>
      <c r="ML28" s="68"/>
      <c r="MM28" s="68"/>
      <c r="MN28" s="68"/>
      <c r="MO28" s="68"/>
      <c r="MP28" s="68"/>
      <c r="MQ28" s="68"/>
      <c r="MR28" s="60"/>
      <c r="MS28" s="60"/>
      <c r="MT28" s="60"/>
      <c r="MU28" s="60"/>
      <c r="MV28" s="60"/>
      <c r="MW28" s="68"/>
      <c r="MX28" s="68"/>
      <c r="MY28" s="68"/>
      <c r="MZ28" s="68"/>
      <c r="NA28" s="68"/>
      <c r="NB28" s="68"/>
      <c r="NC28" s="68"/>
      <c r="ND28" s="68"/>
      <c r="NE28" s="68"/>
      <c r="NF28" s="68"/>
      <c r="NG28" s="68"/>
      <c r="NH28" s="68"/>
      <c r="NI28" s="68"/>
      <c r="NJ28" s="68"/>
      <c r="NK28" s="68"/>
      <c r="NL28" s="68"/>
      <c r="NM28" s="68"/>
      <c r="NN28" s="68"/>
      <c r="NO28" s="68"/>
      <c r="NP28" s="68"/>
      <c r="NQ28" s="68"/>
      <c r="NR28" s="60"/>
      <c r="NS28" s="60"/>
      <c r="NT28" s="631">
        <f>'Crops; pasture AMORTIZED'!HB40</f>
        <v>0.92</v>
      </c>
      <c r="NU28" s="631"/>
      <c r="NV28" s="41">
        <f>'Crops; pasture AMORTIZED'!HC40</f>
        <v>25.576000000000001</v>
      </c>
      <c r="NW28" s="41">
        <f>'Crops; pasture AMORTIZED'!HD40</f>
        <v>27.8</v>
      </c>
      <c r="NX28" s="41"/>
      <c r="NY28" s="41"/>
      <c r="NZ28" s="41"/>
      <c r="OA28" s="41">
        <f>'Crops; pasture AMORTIZED'!HE40</f>
        <v>18.400000000000002</v>
      </c>
      <c r="OB28" s="41">
        <f>'Crops; pasture AMORTIZED'!HF40</f>
        <v>20</v>
      </c>
      <c r="OC28" s="631">
        <f>'Crops; pasture AMORTIZED'!HG40</f>
        <v>0.21160000000000001</v>
      </c>
      <c r="OD28" s="631">
        <f>'Crops; pasture AMORTIZED'!HH40</f>
        <v>0.23</v>
      </c>
      <c r="OE28" s="631">
        <f>'Crops; pasture AMORTIZED'!HI40</f>
        <v>0.41400000000000003</v>
      </c>
      <c r="OF28" s="631">
        <f>'Crops; pasture AMORTIZED'!HJ40</f>
        <v>0.45</v>
      </c>
      <c r="RU28" s="97"/>
      <c r="RV28" s="97"/>
      <c r="RW28" s="97"/>
      <c r="RX28" s="97"/>
      <c r="RY28" s="97"/>
      <c r="RZ28" s="97"/>
    </row>
    <row r="29" spans="1:494" s="4" customFormat="1" x14ac:dyDescent="0.25">
      <c r="A29" s="14" t="s">
        <v>136</v>
      </c>
      <c r="B29" s="14"/>
      <c r="C29" s="14"/>
      <c r="D29" s="708"/>
      <c r="E29" s="102"/>
      <c r="F29" s="102"/>
      <c r="G29" s="102"/>
      <c r="H29" s="102"/>
      <c r="I29" s="102"/>
      <c r="J29" s="102"/>
      <c r="K29" s="102"/>
      <c r="L29" s="102"/>
      <c r="M29" s="102"/>
      <c r="N29" s="628">
        <f>'Crops; pasture AMORTIZED'!P41</f>
        <v>27.06916</v>
      </c>
      <c r="O29" s="67">
        <f t="shared" si="8"/>
        <v>26.432806324110668</v>
      </c>
      <c r="P29" s="67">
        <f t="shared" si="8"/>
        <v>24.318181818181817</v>
      </c>
      <c r="Q29" s="627">
        <f t="shared" si="7"/>
        <v>0.89837223682529554</v>
      </c>
      <c r="R29" s="14"/>
      <c r="S29" s="14"/>
      <c r="T29" s="630">
        <f>U29/NT29</f>
        <v>26.432806324110668</v>
      </c>
      <c r="U29" s="630">
        <f>W93/C93</f>
        <v>24.318181818181817</v>
      </c>
      <c r="X29" s="60"/>
      <c r="AB29" s="126">
        <f>'Crops; pasture AMORTIZED'!L41</f>
        <v>8.3859270106645347</v>
      </c>
      <c r="AC29" s="126">
        <f>'Crops; pasture AMORTIZED'!M41</f>
        <v>8.4260195483653515</v>
      </c>
      <c r="AD29" s="126">
        <f>'Crops; pasture AMORTIZED'!N41</f>
        <v>7.601094557616296</v>
      </c>
      <c r="AE29" s="126"/>
      <c r="AF29" s="126"/>
      <c r="AG29" s="126"/>
      <c r="AH29" s="126"/>
      <c r="AI29" s="126"/>
      <c r="AJ29" s="126"/>
      <c r="AK29" s="60"/>
      <c r="AL29" s="60"/>
      <c r="AM29" s="60"/>
      <c r="AN29" s="60"/>
      <c r="AO29" s="126"/>
      <c r="AP29" s="126"/>
      <c r="AQ29" s="126"/>
      <c r="AR29" s="126"/>
      <c r="AS29" s="126"/>
      <c r="AT29" s="126"/>
      <c r="AU29" s="126"/>
      <c r="AV29" s="126"/>
      <c r="AW29" s="126"/>
      <c r="AX29" s="126"/>
      <c r="AY29" s="126"/>
      <c r="AZ29" s="126"/>
      <c r="BA29" s="126"/>
      <c r="BB29" s="126"/>
      <c r="BC29" s="126"/>
      <c r="BD29" s="126"/>
      <c r="BE29" s="126"/>
      <c r="BF29" s="126"/>
      <c r="BG29" s="126"/>
      <c r="BH29" s="126"/>
      <c r="BI29" s="126"/>
      <c r="BJ29" s="126"/>
      <c r="BK29" s="126"/>
      <c r="BL29" s="126"/>
      <c r="BM29" s="126"/>
      <c r="BN29" s="126"/>
      <c r="BO29" s="126"/>
      <c r="BP29" s="126">
        <f>'Crops; pasture AMORTIZED'!CZ41</f>
        <v>1.5284830982926794</v>
      </c>
      <c r="BQ29" s="126">
        <f>'Crops; pasture AMORTIZED'!DD41</f>
        <v>1.5745226174195717</v>
      </c>
      <c r="BR29" s="126">
        <f>'Crops; pasture AMORTIZED'!DH41</f>
        <v>0.62616556555098124</v>
      </c>
      <c r="BS29" s="126">
        <f>'Crops; pasture AMORTIZED'!DL41</f>
        <v>2.1348755966065669</v>
      </c>
      <c r="BT29" s="126">
        <f>'Crops; pasture AMORTIZED'!DP41</f>
        <v>2.183293466535341</v>
      </c>
      <c r="BU29" s="126">
        <f>'Crops; pasture AMORTIZED'!DT41</f>
        <v>1.1870703987630962</v>
      </c>
      <c r="BV29" s="126"/>
      <c r="BW29" s="126"/>
      <c r="BX29" s="126"/>
      <c r="BY29" s="126"/>
      <c r="BZ29" s="126"/>
      <c r="CA29" s="126"/>
      <c r="CB29" s="126"/>
      <c r="CC29" s="126"/>
      <c r="CD29" s="126"/>
      <c r="CE29" s="126"/>
      <c r="CF29" s="126"/>
      <c r="CG29" s="126"/>
      <c r="CH29" s="126"/>
      <c r="CI29" s="126"/>
      <c r="CJ29" s="41"/>
      <c r="CL29" s="714"/>
      <c r="CM29" s="32"/>
      <c r="CN29" s="67"/>
      <c r="CO29" s="68"/>
      <c r="CP29" s="68"/>
      <c r="CQ29" s="68"/>
      <c r="CR29" s="97"/>
      <c r="CS29" s="97"/>
      <c r="CT29" s="97"/>
      <c r="CU29" s="97"/>
      <c r="CV29" s="97"/>
      <c r="CW29" s="68"/>
      <c r="CX29" s="68"/>
      <c r="CY29" s="68"/>
      <c r="CZ29" s="68"/>
      <c r="DA29" s="68"/>
      <c r="DB29" s="68"/>
      <c r="DC29" s="68"/>
      <c r="DD29" s="68"/>
      <c r="DE29" s="68"/>
      <c r="DF29" s="68"/>
      <c r="DG29" s="68"/>
      <c r="DH29" s="68"/>
      <c r="DI29" s="68"/>
      <c r="DJ29" s="68"/>
      <c r="DK29" s="68"/>
      <c r="DL29" s="68"/>
      <c r="DM29" s="68"/>
      <c r="DN29" s="68"/>
      <c r="DO29" s="68"/>
      <c r="DP29" s="68"/>
      <c r="DQ29" s="68"/>
      <c r="DR29" s="68"/>
      <c r="DS29" s="68"/>
      <c r="DT29" s="68"/>
      <c r="DU29" s="68"/>
      <c r="DV29" s="68"/>
      <c r="DW29" s="68"/>
      <c r="DX29" s="68"/>
      <c r="DY29" s="68"/>
      <c r="DZ29" s="41"/>
      <c r="EE29" s="68"/>
      <c r="EF29" s="68"/>
      <c r="EG29" s="68"/>
      <c r="EM29" s="68"/>
      <c r="EN29" s="68"/>
      <c r="EO29" s="68"/>
      <c r="EP29" s="68"/>
      <c r="EQ29" s="68"/>
      <c r="ER29" s="68"/>
      <c r="ES29" s="68"/>
      <c r="ET29" s="68"/>
      <c r="EU29" s="68"/>
      <c r="EV29" s="68"/>
      <c r="EW29" s="68"/>
      <c r="EX29" s="68"/>
      <c r="EY29" s="68"/>
      <c r="EZ29" s="68"/>
      <c r="FA29" s="68"/>
      <c r="FB29" s="126">
        <f>'Crops; pasture AMORTIZED'!DX41</f>
        <v>4.2514063975387479</v>
      </c>
      <c r="FC29" s="126">
        <f>'Crops; pasture AMORTIZED'!EA41</f>
        <v>4.3478260869565215</v>
      </c>
      <c r="FD29" s="126">
        <f>'Crops; pasture AMORTIZED'!ED41</f>
        <v>2.3639404074186681</v>
      </c>
      <c r="FE29" s="126"/>
      <c r="FF29" s="126"/>
      <c r="FG29" s="126"/>
      <c r="FH29" s="126"/>
      <c r="FI29" s="126"/>
      <c r="FJ29" s="126"/>
      <c r="FK29" s="126"/>
      <c r="FL29" s="126"/>
      <c r="FM29" s="126"/>
      <c r="FN29" s="126"/>
      <c r="FO29" s="126"/>
      <c r="FP29" s="126"/>
      <c r="FQ29" s="126"/>
      <c r="FR29" s="126"/>
      <c r="FS29" s="126"/>
      <c r="FV29" s="60"/>
      <c r="FY29" s="68"/>
      <c r="FZ29" s="60"/>
      <c r="GF29" s="68"/>
      <c r="GG29" s="126"/>
      <c r="GH29" s="126"/>
      <c r="GI29" s="126"/>
      <c r="GJ29" s="126"/>
      <c r="GK29" s="126"/>
      <c r="GL29" s="126"/>
      <c r="GM29" s="126"/>
      <c r="GN29" s="126"/>
      <c r="GO29" s="126"/>
      <c r="GP29" s="126"/>
      <c r="GQ29" s="126"/>
      <c r="GR29" s="126"/>
      <c r="GS29" s="126"/>
      <c r="GT29" s="126"/>
      <c r="GU29" s="126">
        <f>'Crops; pasture AMORTIZED'!EK41</f>
        <v>0.16449658446135751</v>
      </c>
      <c r="GV29" s="126">
        <f>'Crops; pasture AMORTIZED'!EP41</f>
        <v>0.1728997608190091</v>
      </c>
      <c r="GW29" s="126">
        <f>'Crops; pasture AMORTIZED'!EW41</f>
        <v>0</v>
      </c>
      <c r="GX29" s="126"/>
      <c r="GY29" s="123"/>
      <c r="GZ29" s="123"/>
      <c r="HA29" s="123"/>
      <c r="HB29" s="123"/>
      <c r="HC29" s="123"/>
      <c r="HD29" s="123"/>
      <c r="HE29" s="123"/>
      <c r="HF29" s="123"/>
      <c r="HG29" s="123"/>
      <c r="HH29" s="123"/>
      <c r="HI29" s="123"/>
      <c r="HJ29" s="123"/>
      <c r="HK29" s="123"/>
      <c r="HL29" s="123"/>
      <c r="HM29" s="123"/>
      <c r="HN29" s="123"/>
      <c r="HO29" s="123"/>
      <c r="HP29" s="60"/>
      <c r="HQ29" s="123"/>
      <c r="HR29" s="60"/>
      <c r="HS29" s="68"/>
      <c r="HT29" s="68"/>
      <c r="HU29" s="68"/>
      <c r="HV29" s="68"/>
      <c r="HW29" s="68"/>
      <c r="HX29" s="68"/>
      <c r="HY29" s="68"/>
      <c r="HZ29" s="68"/>
      <c r="IA29" s="68"/>
      <c r="IB29" s="68"/>
      <c r="IC29" s="68"/>
      <c r="ID29" s="68"/>
      <c r="IE29" s="68"/>
      <c r="IF29" s="68"/>
      <c r="IG29" s="68"/>
      <c r="IH29" s="68"/>
      <c r="II29" s="68"/>
      <c r="IJ29" s="68"/>
      <c r="IK29" s="68"/>
      <c r="IL29" s="68"/>
      <c r="IM29" s="68"/>
      <c r="IN29" s="68"/>
      <c r="IO29" s="431"/>
      <c r="IP29" s="431"/>
      <c r="IQ29" s="431"/>
      <c r="IR29" s="431"/>
      <c r="IS29" s="431"/>
      <c r="IT29" s="431"/>
      <c r="IU29" s="431"/>
      <c r="IV29" s="41"/>
      <c r="IW29" s="60"/>
      <c r="IX29" s="60"/>
      <c r="IY29" s="60"/>
      <c r="IZ29" s="60"/>
      <c r="JA29" s="60"/>
      <c r="JB29" s="60"/>
      <c r="JC29" s="60"/>
      <c r="JD29" s="60"/>
      <c r="JE29" s="60"/>
      <c r="JF29" s="60"/>
      <c r="JG29" s="60"/>
      <c r="JH29" s="60"/>
      <c r="JI29" s="60"/>
      <c r="JJ29" s="60"/>
      <c r="JK29" s="60"/>
      <c r="JL29" s="60"/>
      <c r="JM29" s="123"/>
      <c r="JN29" s="123"/>
      <c r="JO29" s="123"/>
      <c r="JP29" s="123"/>
      <c r="JQ29" s="60"/>
      <c r="JR29" s="60"/>
      <c r="JS29" s="60"/>
      <c r="JT29" s="60"/>
      <c r="JU29" s="60"/>
      <c r="JV29" s="60"/>
      <c r="JW29" s="60"/>
      <c r="JX29" s="60"/>
      <c r="JY29" s="60"/>
      <c r="JZ29" s="60"/>
      <c r="KA29" s="60"/>
      <c r="KB29" s="60"/>
      <c r="KC29" s="60"/>
      <c r="KD29" s="123"/>
      <c r="KE29" s="123"/>
      <c r="KF29" s="123"/>
      <c r="KG29" s="123"/>
      <c r="KH29" s="123"/>
      <c r="KI29" s="123"/>
      <c r="KJ29" s="123"/>
      <c r="KK29" s="123"/>
      <c r="KL29" s="123"/>
      <c r="KM29" s="123"/>
      <c r="KN29" s="123"/>
      <c r="KO29" s="123"/>
      <c r="KP29" s="123"/>
      <c r="KQ29" s="123"/>
      <c r="KR29" s="123"/>
      <c r="KS29" s="123"/>
      <c r="KT29" s="60"/>
      <c r="KU29" s="60"/>
      <c r="KV29" s="60"/>
      <c r="KW29" s="60"/>
      <c r="KX29" s="68"/>
      <c r="KY29" s="60"/>
      <c r="KZ29" s="60"/>
      <c r="LA29" s="60"/>
      <c r="LB29" s="60"/>
      <c r="LC29" s="68"/>
      <c r="LD29" s="68"/>
      <c r="LE29" s="68"/>
      <c r="LF29" s="68"/>
      <c r="LG29" s="68"/>
      <c r="LH29" s="68"/>
      <c r="LI29" s="68"/>
      <c r="LJ29" s="68"/>
      <c r="LK29" s="68"/>
      <c r="LL29" s="68"/>
      <c r="LM29" s="68"/>
      <c r="LN29" s="68"/>
      <c r="LO29" s="68"/>
      <c r="LP29" s="68"/>
      <c r="LQ29" s="68"/>
      <c r="LR29" s="68"/>
      <c r="LS29" s="68"/>
      <c r="LT29" s="68"/>
      <c r="LU29" s="68"/>
      <c r="LV29" s="68"/>
      <c r="LW29" s="68"/>
      <c r="LX29" s="60"/>
      <c r="LY29" s="60"/>
      <c r="LZ29" s="60"/>
      <c r="MA29" s="60"/>
      <c r="MB29" s="68"/>
      <c r="MC29" s="60"/>
      <c r="MD29" s="60"/>
      <c r="ME29" s="60"/>
      <c r="MF29" s="60"/>
      <c r="MG29" s="68"/>
      <c r="MH29" s="68"/>
      <c r="MI29" s="68"/>
      <c r="MJ29" s="68"/>
      <c r="MK29" s="68"/>
      <c r="ML29" s="68"/>
      <c r="MM29" s="68"/>
      <c r="MN29" s="68"/>
      <c r="MO29" s="68"/>
      <c r="MP29" s="68"/>
      <c r="MQ29" s="68"/>
      <c r="MR29" s="60"/>
      <c r="MS29" s="60"/>
      <c r="MT29" s="60"/>
      <c r="MU29" s="60"/>
      <c r="MV29" s="60"/>
      <c r="MW29" s="68"/>
      <c r="MX29" s="68"/>
      <c r="MY29" s="68"/>
      <c r="MZ29" s="68"/>
      <c r="NA29" s="68"/>
      <c r="NB29" s="68"/>
      <c r="NC29" s="68"/>
      <c r="ND29" s="68"/>
      <c r="NE29" s="68"/>
      <c r="NF29" s="68"/>
      <c r="NG29" s="68"/>
      <c r="NH29" s="68"/>
      <c r="NI29" s="68"/>
      <c r="NJ29" s="68"/>
      <c r="NK29" s="68"/>
      <c r="NL29" s="68"/>
      <c r="NM29" s="68"/>
      <c r="NN29" s="68"/>
      <c r="NO29" s="68"/>
      <c r="NP29" s="68"/>
      <c r="NQ29" s="68"/>
      <c r="NR29" s="60"/>
      <c r="NS29" s="60"/>
      <c r="NT29" s="631">
        <f>'Crops; pasture AMORTIZED'!HB41</f>
        <v>0.92</v>
      </c>
      <c r="NU29" s="631"/>
      <c r="NV29" s="41">
        <f>'Crops; pasture AMORTIZED'!HC41</f>
        <v>26.404</v>
      </c>
      <c r="NW29" s="41">
        <f>'Crops; pasture AMORTIZED'!HD41</f>
        <v>28.7</v>
      </c>
      <c r="NX29" s="41"/>
      <c r="NY29" s="41"/>
      <c r="NZ29" s="41"/>
      <c r="OA29" s="41">
        <f>'Crops; pasture AMORTIZED'!HE41</f>
        <v>23.736000000000001</v>
      </c>
      <c r="OB29" s="41">
        <f>'Crops; pasture AMORTIZED'!HF41</f>
        <v>25.8</v>
      </c>
      <c r="OC29" s="631">
        <f>'Crops; pasture AMORTIZED'!HG41</f>
        <v>0.2024</v>
      </c>
      <c r="OD29" s="631">
        <f>'Crops; pasture AMORTIZED'!HH41</f>
        <v>0.22</v>
      </c>
      <c r="OE29" s="631">
        <f>'Crops; pasture AMORTIZED'!HI41</f>
        <v>0.41400000000000003</v>
      </c>
      <c r="OF29" s="631">
        <f>'Crops; pasture AMORTIZED'!HJ41</f>
        <v>0.45</v>
      </c>
      <c r="RU29" s="97"/>
      <c r="RV29" s="97"/>
      <c r="RW29" s="97"/>
      <c r="RX29" s="97"/>
      <c r="RY29" s="97"/>
      <c r="RZ29" s="97"/>
    </row>
    <row r="30" spans="1:494" s="4" customFormat="1" x14ac:dyDescent="0.25">
      <c r="A30" s="14" t="s">
        <v>135</v>
      </c>
      <c r="B30" s="14"/>
      <c r="C30" s="14"/>
      <c r="D30" s="708"/>
      <c r="E30" s="102"/>
      <c r="F30" s="102"/>
      <c r="G30" s="102"/>
      <c r="H30" s="102"/>
      <c r="I30" s="102"/>
      <c r="J30" s="102"/>
      <c r="K30" s="102"/>
      <c r="L30" s="102"/>
      <c r="M30" s="102"/>
      <c r="N30" s="628">
        <f>'Crops; pasture AMORTIZED'!P42</f>
        <v>33.125520000000002</v>
      </c>
      <c r="O30" s="67">
        <f t="shared" si="8"/>
        <v>20.989505247376311</v>
      </c>
      <c r="P30" s="67">
        <f t="shared" si="8"/>
        <v>19.310344827586206</v>
      </c>
      <c r="Q30" s="627">
        <f t="shared" si="7"/>
        <v>0.58294465498462233</v>
      </c>
      <c r="R30" s="14"/>
      <c r="S30" s="14"/>
      <c r="T30" s="630">
        <f>U30/NT30</f>
        <v>20.989505247376311</v>
      </c>
      <c r="U30" s="630">
        <f>W97/C97</f>
        <v>19.310344827586206</v>
      </c>
      <c r="X30" s="60"/>
      <c r="AB30" s="126">
        <f>'Crops; pasture AMORTIZED'!L42</f>
        <v>6.8225344085164545</v>
      </c>
      <c r="AC30" s="126">
        <f>'Crops; pasture AMORTIZED'!M42</f>
        <v>7.8764965343415243</v>
      </c>
      <c r="AD30" s="126">
        <f>'Crops; pasture AMORTIZED'!N42</f>
        <v>3.8273116962645437</v>
      </c>
      <c r="AE30" s="126"/>
      <c r="AF30" s="126"/>
      <c r="AG30" s="126"/>
      <c r="AH30" s="126"/>
      <c r="AI30" s="126"/>
      <c r="AJ30" s="126"/>
      <c r="AK30" s="60"/>
      <c r="AL30" s="60"/>
      <c r="AM30" s="60"/>
      <c r="AN30" s="60"/>
      <c r="AO30" s="126"/>
      <c r="AP30" s="126"/>
      <c r="AQ30" s="126"/>
      <c r="AR30" s="126"/>
      <c r="AS30" s="126"/>
      <c r="AT30" s="126"/>
      <c r="AU30" s="126"/>
      <c r="AV30" s="126"/>
      <c r="AW30" s="126"/>
      <c r="AX30" s="126"/>
      <c r="AY30" s="126"/>
      <c r="AZ30" s="126"/>
      <c r="BA30" s="126"/>
      <c r="BB30" s="126"/>
      <c r="BC30" s="126"/>
      <c r="BD30" s="126"/>
      <c r="BE30" s="126"/>
      <c r="BF30" s="126"/>
      <c r="BG30" s="126"/>
      <c r="BH30" s="126"/>
      <c r="BI30" s="126"/>
      <c r="BJ30" s="126"/>
      <c r="BK30" s="126"/>
      <c r="BL30" s="126"/>
      <c r="BM30" s="126"/>
      <c r="BN30" s="126"/>
      <c r="BO30" s="126"/>
      <c r="BP30" s="126">
        <f>'Crops; pasture AMORTIZED'!CZ42</f>
        <v>1.7192263148841467</v>
      </c>
      <c r="BQ30" s="126">
        <f>'Crops; pasture AMORTIZED'!DD42</f>
        <v>2.0092484535483268</v>
      </c>
      <c r="BR30" s="126">
        <f>'Crops; pasture AMORTIZED'!DH42</f>
        <v>0.89505411677552649</v>
      </c>
      <c r="BS30" s="126">
        <f>'Crops; pasture AMORTIZED'!DL42</f>
        <v>2.0321255886240865</v>
      </c>
      <c r="BT30" s="126">
        <f>'Crops; pasture AMORTIZED'!DP42</f>
        <v>2.3968765230442326</v>
      </c>
      <c r="BU30" s="126">
        <f>'Crops; pasture AMORTIZED'!DT42</f>
        <v>0.99555107012791066</v>
      </c>
      <c r="BV30" s="126"/>
      <c r="BW30" s="126"/>
      <c r="BX30" s="126"/>
      <c r="BY30" s="126"/>
      <c r="BZ30" s="126"/>
      <c r="CA30" s="126"/>
      <c r="CB30" s="126"/>
      <c r="CC30" s="126"/>
      <c r="CD30" s="126"/>
      <c r="CE30" s="126"/>
      <c r="CF30" s="126"/>
      <c r="CG30" s="126"/>
      <c r="CH30" s="126"/>
      <c r="CI30" s="126"/>
      <c r="CJ30" s="41"/>
      <c r="CL30" s="714"/>
      <c r="CM30" s="32"/>
      <c r="CN30" s="67"/>
      <c r="CO30" s="68"/>
      <c r="CP30" s="68"/>
      <c r="CQ30" s="68"/>
      <c r="CR30" s="97"/>
      <c r="CS30" s="97"/>
      <c r="CT30" s="97"/>
      <c r="CU30" s="97"/>
      <c r="CV30" s="97"/>
      <c r="CW30" s="68"/>
      <c r="CX30" s="68"/>
      <c r="CY30" s="68"/>
      <c r="CZ30" s="68"/>
      <c r="DA30" s="68"/>
      <c r="DB30" s="68"/>
      <c r="DC30" s="68"/>
      <c r="DD30" s="68"/>
      <c r="DE30" s="68"/>
      <c r="DF30" s="68"/>
      <c r="DG30" s="68"/>
      <c r="DH30" s="68"/>
      <c r="DI30" s="68"/>
      <c r="DJ30" s="68"/>
      <c r="DK30" s="68"/>
      <c r="DL30" s="68"/>
      <c r="DM30" s="68"/>
      <c r="DN30" s="68"/>
      <c r="DO30" s="68"/>
      <c r="DP30" s="68"/>
      <c r="DQ30" s="68"/>
      <c r="DR30" s="68"/>
      <c r="DS30" s="68"/>
      <c r="DT30" s="68"/>
      <c r="DU30" s="68"/>
      <c r="DV30" s="68"/>
      <c r="DW30" s="68"/>
      <c r="DX30" s="68"/>
      <c r="DY30" s="68"/>
      <c r="DZ30" s="41"/>
      <c r="EE30" s="68"/>
      <c r="EF30" s="68"/>
      <c r="EG30" s="68"/>
      <c r="EM30" s="68"/>
      <c r="EN30" s="68"/>
      <c r="EO30" s="68"/>
      <c r="EP30" s="68"/>
      <c r="EQ30" s="68"/>
      <c r="ER30" s="68"/>
      <c r="ES30" s="68"/>
      <c r="ET30" s="68"/>
      <c r="EU30" s="68"/>
      <c r="EV30" s="68"/>
      <c r="EW30" s="68"/>
      <c r="EX30" s="68"/>
      <c r="EY30" s="68"/>
      <c r="EZ30" s="68"/>
      <c r="FA30" s="68"/>
      <c r="FB30" s="126">
        <f>'Crops; pasture AMORTIZED'!DX42</f>
        <v>4.0467893032320692</v>
      </c>
      <c r="FC30" s="126">
        <f>'Crops; pasture AMORTIZED'!EA42</f>
        <v>4.7731568998109637</v>
      </c>
      <c r="FD30" s="126">
        <f>'Crops; pasture AMORTIZED'!ED42</f>
        <v>1.9825474586650336</v>
      </c>
      <c r="FE30" s="126"/>
      <c r="FF30" s="126"/>
      <c r="FG30" s="126"/>
      <c r="FH30" s="126"/>
      <c r="FI30" s="126"/>
      <c r="FJ30" s="126"/>
      <c r="FK30" s="126"/>
      <c r="FL30" s="126"/>
      <c r="FM30" s="126"/>
      <c r="FN30" s="126"/>
      <c r="FO30" s="126"/>
      <c r="FP30" s="126"/>
      <c r="FQ30" s="126"/>
      <c r="FR30" s="126"/>
      <c r="FS30" s="126"/>
      <c r="FV30" s="60"/>
      <c r="FY30" s="68"/>
      <c r="FZ30" s="60"/>
      <c r="GF30" s="68"/>
      <c r="GG30" s="126"/>
      <c r="GH30" s="126"/>
      <c r="GI30" s="126"/>
      <c r="GJ30" s="126"/>
      <c r="GK30" s="126"/>
      <c r="GL30" s="126"/>
      <c r="GM30" s="126"/>
      <c r="GN30" s="126"/>
      <c r="GO30" s="126"/>
      <c r="GP30" s="126"/>
      <c r="GQ30" s="126"/>
      <c r="GR30" s="126"/>
      <c r="GS30" s="126"/>
      <c r="GT30" s="126"/>
      <c r="GU30" s="126">
        <f>'Crops; pasture AMORTIZED'!EK42</f>
        <v>0.41224612926831039</v>
      </c>
      <c r="GV30" s="126">
        <f>'Crops; pasture AMORTIZED'!EP42</f>
        <v>0.46840122873345935</v>
      </c>
      <c r="GW30" s="126">
        <f>'Crops; pasture AMORTIZED'!EW42</f>
        <v>0.25266067054500918</v>
      </c>
      <c r="GX30" s="126"/>
      <c r="GY30" s="123"/>
      <c r="GZ30" s="123"/>
      <c r="HA30" s="123"/>
      <c r="HB30" s="123"/>
      <c r="HC30" s="123"/>
      <c r="HD30" s="123"/>
      <c r="HE30" s="123"/>
      <c r="HF30" s="123"/>
      <c r="HG30" s="123"/>
      <c r="HH30" s="123"/>
      <c r="HI30" s="123"/>
      <c r="HJ30" s="123"/>
      <c r="HK30" s="123"/>
      <c r="HL30" s="123"/>
      <c r="HM30" s="123"/>
      <c r="HN30" s="123"/>
      <c r="HO30" s="123"/>
      <c r="HP30" s="60"/>
      <c r="HQ30" s="123"/>
      <c r="HR30" s="60"/>
      <c r="HS30" s="68"/>
      <c r="HT30" s="68"/>
      <c r="HU30" s="68"/>
      <c r="HV30" s="68"/>
      <c r="HW30" s="68"/>
      <c r="HX30" s="68"/>
      <c r="HY30" s="68"/>
      <c r="HZ30" s="68"/>
      <c r="IA30" s="68"/>
      <c r="IB30" s="68"/>
      <c r="IC30" s="68"/>
      <c r="ID30" s="68"/>
      <c r="IE30" s="68"/>
      <c r="IF30" s="68"/>
      <c r="IG30" s="68"/>
      <c r="IH30" s="68"/>
      <c r="II30" s="68"/>
      <c r="IJ30" s="68"/>
      <c r="IK30" s="68"/>
      <c r="IL30" s="68"/>
      <c r="IM30" s="68"/>
      <c r="IN30" s="68"/>
      <c r="IO30" s="431"/>
      <c r="IP30" s="431"/>
      <c r="IQ30" s="431"/>
      <c r="IR30" s="431"/>
      <c r="IS30" s="431"/>
      <c r="IT30" s="431"/>
      <c r="IU30" s="431"/>
      <c r="IV30" s="41"/>
      <c r="IW30" s="60"/>
      <c r="IX30" s="60"/>
      <c r="IY30" s="60"/>
      <c r="IZ30" s="60"/>
      <c r="JA30" s="60"/>
      <c r="JB30" s="60"/>
      <c r="JC30" s="60"/>
      <c r="JD30" s="60"/>
      <c r="JE30" s="60"/>
      <c r="JF30" s="60"/>
      <c r="JG30" s="60"/>
      <c r="JH30" s="60"/>
      <c r="JI30" s="60"/>
      <c r="JJ30" s="60"/>
      <c r="JK30" s="60"/>
      <c r="JL30" s="60"/>
      <c r="JM30" s="123"/>
      <c r="JN30" s="123"/>
      <c r="JO30" s="123"/>
      <c r="JP30" s="123"/>
      <c r="JQ30" s="60"/>
      <c r="JR30" s="60"/>
      <c r="JS30" s="60"/>
      <c r="JT30" s="60"/>
      <c r="JU30" s="60"/>
      <c r="JV30" s="60"/>
      <c r="JW30" s="60"/>
      <c r="JX30" s="60"/>
      <c r="JY30" s="60"/>
      <c r="JZ30" s="60"/>
      <c r="KA30" s="60"/>
      <c r="KB30" s="60"/>
      <c r="KC30" s="60"/>
      <c r="KD30" s="123"/>
      <c r="KE30" s="123"/>
      <c r="KF30" s="123"/>
      <c r="KG30" s="123"/>
      <c r="KH30" s="123"/>
      <c r="KI30" s="123"/>
      <c r="KJ30" s="123"/>
      <c r="KK30" s="123"/>
      <c r="KL30" s="123"/>
      <c r="KM30" s="123"/>
      <c r="KN30" s="123"/>
      <c r="KO30" s="123"/>
      <c r="KP30" s="123"/>
      <c r="KQ30" s="123"/>
      <c r="KR30" s="123"/>
      <c r="KS30" s="123"/>
      <c r="KT30" s="60"/>
      <c r="KU30" s="60"/>
      <c r="KV30" s="60"/>
      <c r="KW30" s="60"/>
      <c r="KX30" s="68"/>
      <c r="KY30" s="60"/>
      <c r="KZ30" s="60"/>
      <c r="LA30" s="60"/>
      <c r="LB30" s="60"/>
      <c r="LC30" s="68"/>
      <c r="LD30" s="68"/>
      <c r="LE30" s="68"/>
      <c r="LF30" s="68"/>
      <c r="LG30" s="68"/>
      <c r="LH30" s="68"/>
      <c r="LI30" s="68"/>
      <c r="LJ30" s="68"/>
      <c r="LK30" s="68"/>
      <c r="LL30" s="68"/>
      <c r="LM30" s="68"/>
      <c r="LN30" s="68"/>
      <c r="LO30" s="68"/>
      <c r="LP30" s="68"/>
      <c r="LQ30" s="68"/>
      <c r="LR30" s="68"/>
      <c r="LS30" s="68"/>
      <c r="LT30" s="68"/>
      <c r="LU30" s="68"/>
      <c r="LV30" s="68"/>
      <c r="LW30" s="68"/>
      <c r="LX30" s="60"/>
      <c r="LY30" s="60"/>
      <c r="LZ30" s="60"/>
      <c r="MA30" s="60"/>
      <c r="MB30" s="68"/>
      <c r="MC30" s="60"/>
      <c r="MD30" s="60"/>
      <c r="ME30" s="60"/>
      <c r="MF30" s="60"/>
      <c r="MG30" s="68"/>
      <c r="MH30" s="68"/>
      <c r="MI30" s="68"/>
      <c r="MJ30" s="68"/>
      <c r="MK30" s="68"/>
      <c r="ML30" s="68"/>
      <c r="MM30" s="68"/>
      <c r="MN30" s="68"/>
      <c r="MO30" s="68"/>
      <c r="MP30" s="68"/>
      <c r="MQ30" s="68"/>
      <c r="MR30" s="60"/>
      <c r="MS30" s="60"/>
      <c r="MT30" s="60"/>
      <c r="MU30" s="60"/>
      <c r="MV30" s="60"/>
      <c r="MW30" s="68"/>
      <c r="MX30" s="68"/>
      <c r="MY30" s="68"/>
      <c r="MZ30" s="68"/>
      <c r="NA30" s="68"/>
      <c r="NB30" s="68"/>
      <c r="NC30" s="68"/>
      <c r="ND30" s="68"/>
      <c r="NE30" s="68"/>
      <c r="NF30" s="68"/>
      <c r="NG30" s="68"/>
      <c r="NH30" s="68"/>
      <c r="NI30" s="68"/>
      <c r="NJ30" s="68"/>
      <c r="NK30" s="68"/>
      <c r="NL30" s="68"/>
      <c r="NM30" s="68"/>
      <c r="NN30" s="68"/>
      <c r="NO30" s="68"/>
      <c r="NP30" s="68"/>
      <c r="NQ30" s="68"/>
      <c r="NR30" s="60"/>
      <c r="NS30" s="60"/>
      <c r="NT30" s="631">
        <f>'Crops; pasture AMORTIZED'!HB42</f>
        <v>0.92</v>
      </c>
      <c r="NU30" s="631"/>
      <c r="NV30" s="41">
        <f>'Crops; pasture AMORTIZED'!HC42</f>
        <v>23.92</v>
      </c>
      <c r="NW30" s="41">
        <f>'Crops; pasture AMORTIZED'!HD42</f>
        <v>26</v>
      </c>
      <c r="NX30" s="41"/>
      <c r="NY30" s="41"/>
      <c r="NZ30" s="41"/>
      <c r="OA30" s="41">
        <f>'Crops; pasture AMORTIZED'!HE42</f>
        <v>15.64</v>
      </c>
      <c r="OB30" s="41">
        <f>'Crops; pasture AMORTIZED'!HF42</f>
        <v>17</v>
      </c>
      <c r="OC30" s="631">
        <f>'Crops; pasture AMORTIZED'!HG42</f>
        <v>0.17480000000000001</v>
      </c>
      <c r="OD30" s="631">
        <f>'Crops; pasture AMORTIZED'!HH42</f>
        <v>0.19</v>
      </c>
      <c r="OE30" s="631">
        <f>'Crops; pasture AMORTIZED'!HI42</f>
        <v>0.32200000000000001</v>
      </c>
      <c r="OF30" s="631">
        <f>'Crops; pasture AMORTIZED'!HJ42</f>
        <v>0.35</v>
      </c>
      <c r="RU30" s="97"/>
      <c r="RV30" s="97"/>
      <c r="RW30" s="97"/>
      <c r="RX30" s="97"/>
      <c r="RY30" s="97"/>
      <c r="RZ30" s="97"/>
    </row>
    <row r="31" spans="1:494" s="4" customFormat="1" x14ac:dyDescent="0.25">
      <c r="A31" s="14"/>
      <c r="B31" s="14"/>
      <c r="C31" s="14"/>
      <c r="D31" s="708"/>
      <c r="E31" s="102"/>
      <c r="F31" s="102"/>
      <c r="G31" s="102"/>
      <c r="H31" s="102"/>
      <c r="I31" s="102"/>
      <c r="J31" s="102"/>
      <c r="K31" s="102"/>
      <c r="L31" s="102"/>
      <c r="M31" s="102"/>
      <c r="N31" s="628"/>
      <c r="O31" s="67"/>
      <c r="P31" s="67"/>
      <c r="Q31" s="627"/>
      <c r="R31" s="14"/>
      <c r="S31" s="14"/>
      <c r="T31" s="630"/>
      <c r="U31" s="630"/>
      <c r="X31" s="60"/>
      <c r="AB31" s="126"/>
      <c r="AC31" s="126"/>
      <c r="AD31" s="126"/>
      <c r="AE31" s="126"/>
      <c r="AF31" s="126"/>
      <c r="AG31" s="126"/>
      <c r="AH31" s="126"/>
      <c r="AI31" s="126"/>
      <c r="AJ31" s="126"/>
      <c r="AK31" s="60"/>
      <c r="AL31" s="60"/>
      <c r="AM31" s="60"/>
      <c r="AN31" s="60"/>
      <c r="AO31" s="126"/>
      <c r="AP31" s="126"/>
      <c r="AQ31" s="126"/>
      <c r="AR31" s="126"/>
      <c r="AS31" s="126"/>
      <c r="AT31" s="126"/>
      <c r="AU31" s="126"/>
      <c r="AV31" s="126"/>
      <c r="AW31" s="126"/>
      <c r="AX31" s="126"/>
      <c r="AY31" s="126"/>
      <c r="AZ31" s="126"/>
      <c r="BA31" s="126"/>
      <c r="BB31" s="126"/>
      <c r="BC31" s="126"/>
      <c r="BD31" s="126"/>
      <c r="BE31" s="126"/>
      <c r="BF31" s="126"/>
      <c r="BG31" s="126"/>
      <c r="BH31" s="126"/>
      <c r="BI31" s="126"/>
      <c r="BJ31" s="126"/>
      <c r="BK31" s="126"/>
      <c r="BL31" s="126"/>
      <c r="BM31" s="126"/>
      <c r="BN31" s="126"/>
      <c r="BO31" s="126"/>
      <c r="BP31" s="126"/>
      <c r="BQ31" s="126"/>
      <c r="BR31" s="126"/>
      <c r="BS31" s="126"/>
      <c r="BT31" s="126"/>
      <c r="BU31" s="126"/>
      <c r="BV31" s="126"/>
      <c r="BW31" s="126"/>
      <c r="BX31" s="126"/>
      <c r="BY31" s="126"/>
      <c r="BZ31" s="126"/>
      <c r="CA31" s="126"/>
      <c r="CB31" s="126"/>
      <c r="CC31" s="126"/>
      <c r="CD31" s="126"/>
      <c r="CE31" s="126"/>
      <c r="CF31" s="126"/>
      <c r="CG31" s="126"/>
      <c r="CH31" s="126"/>
      <c r="CI31" s="126"/>
      <c r="CJ31" s="41"/>
      <c r="CL31" s="714"/>
      <c r="CM31" s="32"/>
      <c r="CN31" s="67"/>
      <c r="CO31" s="68"/>
      <c r="CP31" s="68"/>
      <c r="CQ31" s="68"/>
      <c r="CR31" s="97"/>
      <c r="CS31" s="97"/>
      <c r="CT31" s="97"/>
      <c r="CU31" s="97"/>
      <c r="CV31" s="97"/>
      <c r="CW31" s="68"/>
      <c r="CX31" s="68"/>
      <c r="CY31" s="68"/>
      <c r="CZ31" s="68"/>
      <c r="DA31" s="68"/>
      <c r="DB31" s="68"/>
      <c r="DC31" s="68"/>
      <c r="DD31" s="68"/>
      <c r="DE31" s="68"/>
      <c r="DF31" s="68"/>
      <c r="DG31" s="68"/>
      <c r="DH31" s="68"/>
      <c r="DI31" s="68"/>
      <c r="DJ31" s="68"/>
      <c r="DK31" s="68"/>
      <c r="DL31" s="68"/>
      <c r="DM31" s="68"/>
      <c r="DN31" s="68"/>
      <c r="DO31" s="68"/>
      <c r="DP31" s="68"/>
      <c r="DQ31" s="68"/>
      <c r="DR31" s="68"/>
      <c r="DS31" s="68"/>
      <c r="DT31" s="68"/>
      <c r="DU31" s="68"/>
      <c r="DV31" s="68"/>
      <c r="DW31" s="68"/>
      <c r="DX31" s="68"/>
      <c r="DY31" s="68"/>
      <c r="DZ31" s="41"/>
      <c r="EE31" s="68"/>
      <c r="EF31" s="68"/>
      <c r="EG31" s="68"/>
      <c r="EM31" s="68"/>
      <c r="EN31" s="68"/>
      <c r="EO31" s="68"/>
      <c r="EP31" s="68"/>
      <c r="EQ31" s="68"/>
      <c r="ER31" s="68"/>
      <c r="ES31" s="68"/>
      <c r="ET31" s="68"/>
      <c r="EU31" s="68"/>
      <c r="EV31" s="68"/>
      <c r="EW31" s="68"/>
      <c r="EX31" s="68"/>
      <c r="EY31" s="68"/>
      <c r="EZ31" s="68"/>
      <c r="FA31" s="68"/>
      <c r="FB31" s="126"/>
      <c r="FC31" s="126"/>
      <c r="FD31" s="126"/>
      <c r="FE31" s="126"/>
      <c r="FF31" s="126"/>
      <c r="FG31" s="126"/>
      <c r="FH31" s="126"/>
      <c r="FI31" s="126"/>
      <c r="FJ31" s="126"/>
      <c r="FK31" s="126"/>
      <c r="FL31" s="126"/>
      <c r="FM31" s="126"/>
      <c r="FN31" s="126"/>
      <c r="FO31" s="126"/>
      <c r="FP31" s="126"/>
      <c r="FQ31" s="126"/>
      <c r="FR31" s="126"/>
      <c r="FS31" s="126"/>
      <c r="FV31" s="60"/>
      <c r="FY31" s="68"/>
      <c r="FZ31" s="60"/>
      <c r="GF31" s="68"/>
      <c r="GG31" s="126"/>
      <c r="GH31" s="126"/>
      <c r="GI31" s="126"/>
      <c r="GJ31" s="126"/>
      <c r="GK31" s="126"/>
      <c r="GL31" s="126"/>
      <c r="GM31" s="126"/>
      <c r="GN31" s="126"/>
      <c r="GO31" s="126"/>
      <c r="GP31" s="126"/>
      <c r="GQ31" s="126"/>
      <c r="GR31" s="126"/>
      <c r="GS31" s="126"/>
      <c r="GT31" s="126"/>
      <c r="GU31" s="126"/>
      <c r="GV31" s="126"/>
      <c r="GW31" s="126"/>
      <c r="GX31" s="126"/>
      <c r="GY31" s="123"/>
      <c r="GZ31" s="123"/>
      <c r="HA31" s="123"/>
      <c r="HB31" s="123"/>
      <c r="HC31" s="123"/>
      <c r="HD31" s="123"/>
      <c r="HE31" s="123"/>
      <c r="HF31" s="123"/>
      <c r="HG31" s="123"/>
      <c r="HH31" s="123"/>
      <c r="HI31" s="123"/>
      <c r="HJ31" s="123"/>
      <c r="HK31" s="123"/>
      <c r="HL31" s="123"/>
      <c r="HM31" s="123"/>
      <c r="HN31" s="123"/>
      <c r="HO31" s="123"/>
      <c r="HP31" s="60"/>
      <c r="HQ31" s="123"/>
      <c r="HR31" s="60"/>
      <c r="HS31" s="68"/>
      <c r="HT31" s="68"/>
      <c r="HU31" s="68"/>
      <c r="HV31" s="68"/>
      <c r="HW31" s="68"/>
      <c r="HX31" s="68"/>
      <c r="HY31" s="68"/>
      <c r="HZ31" s="68"/>
      <c r="IA31" s="68"/>
      <c r="IB31" s="68"/>
      <c r="IC31" s="68"/>
      <c r="ID31" s="68"/>
      <c r="IE31" s="68"/>
      <c r="IF31" s="68"/>
      <c r="IG31" s="68"/>
      <c r="IH31" s="68"/>
      <c r="II31" s="68"/>
      <c r="IJ31" s="68"/>
      <c r="IK31" s="68"/>
      <c r="IL31" s="68"/>
      <c r="IM31" s="68"/>
      <c r="IN31" s="68"/>
      <c r="IO31" s="431"/>
      <c r="IP31" s="431"/>
      <c r="IQ31" s="431"/>
      <c r="IR31" s="431"/>
      <c r="IS31" s="431"/>
      <c r="IT31" s="431"/>
      <c r="IU31" s="431"/>
      <c r="IV31" s="41"/>
      <c r="IW31" s="60"/>
      <c r="IX31" s="60"/>
      <c r="IY31" s="60"/>
      <c r="IZ31" s="60"/>
      <c r="JA31" s="60"/>
      <c r="JB31" s="60"/>
      <c r="JC31" s="60"/>
      <c r="JD31" s="60"/>
      <c r="JE31" s="60"/>
      <c r="JF31" s="60"/>
      <c r="JG31" s="60"/>
      <c r="JH31" s="60"/>
      <c r="JI31" s="60"/>
      <c r="JJ31" s="60"/>
      <c r="JK31" s="60"/>
      <c r="JL31" s="60"/>
      <c r="JM31" s="123"/>
      <c r="JN31" s="123"/>
      <c r="JO31" s="123"/>
      <c r="JP31" s="123"/>
      <c r="JQ31" s="60"/>
      <c r="JR31" s="60"/>
      <c r="JS31" s="60"/>
      <c r="JT31" s="60"/>
      <c r="JU31" s="60"/>
      <c r="JV31" s="60"/>
      <c r="JW31" s="60"/>
      <c r="JX31" s="60"/>
      <c r="JY31" s="60"/>
      <c r="JZ31" s="60"/>
      <c r="KA31" s="60"/>
      <c r="KB31" s="60"/>
      <c r="KC31" s="60"/>
      <c r="KD31" s="123"/>
      <c r="KE31" s="123"/>
      <c r="KF31" s="123"/>
      <c r="KG31" s="123"/>
      <c r="KH31" s="123"/>
      <c r="KI31" s="123"/>
      <c r="KJ31" s="123"/>
      <c r="KK31" s="123"/>
      <c r="KL31" s="123"/>
      <c r="KM31" s="123"/>
      <c r="KN31" s="123"/>
      <c r="KO31" s="123"/>
      <c r="KP31" s="123"/>
      <c r="KQ31" s="123"/>
      <c r="KR31" s="123"/>
      <c r="KS31" s="123"/>
      <c r="KT31" s="60"/>
      <c r="KU31" s="60"/>
      <c r="KV31" s="60"/>
      <c r="KW31" s="60"/>
      <c r="KX31" s="68"/>
      <c r="KY31" s="60"/>
      <c r="KZ31" s="60"/>
      <c r="LA31" s="60"/>
      <c r="LB31" s="60"/>
      <c r="LC31" s="68"/>
      <c r="LD31" s="68"/>
      <c r="LE31" s="68"/>
      <c r="LF31" s="68"/>
      <c r="LG31" s="68"/>
      <c r="LH31" s="68"/>
      <c r="LI31" s="68"/>
      <c r="LJ31" s="68"/>
      <c r="LK31" s="68"/>
      <c r="LL31" s="68"/>
      <c r="LM31" s="68"/>
      <c r="LN31" s="68"/>
      <c r="LO31" s="68"/>
      <c r="LP31" s="68"/>
      <c r="LQ31" s="68"/>
      <c r="LR31" s="68"/>
      <c r="LS31" s="68"/>
      <c r="LT31" s="68"/>
      <c r="LU31" s="68"/>
      <c r="LV31" s="68"/>
      <c r="LW31" s="68"/>
      <c r="LX31" s="60"/>
      <c r="LY31" s="60"/>
      <c r="LZ31" s="60"/>
      <c r="MA31" s="60"/>
      <c r="MB31" s="68"/>
      <c r="MC31" s="60"/>
      <c r="MD31" s="60"/>
      <c r="ME31" s="60"/>
      <c r="MF31" s="60"/>
      <c r="MG31" s="68"/>
      <c r="MH31" s="68"/>
      <c r="MI31" s="68"/>
      <c r="MJ31" s="68"/>
      <c r="MK31" s="68"/>
      <c r="ML31" s="68"/>
      <c r="MM31" s="68"/>
      <c r="MN31" s="68"/>
      <c r="MO31" s="68"/>
      <c r="MP31" s="68"/>
      <c r="MQ31" s="68"/>
      <c r="MR31" s="60"/>
      <c r="MS31" s="60"/>
      <c r="MT31" s="60"/>
      <c r="MU31" s="60"/>
      <c r="MV31" s="60"/>
      <c r="MW31" s="68"/>
      <c r="MX31" s="68"/>
      <c r="MY31" s="68"/>
      <c r="MZ31" s="68"/>
      <c r="NA31" s="68"/>
      <c r="NB31" s="68"/>
      <c r="NC31" s="68"/>
      <c r="ND31" s="68"/>
      <c r="NE31" s="68"/>
      <c r="NF31" s="68"/>
      <c r="NG31" s="68"/>
      <c r="NH31" s="68"/>
      <c r="NI31" s="68"/>
      <c r="NJ31" s="68"/>
      <c r="NK31" s="68"/>
      <c r="NL31" s="68"/>
      <c r="NM31" s="68"/>
      <c r="NN31" s="68"/>
      <c r="NO31" s="68"/>
      <c r="NP31" s="68"/>
      <c r="NQ31" s="68"/>
      <c r="NR31" s="60"/>
      <c r="NS31" s="60"/>
      <c r="NT31" s="631"/>
      <c r="NU31" s="631"/>
      <c r="NV31" s="41"/>
      <c r="NW31" s="41"/>
      <c r="NX31" s="41"/>
      <c r="NY31" s="41"/>
      <c r="NZ31" s="41"/>
      <c r="OA31" s="41"/>
      <c r="OB31" s="41"/>
      <c r="OC31" s="631"/>
      <c r="OD31" s="631"/>
      <c r="OE31" s="631"/>
      <c r="OF31" s="631"/>
      <c r="RU31" s="97"/>
      <c r="RV31" s="97"/>
      <c r="RW31" s="97"/>
      <c r="RX31" s="97"/>
      <c r="RY31" s="97"/>
      <c r="RZ31" s="97"/>
    </row>
    <row r="32" spans="1:494" s="4" customFormat="1" ht="13.8" x14ac:dyDescent="0.3">
      <c r="A32" s="15" t="s">
        <v>86</v>
      </c>
      <c r="B32" s="14"/>
      <c r="C32" s="14"/>
      <c r="D32" s="708"/>
      <c r="E32" s="102"/>
      <c r="F32" s="102"/>
      <c r="G32" s="102"/>
      <c r="H32" s="102"/>
      <c r="I32" s="102"/>
      <c r="J32" s="102"/>
      <c r="K32" s="102"/>
      <c r="L32" s="102"/>
      <c r="M32" s="102"/>
      <c r="N32" s="14"/>
      <c r="O32" s="14"/>
      <c r="P32" s="14"/>
      <c r="Q32" s="14"/>
      <c r="R32" s="14"/>
      <c r="S32" s="14"/>
      <c r="T32" s="14"/>
      <c r="U32" s="14"/>
      <c r="X32" s="60"/>
      <c r="AH32" s="60"/>
      <c r="AI32" s="60"/>
      <c r="AJ32" s="60"/>
      <c r="AZ32" s="60"/>
      <c r="BA32" s="60"/>
      <c r="BB32" s="60"/>
      <c r="BC32" s="60"/>
      <c r="BD32" s="60"/>
      <c r="BE32" s="60"/>
      <c r="BF32" s="60"/>
      <c r="BG32" s="60"/>
      <c r="BH32" s="60"/>
      <c r="BI32" s="60"/>
      <c r="CM32" s="14"/>
      <c r="CO32" s="60"/>
      <c r="CP32" s="60"/>
      <c r="CQ32" s="60"/>
      <c r="CR32" s="580"/>
      <c r="CS32" s="580"/>
      <c r="CT32" s="580"/>
      <c r="CU32" s="580"/>
      <c r="CV32" s="580"/>
      <c r="CW32" s="60"/>
      <c r="CX32" s="60"/>
      <c r="CY32" s="60"/>
      <c r="CZ32" s="60"/>
      <c r="DA32" s="60"/>
      <c r="DB32" s="60"/>
      <c r="DC32" s="60"/>
      <c r="DD32" s="60"/>
      <c r="DE32" s="60"/>
      <c r="DF32" s="60"/>
      <c r="DG32" s="60"/>
      <c r="DH32" s="60"/>
      <c r="DI32" s="60"/>
      <c r="DJ32" s="60"/>
      <c r="DK32" s="60"/>
      <c r="DL32" s="60"/>
      <c r="DM32" s="60"/>
      <c r="DN32" s="60"/>
      <c r="DO32" s="60"/>
      <c r="DP32" s="60"/>
      <c r="DQ32" s="60"/>
      <c r="DR32" s="60"/>
      <c r="DS32" s="60"/>
      <c r="DT32" s="60"/>
      <c r="DU32" s="60"/>
      <c r="DV32" s="60"/>
      <c r="DW32" s="60"/>
      <c r="DX32" s="60"/>
      <c r="DY32" s="60"/>
      <c r="EE32" s="60"/>
      <c r="EF32" s="60"/>
      <c r="EG32" s="60"/>
      <c r="EM32" s="60"/>
      <c r="EN32" s="60"/>
      <c r="EO32" s="60"/>
      <c r="EP32" s="60"/>
      <c r="EQ32" s="60"/>
      <c r="ER32" s="60"/>
      <c r="ES32" s="60"/>
      <c r="ET32" s="60"/>
      <c r="EU32" s="60"/>
      <c r="EV32" s="60"/>
      <c r="EW32" s="60"/>
      <c r="EX32" s="60"/>
      <c r="EY32" s="60"/>
      <c r="EZ32" s="60"/>
      <c r="FA32" s="60"/>
      <c r="FV32" s="60"/>
      <c r="FY32" s="60"/>
      <c r="FZ32" s="60"/>
      <c r="GF32" s="60"/>
      <c r="GY32" s="123"/>
      <c r="GZ32" s="123"/>
      <c r="HA32" s="123"/>
      <c r="HB32" s="123"/>
      <c r="HC32" s="123"/>
      <c r="HD32" s="123"/>
      <c r="HE32" s="123"/>
      <c r="HF32" s="123"/>
      <c r="HG32" s="123"/>
      <c r="HH32" s="123"/>
      <c r="HI32" s="123"/>
      <c r="HJ32" s="123"/>
      <c r="HK32" s="123"/>
      <c r="HL32" s="123"/>
      <c r="HM32" s="123"/>
      <c r="HN32" s="123"/>
      <c r="HO32" s="123"/>
      <c r="HP32" s="60"/>
      <c r="HQ32" s="123"/>
      <c r="HR32" s="60"/>
      <c r="HS32" s="60"/>
      <c r="HT32" s="60"/>
      <c r="HU32" s="60"/>
      <c r="HV32" s="60"/>
      <c r="HW32" s="60"/>
      <c r="HX32" s="60"/>
      <c r="HY32" s="60"/>
      <c r="HZ32" s="60"/>
      <c r="IA32" s="60"/>
      <c r="IB32" s="60"/>
      <c r="IC32" s="60"/>
      <c r="ID32" s="60"/>
      <c r="IE32" s="60"/>
      <c r="IF32" s="60"/>
      <c r="IG32" s="60"/>
      <c r="IH32" s="60"/>
      <c r="II32" s="60"/>
      <c r="IJ32" s="60"/>
      <c r="IK32" s="60"/>
      <c r="IL32" s="60"/>
      <c r="IM32" s="60"/>
      <c r="IN32" s="60"/>
      <c r="IO32" s="431"/>
      <c r="IP32" s="431"/>
      <c r="IQ32" s="431"/>
      <c r="IR32" s="431"/>
      <c r="IS32" s="431"/>
      <c r="IT32" s="431"/>
      <c r="IU32" s="431"/>
      <c r="IW32" s="60"/>
      <c r="IX32" s="60"/>
      <c r="IY32" s="60"/>
      <c r="IZ32" s="60"/>
      <c r="JA32" s="60"/>
      <c r="JB32" s="60"/>
      <c r="JC32" s="60"/>
      <c r="JD32" s="60"/>
      <c r="JE32" s="60"/>
      <c r="JF32" s="60"/>
      <c r="JG32" s="60"/>
      <c r="JH32" s="60"/>
      <c r="JI32" s="60"/>
      <c r="JJ32" s="60"/>
      <c r="JK32" s="60"/>
      <c r="JL32" s="60"/>
      <c r="JM32" s="123"/>
      <c r="JN32" s="123"/>
      <c r="JO32" s="123"/>
      <c r="JP32" s="123"/>
      <c r="JQ32" s="60"/>
      <c r="JR32" s="60"/>
      <c r="JS32" s="60"/>
      <c r="JT32" s="60"/>
      <c r="JU32" s="60"/>
      <c r="JV32" s="60"/>
      <c r="JW32" s="60"/>
      <c r="JX32" s="60"/>
      <c r="JY32" s="60"/>
      <c r="JZ32" s="60"/>
      <c r="KA32" s="60"/>
      <c r="KB32" s="60"/>
      <c r="KC32" s="60"/>
      <c r="KD32" s="123"/>
      <c r="KE32" s="123"/>
      <c r="KF32" s="123"/>
      <c r="KG32" s="123"/>
      <c r="KH32" s="123"/>
      <c r="KI32" s="123"/>
      <c r="KJ32" s="123"/>
      <c r="KK32" s="123"/>
      <c r="KL32" s="123"/>
      <c r="KM32" s="123"/>
      <c r="KN32" s="123"/>
      <c r="KO32" s="123"/>
      <c r="KP32" s="123"/>
      <c r="KQ32" s="123"/>
      <c r="KR32" s="123"/>
      <c r="KS32" s="123"/>
      <c r="KT32" s="60"/>
      <c r="KU32" s="60"/>
      <c r="KV32" s="60"/>
      <c r="KW32" s="60"/>
      <c r="KX32" s="60"/>
      <c r="KY32" s="60"/>
      <c r="KZ32" s="60"/>
      <c r="LA32" s="60"/>
      <c r="LB32" s="60"/>
      <c r="LC32" s="60"/>
      <c r="LD32" s="60"/>
      <c r="LE32" s="60"/>
      <c r="LF32" s="60"/>
      <c r="LG32" s="60"/>
      <c r="LH32" s="60"/>
      <c r="LI32" s="60"/>
      <c r="LJ32" s="60"/>
      <c r="LK32" s="60"/>
      <c r="LL32" s="60"/>
      <c r="LM32" s="60"/>
      <c r="LN32" s="60"/>
      <c r="LO32" s="60"/>
      <c r="LP32" s="60"/>
      <c r="LQ32" s="60"/>
      <c r="LR32" s="60"/>
      <c r="LS32" s="60"/>
      <c r="LT32" s="60"/>
      <c r="LU32" s="60"/>
      <c r="LV32" s="60"/>
      <c r="LW32" s="60"/>
      <c r="LX32" s="60"/>
      <c r="LY32" s="60"/>
      <c r="LZ32" s="60"/>
      <c r="MA32" s="60"/>
      <c r="MB32" s="60"/>
      <c r="MC32" s="60"/>
      <c r="MD32" s="60"/>
      <c r="ME32" s="60"/>
      <c r="MF32" s="60"/>
      <c r="MG32" s="60"/>
      <c r="MH32" s="60"/>
      <c r="MI32" s="60"/>
      <c r="MJ32" s="60"/>
      <c r="MK32" s="60"/>
      <c r="ML32" s="60"/>
      <c r="MM32" s="60"/>
      <c r="MN32" s="60"/>
      <c r="MO32" s="60"/>
      <c r="MP32" s="60"/>
      <c r="MQ32" s="60"/>
      <c r="MR32" s="60"/>
      <c r="MS32" s="60"/>
      <c r="MT32" s="60"/>
      <c r="MU32" s="60"/>
      <c r="MV32" s="60"/>
      <c r="MW32" s="60"/>
      <c r="MX32" s="60"/>
      <c r="MY32" s="60"/>
      <c r="MZ32" s="60"/>
      <c r="NA32" s="60"/>
      <c r="NB32" s="60"/>
      <c r="NC32" s="60"/>
      <c r="ND32" s="60"/>
      <c r="NE32" s="60"/>
      <c r="NF32" s="60"/>
      <c r="NG32" s="60"/>
      <c r="NH32" s="60"/>
      <c r="NI32" s="60"/>
      <c r="NJ32" s="60"/>
      <c r="NK32" s="60"/>
      <c r="NL32" s="60"/>
      <c r="NM32" s="60"/>
      <c r="NN32" s="60"/>
      <c r="NO32" s="60"/>
      <c r="NP32" s="60"/>
      <c r="NQ32" s="60"/>
      <c r="NR32" s="60"/>
      <c r="NS32" s="60"/>
      <c r="NT32" s="718"/>
      <c r="NU32" s="718"/>
      <c r="NV32" s="718"/>
      <c r="NW32" s="718"/>
      <c r="NX32" s="718"/>
      <c r="NY32" s="718"/>
      <c r="NZ32" s="718"/>
      <c r="RU32" s="97"/>
      <c r="RV32" s="97"/>
      <c r="RW32" s="97"/>
      <c r="RX32" s="97"/>
      <c r="RY32" s="97"/>
      <c r="RZ32" s="97"/>
    </row>
    <row r="33" spans="1:494" s="4" customFormat="1" x14ac:dyDescent="0.25">
      <c r="A33" s="14" t="s">
        <v>386</v>
      </c>
      <c r="B33" s="14"/>
      <c r="C33" s="14"/>
      <c r="D33" s="708"/>
      <c r="E33" s="102"/>
      <c r="F33" s="102"/>
      <c r="G33" s="102"/>
      <c r="H33" s="102"/>
      <c r="I33" s="102"/>
      <c r="J33" s="102"/>
      <c r="K33" s="102"/>
      <c r="L33" s="102"/>
      <c r="M33" s="102"/>
      <c r="N33" s="628"/>
      <c r="O33" s="14"/>
      <c r="P33" s="14"/>
      <c r="Q33" s="14"/>
      <c r="R33" s="14"/>
      <c r="S33" s="14"/>
      <c r="T33" s="14"/>
      <c r="U33" s="14"/>
      <c r="X33" s="60"/>
      <c r="AB33" s="126">
        <f>'Crops; pasture AMORTIZED'!L62</f>
        <v>2.4310392867093897</v>
      </c>
      <c r="AC33" s="126">
        <f>'Crops; pasture AMORTIZED'!M62</f>
        <v>2.7027027027027026</v>
      </c>
      <c r="AD33" s="126">
        <f>'Crops; pasture AMORTIZED'!N62</f>
        <v>1.3513513513513513</v>
      </c>
      <c r="AE33" s="126"/>
      <c r="AF33" s="126"/>
      <c r="AH33" s="60"/>
      <c r="AI33" s="60"/>
      <c r="AJ33" s="60"/>
      <c r="AZ33" s="60"/>
      <c r="BA33" s="60"/>
      <c r="BB33" s="60"/>
      <c r="BC33" s="60"/>
      <c r="BD33" s="60"/>
      <c r="BE33" s="60"/>
      <c r="BF33" s="60"/>
      <c r="BG33" s="60"/>
      <c r="BH33" s="60"/>
      <c r="BI33" s="60"/>
      <c r="BP33" s="126">
        <f>'Crops; pasture AMORTIZED'!CZ62</f>
        <v>0.49609222138615722</v>
      </c>
      <c r="BQ33" s="126">
        <f>'Crops; pasture AMORTIZED'!DD62</f>
        <v>0.59020558558558556</v>
      </c>
      <c r="BR33" s="126">
        <f>'Crops; pasture AMORTIZED'!DH62</f>
        <v>0.12166909909909909</v>
      </c>
      <c r="BS33" s="126">
        <f>'Crops; pasture AMORTIZED'!DL62</f>
        <v>0.63276182047326079</v>
      </c>
      <c r="BT33" s="126">
        <f>'Crops; pasture AMORTIZED'!DP62</f>
        <v>0.73016414472725144</v>
      </c>
      <c r="BU33" s="126">
        <f>'Crops; pasture AMORTIZED'!DT62</f>
        <v>0.24565001895098984</v>
      </c>
      <c r="BV33" s="126"/>
      <c r="BW33" s="126"/>
      <c r="BX33" s="126"/>
      <c r="BY33" s="126"/>
      <c r="BZ33" s="126"/>
      <c r="CA33" s="126"/>
      <c r="CB33" s="126"/>
      <c r="CC33" s="126"/>
      <c r="CD33" s="126"/>
      <c r="CE33" s="126"/>
      <c r="CF33" s="126"/>
      <c r="CG33" s="126"/>
      <c r="CH33" s="126"/>
      <c r="CI33" s="126"/>
      <c r="CM33" s="14"/>
      <c r="CO33" s="60"/>
      <c r="CP33" s="60"/>
      <c r="CQ33" s="60"/>
      <c r="CR33" s="580"/>
      <c r="CS33" s="580"/>
      <c r="CT33" s="580"/>
      <c r="CU33" s="580"/>
      <c r="CV33" s="580"/>
      <c r="CW33" s="60"/>
      <c r="CX33" s="60"/>
      <c r="CY33" s="60"/>
      <c r="CZ33" s="60"/>
      <c r="DA33" s="60"/>
      <c r="DB33" s="60"/>
      <c r="DC33" s="60"/>
      <c r="DD33" s="60"/>
      <c r="DE33" s="60"/>
      <c r="DF33" s="60"/>
      <c r="DG33" s="60"/>
      <c r="DH33" s="60"/>
      <c r="DI33" s="60"/>
      <c r="DJ33" s="60"/>
      <c r="DK33" s="60"/>
      <c r="DL33" s="60"/>
      <c r="DM33" s="60"/>
      <c r="DN33" s="60"/>
      <c r="DO33" s="60"/>
      <c r="DP33" s="60"/>
      <c r="DQ33" s="60"/>
      <c r="DR33" s="60"/>
      <c r="DS33" s="60"/>
      <c r="DT33" s="60"/>
      <c r="DU33" s="60"/>
      <c r="DV33" s="60"/>
      <c r="DW33" s="60"/>
      <c r="DX33" s="60"/>
      <c r="DY33" s="60"/>
      <c r="EE33" s="60"/>
      <c r="EF33" s="60"/>
      <c r="EG33" s="60"/>
      <c r="EM33" s="60"/>
      <c r="EN33" s="60"/>
      <c r="EO33" s="60"/>
      <c r="EP33" s="60"/>
      <c r="EQ33" s="60"/>
      <c r="ER33" s="60"/>
      <c r="ES33" s="60"/>
      <c r="ET33" s="60"/>
      <c r="EU33" s="60"/>
      <c r="EV33" s="60"/>
      <c r="EW33" s="60"/>
      <c r="EX33" s="60"/>
      <c r="EY33" s="60"/>
      <c r="EZ33" s="60"/>
      <c r="FA33" s="60"/>
      <c r="FB33" s="126">
        <f>'Crops; pasture AMORTIZED'!DX62</f>
        <v>1.2600863750348286</v>
      </c>
      <c r="FC33" s="126">
        <f>'Crops; pasture AMORTIZED'!EA62</f>
        <v>1.4540540540540539</v>
      </c>
      <c r="FD33" s="126">
        <f>'Crops; pasture AMORTIZED'!ED62</f>
        <v>0.48918918918918919</v>
      </c>
      <c r="FE33" s="126"/>
      <c r="FF33" s="126"/>
      <c r="FG33" s="126"/>
      <c r="FH33" s="126"/>
      <c r="FI33" s="126"/>
      <c r="FJ33" s="126"/>
      <c r="FK33" s="126"/>
      <c r="FL33" s="126"/>
      <c r="FM33" s="126"/>
      <c r="FN33" s="126"/>
      <c r="FO33" s="126"/>
      <c r="FP33" s="126"/>
      <c r="FQ33" s="126"/>
      <c r="FR33" s="126"/>
      <c r="FV33" s="60"/>
      <c r="FY33" s="60"/>
      <c r="FZ33" s="60"/>
      <c r="GF33" s="60"/>
      <c r="GG33" s="126"/>
      <c r="GH33" s="126"/>
      <c r="GI33" s="126"/>
      <c r="GJ33" s="126"/>
      <c r="GK33" s="126"/>
      <c r="GL33" s="126"/>
      <c r="GM33" s="126"/>
      <c r="GN33" s="126"/>
      <c r="GO33" s="126"/>
      <c r="GP33" s="126"/>
      <c r="GQ33" s="126"/>
      <c r="GR33" s="126"/>
      <c r="GS33" s="126"/>
      <c r="GT33" s="126"/>
      <c r="GU33" s="126">
        <f>'Crops; pasture AMORTIZED'!EK62</f>
        <v>0.20931951861521317</v>
      </c>
      <c r="GV33" s="126">
        <f>'Crops; pasture AMORTIZED'!EP62</f>
        <v>0.25374875729729729</v>
      </c>
      <c r="GW33" s="126">
        <f>'Crops; pasture AMORTIZED'!EW62</f>
        <v>3.2741775135135133E-2</v>
      </c>
      <c r="GX33" s="126"/>
      <c r="GY33" s="60"/>
      <c r="GZ33" s="60"/>
      <c r="HA33" s="60"/>
      <c r="HB33" s="60"/>
      <c r="HC33" s="60"/>
      <c r="HD33" s="60"/>
      <c r="HE33" s="60"/>
      <c r="HF33" s="60"/>
      <c r="HG33" s="60"/>
      <c r="HH33" s="60"/>
      <c r="HI33" s="60"/>
      <c r="HJ33" s="60"/>
      <c r="HK33" s="60"/>
      <c r="HL33" s="60"/>
      <c r="HM33" s="60"/>
      <c r="HN33" s="60"/>
      <c r="HO33" s="60"/>
      <c r="HP33" s="60"/>
      <c r="HQ33" s="60"/>
      <c r="HR33" s="60"/>
      <c r="HS33" s="60"/>
      <c r="HT33" s="60"/>
      <c r="HU33" s="60"/>
      <c r="HV33" s="60"/>
      <c r="HW33" s="60"/>
      <c r="HX33" s="60"/>
      <c r="HY33" s="60"/>
      <c r="HZ33" s="60"/>
      <c r="IA33" s="60"/>
      <c r="IB33" s="60"/>
      <c r="IC33" s="60"/>
      <c r="ID33" s="60"/>
      <c r="IE33" s="60"/>
      <c r="IF33" s="60"/>
      <c r="IG33" s="60"/>
      <c r="IH33" s="60"/>
      <c r="II33" s="60"/>
      <c r="IJ33" s="60"/>
      <c r="IK33" s="60"/>
      <c r="IL33" s="60"/>
      <c r="IM33" s="60"/>
      <c r="IN33" s="60"/>
      <c r="IO33" s="97"/>
      <c r="IP33" s="97"/>
      <c r="IQ33" s="97"/>
      <c r="IR33" s="97"/>
      <c r="IS33" s="97"/>
      <c r="IT33" s="97"/>
      <c r="IU33" s="97"/>
      <c r="IW33" s="60"/>
      <c r="IX33" s="60"/>
      <c r="IY33" s="60"/>
      <c r="IZ33" s="60"/>
      <c r="JA33" s="60"/>
      <c r="JB33" s="60"/>
      <c r="JC33" s="60"/>
      <c r="JD33" s="60"/>
      <c r="JE33" s="60"/>
      <c r="JF33" s="60"/>
      <c r="JG33" s="60"/>
      <c r="JH33" s="60"/>
      <c r="JI33" s="60"/>
      <c r="JJ33" s="60"/>
      <c r="JK33" s="60"/>
      <c r="JL33" s="60"/>
      <c r="JM33" s="60"/>
      <c r="JN33" s="60"/>
      <c r="JO33" s="60"/>
      <c r="JP33" s="123"/>
      <c r="JQ33" s="60"/>
      <c r="JR33" s="60"/>
      <c r="JS33" s="60"/>
      <c r="JT33" s="60"/>
      <c r="JU33" s="60"/>
      <c r="JV33" s="60"/>
      <c r="JW33" s="60"/>
      <c r="JX33" s="60"/>
      <c r="JY33" s="60"/>
      <c r="JZ33" s="60"/>
      <c r="KA33" s="60"/>
      <c r="KB33" s="60"/>
      <c r="KC33" s="60"/>
      <c r="KD33" s="60"/>
      <c r="KE33" s="60"/>
      <c r="KF33" s="60"/>
      <c r="KG33" s="60"/>
      <c r="KH33" s="60"/>
      <c r="KI33" s="60"/>
      <c r="KJ33" s="60"/>
      <c r="KK33" s="60"/>
      <c r="KL33" s="60"/>
      <c r="KM33" s="60"/>
      <c r="KN33" s="60"/>
      <c r="KO33" s="60"/>
      <c r="KP33" s="60"/>
      <c r="KQ33" s="60"/>
      <c r="KR33" s="60"/>
      <c r="KS33" s="60"/>
      <c r="KT33" s="60"/>
      <c r="KU33" s="60"/>
      <c r="KV33" s="60"/>
      <c r="KW33" s="60"/>
      <c r="KX33" s="60"/>
      <c r="KY33" s="60"/>
      <c r="KZ33" s="60"/>
      <c r="LA33" s="60"/>
      <c r="LB33" s="60"/>
      <c r="LC33" s="60"/>
      <c r="LD33" s="60"/>
      <c r="LE33" s="60"/>
      <c r="LF33" s="60"/>
      <c r="LG33" s="60"/>
      <c r="LH33" s="60"/>
      <c r="LI33" s="60"/>
      <c r="LJ33" s="60"/>
      <c r="LK33" s="60"/>
      <c r="LL33" s="60"/>
      <c r="LM33" s="60"/>
      <c r="LN33" s="60"/>
      <c r="LO33" s="60"/>
      <c r="LP33" s="60"/>
      <c r="LQ33" s="60"/>
      <c r="LR33" s="60"/>
      <c r="LS33" s="60"/>
      <c r="LT33" s="60"/>
      <c r="LU33" s="60"/>
      <c r="LV33" s="60"/>
      <c r="LW33" s="60"/>
      <c r="LX33" s="60"/>
      <c r="LY33" s="60"/>
      <c r="LZ33" s="60"/>
      <c r="MA33" s="60"/>
      <c r="MB33" s="60"/>
      <c r="MC33" s="60"/>
      <c r="MD33" s="60"/>
      <c r="ME33" s="60"/>
      <c r="MF33" s="60"/>
      <c r="MG33" s="60"/>
      <c r="MH33" s="60"/>
      <c r="MI33" s="60"/>
      <c r="MJ33" s="60"/>
      <c r="MK33" s="60"/>
      <c r="ML33" s="60"/>
      <c r="MM33" s="60"/>
      <c r="MN33" s="60"/>
      <c r="MO33" s="60"/>
      <c r="MP33" s="60"/>
      <c r="MQ33" s="60"/>
      <c r="MR33" s="60"/>
      <c r="MS33" s="60"/>
      <c r="MT33" s="60"/>
      <c r="MU33" s="60"/>
      <c r="MV33" s="60"/>
      <c r="MW33" s="60"/>
      <c r="MX33" s="60"/>
      <c r="MY33" s="60"/>
      <c r="MZ33" s="60"/>
      <c r="NA33" s="60"/>
      <c r="NB33" s="60"/>
      <c r="NC33" s="60"/>
      <c r="ND33" s="60"/>
      <c r="NE33" s="60"/>
      <c r="NF33" s="60"/>
      <c r="NG33" s="60"/>
      <c r="NH33" s="60"/>
      <c r="NI33" s="60"/>
      <c r="NJ33" s="60"/>
      <c r="NK33" s="60"/>
      <c r="NL33" s="60"/>
      <c r="NM33" s="60"/>
      <c r="NN33" s="60"/>
      <c r="NO33" s="60"/>
      <c r="NP33" s="60"/>
      <c r="NQ33" s="60"/>
      <c r="NR33" s="60"/>
      <c r="NS33" s="60"/>
      <c r="NT33" s="631">
        <f>'Crops; pasture AMORTIZED'!HB62</f>
        <v>0.25</v>
      </c>
      <c r="NU33" s="631"/>
      <c r="NV33" s="41">
        <f>'Crops; pasture AMORTIZED'!HC62</f>
        <v>4.5</v>
      </c>
      <c r="NW33" s="41">
        <f>'Crops; pasture AMORTIZED'!HD62</f>
        <v>18</v>
      </c>
      <c r="NX33" s="41"/>
      <c r="NY33" s="41"/>
      <c r="NZ33" s="41"/>
      <c r="OA33" s="41"/>
      <c r="OB33" s="41"/>
      <c r="OC33" s="631">
        <f>'Crops; pasture AMORTIZED'!HG62</f>
        <v>0</v>
      </c>
      <c r="OD33" s="631">
        <f>'Crops; pasture AMORTIZED'!HH62</f>
        <v>0.125</v>
      </c>
      <c r="OE33" s="631">
        <f>'Crops; pasture AMORTIZED'!HI62</f>
        <v>0</v>
      </c>
      <c r="OF33" s="631">
        <f>'Crops; pasture AMORTIZED'!HJ62</f>
        <v>0</v>
      </c>
      <c r="RU33" s="97"/>
      <c r="RV33" s="97"/>
      <c r="RW33" s="97"/>
      <c r="RX33" s="97"/>
      <c r="RY33" s="97"/>
      <c r="RZ33" s="97"/>
    </row>
    <row r="34" spans="1:494" s="4" customFormat="1" x14ac:dyDescent="0.25">
      <c r="A34" s="16"/>
      <c r="B34" s="14"/>
      <c r="C34" s="14"/>
      <c r="D34" s="708"/>
      <c r="E34" s="102"/>
      <c r="F34" s="102"/>
      <c r="G34" s="102"/>
      <c r="H34" s="102"/>
      <c r="I34" s="102"/>
      <c r="J34" s="102"/>
      <c r="K34" s="102"/>
      <c r="L34" s="102"/>
      <c r="M34" s="102"/>
      <c r="N34" s="14"/>
      <c r="O34" s="14"/>
      <c r="P34" s="14"/>
      <c r="Q34" s="14"/>
      <c r="R34" s="14"/>
      <c r="S34" s="14"/>
      <c r="T34" s="14"/>
      <c r="U34" s="14"/>
      <c r="X34" s="60"/>
      <c r="AH34" s="60"/>
      <c r="AI34" s="60"/>
      <c r="AJ34" s="60"/>
      <c r="AZ34" s="60"/>
      <c r="BA34" s="60"/>
      <c r="BB34" s="60"/>
      <c r="BC34" s="60"/>
      <c r="BD34" s="60"/>
      <c r="BE34" s="60"/>
      <c r="BF34" s="60"/>
      <c r="BG34" s="60"/>
      <c r="BH34" s="60"/>
      <c r="BI34" s="60"/>
      <c r="CM34" s="14"/>
      <c r="CO34" s="60"/>
      <c r="CP34" s="60"/>
      <c r="CQ34" s="60"/>
      <c r="CR34" s="580"/>
      <c r="CS34" s="580"/>
      <c r="CT34" s="580"/>
      <c r="CU34" s="580"/>
      <c r="CV34" s="580"/>
      <c r="CW34" s="60"/>
      <c r="CX34" s="60"/>
      <c r="CY34" s="60"/>
      <c r="CZ34" s="60"/>
      <c r="DA34" s="60"/>
      <c r="DB34" s="60"/>
      <c r="DC34" s="60"/>
      <c r="DD34" s="60"/>
      <c r="DE34" s="60"/>
      <c r="DF34" s="60"/>
      <c r="DG34" s="60"/>
      <c r="DH34" s="60"/>
      <c r="DI34" s="60"/>
      <c r="DJ34" s="60"/>
      <c r="DK34" s="60"/>
      <c r="DL34" s="60"/>
      <c r="DM34" s="60"/>
      <c r="DN34" s="60"/>
      <c r="DO34" s="60"/>
      <c r="DP34" s="60"/>
      <c r="DQ34" s="60"/>
      <c r="DR34" s="60"/>
      <c r="DS34" s="60"/>
      <c r="DT34" s="60"/>
      <c r="DU34" s="60"/>
      <c r="DV34" s="60"/>
      <c r="DW34" s="60"/>
      <c r="DX34" s="60"/>
      <c r="DY34" s="60"/>
      <c r="EE34" s="60"/>
      <c r="EF34" s="60"/>
      <c r="EG34" s="60"/>
      <c r="EM34" s="60"/>
      <c r="EN34" s="60"/>
      <c r="EO34" s="60"/>
      <c r="EP34" s="60"/>
      <c r="EQ34" s="60"/>
      <c r="ER34" s="60"/>
      <c r="ES34" s="60"/>
      <c r="ET34" s="60"/>
      <c r="EU34" s="60"/>
      <c r="EV34" s="60"/>
      <c r="EW34" s="60"/>
      <c r="EX34" s="60"/>
      <c r="EY34" s="60"/>
      <c r="EZ34" s="60"/>
      <c r="FA34" s="60"/>
      <c r="FV34" s="60"/>
      <c r="FY34" s="60"/>
      <c r="FZ34" s="60"/>
      <c r="GF34" s="60"/>
      <c r="GY34" s="60"/>
      <c r="GZ34" s="60"/>
      <c r="HA34" s="60"/>
      <c r="HB34" s="60"/>
      <c r="HC34" s="60"/>
      <c r="HD34" s="60"/>
      <c r="HE34" s="60"/>
      <c r="HF34" s="60"/>
      <c r="HG34" s="60"/>
      <c r="HH34" s="60"/>
      <c r="HI34" s="60"/>
      <c r="HJ34" s="60"/>
      <c r="HK34" s="60"/>
      <c r="HL34" s="60"/>
      <c r="HM34" s="60"/>
      <c r="HN34" s="60"/>
      <c r="HO34" s="60"/>
      <c r="HP34" s="60"/>
      <c r="HQ34" s="60"/>
      <c r="HR34" s="60"/>
      <c r="HS34" s="60"/>
      <c r="HT34" s="60"/>
      <c r="HU34" s="60"/>
      <c r="HV34" s="60"/>
      <c r="HW34" s="60"/>
      <c r="HX34" s="60"/>
      <c r="HY34" s="60"/>
      <c r="HZ34" s="60"/>
      <c r="IA34" s="60"/>
      <c r="IB34" s="60"/>
      <c r="IC34" s="60"/>
      <c r="ID34" s="60"/>
      <c r="IE34" s="60"/>
      <c r="IF34" s="60"/>
      <c r="IG34" s="60"/>
      <c r="IH34" s="60"/>
      <c r="II34" s="60"/>
      <c r="IJ34" s="60"/>
      <c r="IK34" s="60"/>
      <c r="IL34" s="60"/>
      <c r="IM34" s="60"/>
      <c r="IN34" s="60"/>
      <c r="IO34" s="595"/>
      <c r="IP34" s="595"/>
      <c r="IQ34" s="595"/>
      <c r="IR34" s="595"/>
      <c r="IS34" s="595"/>
      <c r="IT34" s="595"/>
      <c r="IU34" s="595"/>
      <c r="IW34" s="60"/>
      <c r="IX34" s="60"/>
      <c r="IY34" s="60"/>
      <c r="IZ34" s="60"/>
      <c r="JA34" s="60"/>
      <c r="JB34" s="60"/>
      <c r="JC34" s="60"/>
      <c r="JD34" s="60"/>
      <c r="JE34" s="60"/>
      <c r="JF34" s="60"/>
      <c r="JG34" s="60"/>
      <c r="JH34" s="60"/>
      <c r="JI34" s="60"/>
      <c r="JJ34" s="60"/>
      <c r="JK34" s="60"/>
      <c r="JL34" s="60"/>
      <c r="JM34" s="60"/>
      <c r="JN34" s="60"/>
      <c r="JO34" s="60"/>
      <c r="JP34" s="123"/>
      <c r="JQ34" s="60"/>
      <c r="JR34" s="60"/>
      <c r="JS34" s="60"/>
      <c r="JT34" s="60"/>
      <c r="JU34" s="60"/>
      <c r="JV34" s="60"/>
      <c r="JW34" s="60"/>
      <c r="JX34" s="60"/>
      <c r="JY34" s="60"/>
      <c r="JZ34" s="60"/>
      <c r="KA34" s="60"/>
      <c r="KB34" s="60"/>
      <c r="KC34" s="60"/>
      <c r="KD34" s="60"/>
      <c r="KE34" s="60"/>
      <c r="KF34" s="60"/>
      <c r="KG34" s="60"/>
      <c r="KH34" s="60"/>
      <c r="KI34" s="60"/>
      <c r="KJ34" s="60"/>
      <c r="KK34" s="60"/>
      <c r="KL34" s="60"/>
      <c r="KM34" s="60"/>
      <c r="KN34" s="60"/>
      <c r="KO34" s="60"/>
      <c r="KP34" s="60"/>
      <c r="KQ34" s="60"/>
      <c r="KR34" s="60"/>
      <c r="KS34" s="60"/>
      <c r="KT34" s="60"/>
      <c r="KU34" s="60"/>
      <c r="KV34" s="60"/>
      <c r="KW34" s="60"/>
      <c r="KX34" s="60"/>
      <c r="KY34" s="60"/>
      <c r="KZ34" s="60"/>
      <c r="LA34" s="60"/>
      <c r="LB34" s="60"/>
      <c r="LC34" s="60"/>
      <c r="LD34" s="60"/>
      <c r="LE34" s="60"/>
      <c r="LF34" s="60"/>
      <c r="LG34" s="60"/>
      <c r="LH34" s="60"/>
      <c r="LI34" s="60"/>
      <c r="LJ34" s="60"/>
      <c r="LK34" s="60"/>
      <c r="LL34" s="60"/>
      <c r="LM34" s="60"/>
      <c r="LN34" s="60"/>
      <c r="LO34" s="60"/>
      <c r="LP34" s="60"/>
      <c r="LQ34" s="60"/>
      <c r="LR34" s="60"/>
      <c r="LS34" s="60"/>
      <c r="LT34" s="60"/>
      <c r="LU34" s="60"/>
      <c r="LV34" s="60"/>
      <c r="LW34" s="60"/>
      <c r="LX34" s="60"/>
      <c r="LY34" s="60"/>
      <c r="LZ34" s="60"/>
      <c r="MA34" s="60"/>
      <c r="MB34" s="60"/>
      <c r="MC34" s="60"/>
      <c r="MD34" s="60"/>
      <c r="ME34" s="60"/>
      <c r="MF34" s="60"/>
      <c r="MG34" s="60"/>
      <c r="MH34" s="60"/>
      <c r="MI34" s="60"/>
      <c r="MJ34" s="60"/>
      <c r="MK34" s="60"/>
      <c r="ML34" s="60"/>
      <c r="MM34" s="60"/>
      <c r="MN34" s="60"/>
      <c r="MO34" s="60"/>
      <c r="MP34" s="60"/>
      <c r="MQ34" s="60"/>
      <c r="MR34" s="60"/>
      <c r="MS34" s="60"/>
      <c r="MT34" s="60"/>
      <c r="MU34" s="60"/>
      <c r="MV34" s="60"/>
      <c r="MW34" s="60"/>
      <c r="MX34" s="60"/>
      <c r="MY34" s="60"/>
      <c r="MZ34" s="60"/>
      <c r="NA34" s="60"/>
      <c r="NB34" s="60"/>
      <c r="NC34" s="60"/>
      <c r="ND34" s="60"/>
      <c r="NE34" s="60"/>
      <c r="NF34" s="60"/>
      <c r="NG34" s="60"/>
      <c r="NH34" s="60"/>
      <c r="NI34" s="60"/>
      <c r="NJ34" s="60"/>
      <c r="NK34" s="60"/>
      <c r="NL34" s="60"/>
      <c r="NM34" s="60"/>
      <c r="NN34" s="60"/>
      <c r="NO34" s="60"/>
      <c r="NP34" s="60"/>
      <c r="NQ34" s="60"/>
      <c r="NR34" s="60"/>
      <c r="NS34" s="60"/>
      <c r="NT34" s="718"/>
      <c r="NU34" s="718"/>
      <c r="NV34" s="718"/>
      <c r="NW34" s="718"/>
      <c r="NX34" s="718"/>
      <c r="NY34" s="718"/>
      <c r="NZ34" s="718"/>
      <c r="RU34" s="97"/>
      <c r="RV34" s="97"/>
      <c r="RW34" s="97"/>
      <c r="RX34" s="97"/>
      <c r="RY34" s="97"/>
      <c r="RZ34" s="97"/>
    </row>
    <row r="35" spans="1:494" s="4" customFormat="1" ht="13.8" x14ac:dyDescent="0.3">
      <c r="A35" s="15" t="s">
        <v>309</v>
      </c>
      <c r="B35" s="14"/>
      <c r="C35" s="14"/>
      <c r="D35" s="708"/>
      <c r="E35" s="102"/>
      <c r="F35" s="102"/>
      <c r="G35" s="102"/>
      <c r="H35" s="102"/>
      <c r="I35" s="102"/>
      <c r="J35" s="102"/>
      <c r="K35" s="102"/>
      <c r="L35" s="102"/>
      <c r="M35" s="102"/>
      <c r="N35" s="14"/>
      <c r="O35" s="14"/>
      <c r="P35" s="14"/>
      <c r="Q35" s="14"/>
      <c r="R35" s="14"/>
      <c r="S35" s="14"/>
      <c r="T35" s="14"/>
      <c r="U35" s="14"/>
      <c r="X35" s="60"/>
      <c r="AH35" s="60"/>
      <c r="AI35" s="60"/>
      <c r="AJ35" s="60"/>
      <c r="AZ35" s="60"/>
      <c r="BA35" s="60"/>
      <c r="BB35" s="60"/>
      <c r="BC35" s="60"/>
      <c r="BD35" s="60"/>
      <c r="BE35" s="60"/>
      <c r="BF35" s="60"/>
      <c r="BG35" s="60"/>
      <c r="BH35" s="60"/>
      <c r="BI35" s="60"/>
      <c r="CM35" s="14"/>
      <c r="CO35" s="60"/>
      <c r="CP35" s="60"/>
      <c r="CQ35" s="60"/>
      <c r="CR35" s="580"/>
      <c r="CS35" s="580"/>
      <c r="CT35" s="580"/>
      <c r="CU35" s="580"/>
      <c r="CV35" s="580"/>
      <c r="CW35" s="60"/>
      <c r="CX35" s="60"/>
      <c r="CY35" s="60"/>
      <c r="CZ35" s="60"/>
      <c r="DA35" s="60"/>
      <c r="DB35" s="60"/>
      <c r="DC35" s="60"/>
      <c r="DD35" s="60"/>
      <c r="DE35" s="60"/>
      <c r="DF35" s="60"/>
      <c r="DG35" s="60"/>
      <c r="DH35" s="60"/>
      <c r="DI35" s="60"/>
      <c r="DJ35" s="60"/>
      <c r="DK35" s="60"/>
      <c r="DL35" s="60"/>
      <c r="DM35" s="60"/>
      <c r="DN35" s="60"/>
      <c r="DO35" s="60"/>
      <c r="DP35" s="60"/>
      <c r="DQ35" s="60"/>
      <c r="DR35" s="60"/>
      <c r="DS35" s="60"/>
      <c r="DT35" s="60"/>
      <c r="DU35" s="60"/>
      <c r="DV35" s="60"/>
      <c r="DW35" s="60"/>
      <c r="DX35" s="60"/>
      <c r="DY35" s="60"/>
      <c r="EE35" s="60"/>
      <c r="EF35" s="60"/>
      <c r="EG35" s="60"/>
      <c r="EM35" s="60"/>
      <c r="EN35" s="60"/>
      <c r="EO35" s="60"/>
      <c r="EP35" s="60"/>
      <c r="EQ35" s="60"/>
      <c r="ER35" s="60"/>
      <c r="ES35" s="60"/>
      <c r="ET35" s="60"/>
      <c r="EU35" s="60"/>
      <c r="EV35" s="60"/>
      <c r="EW35" s="60"/>
      <c r="EX35" s="60"/>
      <c r="EY35" s="60"/>
      <c r="EZ35" s="60"/>
      <c r="FA35" s="60"/>
      <c r="FV35" s="60"/>
      <c r="FY35" s="60"/>
      <c r="FZ35" s="60"/>
      <c r="GF35" s="60"/>
      <c r="GY35" s="123"/>
      <c r="GZ35" s="123"/>
      <c r="HA35" s="123"/>
      <c r="HB35" s="123"/>
      <c r="HC35" s="123"/>
      <c r="HD35" s="123"/>
      <c r="HE35" s="123"/>
      <c r="HF35" s="123"/>
      <c r="HG35" s="123"/>
      <c r="HH35" s="123"/>
      <c r="HI35" s="123"/>
      <c r="HJ35" s="123"/>
      <c r="HK35" s="123"/>
      <c r="HL35" s="123"/>
      <c r="HM35" s="123"/>
      <c r="HN35" s="123"/>
      <c r="HO35" s="123"/>
      <c r="HP35" s="60"/>
      <c r="HQ35" s="123"/>
      <c r="HR35" s="60"/>
      <c r="HS35" s="60"/>
      <c r="HT35" s="60"/>
      <c r="HU35" s="60"/>
      <c r="HV35" s="60"/>
      <c r="HW35" s="60"/>
      <c r="HX35" s="60"/>
      <c r="HY35" s="60"/>
      <c r="HZ35" s="60"/>
      <c r="IA35" s="60"/>
      <c r="IB35" s="60"/>
      <c r="IC35" s="60"/>
      <c r="ID35" s="60"/>
      <c r="IE35" s="60"/>
      <c r="IF35" s="60"/>
      <c r="IG35" s="60"/>
      <c r="IH35" s="60"/>
      <c r="II35" s="60"/>
      <c r="IJ35" s="60"/>
      <c r="IK35" s="60"/>
      <c r="IL35" s="60"/>
      <c r="IM35" s="60"/>
      <c r="IN35" s="60"/>
      <c r="IO35" s="431"/>
      <c r="IP35" s="431"/>
      <c r="IQ35" s="431"/>
      <c r="IR35" s="431"/>
      <c r="IS35" s="431"/>
      <c r="IT35" s="431"/>
      <c r="IU35" s="431"/>
      <c r="IW35" s="60"/>
      <c r="IX35" s="60"/>
      <c r="IY35" s="60"/>
      <c r="IZ35" s="60"/>
      <c r="JA35" s="60"/>
      <c r="JB35" s="60"/>
      <c r="JC35" s="60"/>
      <c r="JD35" s="60"/>
      <c r="JE35" s="60"/>
      <c r="JF35" s="60"/>
      <c r="JG35" s="60"/>
      <c r="JH35" s="60"/>
      <c r="JI35" s="60"/>
      <c r="JJ35" s="60"/>
      <c r="JK35" s="60"/>
      <c r="JL35" s="60"/>
      <c r="JM35" s="123"/>
      <c r="JN35" s="123"/>
      <c r="JO35" s="123"/>
      <c r="JP35" s="123"/>
      <c r="JQ35" s="60"/>
      <c r="JR35" s="60"/>
      <c r="JS35" s="60"/>
      <c r="JT35" s="60"/>
      <c r="JU35" s="60"/>
      <c r="JV35" s="60"/>
      <c r="JW35" s="60"/>
      <c r="JX35" s="60"/>
      <c r="JY35" s="60"/>
      <c r="JZ35" s="60"/>
      <c r="KA35" s="60"/>
      <c r="KB35" s="60"/>
      <c r="KC35" s="60"/>
      <c r="KD35" s="123"/>
      <c r="KE35" s="123"/>
      <c r="KF35" s="123"/>
      <c r="KG35" s="123"/>
      <c r="KH35" s="123"/>
      <c r="KI35" s="123"/>
      <c r="KJ35" s="123"/>
      <c r="KK35" s="123"/>
      <c r="KL35" s="123"/>
      <c r="KM35" s="123"/>
      <c r="KN35" s="123"/>
      <c r="KO35" s="123"/>
      <c r="KP35" s="123"/>
      <c r="KQ35" s="123"/>
      <c r="KR35" s="123"/>
      <c r="KS35" s="123"/>
      <c r="KT35" s="60"/>
      <c r="KU35" s="60"/>
      <c r="KV35" s="60"/>
      <c r="KW35" s="60"/>
      <c r="KX35" s="60"/>
      <c r="KY35" s="60"/>
      <c r="KZ35" s="60"/>
      <c r="LA35" s="60"/>
      <c r="LB35" s="60"/>
      <c r="LC35" s="60"/>
      <c r="LD35" s="60"/>
      <c r="LE35" s="60"/>
      <c r="LF35" s="60"/>
      <c r="LG35" s="60"/>
      <c r="LH35" s="60"/>
      <c r="LI35" s="60"/>
      <c r="LJ35" s="60"/>
      <c r="LK35" s="60"/>
      <c r="LL35" s="60"/>
      <c r="LM35" s="60"/>
      <c r="LN35" s="60"/>
      <c r="LO35" s="60"/>
      <c r="LP35" s="60"/>
      <c r="LQ35" s="60"/>
      <c r="LR35" s="60"/>
      <c r="LS35" s="60"/>
      <c r="LT35" s="60"/>
      <c r="LU35" s="60"/>
      <c r="LV35" s="60"/>
      <c r="LW35" s="60"/>
      <c r="LX35" s="60"/>
      <c r="LY35" s="60"/>
      <c r="LZ35" s="60"/>
      <c r="MA35" s="60"/>
      <c r="MB35" s="60"/>
      <c r="MC35" s="60"/>
      <c r="MD35" s="60"/>
      <c r="ME35" s="60"/>
      <c r="MF35" s="60"/>
      <c r="MG35" s="60"/>
      <c r="MH35" s="60"/>
      <c r="MI35" s="60"/>
      <c r="MJ35" s="60"/>
      <c r="MK35" s="60"/>
      <c r="ML35" s="60"/>
      <c r="MM35" s="60"/>
      <c r="MN35" s="60"/>
      <c r="MO35" s="60"/>
      <c r="MP35" s="60"/>
      <c r="MQ35" s="60"/>
      <c r="MR35" s="60"/>
      <c r="MS35" s="60"/>
      <c r="MT35" s="60"/>
      <c r="MU35" s="60"/>
      <c r="MV35" s="60"/>
      <c r="MW35" s="60"/>
      <c r="MX35" s="60"/>
      <c r="MY35" s="60"/>
      <c r="MZ35" s="60"/>
      <c r="NA35" s="60"/>
      <c r="NB35" s="60"/>
      <c r="NC35" s="60"/>
      <c r="ND35" s="60"/>
      <c r="NE35" s="60"/>
      <c r="NF35" s="60"/>
      <c r="NG35" s="60"/>
      <c r="NH35" s="60"/>
      <c r="NI35" s="60"/>
      <c r="NJ35" s="60"/>
      <c r="NK35" s="60"/>
      <c r="NL35" s="60"/>
      <c r="NM35" s="60"/>
      <c r="NN35" s="60"/>
      <c r="NO35" s="60"/>
      <c r="NP35" s="60"/>
      <c r="NQ35" s="60"/>
      <c r="NR35" s="60"/>
      <c r="NS35" s="60"/>
      <c r="NT35" s="718"/>
      <c r="NU35" s="718"/>
      <c r="NV35" s="718"/>
      <c r="NW35" s="718"/>
      <c r="NX35" s="718"/>
      <c r="NY35" s="718"/>
      <c r="NZ35" s="718"/>
      <c r="RU35" s="97"/>
      <c r="RV35" s="97"/>
      <c r="RW35" s="97"/>
      <c r="RX35" s="97"/>
      <c r="RY35" s="97"/>
      <c r="RZ35" s="97"/>
    </row>
    <row r="36" spans="1:494" s="4" customFormat="1" x14ac:dyDescent="0.25">
      <c r="A36" s="14" t="s">
        <v>347</v>
      </c>
      <c r="B36" s="14"/>
      <c r="C36" s="14"/>
      <c r="D36" s="708"/>
      <c r="E36" s="102"/>
      <c r="F36" s="102"/>
      <c r="G36" s="102"/>
      <c r="H36" s="102"/>
      <c r="I36" s="102"/>
      <c r="J36" s="102"/>
      <c r="K36" s="102"/>
      <c r="L36" s="102"/>
      <c r="M36" s="102"/>
      <c r="N36" s="628">
        <f>'Crops; pasture AMORTIZED'!P69</f>
        <v>64.296959999999999</v>
      </c>
      <c r="O36" s="67">
        <f t="shared" ref="O36" si="9">R36+T36</f>
        <v>71.280071280071283</v>
      </c>
      <c r="P36" s="67">
        <f t="shared" ref="P36" si="10">S36+U36</f>
        <v>64.86486486486487</v>
      </c>
      <c r="Q36" s="719">
        <f t="shared" ref="Q36" si="11">P36/N36</f>
        <v>1.0088325305716612</v>
      </c>
      <c r="R36" s="14"/>
      <c r="S36" s="14"/>
      <c r="T36" s="630">
        <f>U36/NT36</f>
        <v>71.280071280071283</v>
      </c>
      <c r="U36" s="630">
        <f>W153/C153</f>
        <v>64.86486486486487</v>
      </c>
      <c r="X36" s="60"/>
      <c r="AB36" s="41">
        <f>'Crops; pasture AMORTIZED'!L69</f>
        <v>5.2568581780538297</v>
      </c>
      <c r="AC36" s="41">
        <f>'Crops; pasture AMORTIZED'!M69</f>
        <v>7.5786282682834409</v>
      </c>
      <c r="AD36" s="41">
        <f>'Crops; pasture AMORTIZED'!N69</f>
        <v>3.8968124074507058</v>
      </c>
      <c r="AE36" s="41"/>
      <c r="AF36" s="41"/>
      <c r="AH36" s="60"/>
      <c r="AI36" s="60"/>
      <c r="AJ36" s="60"/>
      <c r="AZ36" s="60"/>
      <c r="BA36" s="60"/>
      <c r="BB36" s="60"/>
      <c r="BC36" s="60"/>
      <c r="BD36" s="60"/>
      <c r="BE36" s="60"/>
      <c r="BF36" s="60"/>
      <c r="BG36" s="60"/>
      <c r="BH36" s="60"/>
      <c r="BI36" s="60"/>
      <c r="BP36" s="126">
        <f>'Crops; pasture AMORTIZED'!CZ69</f>
        <v>0.87448550020362159</v>
      </c>
      <c r="BQ36" s="126">
        <f>'Crops; pasture AMORTIZED'!DD69</f>
        <v>1.6530855047276325</v>
      </c>
      <c r="BR36" s="126">
        <f>'Crops; pasture AMORTIZED'!DH69</f>
        <v>0.41816990510354762</v>
      </c>
      <c r="BS36" s="126">
        <f>'Crops; pasture AMORTIZED'!DL69</f>
        <v>1.1866941000821991</v>
      </c>
      <c r="BT36" s="126">
        <f>'Crops; pasture AMORTIZED'!DP69</f>
        <v>2.2872046675193647</v>
      </c>
      <c r="BU36" s="126">
        <f>'Crops; pasture AMORTIZED'!DT69</f>
        <v>0.54203735777790729</v>
      </c>
      <c r="BV36" s="126"/>
      <c r="BW36" s="126"/>
      <c r="BX36" s="126"/>
      <c r="BY36" s="126"/>
      <c r="BZ36" s="126"/>
      <c r="CA36" s="126"/>
      <c r="CB36" s="126"/>
      <c r="CC36" s="126"/>
      <c r="CD36" s="126"/>
      <c r="CE36" s="126"/>
      <c r="CF36" s="126"/>
      <c r="CG36" s="126"/>
      <c r="CH36" s="126"/>
      <c r="CI36" s="126"/>
      <c r="CM36" s="14"/>
      <c r="CO36" s="60"/>
      <c r="CP36" s="60"/>
      <c r="CQ36" s="60"/>
      <c r="CR36" s="580"/>
      <c r="CS36" s="580"/>
      <c r="CT36" s="580"/>
      <c r="CU36" s="580"/>
      <c r="CV36" s="580"/>
      <c r="CW36" s="60"/>
      <c r="CX36" s="60"/>
      <c r="CY36" s="60"/>
      <c r="CZ36" s="60"/>
      <c r="DA36" s="60"/>
      <c r="DB36" s="60"/>
      <c r="DC36" s="60"/>
      <c r="DD36" s="60"/>
      <c r="DE36" s="60"/>
      <c r="DF36" s="60"/>
      <c r="DG36" s="60"/>
      <c r="DH36" s="60"/>
      <c r="DI36" s="60"/>
      <c r="DJ36" s="60"/>
      <c r="DK36" s="60"/>
      <c r="DL36" s="60"/>
      <c r="DM36" s="60"/>
      <c r="DN36" s="60"/>
      <c r="DO36" s="60"/>
      <c r="DP36" s="60"/>
      <c r="DQ36" s="60"/>
      <c r="DR36" s="60"/>
      <c r="DS36" s="60"/>
      <c r="DT36" s="60"/>
      <c r="DU36" s="60"/>
      <c r="DV36" s="60"/>
      <c r="DW36" s="60"/>
      <c r="DX36" s="60"/>
      <c r="DY36" s="60"/>
      <c r="EE36" s="60"/>
      <c r="EF36" s="60"/>
      <c r="EG36" s="60"/>
      <c r="EM36" s="60"/>
      <c r="EN36" s="60"/>
      <c r="EO36" s="60"/>
      <c r="EP36" s="60"/>
      <c r="EQ36" s="60"/>
      <c r="ER36" s="60"/>
      <c r="ES36" s="60"/>
      <c r="ET36" s="60"/>
      <c r="EU36" s="60"/>
      <c r="EV36" s="60"/>
      <c r="EW36" s="60"/>
      <c r="EX36" s="60"/>
      <c r="EY36" s="60"/>
      <c r="EZ36" s="60"/>
      <c r="FA36" s="60"/>
      <c r="FB36" s="126">
        <f>'Crops; pasture AMORTIZED'!DX69</f>
        <v>2.3631910435578916</v>
      </c>
      <c r="FC36" s="126">
        <f>'Crops; pasture AMORTIZED'!EA69</f>
        <v>4.554755589238348</v>
      </c>
      <c r="FD36" s="126">
        <f>'Crops; pasture AMORTIZED'!ED69</f>
        <v>1.0794170368638454</v>
      </c>
      <c r="FE36" s="126"/>
      <c r="FF36" s="126"/>
      <c r="FG36" s="126"/>
      <c r="FH36" s="126"/>
      <c r="FI36" s="126"/>
      <c r="FJ36" s="126"/>
      <c r="FK36" s="126"/>
      <c r="FL36" s="126"/>
      <c r="FM36" s="126"/>
      <c r="FN36" s="126"/>
      <c r="FO36" s="126"/>
      <c r="FP36" s="126"/>
      <c r="FQ36" s="126"/>
      <c r="FR36" s="126"/>
      <c r="FS36" s="126"/>
      <c r="FV36" s="60"/>
      <c r="FY36" s="60"/>
      <c r="FZ36" s="60"/>
      <c r="GF36" s="60"/>
      <c r="GG36" s="126"/>
      <c r="GH36" s="126"/>
      <c r="GI36" s="126"/>
      <c r="GJ36" s="126"/>
      <c r="GK36" s="126"/>
      <c r="GL36" s="126"/>
      <c r="GM36" s="126"/>
      <c r="GN36" s="126"/>
      <c r="GO36" s="126"/>
      <c r="GP36" s="126"/>
      <c r="GQ36" s="126"/>
      <c r="GR36" s="126"/>
      <c r="GS36" s="126"/>
      <c r="GT36" s="126"/>
      <c r="GU36" s="126">
        <f>'Crops; pasture AMORTIZED'!EK69</f>
        <v>9.2676617370401351E-2</v>
      </c>
      <c r="GV36" s="126">
        <f>'Crops; pasture AMORTIZED'!EP69</f>
        <v>0.18192891246684353</v>
      </c>
      <c r="GW36" s="126">
        <f>'Crops; pasture AMORTIZED'!EW69</f>
        <v>4.0394435351882162E-2</v>
      </c>
      <c r="GX36" s="126"/>
      <c r="GY36" s="123"/>
      <c r="GZ36" s="123"/>
      <c r="HA36" s="123"/>
      <c r="HB36" s="123"/>
      <c r="HC36" s="123"/>
      <c r="HD36" s="123"/>
      <c r="HE36" s="123"/>
      <c r="HF36" s="123"/>
      <c r="HG36" s="123"/>
      <c r="HH36" s="123"/>
      <c r="HI36" s="123"/>
      <c r="HJ36" s="123"/>
      <c r="HK36" s="123"/>
      <c r="HL36" s="123"/>
      <c r="HM36" s="123"/>
      <c r="HN36" s="123"/>
      <c r="HO36" s="123"/>
      <c r="HP36" s="60"/>
      <c r="HQ36" s="123"/>
      <c r="HR36" s="60"/>
      <c r="HS36" s="60"/>
      <c r="HT36" s="60"/>
      <c r="HU36" s="60"/>
      <c r="HV36" s="60"/>
      <c r="HW36" s="60"/>
      <c r="HX36" s="60"/>
      <c r="HY36" s="60"/>
      <c r="HZ36" s="60"/>
      <c r="IA36" s="60"/>
      <c r="IB36" s="60"/>
      <c r="IC36" s="60"/>
      <c r="ID36" s="60"/>
      <c r="IE36" s="60"/>
      <c r="IF36" s="60"/>
      <c r="IG36" s="60"/>
      <c r="IH36" s="60"/>
      <c r="II36" s="60"/>
      <c r="IJ36" s="60"/>
      <c r="IK36" s="60"/>
      <c r="IL36" s="60"/>
      <c r="IM36" s="60"/>
      <c r="IN36" s="60"/>
      <c r="IO36" s="431"/>
      <c r="IP36" s="431"/>
      <c r="IQ36" s="431"/>
      <c r="IR36" s="431"/>
      <c r="IS36" s="431"/>
      <c r="IT36" s="431"/>
      <c r="IU36" s="431"/>
      <c r="IW36" s="60"/>
      <c r="IX36" s="60"/>
      <c r="IY36" s="60"/>
      <c r="IZ36" s="60"/>
      <c r="JA36" s="60"/>
      <c r="JB36" s="60"/>
      <c r="JC36" s="60"/>
      <c r="JD36" s="60"/>
      <c r="JE36" s="60"/>
      <c r="JF36" s="60"/>
      <c r="JG36" s="60"/>
      <c r="JH36" s="60"/>
      <c r="JI36" s="60"/>
      <c r="JJ36" s="60"/>
      <c r="JK36" s="60"/>
      <c r="JL36" s="60"/>
      <c r="JM36" s="123"/>
      <c r="JN36" s="123"/>
      <c r="JO36" s="123"/>
      <c r="JP36" s="123"/>
      <c r="JQ36" s="60"/>
      <c r="JR36" s="60"/>
      <c r="JS36" s="60"/>
      <c r="JT36" s="60"/>
      <c r="JU36" s="60"/>
      <c r="JV36" s="60"/>
      <c r="JW36" s="60"/>
      <c r="JX36" s="60"/>
      <c r="JY36" s="60"/>
      <c r="JZ36" s="60"/>
      <c r="KA36" s="60"/>
      <c r="KB36" s="60"/>
      <c r="KC36" s="60"/>
      <c r="KD36" s="123"/>
      <c r="KE36" s="123"/>
      <c r="KF36" s="123"/>
      <c r="KG36" s="123"/>
      <c r="KH36" s="123"/>
      <c r="KI36" s="123"/>
      <c r="KJ36" s="123"/>
      <c r="KK36" s="123"/>
      <c r="KL36" s="123"/>
      <c r="KM36" s="123"/>
      <c r="KN36" s="123"/>
      <c r="KO36" s="123"/>
      <c r="KP36" s="123"/>
      <c r="KQ36" s="123"/>
      <c r="KR36" s="123"/>
      <c r="KS36" s="123"/>
      <c r="KT36" s="60"/>
      <c r="KU36" s="60"/>
      <c r="KV36" s="60"/>
      <c r="KW36" s="60"/>
      <c r="KX36" s="60"/>
      <c r="KY36" s="60"/>
      <c r="KZ36" s="60"/>
      <c r="LA36" s="60"/>
      <c r="LB36" s="60"/>
      <c r="LC36" s="60"/>
      <c r="LD36" s="60"/>
      <c r="LE36" s="60"/>
      <c r="LF36" s="60"/>
      <c r="LG36" s="60"/>
      <c r="LH36" s="60"/>
      <c r="LI36" s="60"/>
      <c r="LJ36" s="60"/>
      <c r="LK36" s="60"/>
      <c r="LL36" s="60"/>
      <c r="LM36" s="60"/>
      <c r="LN36" s="60"/>
      <c r="LO36" s="60"/>
      <c r="LP36" s="60"/>
      <c r="LQ36" s="60"/>
      <c r="LR36" s="60"/>
      <c r="LS36" s="60"/>
      <c r="LT36" s="60"/>
      <c r="LU36" s="60"/>
      <c r="LV36" s="60"/>
      <c r="LW36" s="60"/>
      <c r="LX36" s="60"/>
      <c r="LY36" s="60"/>
      <c r="LZ36" s="60"/>
      <c r="MA36" s="60"/>
      <c r="MB36" s="60"/>
      <c r="MC36" s="60"/>
      <c r="MD36" s="60"/>
      <c r="ME36" s="60"/>
      <c r="MF36" s="60"/>
      <c r="MG36" s="60"/>
      <c r="MH36" s="60"/>
      <c r="MI36" s="60"/>
      <c r="MJ36" s="60"/>
      <c r="MK36" s="60"/>
      <c r="ML36" s="60"/>
      <c r="MM36" s="60"/>
      <c r="MN36" s="60"/>
      <c r="MO36" s="60"/>
      <c r="MP36" s="60"/>
      <c r="MQ36" s="60"/>
      <c r="MR36" s="60"/>
      <c r="MS36" s="60"/>
      <c r="MT36" s="60"/>
      <c r="MU36" s="60"/>
      <c r="MV36" s="60"/>
      <c r="MW36" s="60"/>
      <c r="MX36" s="60"/>
      <c r="MY36" s="60"/>
      <c r="MZ36" s="60"/>
      <c r="NA36" s="60"/>
      <c r="NB36" s="60"/>
      <c r="NC36" s="60"/>
      <c r="ND36" s="60"/>
      <c r="NE36" s="60"/>
      <c r="NF36" s="60"/>
      <c r="NG36" s="60"/>
      <c r="NH36" s="60"/>
      <c r="NI36" s="60"/>
      <c r="NJ36" s="60"/>
      <c r="NK36" s="60"/>
      <c r="NL36" s="60"/>
      <c r="NM36" s="60"/>
      <c r="NN36" s="60"/>
      <c r="NO36" s="60"/>
      <c r="NP36" s="60"/>
      <c r="NQ36" s="60"/>
      <c r="NR36" s="60"/>
      <c r="NS36" s="60"/>
      <c r="NT36" s="631">
        <f>'Crops; pasture AMORTIZED'!HB69</f>
        <v>0.91</v>
      </c>
      <c r="NU36" s="631"/>
      <c r="NV36" s="41">
        <f>'Crops; pasture AMORTIZED'!HC69</f>
        <v>18.928000000000001</v>
      </c>
      <c r="NW36" s="41">
        <f>'Crops; pasture AMORTIZED'!HD69</f>
        <v>20.8</v>
      </c>
      <c r="NX36" s="718"/>
      <c r="NY36" s="718"/>
      <c r="NZ36" s="718"/>
      <c r="OC36" s="720">
        <f>'Crops; pasture AMORTIZED'!HG69</f>
        <v>0.13650000000000001</v>
      </c>
      <c r="OD36" s="720">
        <f>'Crops; pasture AMORTIZED'!HH69</f>
        <v>0.15</v>
      </c>
      <c r="OE36" s="720">
        <f>'Crops; pasture AMORTIZED'!HI69</f>
        <v>0.10920000000000001</v>
      </c>
      <c r="OF36" s="720">
        <f>'Crops; pasture AMORTIZED'!HJ69</f>
        <v>0.12</v>
      </c>
      <c r="RU36" s="97"/>
      <c r="RV36" s="97"/>
      <c r="RW36" s="97"/>
      <c r="RX36" s="97"/>
      <c r="RY36" s="97"/>
      <c r="RZ36" s="97"/>
    </row>
    <row r="37" spans="1:494" s="4" customFormat="1" x14ac:dyDescent="0.25">
      <c r="A37" s="14"/>
      <c r="B37" s="102"/>
      <c r="C37" s="14"/>
      <c r="D37" s="708"/>
      <c r="E37" s="102"/>
      <c r="F37" s="102"/>
      <c r="G37" s="102"/>
      <c r="H37" s="102"/>
      <c r="I37" s="102"/>
      <c r="J37" s="102"/>
      <c r="K37" s="102"/>
      <c r="L37" s="102"/>
      <c r="M37" s="102"/>
      <c r="N37" s="14"/>
      <c r="O37" s="14"/>
      <c r="P37" s="14"/>
      <c r="Q37" s="14"/>
      <c r="R37" s="14"/>
      <c r="S37" s="14"/>
      <c r="T37" s="14"/>
      <c r="U37" s="14"/>
      <c r="X37" s="60"/>
      <c r="AH37" s="60"/>
      <c r="AI37" s="60"/>
      <c r="AJ37" s="60"/>
      <c r="AZ37" s="60"/>
      <c r="BA37" s="60"/>
      <c r="BB37" s="60"/>
      <c r="BC37" s="60"/>
      <c r="BD37" s="60"/>
      <c r="BE37" s="60"/>
      <c r="BF37" s="60"/>
      <c r="BG37" s="60"/>
      <c r="BH37" s="60"/>
      <c r="BI37" s="60"/>
      <c r="CM37" s="14"/>
      <c r="CO37" s="60"/>
      <c r="CP37" s="60"/>
      <c r="CQ37" s="60"/>
      <c r="CR37" s="580"/>
      <c r="CS37" s="580"/>
      <c r="CT37" s="580"/>
      <c r="CU37" s="580"/>
      <c r="CV37" s="580"/>
      <c r="CW37" s="60"/>
      <c r="CX37" s="60"/>
      <c r="CY37" s="60"/>
      <c r="CZ37" s="60"/>
      <c r="DA37" s="60"/>
      <c r="DB37" s="60"/>
      <c r="DC37" s="60"/>
      <c r="DD37" s="60"/>
      <c r="DE37" s="60"/>
      <c r="DF37" s="60"/>
      <c r="DG37" s="60"/>
      <c r="DH37" s="60"/>
      <c r="DI37" s="60"/>
      <c r="DJ37" s="60"/>
      <c r="DK37" s="60"/>
      <c r="DL37" s="60"/>
      <c r="DM37" s="60"/>
      <c r="DN37" s="60"/>
      <c r="DO37" s="60"/>
      <c r="DP37" s="60"/>
      <c r="DQ37" s="60"/>
      <c r="DR37" s="60"/>
      <c r="DS37" s="60"/>
      <c r="DT37" s="60"/>
      <c r="DU37" s="60"/>
      <c r="DV37" s="60"/>
      <c r="DW37" s="60"/>
      <c r="DX37" s="60"/>
      <c r="DY37" s="60"/>
      <c r="EE37" s="60"/>
      <c r="EF37" s="60"/>
      <c r="EG37" s="60"/>
      <c r="EM37" s="60"/>
      <c r="EN37" s="60"/>
      <c r="EO37" s="60"/>
      <c r="EP37" s="60"/>
      <c r="EQ37" s="60"/>
      <c r="ER37" s="60"/>
      <c r="ES37" s="60"/>
      <c r="ET37" s="60"/>
      <c r="EU37" s="60"/>
      <c r="EV37" s="60"/>
      <c r="EW37" s="60"/>
      <c r="EX37" s="60"/>
      <c r="EY37" s="60"/>
      <c r="EZ37" s="60"/>
      <c r="FA37" s="60"/>
      <c r="FV37" s="60"/>
      <c r="FY37" s="60"/>
      <c r="FZ37" s="60"/>
      <c r="GF37" s="60"/>
      <c r="GY37" s="123"/>
      <c r="GZ37" s="123"/>
      <c r="HA37" s="123"/>
      <c r="HB37" s="123"/>
      <c r="HC37" s="123"/>
      <c r="HD37" s="123"/>
      <c r="HE37" s="123"/>
      <c r="HF37" s="123"/>
      <c r="HG37" s="123"/>
      <c r="HH37" s="123"/>
      <c r="HI37" s="123"/>
      <c r="HJ37" s="123"/>
      <c r="HK37" s="123"/>
      <c r="HL37" s="123"/>
      <c r="HM37" s="123"/>
      <c r="HN37" s="123"/>
      <c r="HO37" s="123"/>
      <c r="HP37" s="60"/>
      <c r="HQ37" s="123"/>
      <c r="HR37" s="60"/>
      <c r="HS37" s="60"/>
      <c r="HT37" s="60"/>
      <c r="HU37" s="60"/>
      <c r="HV37" s="60"/>
      <c r="HW37" s="60"/>
      <c r="HX37" s="60"/>
      <c r="HY37" s="60"/>
      <c r="HZ37" s="60"/>
      <c r="IA37" s="60"/>
      <c r="IB37" s="60"/>
      <c r="IC37" s="60"/>
      <c r="ID37" s="60"/>
      <c r="IE37" s="60"/>
      <c r="IF37" s="60"/>
      <c r="IG37" s="60"/>
      <c r="IH37" s="60"/>
      <c r="II37" s="60"/>
      <c r="IJ37" s="60"/>
      <c r="IK37" s="60"/>
      <c r="IL37" s="60"/>
      <c r="IM37" s="60"/>
      <c r="IN37" s="60"/>
      <c r="IO37" s="97"/>
      <c r="IP37" s="97"/>
      <c r="IQ37" s="97"/>
      <c r="IR37" s="97"/>
      <c r="IS37" s="97"/>
      <c r="IT37" s="97"/>
      <c r="IU37" s="97"/>
      <c r="IW37" s="60"/>
      <c r="IX37" s="60"/>
      <c r="IY37" s="60"/>
      <c r="IZ37" s="60"/>
      <c r="JA37" s="60"/>
      <c r="JB37" s="60"/>
      <c r="JC37" s="60"/>
      <c r="JD37" s="60"/>
      <c r="JE37" s="60"/>
      <c r="JF37" s="60"/>
      <c r="JG37" s="60"/>
      <c r="JH37" s="60"/>
      <c r="JI37" s="60"/>
      <c r="JJ37" s="60"/>
      <c r="JK37" s="60"/>
      <c r="JL37" s="60"/>
      <c r="JM37" s="123"/>
      <c r="JN37" s="123"/>
      <c r="JO37" s="123"/>
      <c r="JP37" s="123"/>
      <c r="JQ37" s="60"/>
      <c r="JR37" s="60"/>
      <c r="JS37" s="60"/>
      <c r="JT37" s="60"/>
      <c r="JU37" s="60"/>
      <c r="JV37" s="60"/>
      <c r="JW37" s="60"/>
      <c r="JX37" s="60"/>
      <c r="JY37" s="60"/>
      <c r="JZ37" s="60"/>
      <c r="KA37" s="60"/>
      <c r="KB37" s="60"/>
      <c r="KC37" s="60"/>
      <c r="KD37" s="123"/>
      <c r="KE37" s="123"/>
      <c r="KF37" s="123"/>
      <c r="KG37" s="123"/>
      <c r="KH37" s="123"/>
      <c r="KI37" s="123"/>
      <c r="KJ37" s="123"/>
      <c r="KK37" s="123"/>
      <c r="KL37" s="123"/>
      <c r="KM37" s="123"/>
      <c r="KN37" s="123"/>
      <c r="KO37" s="123"/>
      <c r="KP37" s="123"/>
      <c r="KQ37" s="123"/>
      <c r="KR37" s="123"/>
      <c r="KS37" s="123"/>
      <c r="KT37" s="60"/>
      <c r="KU37" s="60"/>
      <c r="KV37" s="60"/>
      <c r="KW37" s="60"/>
      <c r="KX37" s="60"/>
      <c r="KY37" s="60"/>
      <c r="KZ37" s="60"/>
      <c r="LA37" s="60"/>
      <c r="LB37" s="60"/>
      <c r="LC37" s="60"/>
      <c r="LD37" s="60"/>
      <c r="LE37" s="60"/>
      <c r="LF37" s="60"/>
      <c r="LG37" s="60"/>
      <c r="LH37" s="60"/>
      <c r="LI37" s="60"/>
      <c r="LJ37" s="60"/>
      <c r="LK37" s="60"/>
      <c r="LL37" s="60"/>
      <c r="LM37" s="60"/>
      <c r="LN37" s="60"/>
      <c r="LO37" s="60"/>
      <c r="LP37" s="60"/>
      <c r="LQ37" s="60"/>
      <c r="LR37" s="60"/>
      <c r="LS37" s="60"/>
      <c r="LT37" s="60"/>
      <c r="LU37" s="60"/>
      <c r="LV37" s="60"/>
      <c r="LW37" s="60"/>
      <c r="LX37" s="60"/>
      <c r="LY37" s="60"/>
      <c r="LZ37" s="60"/>
      <c r="MA37" s="60"/>
      <c r="MB37" s="60"/>
      <c r="MC37" s="60"/>
      <c r="MD37" s="60"/>
      <c r="ME37" s="60"/>
      <c r="MF37" s="60"/>
      <c r="MG37" s="60"/>
      <c r="MH37" s="60"/>
      <c r="MI37" s="60"/>
      <c r="MJ37" s="60"/>
      <c r="MK37" s="60"/>
      <c r="ML37" s="60"/>
      <c r="MM37" s="60"/>
      <c r="MN37" s="60"/>
      <c r="MO37" s="60"/>
      <c r="MP37" s="60"/>
      <c r="MQ37" s="60"/>
      <c r="MR37" s="60"/>
      <c r="MS37" s="60"/>
      <c r="MT37" s="60"/>
      <c r="MU37" s="60"/>
      <c r="MV37" s="60"/>
      <c r="MW37" s="60"/>
      <c r="MX37" s="60"/>
      <c r="MY37" s="60"/>
      <c r="MZ37" s="60"/>
      <c r="NA37" s="60"/>
      <c r="NB37" s="60"/>
      <c r="NC37" s="60"/>
      <c r="ND37" s="60"/>
      <c r="NE37" s="60"/>
      <c r="NF37" s="60"/>
      <c r="NG37" s="60"/>
      <c r="NH37" s="60"/>
      <c r="NI37" s="60"/>
      <c r="NJ37" s="60"/>
      <c r="NK37" s="60"/>
      <c r="NL37" s="60"/>
      <c r="NM37" s="60"/>
      <c r="NN37" s="60"/>
      <c r="NO37" s="60"/>
      <c r="NP37" s="60"/>
      <c r="NQ37" s="60"/>
      <c r="NR37" s="60"/>
      <c r="NS37" s="60"/>
      <c r="NT37" s="718"/>
      <c r="NU37" s="718"/>
      <c r="NV37" s="718"/>
      <c r="NW37" s="718"/>
      <c r="NX37" s="718"/>
      <c r="NY37" s="718"/>
      <c r="NZ37" s="718"/>
      <c r="RU37" s="97"/>
      <c r="RV37" s="97"/>
      <c r="RW37" s="97"/>
      <c r="RX37" s="97"/>
      <c r="RY37" s="97"/>
      <c r="RZ37" s="97"/>
    </row>
    <row r="38" spans="1:494" s="4" customFormat="1" ht="14.4" x14ac:dyDescent="0.3">
      <c r="A38" s="13" t="s">
        <v>298</v>
      </c>
      <c r="B38" s="102"/>
      <c r="C38" s="14"/>
      <c r="D38" s="708"/>
      <c r="E38" s="102"/>
      <c r="F38" s="102"/>
      <c r="G38" s="102"/>
      <c r="H38" s="102"/>
      <c r="I38" s="102"/>
      <c r="J38" s="102"/>
      <c r="K38" s="102"/>
      <c r="L38" s="102"/>
      <c r="M38" s="102"/>
      <c r="N38" s="14"/>
      <c r="O38" s="14"/>
      <c r="P38" s="14"/>
      <c r="Q38" s="14"/>
      <c r="R38" s="14"/>
      <c r="S38" s="14"/>
      <c r="T38" s="14"/>
      <c r="U38" s="14"/>
      <c r="X38" s="60"/>
      <c r="AH38" s="60"/>
      <c r="AI38" s="60"/>
      <c r="AJ38" s="60"/>
      <c r="AZ38" s="60"/>
      <c r="BA38" s="60"/>
      <c r="BB38" s="60"/>
      <c r="BC38" s="60"/>
      <c r="BD38" s="60"/>
      <c r="BE38" s="60"/>
      <c r="BF38" s="60"/>
      <c r="BG38" s="60"/>
      <c r="BH38" s="60"/>
      <c r="BI38" s="60"/>
      <c r="CO38" s="60"/>
      <c r="CP38" s="60"/>
      <c r="CQ38" s="60"/>
      <c r="CR38" s="97"/>
      <c r="CS38" s="97"/>
      <c r="CT38" s="97"/>
      <c r="CU38" s="97"/>
      <c r="CV38" s="97"/>
      <c r="CW38" s="60"/>
      <c r="CX38" s="60"/>
      <c r="CY38" s="60"/>
      <c r="CZ38" s="60"/>
      <c r="DA38" s="60"/>
      <c r="DB38" s="60"/>
      <c r="DC38" s="60"/>
      <c r="DD38" s="60"/>
      <c r="DE38" s="60"/>
      <c r="DF38" s="60"/>
      <c r="DG38" s="60"/>
      <c r="DH38" s="60"/>
      <c r="DI38" s="60"/>
      <c r="DJ38" s="60"/>
      <c r="DK38" s="60"/>
      <c r="DL38" s="60"/>
      <c r="DM38" s="60"/>
      <c r="DN38" s="60"/>
      <c r="DO38" s="60"/>
      <c r="DP38" s="60"/>
      <c r="DQ38" s="60"/>
      <c r="DR38" s="60"/>
      <c r="DS38" s="60"/>
      <c r="DT38" s="60"/>
      <c r="DU38" s="60"/>
      <c r="DV38" s="60"/>
      <c r="DW38" s="60"/>
      <c r="DX38" s="60"/>
      <c r="DY38" s="60"/>
      <c r="EE38" s="60"/>
      <c r="EF38" s="60"/>
      <c r="EG38" s="60"/>
      <c r="EM38" s="60"/>
      <c r="EN38" s="60"/>
      <c r="EO38" s="60"/>
      <c r="EP38" s="60"/>
      <c r="EQ38" s="60"/>
      <c r="ER38" s="60"/>
      <c r="ES38" s="60"/>
      <c r="ET38" s="60"/>
      <c r="EU38" s="60"/>
      <c r="EV38" s="60"/>
      <c r="EW38" s="60"/>
      <c r="EX38" s="60"/>
      <c r="EY38" s="60"/>
      <c r="EZ38" s="60"/>
      <c r="FA38" s="60"/>
      <c r="FV38" s="60"/>
      <c r="FY38" s="60"/>
      <c r="FZ38" s="60"/>
      <c r="GF38" s="60"/>
      <c r="GY38" s="123"/>
      <c r="GZ38" s="123"/>
      <c r="HA38" s="123"/>
      <c r="HB38" s="123"/>
      <c r="HC38" s="123"/>
      <c r="HD38" s="123"/>
      <c r="HE38" s="123"/>
      <c r="HF38" s="123"/>
      <c r="HG38" s="123"/>
      <c r="HH38" s="123"/>
      <c r="HI38" s="123"/>
      <c r="HJ38" s="123"/>
      <c r="HK38" s="123"/>
      <c r="HL38" s="123"/>
      <c r="HM38" s="123"/>
      <c r="HN38" s="123"/>
      <c r="HO38" s="123"/>
      <c r="HP38" s="60"/>
      <c r="HQ38" s="123"/>
      <c r="HR38" s="60"/>
      <c r="HS38" s="60"/>
      <c r="HT38" s="60"/>
      <c r="HU38" s="60"/>
      <c r="HV38" s="60"/>
      <c r="HW38" s="60"/>
      <c r="HX38" s="60"/>
      <c r="HY38" s="60"/>
      <c r="HZ38" s="60"/>
      <c r="IA38" s="60"/>
      <c r="IB38" s="60"/>
      <c r="IC38" s="60"/>
      <c r="ID38" s="60"/>
      <c r="IE38" s="60"/>
      <c r="IF38" s="60"/>
      <c r="IG38" s="60"/>
      <c r="IH38" s="60"/>
      <c r="II38" s="60"/>
      <c r="IJ38" s="60"/>
      <c r="IK38" s="60"/>
      <c r="IL38" s="60"/>
      <c r="IM38" s="60"/>
      <c r="IN38" s="60"/>
      <c r="IO38" s="721"/>
      <c r="IP38" s="595"/>
      <c r="IQ38" s="595"/>
      <c r="IR38" s="595"/>
      <c r="IS38" s="595"/>
      <c r="IT38" s="595"/>
      <c r="IU38" s="595"/>
      <c r="IW38" s="60"/>
      <c r="IX38" s="60"/>
      <c r="IY38" s="60"/>
      <c r="IZ38" s="60"/>
      <c r="JA38" s="60"/>
      <c r="JB38" s="60"/>
      <c r="JC38" s="60"/>
      <c r="JD38" s="60"/>
      <c r="JE38" s="60"/>
      <c r="JF38" s="60"/>
      <c r="JG38" s="60"/>
      <c r="JH38" s="60"/>
      <c r="JI38" s="60"/>
      <c r="JJ38" s="60"/>
      <c r="JK38" s="60"/>
      <c r="JL38" s="60"/>
      <c r="JM38" s="123"/>
      <c r="JN38" s="123"/>
      <c r="JO38" s="123"/>
      <c r="JP38" s="123"/>
      <c r="JQ38" s="60"/>
      <c r="JR38" s="60"/>
      <c r="JS38" s="60"/>
      <c r="JT38" s="60"/>
      <c r="JU38" s="60"/>
      <c r="JV38" s="60"/>
      <c r="JW38" s="60"/>
      <c r="JX38" s="60"/>
      <c r="JY38" s="60"/>
      <c r="JZ38" s="60"/>
      <c r="KA38" s="60"/>
      <c r="KB38" s="60"/>
      <c r="KC38" s="60"/>
      <c r="KD38" s="123"/>
      <c r="KE38" s="123"/>
      <c r="KF38" s="123"/>
      <c r="KG38" s="123"/>
      <c r="KH38" s="123"/>
      <c r="KI38" s="123"/>
      <c r="KJ38" s="123"/>
      <c r="KK38" s="123"/>
      <c r="KL38" s="123"/>
      <c r="KM38" s="123"/>
      <c r="KN38" s="123"/>
      <c r="KO38" s="123"/>
      <c r="KP38" s="123"/>
      <c r="KQ38" s="123"/>
      <c r="KR38" s="123"/>
      <c r="KS38" s="123"/>
      <c r="KT38" s="60"/>
      <c r="KU38" s="60"/>
      <c r="KV38" s="60"/>
      <c r="KW38" s="60"/>
      <c r="KX38" s="60"/>
      <c r="KY38" s="60"/>
      <c r="KZ38" s="60"/>
      <c r="LA38" s="60"/>
      <c r="LB38" s="60"/>
      <c r="LC38" s="60"/>
      <c r="LD38" s="60"/>
      <c r="LE38" s="60"/>
      <c r="LF38" s="60"/>
      <c r="LG38" s="60"/>
      <c r="LH38" s="60"/>
      <c r="LI38" s="60"/>
      <c r="LJ38" s="60"/>
      <c r="LK38" s="60"/>
      <c r="LL38" s="60"/>
      <c r="LM38" s="60"/>
      <c r="LN38" s="60"/>
      <c r="LO38" s="60"/>
      <c r="LP38" s="60"/>
      <c r="LQ38" s="60"/>
      <c r="LR38" s="60"/>
      <c r="LS38" s="60"/>
      <c r="LT38" s="60"/>
      <c r="LU38" s="60"/>
      <c r="LV38" s="60"/>
      <c r="LW38" s="60"/>
      <c r="LX38" s="60"/>
      <c r="LY38" s="60"/>
      <c r="LZ38" s="60"/>
      <c r="MA38" s="60"/>
      <c r="MB38" s="60"/>
      <c r="MC38" s="60"/>
      <c r="MD38" s="60"/>
      <c r="ME38" s="60"/>
      <c r="MF38" s="60"/>
      <c r="MG38" s="60"/>
      <c r="MH38" s="60"/>
      <c r="MI38" s="60"/>
      <c r="MJ38" s="60"/>
      <c r="MK38" s="60"/>
      <c r="ML38" s="60"/>
      <c r="MM38" s="60"/>
      <c r="MN38" s="60"/>
      <c r="MO38" s="60"/>
      <c r="MP38" s="60"/>
      <c r="MQ38" s="60"/>
      <c r="MR38" s="60"/>
      <c r="MS38" s="60"/>
      <c r="MT38" s="60"/>
      <c r="MU38" s="60"/>
      <c r="MV38" s="60"/>
      <c r="MW38" s="60"/>
      <c r="MX38" s="60"/>
      <c r="MY38" s="60"/>
      <c r="MZ38" s="60"/>
      <c r="NA38" s="60"/>
      <c r="NB38" s="60"/>
      <c r="NC38" s="60"/>
      <c r="ND38" s="60"/>
      <c r="NE38" s="60"/>
      <c r="NF38" s="60"/>
      <c r="NG38" s="60"/>
      <c r="NH38" s="60"/>
      <c r="NI38" s="60"/>
      <c r="NJ38" s="60"/>
      <c r="NK38" s="60"/>
      <c r="NL38" s="60"/>
      <c r="NM38" s="60"/>
      <c r="NN38" s="60"/>
      <c r="NO38" s="60"/>
      <c r="NP38" s="60"/>
      <c r="NQ38" s="60"/>
      <c r="NR38" s="60"/>
      <c r="NS38" s="60"/>
      <c r="RU38" s="97"/>
      <c r="RV38" s="97"/>
      <c r="RW38" s="97"/>
      <c r="RX38" s="97"/>
      <c r="RY38" s="97"/>
      <c r="RZ38" s="97"/>
    </row>
    <row r="39" spans="1:494" x14ac:dyDescent="0.25">
      <c r="B39" s="74"/>
      <c r="IO39" s="431"/>
      <c r="IP39" s="431"/>
      <c r="IQ39" s="431"/>
      <c r="IR39" s="431"/>
      <c r="IS39" s="431"/>
      <c r="IT39" s="431"/>
      <c r="IU39" s="431"/>
    </row>
    <row r="40" spans="1:494" ht="13.8" x14ac:dyDescent="0.3">
      <c r="A40" s="44" t="s">
        <v>148</v>
      </c>
      <c r="B40" s="74"/>
      <c r="V40" s="73">
        <f>V49+V44+V54</f>
        <v>782.70546280770816</v>
      </c>
      <c r="W40" s="73">
        <f>W49+W44+W54</f>
        <v>681</v>
      </c>
      <c r="X40" s="73"/>
      <c r="Y40" s="73">
        <f>Y49+Y44+Y54</f>
        <v>12.354800000000001</v>
      </c>
      <c r="Z40" s="73">
        <f>Z49+Z44+Z54</f>
        <v>11.0505</v>
      </c>
      <c r="AA40" s="73">
        <f>AA49+AA44+AA54</f>
        <v>65.427999999999997</v>
      </c>
      <c r="AB40" s="73"/>
      <c r="IO40" s="430"/>
      <c r="IP40" s="430"/>
      <c r="IQ40" s="430"/>
      <c r="IR40" s="430"/>
      <c r="IS40" s="430"/>
      <c r="IT40" s="430"/>
      <c r="IU40" s="430"/>
    </row>
    <row r="41" spans="1:494" s="54" customFormat="1" x14ac:dyDescent="0.25">
      <c r="A41" s="54" t="s">
        <v>159</v>
      </c>
      <c r="B41" s="77">
        <f>V41/R13</f>
        <v>0.16074702881278605</v>
      </c>
      <c r="D41" s="131"/>
      <c r="E41" s="133"/>
      <c r="F41" s="133"/>
      <c r="G41" s="133"/>
      <c r="H41" s="133"/>
      <c r="I41" s="133"/>
      <c r="J41" s="133"/>
      <c r="K41" s="133"/>
      <c r="L41" s="133"/>
      <c r="M41" s="133"/>
      <c r="V41" s="688">
        <f>V50+V45+V55</f>
        <v>150.18923162816662</v>
      </c>
      <c r="W41" s="474">
        <f>W50+W45+W55</f>
        <v>135.29285714285714</v>
      </c>
      <c r="X41" s="474"/>
      <c r="Y41" s="179">
        <f>Y50+Y45+Y55</f>
        <v>2.5759464285714282</v>
      </c>
      <c r="Z41" s="474"/>
      <c r="AA41" s="474">
        <f>AA50+AA45+AA55</f>
        <v>23.898114285714286</v>
      </c>
      <c r="AB41" s="474"/>
      <c r="AH41" s="133"/>
      <c r="AI41" s="133"/>
      <c r="AJ41" s="133"/>
      <c r="AZ41" s="133"/>
      <c r="BA41" s="133"/>
      <c r="BB41" s="133"/>
      <c r="BC41" s="133"/>
      <c r="BD41" s="133"/>
      <c r="BE41" s="133"/>
      <c r="BF41" s="133"/>
      <c r="BG41" s="133"/>
      <c r="BH41" s="133"/>
      <c r="BI41" s="133"/>
      <c r="CO41" s="133"/>
      <c r="CP41" s="133"/>
      <c r="CQ41" s="133"/>
      <c r="CR41" s="179"/>
      <c r="CS41" s="179"/>
      <c r="CT41" s="179"/>
      <c r="CU41" s="179"/>
      <c r="CV41" s="179"/>
      <c r="CW41" s="133"/>
      <c r="CX41" s="133"/>
      <c r="CY41" s="133"/>
      <c r="CZ41" s="133"/>
      <c r="DA41" s="133"/>
      <c r="DB41" s="133"/>
      <c r="DC41" s="133"/>
      <c r="DD41" s="133"/>
      <c r="DE41" s="133"/>
      <c r="DF41" s="133"/>
      <c r="DG41" s="133"/>
      <c r="DH41" s="133"/>
      <c r="DI41" s="133"/>
      <c r="DJ41" s="133"/>
      <c r="DK41" s="133"/>
      <c r="DL41" s="133"/>
      <c r="DM41" s="133"/>
      <c r="DN41" s="133"/>
      <c r="DO41" s="133"/>
      <c r="DP41" s="133"/>
      <c r="DQ41" s="133"/>
      <c r="DR41" s="133"/>
      <c r="DS41" s="133"/>
      <c r="DT41" s="133"/>
      <c r="DU41" s="133"/>
      <c r="DV41" s="133"/>
      <c r="DW41" s="133"/>
      <c r="DX41" s="133"/>
      <c r="DY41" s="133"/>
      <c r="EE41" s="133"/>
      <c r="EF41" s="133"/>
      <c r="EG41" s="133"/>
      <c r="EM41" s="133"/>
      <c r="EN41" s="133"/>
      <c r="EO41" s="133"/>
      <c r="EP41" s="133"/>
      <c r="EQ41" s="133"/>
      <c r="ER41" s="133"/>
      <c r="ES41" s="133"/>
      <c r="ET41" s="133"/>
      <c r="EU41" s="133"/>
      <c r="EV41" s="133"/>
      <c r="EW41" s="133"/>
      <c r="EX41" s="133"/>
      <c r="EY41" s="133"/>
      <c r="EZ41" s="133"/>
      <c r="FA41" s="133"/>
      <c r="FV41" s="133"/>
      <c r="FY41" s="133"/>
      <c r="FZ41" s="133"/>
      <c r="GF41" s="133"/>
      <c r="GY41" s="133"/>
      <c r="GZ41" s="133"/>
      <c r="HA41" s="133"/>
      <c r="HB41" s="133"/>
      <c r="HC41" s="133"/>
      <c r="HD41" s="133"/>
      <c r="HE41" s="133"/>
      <c r="HF41" s="133"/>
      <c r="HG41" s="133"/>
      <c r="HH41" s="133"/>
      <c r="HI41" s="133"/>
      <c r="HJ41" s="133"/>
      <c r="HK41" s="133"/>
      <c r="HL41" s="133"/>
      <c r="HM41" s="133"/>
      <c r="HN41" s="133"/>
      <c r="HO41" s="133"/>
      <c r="HP41" s="133"/>
      <c r="HQ41" s="133"/>
      <c r="HR41" s="133"/>
      <c r="HS41" s="133"/>
      <c r="HT41" s="133"/>
      <c r="HU41" s="133"/>
      <c r="HV41" s="133"/>
      <c r="HW41" s="133"/>
      <c r="HX41" s="133"/>
      <c r="HY41" s="133"/>
      <c r="HZ41" s="133"/>
      <c r="IA41" s="133"/>
      <c r="IB41" s="133"/>
      <c r="IC41" s="133"/>
      <c r="ID41" s="133"/>
      <c r="IE41" s="133"/>
      <c r="IF41" s="133"/>
      <c r="IG41" s="133"/>
      <c r="IH41" s="133"/>
      <c r="II41" s="133"/>
      <c r="IJ41" s="133"/>
      <c r="IK41" s="133"/>
      <c r="IL41" s="133"/>
      <c r="IM41" s="133"/>
      <c r="IN41" s="133"/>
      <c r="IO41" s="431"/>
      <c r="IP41" s="431"/>
      <c r="IQ41" s="431"/>
      <c r="IR41" s="431"/>
      <c r="IS41" s="431"/>
      <c r="IT41" s="431"/>
      <c r="IU41" s="431"/>
      <c r="IW41" s="133"/>
      <c r="IX41" s="133"/>
      <c r="IY41" s="133"/>
      <c r="IZ41" s="133"/>
      <c r="JA41" s="133"/>
      <c r="JB41" s="133"/>
      <c r="JC41" s="133"/>
      <c r="JD41" s="133"/>
      <c r="JE41" s="133"/>
      <c r="JF41" s="133"/>
      <c r="JG41" s="133"/>
      <c r="JH41" s="133"/>
      <c r="JI41" s="133"/>
      <c r="JJ41" s="133"/>
      <c r="JK41" s="133"/>
      <c r="JL41" s="133"/>
      <c r="JM41" s="133"/>
      <c r="JN41" s="133"/>
      <c r="JO41" s="133"/>
      <c r="JP41" s="133"/>
      <c r="JQ41" s="133"/>
      <c r="JR41" s="133"/>
      <c r="JS41" s="133"/>
      <c r="JT41" s="133"/>
      <c r="JU41" s="133"/>
      <c r="JV41" s="133"/>
      <c r="JW41" s="133"/>
      <c r="JX41" s="133"/>
      <c r="JY41" s="133"/>
      <c r="JZ41" s="133"/>
      <c r="KA41" s="133"/>
      <c r="KB41" s="133"/>
      <c r="KC41" s="133"/>
      <c r="KD41" s="133"/>
      <c r="KE41" s="133"/>
      <c r="KF41" s="133"/>
      <c r="KG41" s="133"/>
      <c r="KH41" s="133"/>
      <c r="KI41" s="133"/>
      <c r="KJ41" s="133"/>
      <c r="KK41" s="133"/>
      <c r="KL41" s="133"/>
      <c r="KM41" s="133"/>
      <c r="KN41" s="133"/>
      <c r="KO41" s="133"/>
      <c r="KP41" s="133"/>
      <c r="KQ41" s="133"/>
      <c r="KR41" s="133"/>
      <c r="KS41" s="133"/>
      <c r="KT41" s="133"/>
      <c r="KU41" s="133"/>
      <c r="KV41" s="133"/>
      <c r="KW41" s="133"/>
      <c r="KX41" s="133"/>
      <c r="KY41" s="133"/>
      <c r="KZ41" s="133"/>
      <c r="LA41" s="133"/>
      <c r="LB41" s="133"/>
      <c r="LC41" s="133"/>
      <c r="LD41" s="133"/>
      <c r="LE41" s="133"/>
      <c r="LF41" s="133"/>
      <c r="LG41" s="133"/>
      <c r="LH41" s="133"/>
      <c r="LI41" s="133"/>
      <c r="LJ41" s="133"/>
      <c r="LK41" s="133"/>
      <c r="LL41" s="133"/>
      <c r="LM41" s="133"/>
      <c r="LN41" s="133"/>
      <c r="LO41" s="133"/>
      <c r="LP41" s="133"/>
      <c r="LQ41" s="133"/>
      <c r="LR41" s="133"/>
      <c r="LS41" s="133"/>
      <c r="LT41" s="133"/>
      <c r="LU41" s="133"/>
      <c r="LV41" s="133"/>
      <c r="LW41" s="133"/>
      <c r="LX41" s="133"/>
      <c r="LY41" s="133"/>
      <c r="LZ41" s="133"/>
      <c r="MA41" s="133"/>
      <c r="MB41" s="133"/>
      <c r="MC41" s="133"/>
      <c r="MD41" s="133"/>
      <c r="ME41" s="133"/>
      <c r="MF41" s="133"/>
      <c r="MG41" s="133"/>
      <c r="MH41" s="133"/>
      <c r="MI41" s="133"/>
      <c r="MJ41" s="133"/>
      <c r="MK41" s="133"/>
      <c r="ML41" s="133"/>
      <c r="MM41" s="133"/>
      <c r="MN41" s="133"/>
      <c r="MO41" s="133"/>
      <c r="MP41" s="133"/>
      <c r="MQ41" s="133"/>
      <c r="MR41" s="133"/>
      <c r="MS41" s="133"/>
      <c r="MT41" s="133"/>
      <c r="MU41" s="133"/>
      <c r="MV41" s="133"/>
      <c r="MW41" s="133"/>
      <c r="MX41" s="133"/>
      <c r="MY41" s="133"/>
      <c r="MZ41" s="133"/>
      <c r="NA41" s="133"/>
      <c r="NB41" s="133"/>
      <c r="NC41" s="133"/>
      <c r="ND41" s="133"/>
      <c r="NE41" s="133"/>
      <c r="NF41" s="133"/>
      <c r="NG41" s="133"/>
      <c r="NH41" s="133"/>
      <c r="NI41" s="133"/>
      <c r="NJ41" s="133"/>
      <c r="NK41" s="133"/>
      <c r="NL41" s="133"/>
      <c r="NM41" s="133"/>
      <c r="NN41" s="133"/>
      <c r="NO41" s="133"/>
      <c r="NP41" s="133"/>
      <c r="NQ41" s="133"/>
      <c r="NR41" s="133"/>
      <c r="NS41" s="133"/>
      <c r="OD41" s="57">
        <f>AA41/W41</f>
        <v>0.17663988173802861</v>
      </c>
      <c r="RU41" s="179"/>
      <c r="RV41" s="179"/>
      <c r="RW41" s="179"/>
      <c r="RX41" s="179"/>
      <c r="RY41" s="179"/>
      <c r="RZ41" s="179"/>
    </row>
    <row r="42" spans="1:494" ht="13.8" x14ac:dyDescent="0.3">
      <c r="A42" s="44"/>
      <c r="B42" s="74"/>
      <c r="IO42" s="431"/>
      <c r="IP42" s="431"/>
      <c r="IQ42" s="431"/>
      <c r="IR42" s="431"/>
      <c r="IS42" s="431"/>
      <c r="IT42" s="431"/>
      <c r="IU42" s="431"/>
    </row>
    <row r="43" spans="1:494" ht="13.8" x14ac:dyDescent="0.3">
      <c r="A43" s="44" t="s">
        <v>226</v>
      </c>
      <c r="B43" s="74"/>
      <c r="CK43" s="74"/>
      <c r="IO43" s="68">
        <f>IP43+IQ43+IR43+IS43+IT43+IU43</f>
        <v>48.541580136931813</v>
      </c>
      <c r="IP43" s="97">
        <f>JS43*$W44</f>
        <v>26.008817290113633</v>
      </c>
      <c r="IQ43" s="97">
        <f>JU43*$W44</f>
        <v>22.532762846818184</v>
      </c>
      <c r="IR43" s="97">
        <f>JX43*$W44</f>
        <v>0</v>
      </c>
      <c r="IS43" s="97">
        <f>KB43*$W44</f>
        <v>0</v>
      </c>
      <c r="IT43" s="97">
        <f>KF43*$W44</f>
        <v>0</v>
      </c>
      <c r="IU43" s="97">
        <f>KH43*$W44</f>
        <v>0</v>
      </c>
      <c r="JK43" s="115">
        <f>JM43+JN43+JO43</f>
        <v>0.65596729914772722</v>
      </c>
      <c r="JM43" s="179">
        <f>JS43+KB43</f>
        <v>0.35147050392045448</v>
      </c>
      <c r="JN43" s="179">
        <f>JU43+KF43</f>
        <v>0.30449679522727274</v>
      </c>
      <c r="JO43" s="179">
        <f>JX43+KH43</f>
        <v>0</v>
      </c>
      <c r="JQ43" s="127">
        <f>JS43+JU43+JX43</f>
        <v>0.65596729914772722</v>
      </c>
      <c r="JS43" s="172">
        <f>'Crops; pasture AMORTIZED'!FY20/$C44</f>
        <v>0.35147050392045448</v>
      </c>
      <c r="JU43" s="172">
        <f>'Crops; pasture AMORTIZED'!FW20/$C44</f>
        <v>0.30449679522727274</v>
      </c>
      <c r="KD43" s="74"/>
      <c r="KE43" s="74"/>
      <c r="KF43" s="74"/>
      <c r="KG43" s="74"/>
      <c r="KH43" s="74"/>
      <c r="KI43" s="74"/>
      <c r="OB43" s="26"/>
    </row>
    <row r="44" spans="1:494" x14ac:dyDescent="0.25">
      <c r="A44" s="37" t="s">
        <v>164</v>
      </c>
      <c r="B44" s="53">
        <f>C44*NT14/NT44</f>
        <v>0.80919540229885067</v>
      </c>
      <c r="C44" s="90">
        <v>0.8</v>
      </c>
      <c r="D44" s="722">
        <f>C44*NW44/NW14</f>
        <v>0.77021276595744692</v>
      </c>
      <c r="E44" s="104"/>
      <c r="F44" s="104"/>
      <c r="G44" s="104"/>
      <c r="H44" s="104"/>
      <c r="I44" s="104"/>
      <c r="J44" s="104"/>
      <c r="K44" s="104"/>
      <c r="L44" s="104"/>
      <c r="M44" s="104"/>
      <c r="N44" s="69"/>
      <c r="V44" s="55">
        <f>W44/NT44</f>
        <v>85.05747126436782</v>
      </c>
      <c r="W44" s="112">
        <v>74</v>
      </c>
      <c r="X44" s="295"/>
      <c r="Y44" s="26">
        <f>W44*NW44/10^3</f>
        <v>1.3394000000000001</v>
      </c>
      <c r="Z44" s="26">
        <f>W44*OB44/10^3</f>
        <v>1.1839999999999999</v>
      </c>
      <c r="AA44" s="26">
        <f>W44*OD44</f>
        <v>6.4379999999999997</v>
      </c>
      <c r="AB44" s="26"/>
      <c r="AE44" s="115">
        <f>AB$14*$AN44/$C44</f>
        <v>2.0706337058761668</v>
      </c>
      <c r="AF44" s="115"/>
      <c r="AG44" s="115">
        <f>AC$14*$AN44/$C44</f>
        <v>2.3037125888785046</v>
      </c>
      <c r="AH44" s="115"/>
      <c r="AI44" s="115">
        <f>AD$14*$AN44/$C44</f>
        <v>1.3563107867022195</v>
      </c>
      <c r="AJ44" s="115"/>
      <c r="AK44" s="722">
        <f>Y44/(Y44+Y45+Y46)</f>
        <v>0.76387423507069008</v>
      </c>
      <c r="AL44" s="164">
        <v>0.5</v>
      </c>
      <c r="AM44" s="104">
        <f>V44*AL44/(V44*AL44+V45*AL45+V46*AL46)</f>
        <v>0.85750791051047448</v>
      </c>
      <c r="AN44" s="40">
        <f>AK44</f>
        <v>0.76387423507069008</v>
      </c>
      <c r="AO44" s="115"/>
      <c r="AP44" s="115"/>
      <c r="AQ44" s="115"/>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c r="BT44" s="115"/>
      <c r="BU44" s="115"/>
      <c r="BV44" s="26">
        <f>BW44*$NT44</f>
        <v>0.64086675003741822</v>
      </c>
      <c r="BW44" s="115">
        <f>BP$14*$AN44/$C44</f>
        <v>0.73662844831887153</v>
      </c>
      <c r="BX44" s="677">
        <f>10^3*BW44/$OB44</f>
        <v>46.039278019929469</v>
      </c>
      <c r="BY44" s="143">
        <f>BW44/$OD44</f>
        <v>8.4669936588376036</v>
      </c>
      <c r="BZ44" s="335"/>
      <c r="CA44" s="127"/>
      <c r="CB44" s="127"/>
      <c r="CC44" s="127"/>
      <c r="CD44" s="115"/>
      <c r="CE44" s="115"/>
      <c r="CF44" s="115"/>
      <c r="CG44" s="115"/>
      <c r="CH44" s="115"/>
      <c r="CI44" s="127"/>
      <c r="CJ44" s="26">
        <f>CK44*$NT44</f>
        <v>0.76483588571845018</v>
      </c>
      <c r="CK44" s="115">
        <f>BQ$14*$AN44/$C44</f>
        <v>0.87912170772235654</v>
      </c>
      <c r="CL44" s="677">
        <f>10^3*CK44/$OB44</f>
        <v>54.945106732647282</v>
      </c>
      <c r="CM44" s="143">
        <f>CK44/$OD44</f>
        <v>10.1048472151995</v>
      </c>
      <c r="CN44" s="335"/>
      <c r="CO44" s="127"/>
      <c r="CP44" s="127"/>
      <c r="CQ44" s="127"/>
      <c r="CW44" s="127"/>
      <c r="CX44" s="26">
        <f>CY44*$NT44</f>
        <v>0.26076305128128763</v>
      </c>
      <c r="CY44" s="115">
        <f>BR$14*$AN44/$C44</f>
        <v>0.29972764515090533</v>
      </c>
      <c r="CZ44" s="677">
        <f>10^3*CY44/$OB44</f>
        <v>18.732977821931584</v>
      </c>
      <c r="DA44" s="143">
        <f>CY44/$OD44</f>
        <v>3.4451453465621307</v>
      </c>
      <c r="DB44" s="335"/>
      <c r="DC44" s="127"/>
      <c r="DD44" s="127"/>
      <c r="DE44" s="127"/>
      <c r="DF44" s="115"/>
      <c r="DG44" s="115"/>
      <c r="DH44" s="115"/>
      <c r="DI44" s="115"/>
      <c r="DJ44" s="115"/>
      <c r="DK44" s="127"/>
      <c r="DL44" s="26">
        <f>DM44*$NT44</f>
        <v>0.60054074638350685</v>
      </c>
      <c r="DM44" s="115">
        <f>BS$14*$AN44/$C44</f>
        <v>0.69027671998104234</v>
      </c>
      <c r="DN44" s="677">
        <f>10^3*DM44/$OB44</f>
        <v>43.142294998815146</v>
      </c>
      <c r="DO44" s="143">
        <f>DM44/$OD44</f>
        <v>7.9342151721958896</v>
      </c>
      <c r="DP44" s="37"/>
      <c r="DQ44" s="127"/>
      <c r="DR44" s="127"/>
      <c r="DS44" s="127"/>
      <c r="DT44" s="37"/>
      <c r="DU44" s="37"/>
      <c r="DV44" s="37"/>
      <c r="DW44" s="37"/>
      <c r="DX44" s="37"/>
      <c r="DY44" s="127"/>
      <c r="DZ44" s="26">
        <f>EA44*$NT44</f>
        <v>0.69846873323412206</v>
      </c>
      <c r="EA44" s="115">
        <f>BT$14*$AN44/$C44</f>
        <v>0.80283762440703688</v>
      </c>
      <c r="EB44" s="677">
        <f>10^3*EA44/$OB44</f>
        <v>50.177351525439803</v>
      </c>
      <c r="EC44" s="143">
        <f>EA44/$OD44</f>
        <v>9.2280186713452519</v>
      </c>
      <c r="EE44" s="127"/>
      <c r="EF44" s="127"/>
      <c r="EG44" s="127"/>
      <c r="EM44" s="127"/>
      <c r="EN44" s="26">
        <f>EO44*$NT44</f>
        <v>0.30041829627180955</v>
      </c>
      <c r="EO44" s="115">
        <f>BU$14*$AN44/$C44</f>
        <v>0.34530838651932133</v>
      </c>
      <c r="EP44" s="677">
        <f>10^3*EO44/$OB44</f>
        <v>21.581774157457584</v>
      </c>
      <c r="EQ44" s="143">
        <f>EO44/$OD44</f>
        <v>3.9690619140151879</v>
      </c>
      <c r="ER44" s="37"/>
      <c r="ES44" s="127"/>
      <c r="ET44" s="127"/>
      <c r="EU44" s="127"/>
      <c r="EV44" s="37"/>
      <c r="EW44" s="37"/>
      <c r="EX44" s="37"/>
      <c r="EY44" s="37"/>
      <c r="EZ44" s="37"/>
      <c r="FA44" s="127"/>
      <c r="FE44" s="26">
        <f>FF44*$NT44</f>
        <v>1.1959210996724186</v>
      </c>
      <c r="FF44" s="115">
        <f>FB$14*$AN44/$C44</f>
        <v>1.3746219536464581</v>
      </c>
      <c r="FG44" s="562">
        <f>10^3*FF44/$OB44</f>
        <v>85.913872102903639</v>
      </c>
      <c r="FH44" s="115">
        <f>FF44/$OD44</f>
        <v>15.800252340763887</v>
      </c>
      <c r="FI44" s="335"/>
      <c r="FJ44" s="335"/>
      <c r="FK44" s="127"/>
      <c r="FL44" s="26"/>
      <c r="FR44" s="127"/>
      <c r="FS44" s="26">
        <f>FT44*$NT44</f>
        <v>1.3909355869130635</v>
      </c>
      <c r="FT44" s="115">
        <f>FC$14*$AN44/$C44</f>
        <v>1.5987765366816822</v>
      </c>
      <c r="FU44" s="562">
        <f>10^3*FT44/$OB44</f>
        <v>99.923533542605142</v>
      </c>
      <c r="FV44" s="115">
        <f>FT44/$OD44</f>
        <v>18.376741800938877</v>
      </c>
      <c r="FW44" s="335"/>
      <c r="FX44" s="335"/>
      <c r="FY44" s="127"/>
      <c r="FZ44" s="26"/>
      <c r="GF44" s="127"/>
      <c r="GG44" s="26">
        <f>GH44*$NT44</f>
        <v>0.59825512490648203</v>
      </c>
      <c r="GH44" s="115">
        <f>FD$14*$AN44/$C44</f>
        <v>0.68764956885802531</v>
      </c>
      <c r="GI44" s="562">
        <f>10^3*GH44/$OB44</f>
        <v>42.978098053626582</v>
      </c>
      <c r="GJ44" s="115">
        <f>GH44/$OD44</f>
        <v>7.9040180328508658</v>
      </c>
      <c r="GK44" s="335"/>
      <c r="GL44" s="335"/>
      <c r="GM44" s="127"/>
      <c r="GN44" s="26"/>
      <c r="GT44" s="127"/>
      <c r="GU44" s="127"/>
      <c r="GV44" s="127"/>
      <c r="GW44" s="127"/>
      <c r="GX44" s="127"/>
      <c r="GY44" s="26">
        <f>GZ44*$NT44</f>
        <v>0.1047888626988603</v>
      </c>
      <c r="GZ44" s="127">
        <f>$AN44*GU$14/C44</f>
        <v>0.12044696861937966</v>
      </c>
      <c r="HA44" s="673">
        <f>10^3*GZ44/$OB44</f>
        <v>7.5279355387112288</v>
      </c>
      <c r="HB44" s="115">
        <f>GZ44/$OD44</f>
        <v>1.3844479151652835</v>
      </c>
      <c r="HD44" s="74"/>
      <c r="HE44" s="127"/>
      <c r="HF44" s="127"/>
      <c r="HG44" s="127"/>
      <c r="HH44" s="127"/>
      <c r="HI44" s="127"/>
      <c r="HJ44" s="127"/>
      <c r="HK44" s="127"/>
      <c r="HL44" s="127"/>
      <c r="HM44" s="115">
        <f>HN44*$NT44</f>
        <v>0.12880422612653222</v>
      </c>
      <c r="HN44" s="127">
        <f>$AN44*GV$14/C44</f>
        <v>0.14805083462819796</v>
      </c>
      <c r="HO44" s="73">
        <f>10^3*HN44/$OB44</f>
        <v>9.2531771642623717</v>
      </c>
      <c r="HS44" s="127"/>
      <c r="HT44" s="127"/>
      <c r="HU44" s="127"/>
      <c r="HV44" s="127"/>
      <c r="HW44" s="127"/>
      <c r="HX44" s="127"/>
      <c r="HY44" s="127"/>
      <c r="HZ44" s="127"/>
      <c r="IA44" s="115">
        <f>IB44*$NT44</f>
        <v>3.1188353344669892E-2</v>
      </c>
      <c r="IB44" s="127">
        <f>$AN44*GW$14/C44</f>
        <v>3.5848682005367692E-2</v>
      </c>
      <c r="IC44" s="73">
        <f>10^3*IB44/$OB44</f>
        <v>2.2405426253354808</v>
      </c>
      <c r="IE44" s="133"/>
      <c r="IG44" s="127"/>
      <c r="IH44" s="127"/>
      <c r="II44" s="127"/>
      <c r="IJ44" s="127"/>
      <c r="IK44" s="127"/>
      <c r="IL44" s="127"/>
      <c r="IM44" s="127"/>
      <c r="IN44" s="127"/>
      <c r="IO44" s="431"/>
      <c r="IP44" s="431"/>
      <c r="IQ44" s="431"/>
      <c r="IR44" s="431"/>
      <c r="IS44" s="431"/>
      <c r="IT44" s="431"/>
      <c r="IU44" s="431"/>
      <c r="IV44" s="335">
        <f>IW44*$NT44</f>
        <v>0.43593657141503528</v>
      </c>
      <c r="IW44" s="127">
        <f>AN44*JK43</f>
        <v>0.50107651886785665</v>
      </c>
      <c r="IX44" s="673">
        <f>10^3*IW44/OB44</f>
        <v>31.31728242924104</v>
      </c>
      <c r="IY44" s="115">
        <f>IW44/$OD44</f>
        <v>5.759500216871916</v>
      </c>
      <c r="IZ44" s="73"/>
      <c r="JA44" s="115"/>
      <c r="JB44" s="127">
        <f>$IW44*JM43/$JK43</f>
        <v>0.26847926233214714</v>
      </c>
      <c r="JC44" s="127">
        <f>$IW44*JN43/$JK43</f>
        <v>0.23259725653570953</v>
      </c>
      <c r="JD44" s="127">
        <f>$IW44*JO43/$JK43</f>
        <v>0</v>
      </c>
      <c r="JS44" s="723"/>
      <c r="JT44" s="133"/>
      <c r="JU44" s="723"/>
      <c r="KJ44" s="115">
        <f>BW44*44/12+$IW44+$GZ44</f>
        <v>3.3224944646564318</v>
      </c>
      <c r="KK44" s="74"/>
      <c r="KL44" s="677">
        <f>10^3*KJ44/$OB44</f>
        <v>207.65590404102699</v>
      </c>
      <c r="KM44" s="74"/>
      <c r="KN44" s="73"/>
      <c r="KO44" s="115"/>
      <c r="KP44" s="115"/>
      <c r="KQ44" s="115"/>
      <c r="KR44" s="115"/>
      <c r="KS44" s="73"/>
      <c r="KT44" s="115">
        <f>CK44*44/12+$IW44+$HN44</f>
        <v>3.8725736151446957</v>
      </c>
      <c r="KV44" s="677">
        <f>10^3*KT44/$OB44</f>
        <v>242.03585094654349</v>
      </c>
      <c r="KX44" s="73"/>
      <c r="KY44" s="115"/>
      <c r="KZ44" s="115"/>
      <c r="LA44" s="115"/>
      <c r="LB44" s="115"/>
      <c r="LC44" s="73"/>
      <c r="LD44" s="115">
        <f>CY44*44/12+$IW44+$IB44</f>
        <v>1.6359265664265437</v>
      </c>
      <c r="LF44" s="677">
        <f>10^3*LD44/$OB44</f>
        <v>102.24541040165897</v>
      </c>
      <c r="LH44" s="73"/>
      <c r="LI44" s="115"/>
      <c r="LJ44" s="115"/>
      <c r="LK44" s="115"/>
      <c r="LL44" s="115"/>
      <c r="LM44" s="73"/>
      <c r="LN44" s="115">
        <f>DM44*44/12+$IW44+$GZ44</f>
        <v>3.1525381274177247</v>
      </c>
      <c r="LP44" s="677">
        <f>10^3*LN44/$OB44</f>
        <v>197.0336329636078</v>
      </c>
      <c r="LR44" s="73"/>
      <c r="LW44" s="73"/>
      <c r="LX44" s="115">
        <f>EA44*44/12+$IW44+$HN44</f>
        <v>3.5928653096551897</v>
      </c>
      <c r="LZ44" s="677">
        <f>10^3*LX44/$OB44</f>
        <v>224.55408185344936</v>
      </c>
      <c r="MB44" s="73"/>
      <c r="MG44" s="73"/>
      <c r="MH44" s="115">
        <f>EO44*44/12+$IW44+$IB44</f>
        <v>1.8030559514440692</v>
      </c>
      <c r="MJ44" s="677">
        <f>10^3*MH44/$OB44</f>
        <v>112.69099696525433</v>
      </c>
      <c r="ML44" s="127"/>
      <c r="MM44" s="127"/>
      <c r="MN44" s="127"/>
      <c r="MO44" s="127"/>
      <c r="MP44" s="127"/>
      <c r="MQ44" s="127"/>
      <c r="MW44" s="127"/>
      <c r="MX44" s="127"/>
      <c r="MY44" s="127"/>
      <c r="MZ44" s="127"/>
      <c r="NA44" s="127"/>
      <c r="NB44" s="127"/>
      <c r="NC44" s="127"/>
      <c r="ND44" s="127"/>
      <c r="NE44" s="127"/>
      <c r="NF44" s="127"/>
      <c r="NG44" s="127"/>
      <c r="NH44" s="127"/>
      <c r="NI44" s="127"/>
      <c r="NJ44" s="127"/>
      <c r="NK44" s="127"/>
      <c r="NL44" s="127"/>
      <c r="NM44" s="127"/>
      <c r="NN44" s="127"/>
      <c r="NO44" s="127"/>
      <c r="NP44" s="127"/>
      <c r="NQ44" s="127"/>
      <c r="NT44" s="31">
        <v>0.87</v>
      </c>
      <c r="NU44" s="31"/>
      <c r="NV44" s="32">
        <f>$NT44*NW44</f>
        <v>15.747000000000002</v>
      </c>
      <c r="NW44" s="9">
        <v>18.100000000000001</v>
      </c>
      <c r="NX44" s="9"/>
      <c r="NY44" s="9"/>
      <c r="NZ44" s="9"/>
      <c r="OA44" s="32">
        <f>$NT44*OB44</f>
        <v>13.92</v>
      </c>
      <c r="OB44" s="43">
        <v>16</v>
      </c>
      <c r="OC44" s="38">
        <f>$NT44*OD44</f>
        <v>7.5689999999999993E-2</v>
      </c>
      <c r="OD44" s="35">
        <v>8.6999999999999994E-2</v>
      </c>
      <c r="OE44" s="38">
        <f>$NT44*OF44</f>
        <v>8.6999999999999994E-3</v>
      </c>
      <c r="OF44" s="35">
        <v>0.01</v>
      </c>
    </row>
    <row r="45" spans="1:494" x14ac:dyDescent="0.25">
      <c r="A45" s="4" t="s">
        <v>165</v>
      </c>
      <c r="B45" s="53">
        <f>C45*NT14/NT45</f>
        <v>0.17599999999999996</v>
      </c>
      <c r="C45" s="40">
        <f>1-C44-C46</f>
        <v>0.17999999999999997</v>
      </c>
      <c r="D45" s="722">
        <f>C45*NW45/NW14</f>
        <v>0.19627659574468082</v>
      </c>
      <c r="E45" s="104"/>
      <c r="F45" s="104"/>
      <c r="G45" s="104"/>
      <c r="H45" s="104"/>
      <c r="I45" s="104"/>
      <c r="J45" s="104"/>
      <c r="K45" s="104"/>
      <c r="L45" s="104"/>
      <c r="M45" s="104"/>
      <c r="N45" s="69"/>
      <c r="V45" s="55">
        <f>W45/NT45</f>
        <v>18.499999999999993</v>
      </c>
      <c r="W45" s="55">
        <f>C45/C44*W44</f>
        <v>16.649999999999995</v>
      </c>
      <c r="X45" s="73"/>
      <c r="Y45" s="26">
        <f>W45*NW45/10^3</f>
        <v>0.34132499999999988</v>
      </c>
      <c r="Z45" s="26"/>
      <c r="AA45" s="26">
        <f>W45*OD45</f>
        <v>2.597399999999999</v>
      </c>
      <c r="AB45" s="26"/>
      <c r="AE45" s="115">
        <f>AB$14*$AN45/$C45</f>
        <v>2.3451928712962098</v>
      </c>
      <c r="AF45" s="115"/>
      <c r="AG45" s="115">
        <f>AC$14*$AN45/$C45</f>
        <v>2.609177241547477</v>
      </c>
      <c r="AH45" s="115"/>
      <c r="AI45" s="115">
        <f>AD$14*$AN45/$C45</f>
        <v>1.5361531009610767</v>
      </c>
      <c r="AJ45" s="115"/>
      <c r="AK45" s="722">
        <f>Y45/(Y44+Y45+Y46)</f>
        <v>0.19466132095378763</v>
      </c>
      <c r="AL45" s="164">
        <v>0.27500000000000002</v>
      </c>
      <c r="AM45" s="104">
        <f>V45*AL45/(V44*AL44+V45*AL45+V46*AL46)</f>
        <v>0.10257938379481547</v>
      </c>
      <c r="AN45" s="40">
        <f t="shared" ref="AN45:AN46" si="12">AK45</f>
        <v>0.19466132095378763</v>
      </c>
      <c r="AO45" s="115"/>
      <c r="AP45" s="115"/>
      <c r="AQ45" s="115"/>
      <c r="AR45" s="115"/>
      <c r="AS45" s="115"/>
      <c r="AT45" s="115"/>
      <c r="AU45" s="115"/>
      <c r="AV45" s="115"/>
      <c r="AW45" s="115"/>
      <c r="AX45" s="115"/>
      <c r="AY45" s="115"/>
      <c r="AZ45" s="115"/>
      <c r="BA45" s="115"/>
      <c r="BB45" s="115"/>
      <c r="BC45" s="115"/>
      <c r="BD45" s="115"/>
      <c r="BE45" s="115"/>
      <c r="BF45" s="115"/>
      <c r="BG45" s="115"/>
      <c r="BH45" s="115"/>
      <c r="BI45" s="115"/>
      <c r="BJ45" s="115"/>
      <c r="BK45" s="115"/>
      <c r="BL45" s="115"/>
      <c r="BM45" s="115"/>
      <c r="BN45" s="115"/>
      <c r="BO45" s="115"/>
      <c r="BP45" s="115"/>
      <c r="BQ45" s="115"/>
      <c r="BR45" s="115"/>
      <c r="BS45" s="115"/>
      <c r="BT45" s="115"/>
      <c r="BU45" s="115"/>
      <c r="BV45" s="26">
        <f>BW45*$NT45</f>
        <v>0.75087264483332461</v>
      </c>
      <c r="BW45" s="115">
        <f>BP$14*$AN45/$C45</f>
        <v>0.83430293870369399</v>
      </c>
      <c r="BX45" s="55"/>
      <c r="BY45" s="143">
        <f>BW45/$OD45</f>
        <v>5.3480957609211153</v>
      </c>
      <c r="BZ45" s="335"/>
      <c r="CA45" s="127"/>
      <c r="CB45" s="127"/>
      <c r="CC45" s="127"/>
      <c r="CD45" s="115"/>
      <c r="CE45" s="115"/>
      <c r="CF45" s="115"/>
      <c r="CG45" s="115"/>
      <c r="CH45" s="115"/>
      <c r="CI45" s="127"/>
      <c r="CJ45" s="26">
        <f>CK45*$NT45</f>
        <v>0.89612129875566171</v>
      </c>
      <c r="CK45" s="115">
        <f>BQ$14*$AN45/$C45</f>
        <v>0.9956903319507352</v>
      </c>
      <c r="CL45" s="55"/>
      <c r="CM45" s="143">
        <f>CK45/$OD45</f>
        <v>6.3826303330175334</v>
      </c>
      <c r="CN45" s="335"/>
      <c r="CO45" s="127"/>
      <c r="CP45" s="127"/>
      <c r="CQ45" s="127"/>
      <c r="CW45" s="127"/>
      <c r="CX45" s="26">
        <f>CY45*$NT45</f>
        <v>0.30552348359304982</v>
      </c>
      <c r="CY45" s="115">
        <f>BR$14*$AN45/$C45</f>
        <v>0.33947053732561089</v>
      </c>
      <c r="CZ45" s="55"/>
      <c r="DA45" s="143">
        <f>CY45/$OD45</f>
        <v>2.176093187984685</v>
      </c>
      <c r="DB45" s="335"/>
      <c r="DC45" s="127"/>
      <c r="DD45" s="127"/>
      <c r="DE45" s="127"/>
      <c r="DF45" s="115"/>
      <c r="DG45" s="115"/>
      <c r="DH45" s="115"/>
      <c r="DI45" s="115"/>
      <c r="DJ45" s="115"/>
      <c r="DK45" s="127"/>
      <c r="DL45" s="26">
        <f>DM45*$NT45</f>
        <v>0.7036246123563662</v>
      </c>
      <c r="DM45" s="115">
        <f>BS$14*$AN45/$C45</f>
        <v>0.78180512484040687</v>
      </c>
      <c r="DN45" s="55"/>
      <c r="DO45" s="143">
        <f>DM45/$OD45</f>
        <v>5.0115713130795312</v>
      </c>
      <c r="DP45" s="37"/>
      <c r="DQ45" s="127"/>
      <c r="DR45" s="127"/>
      <c r="DS45" s="127"/>
      <c r="DT45" s="37"/>
      <c r="DU45" s="37"/>
      <c r="DV45" s="37"/>
      <c r="DW45" s="37"/>
      <c r="DX45" s="37"/>
      <c r="DY45" s="127"/>
      <c r="DZ45" s="26">
        <f>EA45*$NT45</f>
        <v>0.81836210885689642</v>
      </c>
      <c r="EA45" s="115">
        <f>BT$14*$AN45/$C45</f>
        <v>0.90929123206321827</v>
      </c>
      <c r="EB45" s="55"/>
      <c r="EC45" s="143">
        <f>EA45/$OD45</f>
        <v>5.8287899491231938</v>
      </c>
      <c r="EE45" s="127"/>
      <c r="EF45" s="127"/>
      <c r="EG45" s="127"/>
      <c r="EM45" s="127"/>
      <c r="EN45" s="26">
        <f>EO45*$NT45</f>
        <v>0.35198562051278875</v>
      </c>
      <c r="EO45" s="115">
        <f>BU$14*$AN45/$C45</f>
        <v>0.39109513390309858</v>
      </c>
      <c r="EP45" s="55"/>
      <c r="EQ45" s="143">
        <f>EO45/$OD45</f>
        <v>2.5070200891224266</v>
      </c>
      <c r="ER45" s="37"/>
      <c r="ES45" s="127"/>
      <c r="ET45" s="127"/>
      <c r="EU45" s="127"/>
      <c r="EV45" s="37"/>
      <c r="EW45" s="37"/>
      <c r="EX45" s="37"/>
      <c r="EY45" s="37"/>
      <c r="EZ45" s="37"/>
      <c r="FA45" s="127"/>
      <c r="FE45" s="26">
        <f>FF45*$NT45</f>
        <v>1.4012030411479084</v>
      </c>
      <c r="FF45" s="115">
        <f>FB$14*$AN45/$C45</f>
        <v>1.5568922679421204</v>
      </c>
      <c r="FG45" s="55"/>
      <c r="FH45" s="115">
        <f>FF45/$OD45</f>
        <v>9.980078640654618</v>
      </c>
      <c r="FI45" s="335"/>
      <c r="FJ45" s="335"/>
      <c r="FK45" s="127"/>
      <c r="FL45" s="26"/>
      <c r="FR45" s="127"/>
      <c r="FS45" s="26">
        <f>FT45*$NT45</f>
        <v>1.6296921050705542</v>
      </c>
      <c r="FT45" s="115">
        <f>FC$14*$AN45/$C45</f>
        <v>1.8107690056339489</v>
      </c>
      <c r="FU45" s="55"/>
      <c r="FV45" s="115">
        <f>FT45/$OD45</f>
        <v>11.607493625858647</v>
      </c>
      <c r="FW45" s="335"/>
      <c r="FX45" s="335"/>
      <c r="FY45" s="127"/>
      <c r="FZ45" s="26"/>
      <c r="GF45" s="127"/>
      <c r="GG45" s="26">
        <f>GH45*$NT45</f>
        <v>0.70094665996853944</v>
      </c>
      <c r="GH45" s="115">
        <f>FD$14*$AN45/$C45</f>
        <v>0.77882962218726604</v>
      </c>
      <c r="GI45" s="55"/>
      <c r="GJ45" s="115">
        <f>GH45/$OD45</f>
        <v>4.9924975781235004</v>
      </c>
      <c r="GK45" s="335"/>
      <c r="GL45" s="335"/>
      <c r="GM45" s="127"/>
      <c r="GN45" s="26"/>
      <c r="GT45" s="127"/>
      <c r="GU45" s="127"/>
      <c r="GV45" s="127"/>
      <c r="GW45" s="127"/>
      <c r="GX45" s="127"/>
      <c r="GY45" s="26">
        <f>GZ45*$NT45</f>
        <v>0.12277605364793115</v>
      </c>
      <c r="GZ45" s="330">
        <f>$AN45*GU$14/C45</f>
        <v>0.13641783738659016</v>
      </c>
      <c r="HB45" s="115">
        <f>GZ45/$OD45</f>
        <v>0.87447331658070615</v>
      </c>
      <c r="HD45" s="74"/>
      <c r="HE45" s="127"/>
      <c r="HF45" s="127"/>
      <c r="HG45" s="127"/>
      <c r="HH45" s="127"/>
      <c r="HI45" s="127"/>
      <c r="HJ45" s="127"/>
      <c r="HK45" s="127"/>
      <c r="HL45" s="127"/>
      <c r="HM45" s="115">
        <f>HN45*$NT45</f>
        <v>0.15091369607128463</v>
      </c>
      <c r="HN45" s="127">
        <f>$AN45*GV$14/C45</f>
        <v>0.16768188452364957</v>
      </c>
      <c r="HP45" s="115">
        <f>HN45/$OD45</f>
        <v>1.0748838751515999</v>
      </c>
      <c r="HS45" s="127"/>
      <c r="HT45" s="127"/>
      <c r="HU45" s="127"/>
      <c r="HV45" s="127"/>
      <c r="HW45" s="127"/>
      <c r="HX45" s="127"/>
      <c r="HY45" s="127"/>
      <c r="HZ45" s="127"/>
      <c r="IA45" s="115">
        <f>IB45*$NT45</f>
        <v>3.6541888563482526E-2</v>
      </c>
      <c r="IB45" s="127">
        <f>$AN45*GW$14/C45</f>
        <v>4.0602098403869476E-2</v>
      </c>
      <c r="IC45" s="133"/>
      <c r="ID45" s="115">
        <f>IB45/$OD45</f>
        <v>0.26026986156326587</v>
      </c>
      <c r="IE45" s="133"/>
      <c r="IG45" s="127"/>
      <c r="IH45" s="127"/>
      <c r="II45" s="127"/>
      <c r="IJ45" s="127"/>
      <c r="IK45" s="127"/>
      <c r="IL45" s="127"/>
      <c r="IM45" s="127"/>
      <c r="IN45" s="127"/>
      <c r="IO45" s="97"/>
      <c r="IP45" s="97"/>
      <c r="IQ45" s="97"/>
      <c r="IR45" s="97"/>
      <c r="IS45" s="97"/>
      <c r="IT45" s="97"/>
      <c r="IU45" s="97"/>
      <c r="IV45" s="335">
        <f>IW45*$NT45</f>
        <v>0.51076584381833989</v>
      </c>
      <c r="IW45" s="330">
        <f>$AN45*JK43*$C44/$C45</f>
        <v>0.56751760424259989</v>
      </c>
      <c r="IX45" s="73"/>
      <c r="IY45" s="115">
        <f>IW45/$OD45</f>
        <v>3.6379333605294866</v>
      </c>
      <c r="IZ45" s="73"/>
      <c r="JA45" s="115"/>
      <c r="JB45" s="115">
        <f>$IW45*JM43/$JK43</f>
        <v>0.3040787225308848</v>
      </c>
      <c r="JC45" s="115">
        <f>$IW45*JN43/$JK43</f>
        <v>0.26343888171171509</v>
      </c>
      <c r="JD45" s="115">
        <f>$IW45*JO43/$JK43</f>
        <v>0</v>
      </c>
      <c r="KJ45" s="115">
        <f>BW45*44/12+$IW45+$GZ45</f>
        <v>3.7630462168760683</v>
      </c>
      <c r="KK45" s="74"/>
      <c r="KL45" s="74"/>
      <c r="KM45" s="143">
        <f>KJ45/$OD45</f>
        <v>24.122091133820952</v>
      </c>
      <c r="KN45" s="73"/>
      <c r="KO45" s="74"/>
      <c r="KP45" s="74"/>
      <c r="KQ45" s="74"/>
      <c r="KR45" s="74"/>
      <c r="KS45" s="73"/>
      <c r="KT45" s="115">
        <f>CK45*44/12+$IW45+$HN45</f>
        <v>4.3860640392522789</v>
      </c>
      <c r="KW45" s="143">
        <f>KT45/$OD45</f>
        <v>28.115795123412045</v>
      </c>
      <c r="KX45" s="73"/>
      <c r="LC45" s="73"/>
      <c r="LD45" s="115">
        <f>CY45*44/12+$IW45+$IB45</f>
        <v>1.8528450061737092</v>
      </c>
      <c r="LG45" s="143">
        <f>LD45/$OD45</f>
        <v>11.877211578036597</v>
      </c>
      <c r="LH45" s="73"/>
      <c r="LM45" s="73"/>
      <c r="LN45" s="115">
        <f>DM45*44/12+$IW45+$GZ45</f>
        <v>3.5705542327106823</v>
      </c>
      <c r="LQ45" s="143">
        <f>LN45/$OD45</f>
        <v>22.888168158401811</v>
      </c>
      <c r="LR45" s="73"/>
      <c r="LW45" s="73"/>
      <c r="LX45" s="115">
        <f>EA45*44/12+$IW45+$HN45</f>
        <v>4.0692673396647168</v>
      </c>
      <c r="MA45" s="143">
        <f>LX45/$OD45</f>
        <v>26.0850470491328</v>
      </c>
      <c r="MB45" s="127"/>
      <c r="MG45" s="127"/>
      <c r="MH45" s="115">
        <f>EO45*44/12+$IW45+$IB45</f>
        <v>2.0421351936244974</v>
      </c>
      <c r="MK45" s="143">
        <f>MH45/$OD45</f>
        <v>13.09061021554165</v>
      </c>
      <c r="ML45" s="127"/>
      <c r="MM45" s="127"/>
      <c r="MN45" s="127"/>
      <c r="MO45" s="127"/>
      <c r="MP45" s="127"/>
      <c r="MQ45" s="127"/>
      <c r="MW45" s="127"/>
      <c r="MX45" s="127"/>
      <c r="MY45" s="127"/>
      <c r="MZ45" s="127"/>
      <c r="NA45" s="127"/>
      <c r="NB45" s="127"/>
      <c r="NC45" s="127"/>
      <c r="ND45" s="127"/>
      <c r="NE45" s="127"/>
      <c r="NF45" s="127"/>
      <c r="NG45" s="127"/>
      <c r="NH45" s="127"/>
      <c r="NI45" s="127"/>
      <c r="NJ45" s="127"/>
      <c r="NK45" s="127"/>
      <c r="NL45" s="127"/>
      <c r="NM45" s="127"/>
      <c r="NN45" s="127"/>
      <c r="NO45" s="127"/>
      <c r="NP45" s="127"/>
      <c r="NQ45" s="127"/>
      <c r="NT45" s="31">
        <v>0.9</v>
      </c>
      <c r="NU45" s="31"/>
      <c r="NV45" s="32">
        <f>$NT45*NW45</f>
        <v>18.45</v>
      </c>
      <c r="NW45" s="9">
        <v>20.5</v>
      </c>
      <c r="NX45" s="9"/>
      <c r="NY45" s="9"/>
      <c r="NZ45" s="9"/>
      <c r="OA45" s="32"/>
      <c r="OB45" s="43"/>
      <c r="OC45" s="38">
        <f>$NT45*OD45</f>
        <v>0.1404</v>
      </c>
      <c r="OD45" s="35">
        <v>0.156</v>
      </c>
      <c r="OE45" s="38">
        <f>$NT45*OF45</f>
        <v>5.8500000000000003E-2</v>
      </c>
      <c r="OF45" s="35">
        <v>6.5000000000000002E-2</v>
      </c>
    </row>
    <row r="46" spans="1:494" x14ac:dyDescent="0.25">
      <c r="A46" s="4" t="s">
        <v>166</v>
      </c>
      <c r="B46" s="468">
        <f>C46*NT14/NT46</f>
        <v>1.7600000000000001E-2</v>
      </c>
      <c r="C46" s="82">
        <v>0.02</v>
      </c>
      <c r="D46" s="722">
        <f>C46*NW46/NW14</f>
        <v>4.1808510638297866E-2</v>
      </c>
      <c r="E46" s="104"/>
      <c r="F46" s="104"/>
      <c r="G46" s="104"/>
      <c r="H46" s="104"/>
      <c r="I46" s="104"/>
      <c r="J46" s="104"/>
      <c r="K46" s="104"/>
      <c r="L46" s="104"/>
      <c r="M46" s="104"/>
      <c r="N46" s="69"/>
      <c r="V46" s="26">
        <f>W46/NT46</f>
        <v>1.8499999999999999</v>
      </c>
      <c r="W46" s="26">
        <f>C46/C44*W44</f>
        <v>1.8499999999999999</v>
      </c>
      <c r="X46" s="115"/>
      <c r="Y46" s="26">
        <f>W46*NW46/10^3</f>
        <v>7.2704999999999978E-2</v>
      </c>
      <c r="Z46" s="26">
        <f>W46*OB46/10^3</f>
        <v>6.8449999999999983E-2</v>
      </c>
      <c r="AA46" s="26">
        <f>W46*OD46</f>
        <v>0</v>
      </c>
      <c r="AB46" s="26"/>
      <c r="AE46" s="115">
        <f>AB$14*$AN46/$C46</f>
        <v>4.4959063337532266</v>
      </c>
      <c r="AF46" s="115"/>
      <c r="AG46" s="115">
        <f>AC$14*$AN46/$C46</f>
        <v>5.0019836874544357</v>
      </c>
      <c r="AH46" s="115"/>
      <c r="AI46" s="115">
        <f>AD$14*$AN46/$C46</f>
        <v>2.9449178959887989</v>
      </c>
      <c r="AJ46" s="115"/>
      <c r="AK46" s="52">
        <f>1-AK44-AK45</f>
        <v>4.1464443975522292E-2</v>
      </c>
      <c r="AL46" s="164">
        <v>1.07</v>
      </c>
      <c r="AM46" s="683">
        <f>V46*AL46/(V44*AL44+V45*AL45+V46*AL46)</f>
        <v>3.9912705694710032E-2</v>
      </c>
      <c r="AN46" s="40">
        <f t="shared" si="12"/>
        <v>4.1464443975522292E-2</v>
      </c>
      <c r="AO46" s="115"/>
      <c r="AP46" s="115"/>
      <c r="AQ46" s="115"/>
      <c r="AR46" s="115"/>
      <c r="AS46" s="115"/>
      <c r="AT46" s="115"/>
      <c r="AU46" s="115"/>
      <c r="AV46" s="115"/>
      <c r="AW46" s="115"/>
      <c r="AX46" s="115"/>
      <c r="AY46" s="115"/>
      <c r="AZ46" s="115"/>
      <c r="BA46" s="115"/>
      <c r="BB46" s="115"/>
      <c r="BC46" s="115"/>
      <c r="BD46" s="115"/>
      <c r="BE46" s="115"/>
      <c r="BF46" s="115"/>
      <c r="BG46" s="115"/>
      <c r="BH46" s="115"/>
      <c r="BI46" s="115"/>
      <c r="BJ46" s="115"/>
      <c r="BK46" s="115"/>
      <c r="BL46" s="115"/>
      <c r="BM46" s="115"/>
      <c r="BN46" s="115"/>
      <c r="BO46" s="115"/>
      <c r="BP46" s="115"/>
      <c r="BQ46" s="115"/>
      <c r="BR46" s="115"/>
      <c r="BS46" s="115"/>
      <c r="BT46" s="115"/>
      <c r="BU46" s="115"/>
      <c r="BV46" s="26">
        <f>BW46*$NT46</f>
        <v>1.5994197800514736</v>
      </c>
      <c r="BW46" s="115">
        <f>BP$14*$AN46/$C46</f>
        <v>1.5994197800514736</v>
      </c>
      <c r="BX46" s="55">
        <f>10^3*BW46/$OB46</f>
        <v>43.227561623012797</v>
      </c>
      <c r="BY46" s="26"/>
      <c r="BZ46" s="335"/>
      <c r="CA46" s="127"/>
      <c r="CB46" s="127"/>
      <c r="CC46" s="127"/>
      <c r="CD46" s="115"/>
      <c r="CE46" s="115"/>
      <c r="CF46" s="115"/>
      <c r="CG46" s="115"/>
      <c r="CH46" s="115"/>
      <c r="CI46" s="127"/>
      <c r="CJ46" s="26">
        <f>CK46*$NT46</f>
        <v>1.9088112217397037</v>
      </c>
      <c r="CK46" s="115">
        <f>BQ$14*$AN46/$C46</f>
        <v>1.9088112217397037</v>
      </c>
      <c r="CL46" s="55">
        <f>10^3*CK46/$OB46</f>
        <v>51.589492479451451</v>
      </c>
      <c r="CM46" s="26"/>
      <c r="CN46" s="335"/>
      <c r="CO46" s="127"/>
      <c r="CP46" s="127"/>
      <c r="CQ46" s="127"/>
      <c r="CW46" s="127"/>
      <c r="CX46" s="26">
        <f>CY46*$NT46</f>
        <v>0.65078985936080591</v>
      </c>
      <c r="CY46" s="115">
        <f>BR$14*$AN46/$C46</f>
        <v>0.65078985936080591</v>
      </c>
      <c r="CZ46" s="55">
        <f>10^3*CY46/$OB46</f>
        <v>17.588915117859621</v>
      </c>
      <c r="DA46" s="26"/>
      <c r="DB46" s="335"/>
      <c r="DC46" s="127"/>
      <c r="DD46" s="127"/>
      <c r="DE46" s="127"/>
      <c r="DF46" s="115"/>
      <c r="DG46" s="115"/>
      <c r="DH46" s="115"/>
      <c r="DI46" s="115"/>
      <c r="DJ46" s="115"/>
      <c r="DK46" s="127"/>
      <c r="DL46" s="26">
        <f>DM46*$NT46</f>
        <v>1.4987776295720985</v>
      </c>
      <c r="DM46" s="115">
        <f>BS$14*$AN46/$C46</f>
        <v>1.4987776295720985</v>
      </c>
      <c r="DN46" s="677">
        <f>10^3*DM46/$OB46</f>
        <v>40.507503501948605</v>
      </c>
      <c r="DO46" s="26"/>
      <c r="DP46" s="37"/>
      <c r="DQ46" s="127"/>
      <c r="DR46" s="127"/>
      <c r="DS46" s="127"/>
      <c r="DT46" s="37"/>
      <c r="DU46" s="37"/>
      <c r="DV46" s="37"/>
      <c r="DW46" s="37"/>
      <c r="DX46" s="37"/>
      <c r="DY46" s="127"/>
      <c r="DZ46" s="26">
        <f>EA46*$NT46</f>
        <v>1.7431778253699761</v>
      </c>
      <c r="EA46" s="115">
        <f>BT$14*$AN46/$C46</f>
        <v>1.7431778253699761</v>
      </c>
      <c r="EB46" s="677">
        <f>10^3*EA46/$OB46</f>
        <v>47.112914199188545</v>
      </c>
      <c r="EC46" s="26"/>
      <c r="EE46" s="127"/>
      <c r="EF46" s="127"/>
      <c r="EG46" s="127"/>
      <c r="EM46" s="127"/>
      <c r="EN46" s="26">
        <f>EO46*$NT46</f>
        <v>0.74975798840935559</v>
      </c>
      <c r="EO46" s="115">
        <f>BU$14*$AN46/$C46</f>
        <v>0.74975798840935559</v>
      </c>
      <c r="EP46" s="677">
        <f>10^3*EO46/$OB46</f>
        <v>20.263729416469069</v>
      </c>
      <c r="EQ46" s="26"/>
      <c r="ER46" s="37"/>
      <c r="ES46" s="127"/>
      <c r="ET46" s="127"/>
      <c r="EU46" s="127"/>
      <c r="EV46" s="37"/>
      <c r="EW46" s="37"/>
      <c r="EX46" s="37"/>
      <c r="EY46" s="37"/>
      <c r="EZ46" s="37"/>
      <c r="FA46" s="127"/>
      <c r="FE46" s="26">
        <f>FF46*$NT46</f>
        <v>2.9846763965914826</v>
      </c>
      <c r="FF46" s="115">
        <f>FB$14*$AN46/$C46</f>
        <v>2.9846763965914826</v>
      </c>
      <c r="FG46" s="55">
        <f>10^3*FF46/$OB46</f>
        <v>80.666929637607637</v>
      </c>
      <c r="FH46" s="115"/>
      <c r="FI46" s="335"/>
      <c r="FJ46" s="335"/>
      <c r="FK46" s="127"/>
      <c r="FL46" s="26"/>
      <c r="FR46" s="127"/>
      <c r="FS46" s="26">
        <f>FT46*$NT46</f>
        <v>3.4713766790933791</v>
      </c>
      <c r="FT46" s="115">
        <f>FC$14*$AN46/$C46</f>
        <v>3.4713766790933791</v>
      </c>
      <c r="FU46" s="55">
        <f>10^3*FT46/$OB46</f>
        <v>93.820991326848088</v>
      </c>
      <c r="FV46" s="115"/>
      <c r="FW46" s="335"/>
      <c r="FX46" s="335"/>
      <c r="FY46" s="127"/>
      <c r="FZ46" s="26"/>
      <c r="GF46" s="127"/>
      <c r="GG46" s="26">
        <f>GH46*$NT46</f>
        <v>1.4930733732663213</v>
      </c>
      <c r="GH46" s="115">
        <f>FD$14*$AN46/$C46</f>
        <v>1.4930733732663213</v>
      </c>
      <c r="GI46" s="55">
        <f>10^3*GH46/$OB46</f>
        <v>40.353334412603282</v>
      </c>
      <c r="GJ46" s="115"/>
      <c r="GK46" s="335"/>
      <c r="GL46" s="335"/>
      <c r="GM46" s="127"/>
      <c r="GN46" s="26"/>
      <c r="GT46" s="127"/>
      <c r="GU46" s="127"/>
      <c r="GV46" s="127"/>
      <c r="GW46" s="127"/>
      <c r="GX46" s="127"/>
      <c r="GY46" s="26">
        <f>GZ46*$NT46</f>
        <v>0.26152297606307312</v>
      </c>
      <c r="GZ46" s="127">
        <f>$AN46*GU$14/C46</f>
        <v>0.26152297606307312</v>
      </c>
      <c r="HA46" s="673">
        <f>10^3*GZ46/$OB46</f>
        <v>7.0681885422452204</v>
      </c>
      <c r="HB46" s="115"/>
      <c r="HD46" s="74"/>
      <c r="HE46" s="127"/>
      <c r="HF46" s="127"/>
      <c r="HG46" s="127"/>
      <c r="HH46" s="127"/>
      <c r="HI46" s="127"/>
      <c r="HJ46" s="127"/>
      <c r="HK46" s="127"/>
      <c r="HL46" s="127"/>
      <c r="HM46" s="115">
        <f>HN46*$NT46</f>
        <v>0.32145844203802121</v>
      </c>
      <c r="HN46" s="127">
        <f>$AN46*GV$14/C46</f>
        <v>0.32145844203802121</v>
      </c>
      <c r="HP46" s="115"/>
      <c r="HS46" s="127"/>
      <c r="HT46" s="127"/>
      <c r="HU46" s="127"/>
      <c r="HV46" s="127"/>
      <c r="HW46" s="127"/>
      <c r="HX46" s="127"/>
      <c r="HY46" s="127"/>
      <c r="HZ46" s="127"/>
      <c r="IA46" s="115">
        <f>IB46*$NT46</f>
        <v>7.7837193525466933E-2</v>
      </c>
      <c r="IB46" s="127">
        <f>$AN46*GW$14/C46</f>
        <v>7.7837193525466933E-2</v>
      </c>
      <c r="IC46" s="133"/>
      <c r="ID46" s="115"/>
      <c r="IE46" s="133"/>
      <c r="IG46" s="127"/>
      <c r="IH46" s="127"/>
      <c r="II46" s="127"/>
      <c r="IJ46" s="127"/>
      <c r="IK46" s="127"/>
      <c r="IL46" s="127"/>
      <c r="IM46" s="127"/>
      <c r="IN46" s="127"/>
      <c r="IO46" s="595"/>
      <c r="IP46" s="595"/>
      <c r="IQ46" s="595"/>
      <c r="IR46" s="595"/>
      <c r="IS46" s="595"/>
      <c r="IT46" s="595"/>
      <c r="IU46" s="595"/>
      <c r="IV46" s="335">
        <f>IW46*$NT46</f>
        <v>1.0879727730114244</v>
      </c>
      <c r="IW46" s="330">
        <f>$AN46*JK43*$C44/$C46</f>
        <v>1.0879727730114244</v>
      </c>
      <c r="IX46" s="673">
        <f>10^3*IW46/OB46</f>
        <v>29.404669540849305</v>
      </c>
      <c r="IY46" s="115"/>
      <c r="JA46" s="115"/>
      <c r="JB46" s="115">
        <f>$IW46*JM43/$JK43</f>
        <v>0.582941160754331</v>
      </c>
      <c r="JC46" s="115">
        <f>$IW46*JN43/$JK43</f>
        <v>0.50503161225709337</v>
      </c>
      <c r="JD46" s="115">
        <f>$IW46*JO43/$JK43</f>
        <v>0</v>
      </c>
      <c r="KJ46" s="115">
        <f>BW46*44/12+$IW46+$GZ46</f>
        <v>7.2140349425965677</v>
      </c>
      <c r="KK46" s="74"/>
      <c r="KL46" s="74"/>
      <c r="MM46" s="127"/>
      <c r="MN46" s="127"/>
      <c r="MO46" s="127"/>
      <c r="MP46" s="127"/>
      <c r="MQ46" s="127"/>
      <c r="MW46" s="127"/>
      <c r="MX46" s="127"/>
      <c r="MY46" s="127"/>
      <c r="MZ46" s="127"/>
      <c r="NA46" s="127"/>
      <c r="NB46" s="127"/>
      <c r="NC46" s="127"/>
      <c r="ND46" s="127"/>
      <c r="NE46" s="127"/>
      <c r="NF46" s="127"/>
      <c r="NG46" s="127"/>
      <c r="NH46" s="127"/>
      <c r="NI46" s="127"/>
      <c r="NJ46" s="127"/>
      <c r="NK46" s="127"/>
      <c r="NL46" s="127"/>
      <c r="NM46" s="127"/>
      <c r="NN46" s="127"/>
      <c r="NO46" s="127"/>
      <c r="NP46" s="127"/>
      <c r="NQ46" s="127"/>
      <c r="NT46" s="31">
        <v>1</v>
      </c>
      <c r="NU46" s="31"/>
      <c r="NV46" s="32">
        <f>$NT46*NW46</f>
        <v>39.299999999999997</v>
      </c>
      <c r="NW46" s="9">
        <v>39.299999999999997</v>
      </c>
      <c r="NX46" s="9"/>
      <c r="NY46" s="9"/>
      <c r="NZ46" s="9"/>
      <c r="OA46" s="32">
        <f>$NT46*OB46</f>
        <v>37</v>
      </c>
      <c r="OB46" s="43">
        <v>37</v>
      </c>
      <c r="OC46" s="38">
        <f>$NT46*OD46</f>
        <v>0</v>
      </c>
      <c r="OD46" s="35">
        <v>0</v>
      </c>
      <c r="OE46" s="38">
        <f>$NT46*OF46</f>
        <v>1</v>
      </c>
      <c r="OF46" s="42">
        <v>1</v>
      </c>
    </row>
    <row r="47" spans="1:494" x14ac:dyDescent="0.25">
      <c r="B47" s="53"/>
      <c r="AE47" s="115"/>
      <c r="AF47" s="115"/>
      <c r="AG47" s="115"/>
      <c r="AH47" s="115"/>
      <c r="AI47" s="115"/>
      <c r="AJ47" s="115"/>
      <c r="AL47" s="74"/>
      <c r="AO47" s="115"/>
      <c r="AP47" s="115"/>
      <c r="AQ47" s="115"/>
      <c r="AR47" s="115"/>
      <c r="AS47" s="115"/>
      <c r="AT47" s="115"/>
      <c r="AU47" s="115"/>
      <c r="AV47" s="115"/>
      <c r="AW47" s="115"/>
      <c r="AX47" s="115"/>
      <c r="AY47" s="115"/>
      <c r="AZ47" s="115"/>
      <c r="BA47" s="115"/>
      <c r="BB47" s="115"/>
      <c r="BC47" s="115"/>
      <c r="BD47" s="115"/>
      <c r="BE47" s="115"/>
      <c r="BF47" s="115"/>
      <c r="BG47" s="115"/>
      <c r="BH47" s="115"/>
      <c r="BI47" s="115"/>
      <c r="BJ47" s="115"/>
      <c r="BK47" s="115"/>
      <c r="BL47" s="115"/>
      <c r="BM47" s="115"/>
      <c r="BN47" s="115"/>
      <c r="BO47" s="115"/>
      <c r="BP47" s="115"/>
      <c r="BQ47" s="115"/>
      <c r="BR47" s="115"/>
      <c r="BS47" s="115"/>
      <c r="BT47" s="115"/>
      <c r="BU47" s="115"/>
      <c r="BW47" s="115"/>
      <c r="CA47" s="74"/>
      <c r="CB47" s="74"/>
      <c r="CC47" s="74"/>
      <c r="CD47" s="115"/>
      <c r="CE47" s="115"/>
      <c r="CF47" s="115"/>
      <c r="CG47" s="115"/>
      <c r="CH47" s="115"/>
      <c r="CI47" s="74"/>
      <c r="CK47" s="115"/>
      <c r="CX47" s="37"/>
      <c r="CY47" s="115"/>
      <c r="CZ47" s="37"/>
      <c r="DA47" s="37"/>
      <c r="DB47" s="37"/>
      <c r="DF47" s="115"/>
      <c r="DG47" s="115"/>
      <c r="DH47" s="115"/>
      <c r="DI47" s="115"/>
      <c r="DJ47" s="115"/>
      <c r="DL47" s="37"/>
      <c r="DM47" s="115"/>
      <c r="DN47" s="37"/>
      <c r="DO47" s="37"/>
      <c r="DP47" s="37"/>
      <c r="DT47" s="37"/>
      <c r="DU47" s="37"/>
      <c r="DV47" s="37"/>
      <c r="DW47" s="37"/>
      <c r="DX47" s="37"/>
      <c r="EA47" s="115"/>
      <c r="EN47" s="37"/>
      <c r="EO47" s="115"/>
      <c r="EP47" s="37"/>
      <c r="EQ47" s="37"/>
      <c r="ER47" s="37"/>
      <c r="EV47" s="37"/>
      <c r="EW47" s="37"/>
      <c r="EX47" s="37"/>
      <c r="EY47" s="37"/>
      <c r="EZ47" s="37"/>
      <c r="FF47" s="115"/>
      <c r="FH47" s="74"/>
      <c r="FK47" s="74"/>
      <c r="FR47" s="74"/>
      <c r="FT47" s="115"/>
      <c r="FZ47" s="37"/>
      <c r="GH47" s="115"/>
      <c r="GJ47" s="74"/>
      <c r="GM47" s="74"/>
      <c r="GT47" s="74"/>
      <c r="GU47" s="74"/>
      <c r="GV47" s="74"/>
      <c r="GW47" s="74"/>
      <c r="GX47" s="74"/>
      <c r="HB47" s="74"/>
      <c r="HD47" s="74"/>
      <c r="HE47" s="74"/>
      <c r="HF47" s="74"/>
      <c r="HG47" s="74"/>
      <c r="HH47" s="74"/>
      <c r="HI47" s="74"/>
      <c r="HJ47" s="74"/>
      <c r="HK47" s="74"/>
      <c r="HL47" s="74"/>
      <c r="IA47" s="133"/>
      <c r="IB47" s="133"/>
      <c r="IC47" s="133"/>
      <c r="IE47" s="133"/>
      <c r="IO47" s="431"/>
      <c r="IP47" s="431"/>
      <c r="IQ47" s="431"/>
      <c r="IR47" s="431"/>
      <c r="IS47" s="431"/>
      <c r="IT47" s="431"/>
      <c r="IU47" s="431"/>
      <c r="OB47" s="26"/>
    </row>
    <row r="48" spans="1:494" ht="13.8" x14ac:dyDescent="0.3">
      <c r="A48" s="44" t="s">
        <v>162</v>
      </c>
      <c r="B48" s="74"/>
      <c r="AE48" s="115"/>
      <c r="AF48" s="115"/>
      <c r="AG48" s="115"/>
      <c r="AH48" s="115"/>
      <c r="AI48" s="115"/>
      <c r="AJ48" s="115"/>
      <c r="AL48" s="74"/>
      <c r="AO48" s="115"/>
      <c r="AP48" s="115"/>
      <c r="AQ48" s="115"/>
      <c r="AR48" s="115"/>
      <c r="AS48" s="115"/>
      <c r="AT48" s="115"/>
      <c r="AU48" s="115"/>
      <c r="AV48" s="115"/>
      <c r="AW48" s="115"/>
      <c r="AX48" s="115"/>
      <c r="AY48" s="115"/>
      <c r="AZ48" s="115"/>
      <c r="BA48" s="115"/>
      <c r="BB48" s="115"/>
      <c r="BC48" s="115"/>
      <c r="BD48" s="115"/>
      <c r="BE48" s="115"/>
      <c r="BF48" s="115"/>
      <c r="BG48" s="115"/>
      <c r="BH48" s="115"/>
      <c r="BI48" s="115"/>
      <c r="BJ48" s="115"/>
      <c r="BK48" s="115"/>
      <c r="BL48" s="115"/>
      <c r="BM48" s="115"/>
      <c r="BN48" s="115"/>
      <c r="BO48" s="115"/>
      <c r="BP48" s="115"/>
      <c r="BQ48" s="115"/>
      <c r="BR48" s="115"/>
      <c r="BS48" s="115"/>
      <c r="BT48" s="115"/>
      <c r="BU48" s="115"/>
      <c r="BW48" s="115"/>
      <c r="CA48" s="74"/>
      <c r="CB48" s="74"/>
      <c r="CC48" s="74"/>
      <c r="CD48" s="115"/>
      <c r="CE48" s="115"/>
      <c r="CF48" s="115"/>
      <c r="CG48" s="115"/>
      <c r="CH48" s="115"/>
      <c r="CI48" s="74"/>
      <c r="CK48" s="115"/>
      <c r="CX48" s="37"/>
      <c r="CY48" s="115"/>
      <c r="CZ48" s="37"/>
      <c r="DA48" s="37"/>
      <c r="DB48" s="37"/>
      <c r="DF48" s="115"/>
      <c r="DG48" s="115"/>
      <c r="DH48" s="115"/>
      <c r="DI48" s="115"/>
      <c r="DJ48" s="115"/>
      <c r="DL48" s="37"/>
      <c r="DM48" s="115"/>
      <c r="DN48" s="37"/>
      <c r="DO48" s="37"/>
      <c r="DP48" s="37"/>
      <c r="DT48" s="37"/>
      <c r="DU48" s="37"/>
      <c r="DV48" s="37"/>
      <c r="DW48" s="37"/>
      <c r="DX48" s="37"/>
      <c r="EA48" s="115"/>
      <c r="EN48" s="37"/>
      <c r="EO48" s="115"/>
      <c r="EP48" s="37"/>
      <c r="EQ48" s="37"/>
      <c r="ER48" s="37"/>
      <c r="EV48" s="37"/>
      <c r="EW48" s="37"/>
      <c r="EX48" s="37"/>
      <c r="EY48" s="37"/>
      <c r="EZ48" s="37"/>
      <c r="FF48" s="115"/>
      <c r="FH48" s="74"/>
      <c r="FK48" s="74"/>
      <c r="FR48" s="74"/>
      <c r="FT48" s="115"/>
      <c r="FZ48" s="37"/>
      <c r="GH48" s="115"/>
      <c r="GJ48" s="74"/>
      <c r="GM48" s="74"/>
      <c r="GT48" s="74"/>
      <c r="GU48" s="74"/>
      <c r="GV48" s="74"/>
      <c r="GW48" s="74"/>
      <c r="GX48" s="74"/>
      <c r="HB48" s="74"/>
      <c r="HD48" s="74"/>
      <c r="HE48" s="74"/>
      <c r="HF48" s="74"/>
      <c r="HG48" s="74"/>
      <c r="HH48" s="74"/>
      <c r="HI48" s="74"/>
      <c r="HJ48" s="74"/>
      <c r="HK48" s="74"/>
      <c r="HL48" s="74"/>
      <c r="IA48" s="133"/>
      <c r="IB48" s="133"/>
      <c r="IC48" s="133"/>
      <c r="IE48" s="133"/>
      <c r="IO48" s="68">
        <f>IP48+IQ48+IR48+IS48+IT48+IU48</f>
        <v>1103.1102828977341</v>
      </c>
      <c r="IP48" s="97">
        <f>JS48*$W49</f>
        <v>137.31847182019706</v>
      </c>
      <c r="IQ48" s="97">
        <f>JU48*$W49</f>
        <v>64.443027481477827</v>
      </c>
      <c r="IR48" s="97">
        <f>JX48*$W49</f>
        <v>901.34878359605921</v>
      </c>
      <c r="IS48" s="97">
        <f>KB48*$W49</f>
        <v>0</v>
      </c>
      <c r="IT48" s="97">
        <f>KF48*$W49</f>
        <v>0</v>
      </c>
      <c r="IU48" s="97">
        <f>KH48*$W49</f>
        <v>0</v>
      </c>
      <c r="JK48" s="115">
        <f>JM48+JN48+JO48</f>
        <v>3.569936190607554</v>
      </c>
      <c r="JM48" s="179">
        <f>JS48+KB48</f>
        <v>0.4443963489326766</v>
      </c>
      <c r="JN48" s="179">
        <f>JU48+KF48</f>
        <v>0.20855348699507389</v>
      </c>
      <c r="JO48" s="179">
        <f>JX48+KH48</f>
        <v>2.9169863546798034</v>
      </c>
      <c r="JQ48" s="127">
        <f>JS48+JU48+JX48</f>
        <v>3.569936190607554</v>
      </c>
      <c r="JS48" s="172">
        <f>'Crops; pasture AMORTIZED'!FY21/$C49</f>
        <v>0.4443963489326766</v>
      </c>
      <c r="JU48" s="172">
        <f>'Crops; pasture AMORTIZED'!FW21/$C49</f>
        <v>0.20855348699507389</v>
      </c>
      <c r="JX48" s="172">
        <f>'Crops; pasture AMORTIZED'!GA21/$C49</f>
        <v>2.9169863546798034</v>
      </c>
      <c r="KD48" s="74"/>
      <c r="KE48" s="74"/>
      <c r="KF48" s="74"/>
      <c r="KG48" s="74"/>
      <c r="KH48" s="74"/>
      <c r="KI48" s="74"/>
      <c r="OB48" s="26"/>
    </row>
    <row r="49" spans="1:494" x14ac:dyDescent="0.25">
      <c r="A49" s="37" t="s">
        <v>163</v>
      </c>
      <c r="B49" s="53">
        <f>C49*NT15/NT49</f>
        <v>0.69204545454545452</v>
      </c>
      <c r="C49" s="90">
        <v>0.7</v>
      </c>
      <c r="D49" s="722">
        <f>C49*NW49/NW15</f>
        <v>0.7039106145251397</v>
      </c>
      <c r="E49" s="104"/>
      <c r="F49" s="104"/>
      <c r="G49" s="104"/>
      <c r="H49" s="104"/>
      <c r="I49" s="104"/>
      <c r="J49" s="104"/>
      <c r="K49" s="104"/>
      <c r="L49" s="104"/>
      <c r="M49" s="104"/>
      <c r="N49" s="69"/>
      <c r="V49" s="55">
        <f>W49/NT49</f>
        <v>351.13636363636363</v>
      </c>
      <c r="W49" s="112">
        <v>309</v>
      </c>
      <c r="X49" s="295"/>
      <c r="Y49" s="26">
        <f>W49*NW49/10^3</f>
        <v>5.5620000000000003</v>
      </c>
      <c r="Z49" s="26">
        <f>W49*OB49/10^3</f>
        <v>5.0984999999999996</v>
      </c>
      <c r="AA49" s="26">
        <f>W49*OD49</f>
        <v>24.72</v>
      </c>
      <c r="AB49" s="26"/>
      <c r="AE49" s="115">
        <f>AB$15*$AN49/$C49</f>
        <v>2.453623203141043</v>
      </c>
      <c r="AF49" s="115"/>
      <c r="AG49" s="115">
        <f>AC$15*$AN49/$C49</f>
        <v>4.5901528979930317</v>
      </c>
      <c r="AH49" s="115"/>
      <c r="AI49" s="115">
        <f>AD$15*$AN49/$C49</f>
        <v>1.8313351330474132</v>
      </c>
      <c r="AJ49" s="115"/>
      <c r="AK49" s="722">
        <f>Y49/(Y49+Y50)</f>
        <v>0.86657496561210456</v>
      </c>
      <c r="AL49" s="164">
        <v>0.75</v>
      </c>
      <c r="AM49" s="69">
        <f>V49*AL49/(V49*AL49+V50*AL50)</f>
        <v>0.94817432273262658</v>
      </c>
      <c r="AN49" s="40">
        <f t="shared" ref="AN49:AN50" si="13">AK49</f>
        <v>0.86657496561210456</v>
      </c>
      <c r="AO49" s="115"/>
      <c r="AP49" s="115"/>
      <c r="AQ49" s="115"/>
      <c r="AR49" s="115"/>
      <c r="AS49" s="115"/>
      <c r="AT49" s="115"/>
      <c r="AU49" s="115"/>
      <c r="AV49" s="115"/>
      <c r="AW49" s="115"/>
      <c r="AX49" s="115"/>
      <c r="AY49" s="115"/>
      <c r="AZ49" s="115"/>
      <c r="BA49" s="115"/>
      <c r="BB49" s="115"/>
      <c r="BC49" s="115"/>
      <c r="BD49" s="115"/>
      <c r="BE49" s="115"/>
      <c r="BF49" s="115"/>
      <c r="BG49" s="115"/>
      <c r="BH49" s="115"/>
      <c r="BI49" s="115"/>
      <c r="BJ49" s="115"/>
      <c r="BK49" s="115"/>
      <c r="BL49" s="115"/>
      <c r="BM49" s="115"/>
      <c r="BN49" s="115"/>
      <c r="BO49" s="115"/>
      <c r="BP49" s="115"/>
      <c r="BQ49" s="115"/>
      <c r="BR49" s="115"/>
      <c r="BS49" s="115"/>
      <c r="BT49" s="115"/>
      <c r="BU49" s="115"/>
      <c r="BV49" s="26">
        <f>BW49*$NT49</f>
        <v>0.81350034782160519</v>
      </c>
      <c r="BW49" s="115">
        <f>BP$15*$AN49/$C49</f>
        <v>0.92443221343364224</v>
      </c>
      <c r="BX49" s="677">
        <f>10^3*BW49/$OB49</f>
        <v>56.026194753554073</v>
      </c>
      <c r="BY49" s="143">
        <f>BW49/$OD49</f>
        <v>11.555402667920527</v>
      </c>
      <c r="BZ49" s="335"/>
      <c r="CA49" s="127"/>
      <c r="CB49" s="127"/>
      <c r="CC49" s="127"/>
      <c r="CD49" s="115"/>
      <c r="CE49" s="115"/>
      <c r="CF49" s="115"/>
      <c r="CG49" s="115"/>
      <c r="CH49" s="115"/>
      <c r="CI49" s="127"/>
      <c r="CJ49" s="26">
        <f>CK49*$NT49</f>
        <v>1.5604436805728672</v>
      </c>
      <c r="CK49" s="115">
        <f>BQ$15*$AN49/$C49</f>
        <v>1.7732314551964399</v>
      </c>
      <c r="CL49" s="677">
        <f>10^3*CK49/$OB49</f>
        <v>107.46857304220848</v>
      </c>
      <c r="CM49" s="143">
        <f>CK49/$OD49</f>
        <v>22.165393189955498</v>
      </c>
      <c r="CN49" s="335"/>
      <c r="CO49" s="127"/>
      <c r="CP49" s="127"/>
      <c r="CQ49" s="127"/>
      <c r="CW49" s="127"/>
      <c r="CX49" s="26">
        <f>CY49*$NT49</f>
        <v>0.59597046309799562</v>
      </c>
      <c r="CY49" s="115">
        <f>BR$15*$AN49/$C49</f>
        <v>0.67723916261135864</v>
      </c>
      <c r="CZ49" s="677">
        <f>10^3*CY49/$OB49</f>
        <v>41.044797734021735</v>
      </c>
      <c r="DA49" s="143">
        <f>CY49/$OD49</f>
        <v>8.4654895326419819</v>
      </c>
      <c r="DB49" s="335"/>
      <c r="DC49" s="127"/>
      <c r="DD49" s="127"/>
      <c r="DE49" s="127"/>
      <c r="DF49" s="115"/>
      <c r="DG49" s="115"/>
      <c r="DH49" s="115"/>
      <c r="DI49" s="115"/>
      <c r="DJ49" s="115"/>
      <c r="DK49" s="127"/>
      <c r="DL49" s="26">
        <f>DM49*$NT49</f>
        <v>0.75490415154620383</v>
      </c>
      <c r="DM49" s="115">
        <f>BS$15*$AN49/$C49</f>
        <v>0.85784562675704978</v>
      </c>
      <c r="DN49" s="677">
        <f>10^3*DM49/$OB49</f>
        <v>51.990644045881808</v>
      </c>
      <c r="DO49" s="143">
        <f>DM49/$OD49</f>
        <v>10.723070334463122</v>
      </c>
      <c r="DP49" s="37"/>
      <c r="DQ49" s="127"/>
      <c r="DR49" s="127"/>
      <c r="DS49" s="127"/>
      <c r="DT49" s="37"/>
      <c r="DU49" s="37"/>
      <c r="DV49" s="37"/>
      <c r="DW49" s="37"/>
      <c r="DX49" s="37"/>
      <c r="DY49" s="127"/>
      <c r="DZ49" s="26">
        <f>EA49*$NT49</f>
        <v>1.5212865963866229</v>
      </c>
      <c r="EA49" s="115">
        <f>BT$15*$AN49/$C49</f>
        <v>1.7287347686211625</v>
      </c>
      <c r="EB49" s="677">
        <f>10^3*EA49/$OB49</f>
        <v>104.77180415885833</v>
      </c>
      <c r="EC49" s="143">
        <f>EA49/$OD49</f>
        <v>21.609184607764529</v>
      </c>
      <c r="EE49" s="127"/>
      <c r="EF49" s="127"/>
      <c r="EG49" s="127"/>
      <c r="EM49" s="127"/>
      <c r="EN49" s="26">
        <f>EO49*$NT49</f>
        <v>0.53168672859041355</v>
      </c>
      <c r="EO49" s="115">
        <f>BU$15*$AN49/$C49</f>
        <v>0.60418946430728815</v>
      </c>
      <c r="EP49" s="677">
        <f>10^3*EO49/$OB49</f>
        <v>36.617543291350799</v>
      </c>
      <c r="EQ49" s="143">
        <f>EO49/$OD49</f>
        <v>7.552368303841102</v>
      </c>
      <c r="ER49" s="37"/>
      <c r="ES49" s="127"/>
      <c r="ET49" s="127"/>
      <c r="EU49" s="127"/>
      <c r="EV49" s="37"/>
      <c r="EW49" s="37"/>
      <c r="EX49" s="37"/>
      <c r="EY49" s="37"/>
      <c r="EZ49" s="37"/>
      <c r="FA49" s="127"/>
      <c r="FE49" s="26">
        <f>FF49*$NT49</f>
        <v>1.5033214790189706</v>
      </c>
      <c r="FF49" s="115">
        <f>FB$15*$AN49/$C49</f>
        <v>1.7083198625215574</v>
      </c>
      <c r="FG49" s="562">
        <f>10^3*FF49/$OB49</f>
        <v>103.53453712251864</v>
      </c>
      <c r="FH49" s="115">
        <f>FF49/$OD49</f>
        <v>21.353998281519466</v>
      </c>
      <c r="FI49" s="335"/>
      <c r="FJ49" s="335"/>
      <c r="FK49" s="127"/>
      <c r="FL49" s="26"/>
      <c r="FR49" s="127"/>
      <c r="FS49" s="26">
        <f>FT49*$NT49</f>
        <v>3.0295009126754011</v>
      </c>
      <c r="FT49" s="115">
        <f>FC$15*$AN49/$C49</f>
        <v>3.442614673494774</v>
      </c>
      <c r="FU49" s="562">
        <f>10^3*FT49/$OB49</f>
        <v>208.6433135451378</v>
      </c>
      <c r="FV49" s="115">
        <f>FT49/$OD49</f>
        <v>43.032683418684677</v>
      </c>
      <c r="FW49" s="335"/>
      <c r="FX49" s="335"/>
      <c r="FY49" s="127"/>
      <c r="FZ49" s="26"/>
      <c r="GF49" s="127"/>
      <c r="GG49" s="26">
        <f>GH49*$NT49</f>
        <v>1.0588047205226925</v>
      </c>
      <c r="GH49" s="115">
        <f>FD$15*$AN49/$C49</f>
        <v>1.2031871824121505</v>
      </c>
      <c r="GI49" s="562">
        <f>10^3*GH49/$OB49</f>
        <v>72.920435297706092</v>
      </c>
      <c r="GJ49" s="115">
        <f>GH49/$OD49</f>
        <v>15.039839780151881</v>
      </c>
      <c r="GK49" s="335"/>
      <c r="GL49" s="335"/>
      <c r="GM49" s="127"/>
      <c r="GN49" s="26"/>
      <c r="GT49" s="127"/>
      <c r="GU49" s="127"/>
      <c r="GV49" s="127"/>
      <c r="GW49" s="127"/>
      <c r="GX49" s="127"/>
      <c r="GY49" s="26">
        <f>GZ49*$NT49</f>
        <v>0.30507764013981525</v>
      </c>
      <c r="GZ49" s="127">
        <f>$AN49*GU$15/C49</f>
        <v>0.34667913652251736</v>
      </c>
      <c r="HA49" s="673">
        <f>10^3*GZ49/$OB49</f>
        <v>21.010856758940445</v>
      </c>
      <c r="HB49" s="115">
        <f>GZ49/$OD49</f>
        <v>4.3334892065314667</v>
      </c>
      <c r="HD49" s="74"/>
      <c r="HE49" s="127"/>
      <c r="HF49" s="127"/>
      <c r="HG49" s="127"/>
      <c r="HH49" s="127"/>
      <c r="HI49" s="127"/>
      <c r="HJ49" s="127"/>
      <c r="HK49" s="127"/>
      <c r="HL49" s="127"/>
      <c r="HM49" s="115">
        <f>HN49*$NT49</f>
        <v>0.53452779891458202</v>
      </c>
      <c r="HN49" s="127">
        <f>$AN49*GV$15/C49</f>
        <v>0.60741795331202497</v>
      </c>
      <c r="HO49" s="73">
        <f>10^3*HN49/$OB49</f>
        <v>36.813209291637882</v>
      </c>
      <c r="HS49" s="127"/>
      <c r="HT49" s="127"/>
      <c r="HU49" s="127"/>
      <c r="HV49" s="127"/>
      <c r="HW49" s="127"/>
      <c r="HX49" s="127"/>
      <c r="HY49" s="127"/>
      <c r="HZ49" s="127"/>
      <c r="IA49" s="115">
        <f>IB49*$NT49</f>
        <v>0.2382477258022484</v>
      </c>
      <c r="IB49" s="127">
        <f>$AN49*GW$15/C49</f>
        <v>0.27073605204800955</v>
      </c>
      <c r="IC49" s="73">
        <f>10^3*IB49/$OB49</f>
        <v>16.408245578667245</v>
      </c>
      <c r="IE49" s="133"/>
      <c r="IG49" s="127"/>
      <c r="IH49" s="127"/>
      <c r="II49" s="127"/>
      <c r="IJ49" s="127"/>
      <c r="IK49" s="127"/>
      <c r="IL49" s="127"/>
      <c r="IM49" s="127"/>
      <c r="IN49" s="127"/>
      <c r="IO49" s="431"/>
      <c r="IP49" s="431"/>
      <c r="IQ49" s="431"/>
      <c r="IR49" s="431"/>
      <c r="IS49" s="431"/>
      <c r="IT49" s="431"/>
      <c r="IU49" s="431"/>
      <c r="IV49" s="26">
        <f>IW49*$NT49</f>
        <v>2.7223832518195707</v>
      </c>
      <c r="IW49" s="115">
        <f>AN49*JK48</f>
        <v>3.0936173316131486</v>
      </c>
      <c r="IX49" s="673">
        <f>10^3*IW49/$OB49</f>
        <v>187.49195949170598</v>
      </c>
      <c r="IY49" s="115">
        <f>IW49/$OD49</f>
        <v>38.670216645164359</v>
      </c>
      <c r="IZ49" s="73"/>
      <c r="JA49" s="115"/>
      <c r="JB49" s="115">
        <f>$IW49*JM48/$JK48</f>
        <v>0.38510275079447903</v>
      </c>
      <c r="JC49" s="115">
        <f>$IW49*JN48/$JK48</f>
        <v>0.18072723082104064</v>
      </c>
      <c r="JD49" s="115">
        <f>$IW49*JO48/$JK48</f>
        <v>2.5277873499976291</v>
      </c>
      <c r="KJ49" s="115">
        <f>BW49*44/12+$IW49+$GZ49</f>
        <v>6.8298812507256876</v>
      </c>
      <c r="KK49" s="74"/>
      <c r="KL49" s="677">
        <f>10^3*KJ49/$OB49</f>
        <v>413.93219701367804</v>
      </c>
      <c r="KM49" s="74"/>
      <c r="KN49" s="73"/>
      <c r="KO49" s="115"/>
      <c r="KP49" s="115"/>
      <c r="KQ49" s="115"/>
      <c r="KR49" s="115"/>
      <c r="KS49" s="73"/>
      <c r="KT49" s="115">
        <f>CK49*44/12+$IW49+$HN49</f>
        <v>10.202883953978786</v>
      </c>
      <c r="KV49" s="677">
        <f>10^3*KT49/$OB49</f>
        <v>618.3566032714416</v>
      </c>
      <c r="KX49" s="73"/>
      <c r="KY49" s="115"/>
      <c r="KZ49" s="115"/>
      <c r="LA49" s="115"/>
      <c r="LB49" s="115"/>
      <c r="LC49" s="73"/>
      <c r="LD49" s="115">
        <f>CY49*44/12+$IW49+$IB49</f>
        <v>5.8475636465694727</v>
      </c>
      <c r="LF49" s="677">
        <f>10^3*LD49/$OB49</f>
        <v>354.3977967617862</v>
      </c>
      <c r="LH49" s="73"/>
      <c r="LI49" s="115"/>
      <c r="LJ49" s="115"/>
      <c r="LK49" s="115"/>
      <c r="LL49" s="115"/>
      <c r="LM49" s="73"/>
      <c r="LN49" s="115">
        <f>DM49*44/12+$IW49+$GZ49</f>
        <v>6.5857304329115154</v>
      </c>
      <c r="LP49" s="677">
        <f>10^3*LN49/$OB49</f>
        <v>399.13517775221305</v>
      </c>
      <c r="LR49" s="73"/>
      <c r="LW49" s="73"/>
      <c r="LX49" s="115">
        <f>EA49*44/12+$IW49+$HN49</f>
        <v>10.039729436536103</v>
      </c>
      <c r="LZ49" s="677">
        <f>10^3*LX49/$OB49</f>
        <v>608.46845069915776</v>
      </c>
      <c r="MB49" s="127"/>
      <c r="MG49" s="127"/>
      <c r="MH49" s="115">
        <f>EO49*44/12+$IW49+$IB49</f>
        <v>5.579714752787881</v>
      </c>
      <c r="MJ49" s="677">
        <f>10^3*MH49/$OB49</f>
        <v>338.16453047199275</v>
      </c>
      <c r="ML49" s="127"/>
      <c r="MM49" s="127"/>
      <c r="MN49" s="127"/>
      <c r="MO49" s="127"/>
      <c r="MP49" s="127"/>
      <c r="MQ49" s="127"/>
      <c r="MW49" s="127"/>
      <c r="MX49" s="127"/>
      <c r="MY49" s="127"/>
      <c r="MZ49" s="127"/>
      <c r="NA49" s="127"/>
      <c r="NB49" s="127"/>
      <c r="NC49" s="127"/>
      <c r="ND49" s="127"/>
      <c r="NE49" s="127"/>
      <c r="NF49" s="127"/>
      <c r="NG49" s="127"/>
      <c r="NH49" s="127"/>
      <c r="NI49" s="127"/>
      <c r="NJ49" s="127"/>
      <c r="NK49" s="127"/>
      <c r="NL49" s="127"/>
      <c r="NM49" s="127"/>
      <c r="NN49" s="127"/>
      <c r="NO49" s="127"/>
      <c r="NP49" s="127"/>
      <c r="NQ49" s="127"/>
      <c r="NT49" s="31">
        <v>0.88</v>
      </c>
      <c r="NU49" s="31"/>
      <c r="NV49" s="32">
        <f t="shared" ref="NV49:NV50" si="14">$NT49*NW49</f>
        <v>15.84</v>
      </c>
      <c r="NW49" s="43">
        <v>18</v>
      </c>
      <c r="NX49" s="43"/>
      <c r="NY49" s="43"/>
      <c r="NZ49" s="43"/>
      <c r="OA49" s="32">
        <f t="shared" ref="OA49" si="15">$NT49*OB49</f>
        <v>14.52</v>
      </c>
      <c r="OB49" s="43">
        <v>16.5</v>
      </c>
      <c r="OC49" s="38">
        <f t="shared" ref="OC49:OC50" si="16">$NT49*OD49</f>
        <v>7.0400000000000004E-2</v>
      </c>
      <c r="OD49" s="35">
        <v>0.08</v>
      </c>
      <c r="OE49" s="38">
        <f t="shared" ref="OE49:OE50" si="17">$NT49*OF49</f>
        <v>3.5200000000000001E-3</v>
      </c>
      <c r="OF49" s="35">
        <v>4.0000000000000001E-3</v>
      </c>
    </row>
    <row r="50" spans="1:494" x14ac:dyDescent="0.25">
      <c r="A50" s="4" t="s">
        <v>167</v>
      </c>
      <c r="B50" s="468">
        <f>C50*NT15/NT50</f>
        <v>9.4565217391304357E-2</v>
      </c>
      <c r="C50" s="90">
        <v>0.1</v>
      </c>
      <c r="D50" s="722">
        <f>C50*NW50/NW15</f>
        <v>0.10837988826815644</v>
      </c>
      <c r="E50" s="104"/>
      <c r="F50" s="104"/>
      <c r="G50" s="104"/>
      <c r="H50" s="104"/>
      <c r="I50" s="104"/>
      <c r="J50" s="104"/>
      <c r="K50" s="104"/>
      <c r="L50" s="104"/>
      <c r="M50" s="104"/>
      <c r="N50" s="69"/>
      <c r="V50" s="55">
        <f>W50/NT50</f>
        <v>47.981366459627331</v>
      </c>
      <c r="W50" s="55">
        <f>C50/C49*W49</f>
        <v>44.142857142857146</v>
      </c>
      <c r="X50" s="73"/>
      <c r="Y50" s="26">
        <f>W50*NW50/10^3</f>
        <v>0.85637142857142867</v>
      </c>
      <c r="Z50" s="26"/>
      <c r="AA50" s="26">
        <f>W50*OD50</f>
        <v>6.4007142857142858</v>
      </c>
      <c r="AB50" s="26"/>
      <c r="AE50" s="115">
        <f>AB$15*$AN50/$C50</f>
        <v>2.6444605633853451</v>
      </c>
      <c r="AF50" s="115"/>
      <c r="AG50" s="115">
        <f>AC$15*$AN50/$C50</f>
        <v>4.9471647900591558</v>
      </c>
      <c r="AH50" s="115"/>
      <c r="AI50" s="115">
        <f>AD$15*$AN50/$C50</f>
        <v>1.9737723100622113</v>
      </c>
      <c r="AJ50" s="115"/>
      <c r="AK50" s="722">
        <f>1-AK49</f>
        <v>0.13342503438789544</v>
      </c>
      <c r="AL50" s="164">
        <v>0.3</v>
      </c>
      <c r="AM50" s="69">
        <f>V50*AL50/(V49*AL49+V50*AL50)</f>
        <v>5.1825677267373374E-2</v>
      </c>
      <c r="AN50" s="40">
        <f t="shared" si="13"/>
        <v>0.13342503438789544</v>
      </c>
      <c r="AO50" s="115"/>
      <c r="AP50" s="115"/>
      <c r="AQ50" s="115"/>
      <c r="AR50" s="115"/>
      <c r="AS50" s="115"/>
      <c r="AT50" s="115"/>
      <c r="AU50" s="115"/>
      <c r="AV50" s="115"/>
      <c r="AW50" s="115"/>
      <c r="AX50" s="115"/>
      <c r="AY50" s="115"/>
      <c r="AZ50" s="115"/>
      <c r="BA50" s="115"/>
      <c r="BB50" s="115"/>
      <c r="BC50" s="115"/>
      <c r="BD50" s="115"/>
      <c r="BE50" s="115"/>
      <c r="BF50" s="115"/>
      <c r="BG50" s="115"/>
      <c r="BH50" s="115"/>
      <c r="BI50" s="115"/>
      <c r="BJ50" s="115"/>
      <c r="BK50" s="115"/>
      <c r="BL50" s="115"/>
      <c r="BM50" s="115"/>
      <c r="BN50" s="115"/>
      <c r="BO50" s="115"/>
      <c r="BP50" s="115"/>
      <c r="BQ50" s="115"/>
      <c r="BR50" s="115"/>
      <c r="BS50" s="115"/>
      <c r="BT50" s="115"/>
      <c r="BU50" s="115"/>
      <c r="BV50" s="26">
        <f>BW50*$NT50</f>
        <v>0.91662589696464669</v>
      </c>
      <c r="BW50" s="115">
        <f>BP$15*$AN50/$C50</f>
        <v>0.9963324967007029</v>
      </c>
      <c r="BX50" s="55"/>
      <c r="BY50" s="143">
        <f>BW50/$OD50</f>
        <v>6.8712585979358822</v>
      </c>
      <c r="BZ50" s="335"/>
      <c r="CA50" s="127"/>
      <c r="CB50" s="127"/>
      <c r="CC50" s="127"/>
      <c r="CD50" s="115"/>
      <c r="CE50" s="115"/>
      <c r="CF50" s="115"/>
      <c r="CG50" s="115"/>
      <c r="CH50" s="115"/>
      <c r="CI50" s="127"/>
      <c r="CJ50" s="26">
        <f>CK50*$NT50</f>
        <v>1.7582575006858916</v>
      </c>
      <c r="CK50" s="115">
        <f>BQ$15*$AN50/$C50</f>
        <v>1.9111494572672734</v>
      </c>
      <c r="CL50" s="55"/>
      <c r="CM50" s="143">
        <f>CK50/$OD50</f>
        <v>13.180341084601887</v>
      </c>
      <c r="CN50" s="335"/>
      <c r="CO50" s="127"/>
      <c r="CP50" s="127"/>
      <c r="CQ50" s="127"/>
      <c r="CW50" s="127"/>
      <c r="CX50" s="26">
        <f>CY50*$NT50</f>
        <v>0.6715202541270846</v>
      </c>
      <c r="CY50" s="115">
        <f>BR$15*$AN50/$C50</f>
        <v>0.72991331970335283</v>
      </c>
      <c r="CZ50" s="55"/>
      <c r="DA50" s="143">
        <f>CY50/$OD50</f>
        <v>5.0338849634713991</v>
      </c>
      <c r="DB50" s="335"/>
      <c r="DC50" s="127"/>
      <c r="DD50" s="127"/>
      <c r="DE50" s="127"/>
      <c r="DF50" s="115"/>
      <c r="DG50" s="115"/>
      <c r="DH50" s="115"/>
      <c r="DI50" s="115"/>
      <c r="DJ50" s="115"/>
      <c r="DK50" s="127"/>
      <c r="DL50" s="26">
        <f>DM50*$NT50</f>
        <v>0.85060159701998983</v>
      </c>
      <c r="DM50" s="115">
        <f>BS$15*$AN50/$C50</f>
        <v>0.92456695328259764</v>
      </c>
      <c r="DN50" s="55"/>
      <c r="DO50" s="143">
        <f>DM50/$OD50</f>
        <v>6.3763238157420528</v>
      </c>
      <c r="DP50" s="37"/>
      <c r="DQ50" s="127"/>
      <c r="DR50" s="127"/>
      <c r="DS50" s="127"/>
      <c r="DT50" s="37"/>
      <c r="DU50" s="37"/>
      <c r="DV50" s="37"/>
      <c r="DW50" s="37"/>
      <c r="DX50" s="37"/>
      <c r="DY50" s="127"/>
      <c r="DZ50" s="26">
        <f>EA50*$NT50</f>
        <v>1.7141365639083612</v>
      </c>
      <c r="EA50" s="115">
        <f>BT$15*$AN50/$C50</f>
        <v>1.8631919172916969</v>
      </c>
      <c r="EB50" s="55"/>
      <c r="EC50" s="143">
        <f>EA50/$OD50</f>
        <v>12.849599429597911</v>
      </c>
      <c r="EE50" s="127"/>
      <c r="EF50" s="127"/>
      <c r="EG50" s="127"/>
      <c r="EM50" s="127"/>
      <c r="EN50" s="26">
        <f>EO50*$NT50</f>
        <v>0.59908741994202652</v>
      </c>
      <c r="EO50" s="115">
        <f>BU$15*$AN50/$C50</f>
        <v>0.65118197819785484</v>
      </c>
      <c r="EP50" s="55"/>
      <c r="EQ50" s="143">
        <f>EO50/$OD50</f>
        <v>4.4909101944679648</v>
      </c>
      <c r="ER50" s="37"/>
      <c r="ES50" s="127"/>
      <c r="ET50" s="127"/>
      <c r="EU50" s="127"/>
      <c r="EV50" s="37"/>
      <c r="EW50" s="37"/>
      <c r="EX50" s="37"/>
      <c r="EY50" s="37"/>
      <c r="EZ50" s="37"/>
      <c r="FA50" s="127"/>
      <c r="FE50" s="26">
        <f>FF50*$NT50</f>
        <v>1.6938940503491529</v>
      </c>
      <c r="FF50" s="115">
        <f>FB$15*$AN50/$C50</f>
        <v>1.8411891851621225</v>
      </c>
      <c r="FG50" s="55"/>
      <c r="FH50" s="115">
        <f>FF50/$OD50</f>
        <v>12.697856449393949</v>
      </c>
      <c r="FI50" s="335"/>
      <c r="FJ50" s="335"/>
      <c r="FK50" s="127"/>
      <c r="FL50" s="26"/>
      <c r="FR50" s="127"/>
      <c r="FS50" s="26">
        <f>FT50*$NT50</f>
        <v>3.4135437051408171</v>
      </c>
      <c r="FT50" s="115">
        <f>FC$15*$AN50/$C50</f>
        <v>3.7103735925443662</v>
      </c>
      <c r="FU50" s="55"/>
      <c r="FV50" s="115">
        <f>FT50/$OD50</f>
        <v>25.5887833968577</v>
      </c>
      <c r="FW50" s="335"/>
      <c r="FX50" s="335"/>
      <c r="FY50" s="127"/>
      <c r="FZ50" s="26"/>
      <c r="GF50" s="127"/>
      <c r="GG50" s="26">
        <f>GH50*$NT50</f>
        <v>1.193026935094003</v>
      </c>
      <c r="GH50" s="115">
        <f>FD$15*$AN50/$C50</f>
        <v>1.2967684077108728</v>
      </c>
      <c r="GI50" s="55"/>
      <c r="GJ50" s="115">
        <f>GH50/$OD50</f>
        <v>8.943230398006019</v>
      </c>
      <c r="GK50" s="335"/>
      <c r="GL50" s="335"/>
      <c r="GM50" s="127"/>
      <c r="GN50" s="26"/>
      <c r="GT50" s="127"/>
      <c r="GU50" s="127"/>
      <c r="GV50" s="127"/>
      <c r="GW50" s="127"/>
      <c r="GX50" s="127"/>
      <c r="GY50" s="26">
        <f>GZ50*$NT50</f>
        <v>0.34375162381410485</v>
      </c>
      <c r="GZ50" s="330">
        <f>$AN50*GU$15/C50</f>
        <v>0.37364306936315744</v>
      </c>
      <c r="HA50" s="73"/>
      <c r="HB50" s="115">
        <f>GZ50/$OD50</f>
        <v>2.576848754228672</v>
      </c>
      <c r="HD50" s="74"/>
      <c r="HE50" s="127"/>
      <c r="HF50" s="127"/>
      <c r="HG50" s="127"/>
      <c r="HH50" s="127"/>
      <c r="HI50" s="127"/>
      <c r="HJ50" s="127"/>
      <c r="HK50" s="127"/>
      <c r="HL50" s="127"/>
      <c r="HM50" s="115">
        <f>HN50*$NT50</f>
        <v>0.60228864615072319</v>
      </c>
      <c r="HN50" s="127">
        <f>$AN50*GV$15/C50</f>
        <v>0.65466157190295993</v>
      </c>
      <c r="HO50" s="73"/>
      <c r="HP50" s="115">
        <f>HN50/$OD50</f>
        <v>4.5149073924342069</v>
      </c>
      <c r="HS50" s="127"/>
      <c r="HT50" s="127"/>
      <c r="HU50" s="127"/>
      <c r="HV50" s="127"/>
      <c r="HW50" s="127"/>
      <c r="HX50" s="127"/>
      <c r="HY50" s="127"/>
      <c r="HZ50" s="127"/>
      <c r="IA50" s="115">
        <f>IB50*$NT50</f>
        <v>0.26844983649738186</v>
      </c>
      <c r="IB50" s="127">
        <f>$AN50*GW$15/C50</f>
        <v>0.29179330054063246</v>
      </c>
      <c r="IC50" s="73"/>
      <c r="ID50" s="115">
        <f>IB50/$OD50</f>
        <v>2.0123675899353963</v>
      </c>
      <c r="IE50" s="133"/>
      <c r="IG50" s="127"/>
      <c r="IH50" s="127"/>
      <c r="II50" s="127"/>
      <c r="IJ50" s="127"/>
      <c r="IK50" s="127"/>
      <c r="IL50" s="127"/>
      <c r="IM50" s="127"/>
      <c r="IN50" s="127"/>
      <c r="IO50" s="431"/>
      <c r="IP50" s="431"/>
      <c r="IQ50" s="431"/>
      <c r="IR50" s="431"/>
      <c r="IS50" s="431"/>
      <c r="IT50" s="431"/>
      <c r="IU50" s="431"/>
      <c r="IV50" s="26">
        <f>IW50*$NT50</f>
        <v>3.06749345192397</v>
      </c>
      <c r="IW50" s="91">
        <f>AN50*JK48*C49/C50</f>
        <v>3.3342320129608369</v>
      </c>
      <c r="IX50" s="73"/>
      <c r="IY50" s="115">
        <f>IW50/$OD50</f>
        <v>22.994703537660946</v>
      </c>
      <c r="IZ50" s="73"/>
      <c r="JA50" s="115"/>
      <c r="JB50" s="115">
        <f>$IW50*JM48/$JK48</f>
        <v>0.41505518696738281</v>
      </c>
      <c r="JC50" s="115">
        <f>$IW50*JN48/$JK48</f>
        <v>0.19478379321823264</v>
      </c>
      <c r="JD50" s="115">
        <f>$IW50*JO48/$JK48</f>
        <v>2.7243930327752213</v>
      </c>
      <c r="KJ50" s="115">
        <f>BW50*44/12+$IW50+$GZ50</f>
        <v>7.3610942368932379</v>
      </c>
      <c r="KK50" s="74"/>
      <c r="KL50" s="74"/>
      <c r="KM50" s="143">
        <f>KJ50/$OD50</f>
        <v>50.766167150987854</v>
      </c>
      <c r="KN50" s="73"/>
      <c r="KO50" s="74"/>
      <c r="KP50" s="74"/>
      <c r="KQ50" s="74"/>
      <c r="KR50" s="74"/>
      <c r="KS50" s="73"/>
      <c r="KT50" s="115">
        <f>CK50*44/12+$IW50+$HN50</f>
        <v>10.996441594843798</v>
      </c>
      <c r="KW50" s="143">
        <f>KT50/$OD50</f>
        <v>75.837528240302063</v>
      </c>
      <c r="KX50" s="73"/>
      <c r="LC50" s="73"/>
      <c r="LD50" s="115">
        <f>CY50*44/12+$IW50+$IB50</f>
        <v>6.3023741524137638</v>
      </c>
      <c r="LG50" s="143">
        <f>LD50/$OD50</f>
        <v>43.464649326991477</v>
      </c>
      <c r="LH50" s="73"/>
      <c r="LM50" s="73"/>
      <c r="LN50" s="115">
        <f>DM50*44/12+$IW50+$GZ50</f>
        <v>7.0979539110268526</v>
      </c>
      <c r="LQ50" s="143">
        <f>LN50/$OD50</f>
        <v>48.951406282943815</v>
      </c>
      <c r="LR50" s="73"/>
      <c r="LW50" s="73"/>
      <c r="LX50" s="115">
        <f>EA50*44/12+$IW50+$HN50</f>
        <v>10.820597281600019</v>
      </c>
      <c r="MA50" s="143">
        <f>LX50/$OD50</f>
        <v>74.624808838620822</v>
      </c>
      <c r="MB50" s="127"/>
      <c r="MG50" s="127"/>
      <c r="MH50" s="115">
        <f>EO50*44/12+$IW50+$IB50</f>
        <v>6.0136925668936039</v>
      </c>
      <c r="MK50" s="143">
        <f>MH50/$OD50</f>
        <v>41.473741840645545</v>
      </c>
      <c r="ML50" s="127"/>
      <c r="MM50" s="127"/>
      <c r="MN50" s="127"/>
      <c r="MO50" s="127"/>
      <c r="MP50" s="127"/>
      <c r="MQ50" s="127"/>
      <c r="MW50" s="127"/>
      <c r="MX50" s="127"/>
      <c r="MY50" s="127"/>
      <c r="MZ50" s="127"/>
      <c r="NA50" s="127"/>
      <c r="NB50" s="127"/>
      <c r="NC50" s="127"/>
      <c r="ND50" s="127"/>
      <c r="NE50" s="127"/>
      <c r="NF50" s="127"/>
      <c r="NG50" s="127"/>
      <c r="NH50" s="127"/>
      <c r="NI50" s="127"/>
      <c r="NJ50" s="127"/>
      <c r="NK50" s="127"/>
      <c r="NL50" s="127"/>
      <c r="NM50" s="127"/>
      <c r="NN50" s="127"/>
      <c r="NO50" s="127"/>
      <c r="NP50" s="127"/>
      <c r="NQ50" s="127"/>
      <c r="NT50" s="31">
        <v>0.92</v>
      </c>
      <c r="NU50" s="31"/>
      <c r="NV50" s="32">
        <f t="shared" si="14"/>
        <v>17.847999999999999</v>
      </c>
      <c r="NW50" s="9">
        <v>19.399999999999999</v>
      </c>
      <c r="NX50" s="9"/>
      <c r="NY50" s="9"/>
      <c r="NZ50" s="9"/>
      <c r="OA50" s="32"/>
      <c r="OB50" s="43"/>
      <c r="OC50" s="38">
        <f t="shared" si="16"/>
        <v>0.13339999999999999</v>
      </c>
      <c r="OD50" s="35">
        <v>0.14499999999999999</v>
      </c>
      <c r="OE50" s="38">
        <f t="shared" si="17"/>
        <v>0.13800000000000001</v>
      </c>
      <c r="OF50" s="31">
        <v>0.15</v>
      </c>
    </row>
    <row r="51" spans="1:494" x14ac:dyDescent="0.25">
      <c r="A51" s="37" t="s">
        <v>220</v>
      </c>
      <c r="B51" s="468"/>
      <c r="C51" s="69">
        <f>1-C49-C50</f>
        <v>0.20000000000000004</v>
      </c>
      <c r="D51" s="722"/>
      <c r="E51" s="104"/>
      <c r="F51" s="104"/>
      <c r="G51" s="104"/>
      <c r="H51" s="104"/>
      <c r="I51" s="104"/>
      <c r="J51" s="104"/>
      <c r="K51" s="104"/>
      <c r="L51" s="104"/>
      <c r="M51" s="104"/>
      <c r="N51" s="69"/>
      <c r="V51" s="55"/>
      <c r="W51" s="55"/>
      <c r="X51" s="73"/>
      <c r="Y51" s="26"/>
      <c r="Z51" s="26"/>
      <c r="AA51" s="26"/>
      <c r="AB51" s="26"/>
      <c r="AE51" s="115"/>
      <c r="AF51" s="115"/>
      <c r="AG51" s="115"/>
      <c r="AH51" s="115"/>
      <c r="AI51" s="115"/>
      <c r="AJ51" s="115"/>
      <c r="AK51" s="722"/>
      <c r="AL51" s="74"/>
      <c r="AO51" s="115"/>
      <c r="AP51" s="115"/>
      <c r="AQ51" s="115"/>
      <c r="AR51" s="115"/>
      <c r="AS51" s="115"/>
      <c r="AT51" s="115"/>
      <c r="AU51" s="115"/>
      <c r="AV51" s="115"/>
      <c r="AW51" s="115"/>
      <c r="AX51" s="115"/>
      <c r="AY51" s="115"/>
      <c r="AZ51" s="115"/>
      <c r="BA51" s="115"/>
      <c r="BB51" s="115"/>
      <c r="BC51" s="115"/>
      <c r="BD51" s="115"/>
      <c r="BE51" s="115"/>
      <c r="BF51" s="115"/>
      <c r="BG51" s="115"/>
      <c r="BH51" s="115"/>
      <c r="BI51" s="115"/>
      <c r="BJ51" s="115"/>
      <c r="BK51" s="115"/>
      <c r="BL51" s="115"/>
      <c r="BM51" s="115"/>
      <c r="BN51" s="115"/>
      <c r="BO51" s="115"/>
      <c r="BP51" s="115"/>
      <c r="BQ51" s="115"/>
      <c r="BR51" s="115"/>
      <c r="BS51" s="115"/>
      <c r="BT51" s="115"/>
      <c r="BU51" s="115"/>
      <c r="BW51" s="115"/>
      <c r="CA51" s="74"/>
      <c r="CB51" s="74"/>
      <c r="CC51" s="74"/>
      <c r="CD51" s="115"/>
      <c r="CE51" s="115"/>
      <c r="CF51" s="115"/>
      <c r="CG51" s="115"/>
      <c r="CH51" s="115"/>
      <c r="CI51" s="74"/>
      <c r="CK51" s="115"/>
      <c r="CX51" s="37"/>
      <c r="CY51" s="115"/>
      <c r="CZ51" s="37"/>
      <c r="DA51" s="37"/>
      <c r="DB51" s="37"/>
      <c r="DF51" s="115"/>
      <c r="DG51" s="115"/>
      <c r="DH51" s="115"/>
      <c r="DI51" s="115"/>
      <c r="DJ51" s="115"/>
      <c r="DL51" s="37"/>
      <c r="DM51" s="115"/>
      <c r="DN51" s="37"/>
      <c r="DO51" s="37"/>
      <c r="DP51" s="37"/>
      <c r="DT51" s="37"/>
      <c r="DU51" s="37"/>
      <c r="DV51" s="37"/>
      <c r="DW51" s="37"/>
      <c r="DX51" s="37"/>
      <c r="EA51" s="115"/>
      <c r="EN51" s="37"/>
      <c r="EO51" s="115"/>
      <c r="EP51" s="37"/>
      <c r="EQ51" s="37"/>
      <c r="ER51" s="37"/>
      <c r="EV51" s="37"/>
      <c r="EW51" s="37"/>
      <c r="EX51" s="37"/>
      <c r="EY51" s="37"/>
      <c r="EZ51" s="37"/>
      <c r="FF51" s="115"/>
      <c r="FH51" s="74"/>
      <c r="FK51" s="74"/>
      <c r="FR51" s="74"/>
      <c r="FT51" s="115"/>
      <c r="FZ51" s="37"/>
      <c r="GH51" s="115"/>
      <c r="GJ51" s="74"/>
      <c r="GM51" s="74"/>
      <c r="GT51" s="74"/>
      <c r="GU51" s="74"/>
      <c r="GV51" s="74"/>
      <c r="GW51" s="74"/>
      <c r="GX51" s="74"/>
      <c r="HB51" s="74"/>
      <c r="HD51" s="74"/>
      <c r="HE51" s="74"/>
      <c r="HF51" s="74"/>
      <c r="HG51" s="74"/>
      <c r="HH51" s="74"/>
      <c r="HI51" s="74"/>
      <c r="HJ51" s="74"/>
      <c r="HK51" s="74"/>
      <c r="HL51" s="74"/>
      <c r="IA51" s="133"/>
      <c r="IB51" s="133"/>
      <c r="IC51" s="133"/>
      <c r="IE51" s="133"/>
      <c r="IO51" s="431"/>
      <c r="IP51" s="431"/>
      <c r="IQ51" s="431"/>
      <c r="IR51" s="431"/>
      <c r="IS51" s="431"/>
      <c r="IT51" s="431"/>
      <c r="IU51" s="431"/>
      <c r="NT51" s="31"/>
      <c r="NU51" s="31"/>
      <c r="NV51" s="32"/>
      <c r="NW51" s="9"/>
      <c r="NX51" s="9"/>
      <c r="NY51" s="9"/>
      <c r="NZ51" s="9"/>
      <c r="OA51" s="32"/>
      <c r="OB51" s="43"/>
      <c r="OC51" s="38"/>
      <c r="OD51" s="35"/>
      <c r="OE51" s="38"/>
      <c r="OF51" s="31"/>
    </row>
    <row r="52" spans="1:494" x14ac:dyDescent="0.25">
      <c r="B52" s="74"/>
      <c r="AE52" s="115"/>
      <c r="AF52" s="115"/>
      <c r="AG52" s="115"/>
      <c r="AH52" s="115"/>
      <c r="AI52" s="115"/>
      <c r="AJ52" s="115"/>
      <c r="AL52" s="74"/>
      <c r="AO52" s="115"/>
      <c r="AP52" s="115"/>
      <c r="AQ52" s="115"/>
      <c r="AR52" s="115"/>
      <c r="AS52" s="115"/>
      <c r="AT52" s="115"/>
      <c r="AU52" s="115"/>
      <c r="AV52" s="115"/>
      <c r="AW52" s="115"/>
      <c r="AX52" s="115"/>
      <c r="AY52" s="115"/>
      <c r="AZ52" s="115"/>
      <c r="BA52" s="115"/>
      <c r="BB52" s="115"/>
      <c r="BC52" s="115"/>
      <c r="BD52" s="115"/>
      <c r="BE52" s="115"/>
      <c r="BF52" s="115"/>
      <c r="BG52" s="115"/>
      <c r="BH52" s="115"/>
      <c r="BI52" s="115"/>
      <c r="BJ52" s="115"/>
      <c r="BK52" s="115"/>
      <c r="BL52" s="115"/>
      <c r="BM52" s="115"/>
      <c r="BN52" s="115"/>
      <c r="BO52" s="115"/>
      <c r="BP52" s="115"/>
      <c r="BQ52" s="115"/>
      <c r="BR52" s="115"/>
      <c r="BS52" s="115"/>
      <c r="BT52" s="115"/>
      <c r="BU52" s="115"/>
      <c r="BW52" s="115"/>
      <c r="CA52" s="74"/>
      <c r="CB52" s="74"/>
      <c r="CC52" s="74"/>
      <c r="CD52" s="115"/>
      <c r="CE52" s="115"/>
      <c r="CF52" s="115"/>
      <c r="CG52" s="115"/>
      <c r="CH52" s="115"/>
      <c r="CI52" s="74"/>
      <c r="CK52" s="115"/>
      <c r="CX52" s="37"/>
      <c r="CY52" s="115"/>
      <c r="CZ52" s="37"/>
      <c r="DA52" s="37"/>
      <c r="DB52" s="37"/>
      <c r="DF52" s="115"/>
      <c r="DG52" s="115"/>
      <c r="DH52" s="115"/>
      <c r="DI52" s="115"/>
      <c r="DJ52" s="115"/>
      <c r="DL52" s="37"/>
      <c r="DM52" s="115"/>
      <c r="DN52" s="37"/>
      <c r="DO52" s="37"/>
      <c r="DP52" s="37"/>
      <c r="DT52" s="37"/>
      <c r="DU52" s="37"/>
      <c r="DV52" s="37"/>
      <c r="DW52" s="37"/>
      <c r="DX52" s="37"/>
      <c r="EA52" s="115"/>
      <c r="EN52" s="37"/>
      <c r="EO52" s="115"/>
      <c r="EP52" s="37"/>
      <c r="EQ52" s="37"/>
      <c r="ER52" s="37"/>
      <c r="EV52" s="37"/>
      <c r="EW52" s="37"/>
      <c r="EX52" s="37"/>
      <c r="EY52" s="37"/>
      <c r="EZ52" s="37"/>
      <c r="FF52" s="115"/>
      <c r="FH52" s="74"/>
      <c r="FK52" s="74"/>
      <c r="FR52" s="74"/>
      <c r="FT52" s="115"/>
      <c r="FZ52" s="37"/>
      <c r="GH52" s="115"/>
      <c r="GJ52" s="74"/>
      <c r="GM52" s="74"/>
      <c r="GT52" s="74"/>
      <c r="GU52" s="74"/>
      <c r="GV52" s="74"/>
      <c r="GW52" s="74"/>
      <c r="GX52" s="74"/>
      <c r="HB52" s="74"/>
      <c r="HD52" s="74"/>
      <c r="HE52" s="74"/>
      <c r="HF52" s="74"/>
      <c r="HG52" s="74"/>
      <c r="HH52" s="74"/>
      <c r="HI52" s="74"/>
      <c r="HJ52" s="74"/>
      <c r="HK52" s="74"/>
      <c r="HL52" s="74"/>
      <c r="IA52" s="133"/>
      <c r="IB52" s="133"/>
      <c r="IC52" s="133"/>
      <c r="IE52" s="133"/>
      <c r="IO52" s="97"/>
      <c r="IP52" s="97"/>
      <c r="IQ52" s="97"/>
      <c r="IR52" s="97"/>
      <c r="IS52" s="97"/>
      <c r="IT52" s="97"/>
      <c r="IU52" s="97"/>
      <c r="OB52" s="26"/>
    </row>
    <row r="53" spans="1:494" ht="13.8" x14ac:dyDescent="0.3">
      <c r="A53" s="44" t="s">
        <v>125</v>
      </c>
      <c r="B53" s="53"/>
      <c r="AE53" s="115"/>
      <c r="AF53" s="115"/>
      <c r="AG53" s="115"/>
      <c r="AH53" s="115"/>
      <c r="AI53" s="115"/>
      <c r="AJ53" s="115"/>
      <c r="AL53" s="74"/>
      <c r="AO53" s="115"/>
      <c r="AP53" s="115"/>
      <c r="AQ53" s="115"/>
      <c r="AR53" s="115"/>
      <c r="AS53" s="115"/>
      <c r="AT53" s="115"/>
      <c r="AU53" s="115"/>
      <c r="AV53" s="115"/>
      <c r="AW53" s="115"/>
      <c r="AX53" s="115"/>
      <c r="AY53" s="115"/>
      <c r="AZ53" s="115"/>
      <c r="BA53" s="115"/>
      <c r="BB53" s="115"/>
      <c r="BC53" s="115"/>
      <c r="BD53" s="115"/>
      <c r="BE53" s="115"/>
      <c r="BF53" s="115"/>
      <c r="BG53" s="115"/>
      <c r="BH53" s="115"/>
      <c r="BI53" s="115"/>
      <c r="BJ53" s="115"/>
      <c r="BK53" s="115"/>
      <c r="BL53" s="115"/>
      <c r="BM53" s="115"/>
      <c r="BN53" s="115"/>
      <c r="BO53" s="115"/>
      <c r="BP53" s="115"/>
      <c r="BQ53" s="115"/>
      <c r="BR53" s="115"/>
      <c r="BS53" s="115"/>
      <c r="BT53" s="115"/>
      <c r="BU53" s="115"/>
      <c r="BW53" s="115"/>
      <c r="CA53" s="74"/>
      <c r="CB53" s="74"/>
      <c r="CC53" s="74"/>
      <c r="CD53" s="115"/>
      <c r="CE53" s="115"/>
      <c r="CF53" s="115"/>
      <c r="CG53" s="115"/>
      <c r="CH53" s="115"/>
      <c r="CI53" s="74"/>
      <c r="CK53" s="115"/>
      <c r="CX53" s="37"/>
      <c r="CY53" s="115"/>
      <c r="CZ53" s="37"/>
      <c r="DA53" s="37"/>
      <c r="DB53" s="37"/>
      <c r="DF53" s="115"/>
      <c r="DG53" s="115"/>
      <c r="DH53" s="115"/>
      <c r="DI53" s="115"/>
      <c r="DJ53" s="115"/>
      <c r="DL53" s="37"/>
      <c r="DM53" s="115"/>
      <c r="DN53" s="37"/>
      <c r="DO53" s="37"/>
      <c r="DP53" s="37"/>
      <c r="DT53" s="37"/>
      <c r="DU53" s="37"/>
      <c r="DV53" s="37"/>
      <c r="DW53" s="37"/>
      <c r="DX53" s="37"/>
      <c r="EA53" s="115"/>
      <c r="EN53" s="37"/>
      <c r="EO53" s="115"/>
      <c r="EP53" s="37"/>
      <c r="EQ53" s="37"/>
      <c r="ER53" s="37"/>
      <c r="EV53" s="37"/>
      <c r="EW53" s="37"/>
      <c r="EX53" s="37"/>
      <c r="EY53" s="37"/>
      <c r="EZ53" s="37"/>
      <c r="FF53" s="115"/>
      <c r="FH53" s="74"/>
      <c r="FK53" s="74"/>
      <c r="FR53" s="74"/>
      <c r="FT53" s="115"/>
      <c r="FZ53" s="37"/>
      <c r="GH53" s="115"/>
      <c r="GJ53" s="74"/>
      <c r="GM53" s="74"/>
      <c r="GT53" s="74"/>
      <c r="GU53" s="74"/>
      <c r="GV53" s="74"/>
      <c r="GW53" s="74"/>
      <c r="GX53" s="74"/>
      <c r="HB53" s="74"/>
      <c r="HD53" s="74"/>
      <c r="HE53" s="74"/>
      <c r="HF53" s="74"/>
      <c r="HG53" s="74"/>
      <c r="HH53" s="74"/>
      <c r="HI53" s="74"/>
      <c r="HJ53" s="74"/>
      <c r="HK53" s="74"/>
      <c r="HL53" s="74"/>
      <c r="IA53" s="133"/>
      <c r="IB53" s="133"/>
      <c r="IC53" s="133"/>
      <c r="IE53" s="133"/>
      <c r="IO53" s="68">
        <f>IP53+IQ53+IR53+IS53+IT53+IU53</f>
        <v>291.45437655471585</v>
      </c>
      <c r="IP53" s="97">
        <f>JS53*$W54</f>
        <v>166.28052639517043</v>
      </c>
      <c r="IQ53" s="97">
        <f>JU53*$W54</f>
        <v>125.17385015954545</v>
      </c>
      <c r="IR53" s="97">
        <f>JX53*$W54</f>
        <v>0</v>
      </c>
      <c r="IS53" s="97">
        <f>KB53*$W54</f>
        <v>0</v>
      </c>
      <c r="IT53" s="97">
        <f>KF53*$W54</f>
        <v>0</v>
      </c>
      <c r="IU53" s="97">
        <f>KH53*$W54</f>
        <v>0</v>
      </c>
      <c r="JK53" s="115">
        <f>JM53+JN53+JO53</f>
        <v>0.97803482065340908</v>
      </c>
      <c r="JM53" s="179">
        <f>JS53+KB53</f>
        <v>0.55798834360795446</v>
      </c>
      <c r="JN53" s="179">
        <f>JU53+KF53</f>
        <v>0.42004647704545456</v>
      </c>
      <c r="JO53" s="179">
        <f>JX53+KH53</f>
        <v>0</v>
      </c>
      <c r="JQ53" s="127">
        <f>JS53+JU53+JX53</f>
        <v>0.97803482065340908</v>
      </c>
      <c r="JS53" s="172">
        <f>'Crops; pasture AMORTIZED'!FY22/$C54</f>
        <v>0.55798834360795446</v>
      </c>
      <c r="JU53" s="172">
        <f>'Crops; pasture AMORTIZED'!FW22/$C54</f>
        <v>0.42004647704545456</v>
      </c>
      <c r="KD53" s="74"/>
      <c r="KE53" s="74"/>
      <c r="KF53" s="74"/>
      <c r="KG53" s="74"/>
      <c r="KH53" s="74"/>
      <c r="KI53" s="74"/>
    </row>
    <row r="54" spans="1:494" x14ac:dyDescent="0.25">
      <c r="A54" s="37" t="s">
        <v>161</v>
      </c>
      <c r="B54" s="53">
        <f>C54*NT16/NT54</f>
        <v>0.8186046511627908</v>
      </c>
      <c r="C54" s="90">
        <v>0.8</v>
      </c>
      <c r="D54" s="722">
        <f>C54*NW54/NW16</f>
        <v>0.79565217391304355</v>
      </c>
      <c r="E54" s="104"/>
      <c r="F54" s="104"/>
      <c r="G54" s="104"/>
      <c r="H54" s="104"/>
      <c r="I54" s="104"/>
      <c r="J54" s="104"/>
      <c r="K54" s="104"/>
      <c r="L54" s="104"/>
      <c r="M54" s="104"/>
      <c r="N54" s="69"/>
      <c r="V54" s="55">
        <f>W54/NT54</f>
        <v>346.51162790697674</v>
      </c>
      <c r="W54" s="112">
        <v>298</v>
      </c>
      <c r="X54" s="295"/>
      <c r="Y54" s="26">
        <f>W54*NW54/10^3</f>
        <v>5.4534000000000002</v>
      </c>
      <c r="Z54" s="26">
        <f>W54*OB54/10^3</f>
        <v>4.7679999999999998</v>
      </c>
      <c r="AA54" s="26">
        <f>W54*OD54</f>
        <v>34.270000000000003</v>
      </c>
      <c r="AB54" s="26"/>
      <c r="AE54" s="115">
        <f>AB$16*$AN54/$C54</f>
        <v>3.5999615797578071</v>
      </c>
      <c r="AF54" s="115"/>
      <c r="AG54" s="115">
        <f>AC$16*$AN54/$C54</f>
        <v>4.2627263111680254</v>
      </c>
      <c r="AH54" s="115"/>
      <c r="AI54" s="115">
        <f>AD$16*$AN54/$C54</f>
        <v>2.3475884032519563</v>
      </c>
      <c r="AJ54" s="115"/>
      <c r="AK54" s="722">
        <f>Y54/(Y54+Y55)</f>
        <v>0.79825517993456929</v>
      </c>
      <c r="AL54" s="164">
        <v>0.6</v>
      </c>
      <c r="AM54" s="69">
        <f>V54*AL54/(V54*AL54+V55*AL55)</f>
        <v>0.89223057644110282</v>
      </c>
      <c r="AN54" s="40">
        <f t="shared" ref="AN54:AN55" si="18">AK54</f>
        <v>0.79825517993456929</v>
      </c>
      <c r="AO54" s="115"/>
      <c r="AP54" s="115"/>
      <c r="AQ54" s="115"/>
      <c r="AR54" s="115"/>
      <c r="AS54" s="115"/>
      <c r="AT54" s="115"/>
      <c r="AU54" s="115"/>
      <c r="AV54" s="115"/>
      <c r="AW54" s="115"/>
      <c r="AX54" s="115"/>
      <c r="AY54" s="115"/>
      <c r="AZ54" s="115"/>
      <c r="BA54" s="115"/>
      <c r="BB54" s="115"/>
      <c r="BC54" s="115"/>
      <c r="BD54" s="115"/>
      <c r="BE54" s="115"/>
      <c r="BF54" s="115"/>
      <c r="BG54" s="115"/>
      <c r="BH54" s="115"/>
      <c r="BI54" s="115"/>
      <c r="BJ54" s="115"/>
      <c r="BK54" s="115"/>
      <c r="BL54" s="115"/>
      <c r="BM54" s="115"/>
      <c r="BN54" s="115"/>
      <c r="BO54" s="115"/>
      <c r="BP54" s="115"/>
      <c r="BQ54" s="115"/>
      <c r="BR54" s="115"/>
      <c r="BS54" s="115"/>
      <c r="BT54" s="115"/>
      <c r="BU54" s="115"/>
      <c r="BV54" s="26">
        <f>BW54*$NT54</f>
        <v>0.52859659685482896</v>
      </c>
      <c r="BW54" s="115">
        <f>BP$16*$AN54/$C54</f>
        <v>0.61464720564514996</v>
      </c>
      <c r="BX54" s="677">
        <f>10^3*BW54/$OB54</f>
        <v>38.415450352821871</v>
      </c>
      <c r="BY54" s="143">
        <f>BW54/$OD54</f>
        <v>5.3447583099578253</v>
      </c>
      <c r="BZ54" s="335"/>
      <c r="CA54" s="127"/>
      <c r="CB54" s="127"/>
      <c r="CC54" s="127"/>
      <c r="CD54" s="115"/>
      <c r="CE54" s="115"/>
      <c r="CF54" s="115"/>
      <c r="CG54" s="115"/>
      <c r="CH54" s="115"/>
      <c r="CI54" s="127"/>
      <c r="CJ54" s="26">
        <f>CK54*$NT54</f>
        <v>0.71107771677752774</v>
      </c>
      <c r="CK54" s="115">
        <f>BQ$16*$AN54/$C54</f>
        <v>0.82683455439247411</v>
      </c>
      <c r="CL54" s="677">
        <f>10^3*CK54/$OB54</f>
        <v>51.677159649529635</v>
      </c>
      <c r="CM54" s="143">
        <f>CK54/$OD54</f>
        <v>7.1898656903693396</v>
      </c>
      <c r="CN54" s="335"/>
      <c r="CO54" s="127"/>
      <c r="CP54" s="127"/>
      <c r="CQ54" s="127"/>
      <c r="CW54" s="127"/>
      <c r="CX54" s="26">
        <f>CY54*$NT54</f>
        <v>0.18309592487197579</v>
      </c>
      <c r="CY54" s="115">
        <f>BR$16*$AN54/$C54</f>
        <v>0.21290223822322765</v>
      </c>
      <c r="CZ54" s="677">
        <f>10^3*CY54/$OB54</f>
        <v>13.306389888951728</v>
      </c>
      <c r="DA54" s="143">
        <f>CY54/$OD54</f>
        <v>1.8513238106367622</v>
      </c>
      <c r="DB54" s="335"/>
      <c r="DC54" s="127"/>
      <c r="DD54" s="127"/>
      <c r="DE54" s="127"/>
      <c r="DF54" s="115"/>
      <c r="DG54" s="115"/>
      <c r="DH54" s="115"/>
      <c r="DI54" s="115"/>
      <c r="DJ54" s="115"/>
      <c r="DK54" s="127"/>
      <c r="DL54" s="26">
        <f>DM54*$NT54</f>
        <v>0.67886899059588968</v>
      </c>
      <c r="DM54" s="115">
        <f>BS$16*$AN54/$C54</f>
        <v>0.78938254720452294</v>
      </c>
      <c r="DN54" s="677">
        <f>10^3*DM54/$OB54</f>
        <v>49.336409200282681</v>
      </c>
      <c r="DO54" s="143">
        <f>DM54/$OD54</f>
        <v>6.8641960626480252</v>
      </c>
      <c r="DP54" s="37"/>
      <c r="DQ54" s="127"/>
      <c r="DR54" s="127"/>
      <c r="DS54" s="127"/>
      <c r="DT54" s="37"/>
      <c r="DU54" s="37"/>
      <c r="DV54" s="37"/>
      <c r="DW54" s="37"/>
      <c r="DX54" s="37"/>
      <c r="DY54" s="127"/>
      <c r="DZ54" s="26">
        <f>EA54*$NT54</f>
        <v>0.87073698707972036</v>
      </c>
      <c r="EA54" s="115">
        <f>BT$16*$AN54/$C54</f>
        <v>1.0124848686973493</v>
      </c>
      <c r="EB54" s="677">
        <f>10^3*EA54/$OB54</f>
        <v>63.280304293584337</v>
      </c>
      <c r="EC54" s="143">
        <f>EA54/$OD54</f>
        <v>8.8042162495421685</v>
      </c>
      <c r="EE54" s="127"/>
      <c r="EF54" s="127"/>
      <c r="EG54" s="127"/>
      <c r="EM54" s="127"/>
      <c r="EN54" s="26">
        <f>EO54*$NT54</f>
        <v>0.31631147834718776</v>
      </c>
      <c r="EO54" s="115">
        <f>BU$16*$AN54/$C54</f>
        <v>0.36780404458975319</v>
      </c>
      <c r="EP54" s="677">
        <f>10^3*EO54/$OB54</f>
        <v>22.987752786859573</v>
      </c>
      <c r="EQ54" s="143">
        <f>EO54/$OD54</f>
        <v>3.1982960399108973</v>
      </c>
      <c r="ER54" s="37"/>
      <c r="ES54" s="127"/>
      <c r="ET54" s="127"/>
      <c r="EU54" s="127"/>
      <c r="EV54" s="37"/>
      <c r="EW54" s="37"/>
      <c r="EX54" s="37"/>
      <c r="EY54" s="37"/>
      <c r="EZ54" s="37"/>
      <c r="FA54" s="127"/>
      <c r="FE54" s="26">
        <f>FF54*$NT54</f>
        <v>1.3519045204777436</v>
      </c>
      <c r="FF54" s="115">
        <f>FB$16*$AN54/$C54</f>
        <v>1.5719820005555158</v>
      </c>
      <c r="FG54" s="562">
        <f>10^3*FF54/$OB54</f>
        <v>98.248875034719745</v>
      </c>
      <c r="FH54" s="115">
        <f>FF54/$OD54</f>
        <v>13.669408700482746</v>
      </c>
      <c r="FI54" s="335"/>
      <c r="FJ54" s="335"/>
      <c r="FK54" s="127"/>
      <c r="FL54" s="26"/>
      <c r="FR54" s="127"/>
      <c r="FS54" s="26">
        <f>FT54*$NT54</f>
        <v>1.7339918088569297</v>
      </c>
      <c r="FT54" s="115">
        <f>FC$16*$AN54/$C54</f>
        <v>2.0162695451824764</v>
      </c>
      <c r="FU54" s="562">
        <f>10^3*FT54/$OB54</f>
        <v>126.01684657390477</v>
      </c>
      <c r="FV54" s="115">
        <f>FT54/$OD54</f>
        <v>17.532778653760662</v>
      </c>
      <c r="FW54" s="335"/>
      <c r="FX54" s="335"/>
      <c r="FY54" s="127"/>
      <c r="FZ54" s="26"/>
      <c r="GF54" s="127"/>
      <c r="GG54" s="26">
        <f>GH54*$NT54</f>
        <v>0.629904920360565</v>
      </c>
      <c r="GH54" s="115">
        <f>FD$16*$AN54/$C54</f>
        <v>0.73244758181461045</v>
      </c>
      <c r="GI54" s="562">
        <f>10^3*GH54/$OB54</f>
        <v>45.777973863413152</v>
      </c>
      <c r="GJ54" s="115">
        <f>GH54/$OD54</f>
        <v>6.3691094070835685</v>
      </c>
      <c r="GK54" s="335"/>
      <c r="GL54" s="335"/>
      <c r="GM54" s="127"/>
      <c r="GN54" s="26"/>
      <c r="GT54" s="127"/>
      <c r="GU54" s="127"/>
      <c r="GV54" s="127"/>
      <c r="GW54" s="127"/>
      <c r="GX54" s="127"/>
      <c r="GY54" s="26">
        <f>GZ54*$NT54</f>
        <v>0.1092428611421294</v>
      </c>
      <c r="GZ54" s="127">
        <f>$AN54*GU$16/C54</f>
        <v>0.12702658272340628</v>
      </c>
      <c r="HA54" s="673">
        <f>10^3*GZ54/$OB54</f>
        <v>7.9391614202128924</v>
      </c>
      <c r="HB54" s="115">
        <f>GZ54/$OD54</f>
        <v>1.1045789802035328</v>
      </c>
      <c r="HD54" s="74"/>
      <c r="HE54" s="127"/>
      <c r="HF54" s="127"/>
      <c r="HG54" s="127"/>
      <c r="HH54" s="127"/>
      <c r="HI54" s="127"/>
      <c r="HJ54" s="127"/>
      <c r="HK54" s="127"/>
      <c r="HL54" s="127"/>
      <c r="HM54" s="115">
        <f>HN54*$NT54</f>
        <v>0.16466663476713309</v>
      </c>
      <c r="HN54" s="127">
        <f>$AN54*GV$16/C54</f>
        <v>0.19147283112457336</v>
      </c>
      <c r="HO54" s="73">
        <f>10^3*HN54/$OB54</f>
        <v>11.967051945285835</v>
      </c>
      <c r="HS54" s="127"/>
      <c r="HT54" s="127"/>
      <c r="HU54" s="127"/>
      <c r="HV54" s="127"/>
      <c r="HW54" s="127"/>
      <c r="HX54" s="127"/>
      <c r="HY54" s="127"/>
      <c r="HZ54" s="127"/>
      <c r="IA54" s="115">
        <f>IB54*$NT54</f>
        <v>4.5130163886300994E-3</v>
      </c>
      <c r="IB54" s="127">
        <f>$AN54*GW$16/C54</f>
        <v>5.247693475151278E-3</v>
      </c>
      <c r="IC54" s="73">
        <f>10^3*IB54/$OB54</f>
        <v>0.32798084219695489</v>
      </c>
      <c r="IE54" s="133"/>
      <c r="IG54" s="127"/>
      <c r="IH54" s="127"/>
      <c r="II54" s="127"/>
      <c r="IJ54" s="127"/>
      <c r="IK54" s="127"/>
      <c r="IL54" s="127"/>
      <c r="IM54" s="127"/>
      <c r="IN54" s="127"/>
      <c r="IO54" s="431"/>
      <c r="IP54" s="431"/>
      <c r="IQ54" s="431"/>
      <c r="IR54" s="431"/>
      <c r="IS54" s="431"/>
      <c r="IT54" s="431"/>
      <c r="IU54" s="431"/>
      <c r="IV54" s="335">
        <f>IW54*$NT54</f>
        <v>0.6714203710989467</v>
      </c>
      <c r="IW54" s="127">
        <f>AN54*JK53</f>
        <v>0.78072136174296125</v>
      </c>
      <c r="IX54" s="673">
        <f>10^3*IW54/$OB54</f>
        <v>48.795085108935076</v>
      </c>
      <c r="IY54" s="115">
        <f>IW54/$OD54</f>
        <v>6.7888814064605327</v>
      </c>
      <c r="IZ54" s="73"/>
      <c r="JA54" s="115"/>
      <c r="JB54" s="115">
        <f>$IW54*JM53/$JK53</f>
        <v>0.44541708562815996</v>
      </c>
      <c r="JC54" s="115">
        <f>$IW54*JN53/$JK53</f>
        <v>0.33530427611480124</v>
      </c>
      <c r="JD54" s="115">
        <f>$IW54*JO53/$JK53</f>
        <v>0</v>
      </c>
      <c r="KJ54" s="115">
        <f>BW54*44/12+$IW54+$GZ54</f>
        <v>3.1614543651652505</v>
      </c>
      <c r="KK54" s="74"/>
      <c r="KL54" s="677">
        <f>10^3*KJ54/$OB54</f>
        <v>197.59089782282817</v>
      </c>
      <c r="KM54" s="74"/>
      <c r="KN54" s="73"/>
      <c r="KO54" s="115"/>
      <c r="KP54" s="115"/>
      <c r="KQ54" s="115"/>
      <c r="KR54" s="115"/>
      <c r="KS54" s="73"/>
      <c r="KT54" s="115">
        <f>CK54*44/12+$IW54+$HN54</f>
        <v>4.0039208923066063</v>
      </c>
      <c r="KV54" s="677">
        <f>10^3*KT54/$OB54</f>
        <v>250.24505576916289</v>
      </c>
      <c r="KX54" s="73"/>
      <c r="KY54" s="115"/>
      <c r="KZ54" s="115"/>
      <c r="LA54" s="115"/>
      <c r="LB54" s="115"/>
      <c r="LC54" s="73"/>
      <c r="LD54" s="115">
        <f>CY54*44/12+$IW54+$IB54</f>
        <v>1.5666105953699472</v>
      </c>
      <c r="LF54" s="677">
        <f>10^3*LD54/$OB54</f>
        <v>97.913162210621692</v>
      </c>
      <c r="LH54" s="73"/>
      <c r="LI54" s="115"/>
      <c r="LJ54" s="115"/>
      <c r="LK54" s="115"/>
      <c r="LL54" s="115"/>
      <c r="LM54" s="73"/>
      <c r="LN54" s="115">
        <f>DM54*44/12+$IW54+$GZ54</f>
        <v>3.8021506175496183</v>
      </c>
      <c r="LP54" s="677">
        <f>10^3*LN54/$OB54</f>
        <v>237.63441359685115</v>
      </c>
      <c r="LR54" s="73"/>
      <c r="LW54" s="73"/>
      <c r="LX54" s="115">
        <f>EA54*44/12+$IW54+$HN54</f>
        <v>4.6846387114244825</v>
      </c>
      <c r="LZ54" s="677">
        <f>10^3*LX54/$OB54</f>
        <v>292.78991946403016</v>
      </c>
      <c r="MB54" s="127"/>
      <c r="MG54" s="127"/>
      <c r="MH54" s="115">
        <f>EO54*44/12+$IW54+$IB54</f>
        <v>2.134583885380541</v>
      </c>
      <c r="MJ54" s="677">
        <f>10^3*MH54/$OB54</f>
        <v>133.4114928362838</v>
      </c>
      <c r="ML54" s="127"/>
      <c r="MM54" s="127"/>
      <c r="MN54" s="127"/>
      <c r="MO54" s="127"/>
      <c r="MP54" s="127"/>
      <c r="MQ54" s="127"/>
      <c r="MW54" s="127"/>
      <c r="MX54" s="127"/>
      <c r="MY54" s="127"/>
      <c r="MZ54" s="127"/>
      <c r="NA54" s="127"/>
      <c r="NB54" s="127"/>
      <c r="NC54" s="127"/>
      <c r="ND54" s="127"/>
      <c r="NE54" s="127"/>
      <c r="NF54" s="127"/>
      <c r="NG54" s="127"/>
      <c r="NH54" s="127"/>
      <c r="NI54" s="127"/>
      <c r="NJ54" s="127"/>
      <c r="NK54" s="127"/>
      <c r="NL54" s="127"/>
      <c r="NM54" s="127"/>
      <c r="NN54" s="127"/>
      <c r="NO54" s="127"/>
      <c r="NP54" s="127"/>
      <c r="NQ54" s="127"/>
      <c r="NT54" s="31">
        <v>0.86</v>
      </c>
      <c r="NU54" s="31"/>
      <c r="NV54" s="32">
        <f>$NT54*NW54</f>
        <v>15.738</v>
      </c>
      <c r="NW54" s="9">
        <v>18.3</v>
      </c>
      <c r="NX54" s="9"/>
      <c r="NY54" s="9"/>
      <c r="NZ54" s="9"/>
      <c r="OA54" s="32">
        <f>$NT54*OB54</f>
        <v>13.76</v>
      </c>
      <c r="OB54" s="43">
        <v>16</v>
      </c>
      <c r="OC54" s="38">
        <f>$NT54*OD54</f>
        <v>9.8900000000000002E-2</v>
      </c>
      <c r="OD54" s="35">
        <v>0.115</v>
      </c>
      <c r="OE54" s="38">
        <f>$NT54*OF54</f>
        <v>1.72E-2</v>
      </c>
      <c r="OF54" s="35">
        <v>0.02</v>
      </c>
    </row>
    <row r="55" spans="1:494" s="4" customFormat="1" x14ac:dyDescent="0.25">
      <c r="A55" s="4" t="s">
        <v>160</v>
      </c>
      <c r="B55" s="53">
        <f>C55*NT16/NT55</f>
        <v>0.19775280898876399</v>
      </c>
      <c r="C55" s="40">
        <f>1-C54</f>
        <v>0.19999999999999996</v>
      </c>
      <c r="D55" s="722">
        <f>C55*NW55/NW17</f>
        <v>0.20329670329670327</v>
      </c>
      <c r="E55" s="104"/>
      <c r="F55" s="104"/>
      <c r="G55" s="104"/>
      <c r="H55" s="104"/>
      <c r="I55" s="104"/>
      <c r="J55" s="104"/>
      <c r="K55" s="104"/>
      <c r="L55" s="104"/>
      <c r="M55" s="104"/>
      <c r="N55" s="69"/>
      <c r="O55" s="14"/>
      <c r="P55" s="14"/>
      <c r="Q55" s="14"/>
      <c r="R55" s="14"/>
      <c r="S55" s="14"/>
      <c r="T55" s="14"/>
      <c r="U55" s="14"/>
      <c r="V55" s="55">
        <f>W55/NT55</f>
        <v>83.707865168539314</v>
      </c>
      <c r="W55" s="55">
        <f>C55/C54*W54</f>
        <v>74.499999999999986</v>
      </c>
      <c r="X55" s="73"/>
      <c r="Y55" s="26">
        <f>W55*NW55/10^3</f>
        <v>1.3782499999999998</v>
      </c>
      <c r="Z55" s="26"/>
      <c r="AA55" s="26">
        <f>W55*OD55</f>
        <v>14.899999999999999</v>
      </c>
      <c r="AB55" s="26"/>
      <c r="AE55" s="115">
        <f>AB$16*$AN55/$C55</f>
        <v>3.639305422159532</v>
      </c>
      <c r="AF55" s="115"/>
      <c r="AG55" s="115">
        <f>AC$16*$AN55/$C55</f>
        <v>4.3093134839676761</v>
      </c>
      <c r="AH55" s="115"/>
      <c r="AI55" s="115">
        <f>AD$16*$AN55/$C55</f>
        <v>2.3732451071126333</v>
      </c>
      <c r="AJ55" s="115"/>
      <c r="AK55" s="722">
        <f>1-AK54</f>
        <v>0.20174482006543071</v>
      </c>
      <c r="AL55" s="164">
        <v>0.3</v>
      </c>
      <c r="AM55" s="69">
        <f>V55*AL55/(V54*AL54+V55*AL55)</f>
        <v>0.10776942355889724</v>
      </c>
      <c r="AN55" s="40">
        <f t="shared" si="18"/>
        <v>0.20174482006543071</v>
      </c>
      <c r="AO55" s="115"/>
      <c r="AP55" s="115"/>
      <c r="AQ55" s="115"/>
      <c r="AR55" s="115"/>
      <c r="AS55" s="115"/>
      <c r="AT55" s="115"/>
      <c r="AU55" s="115"/>
      <c r="AV55" s="115"/>
      <c r="AW55" s="115"/>
      <c r="AX55" s="115"/>
      <c r="AY55" s="115"/>
      <c r="AZ55" s="115"/>
      <c r="BA55" s="115"/>
      <c r="BB55" s="115"/>
      <c r="BC55" s="115"/>
      <c r="BD55" s="115"/>
      <c r="BE55" s="115"/>
      <c r="BF55" s="115"/>
      <c r="BG55" s="115"/>
      <c r="BH55" s="115"/>
      <c r="BI55" s="115"/>
      <c r="BJ55" s="115"/>
      <c r="BK55" s="115"/>
      <c r="BL55" s="115"/>
      <c r="BM55" s="115"/>
      <c r="BN55" s="115"/>
      <c r="BO55" s="115"/>
      <c r="BP55" s="115"/>
      <c r="BQ55" s="115"/>
      <c r="BR55" s="115"/>
      <c r="BS55" s="115"/>
      <c r="BT55" s="115"/>
      <c r="BU55" s="115"/>
      <c r="BV55" s="26">
        <f>BW55*$NT55</f>
        <v>0.55301454868564992</v>
      </c>
      <c r="BW55" s="115">
        <f>BP$16*$AN55/$C55</f>
        <v>0.62136466144455049</v>
      </c>
      <c r="BX55" s="55"/>
      <c r="BY55" s="143">
        <f>BW55/$OD55</f>
        <v>3.1068233072227525</v>
      </c>
      <c r="BZ55" s="335"/>
      <c r="CA55" s="127"/>
      <c r="CB55" s="127"/>
      <c r="CC55" s="127"/>
      <c r="CD55" s="97"/>
      <c r="CE55" s="97"/>
      <c r="CF55" s="97"/>
      <c r="CG55" s="97"/>
      <c r="CH55" s="97"/>
      <c r="CI55" s="127"/>
      <c r="CJ55" s="26">
        <f>CK55*$NT55</f>
        <v>0.7439251878727916</v>
      </c>
      <c r="CK55" s="115">
        <f>BQ$16*$AN55/$C55</f>
        <v>0.83587099760987815</v>
      </c>
      <c r="CL55" s="55"/>
      <c r="CM55" s="143">
        <f>CK55/$OD55</f>
        <v>4.1793549880493908</v>
      </c>
      <c r="CN55" s="335"/>
      <c r="CO55" s="127"/>
      <c r="CP55" s="127"/>
      <c r="CQ55" s="127"/>
      <c r="CR55" s="97"/>
      <c r="CS55" s="97"/>
      <c r="CT55" s="97"/>
      <c r="CU55" s="97"/>
      <c r="CV55" s="97"/>
      <c r="CW55" s="127"/>
      <c r="CX55" s="26">
        <f>CY55*$NT55</f>
        <v>0.19155384439046139</v>
      </c>
      <c r="CY55" s="115">
        <f>BR$16*$AN55/$C55</f>
        <v>0.21522903864096785</v>
      </c>
      <c r="CZ55" s="55"/>
      <c r="DA55" s="143">
        <f>CY55/$OD55</f>
        <v>1.0761451932048391</v>
      </c>
      <c r="DB55" s="335"/>
      <c r="DC55" s="127"/>
      <c r="DD55" s="127"/>
      <c r="DE55" s="127"/>
      <c r="DF55" s="97"/>
      <c r="DG55" s="97"/>
      <c r="DH55" s="97"/>
      <c r="DI55" s="97"/>
      <c r="DJ55" s="97"/>
      <c r="DK55" s="127"/>
      <c r="DL55" s="26">
        <f>DM55*$NT55</f>
        <v>0.71022861419248462</v>
      </c>
      <c r="DM55" s="115">
        <f>BS$16*$AN55/$C55</f>
        <v>0.79800967886796026</v>
      </c>
      <c r="DN55" s="55"/>
      <c r="DO55" s="143">
        <f>DM55/$OD55</f>
        <v>3.9900483943398011</v>
      </c>
      <c r="DQ55" s="127"/>
      <c r="DR55" s="127"/>
      <c r="DS55" s="127"/>
      <c r="DY55" s="127"/>
      <c r="DZ55" s="26">
        <f>EA55*$NT55</f>
        <v>0.91095974661758783</v>
      </c>
      <c r="EA55" s="115">
        <f>BT$16*$AN55/$C55</f>
        <v>1.0235502770984133</v>
      </c>
      <c r="EB55" s="55"/>
      <c r="EC55" s="143">
        <f>EA55/$OD55</f>
        <v>5.117751385492066</v>
      </c>
      <c r="EE55" s="127"/>
      <c r="EF55" s="127"/>
      <c r="EG55" s="127"/>
      <c r="EM55" s="127"/>
      <c r="EN55" s="26">
        <f>EO55*$NT55</f>
        <v>0.33092314722242</v>
      </c>
      <c r="EO55" s="115">
        <f>BU$16*$AN55/$C55</f>
        <v>0.37182376092406738</v>
      </c>
      <c r="EP55" s="55"/>
      <c r="EQ55" s="143">
        <f>EO55/$OD55</f>
        <v>1.8591188046203369</v>
      </c>
      <c r="ES55" s="127"/>
      <c r="ET55" s="127"/>
      <c r="EU55" s="127"/>
      <c r="FA55" s="127"/>
      <c r="FE55" s="26">
        <f>FF55*$NT55</f>
        <v>1.414354297221124</v>
      </c>
      <c r="FF55" s="115">
        <f>FB$16*$AN55/$C55</f>
        <v>1.5891621317091282</v>
      </c>
      <c r="FG55" s="55"/>
      <c r="FH55" s="115">
        <f>FF55/$OD55</f>
        <v>7.9458106585456409</v>
      </c>
      <c r="FI55" s="335"/>
      <c r="FJ55" s="335"/>
      <c r="FK55" s="127"/>
      <c r="FL55" s="26"/>
      <c r="FR55" s="127"/>
      <c r="FS55" s="26">
        <f>FT55*$NT55</f>
        <v>1.8140916973458729</v>
      </c>
      <c r="FT55" s="115">
        <f>FC$16*$AN55/$C55</f>
        <v>2.0383052779167112</v>
      </c>
      <c r="FU55" s="55"/>
      <c r="FV55" s="115">
        <f>FT55/$OD55</f>
        <v>10.191526389583556</v>
      </c>
      <c r="FW55" s="335"/>
      <c r="FX55" s="335"/>
      <c r="FY55" s="127"/>
      <c r="FZ55" s="26"/>
      <c r="GF55" s="127"/>
      <c r="GG55" s="26">
        <f>GH55*$NT55</f>
        <v>0.65900270134303618</v>
      </c>
      <c r="GH55" s="115">
        <f>FD$16*$AN55/$C55</f>
        <v>0.74045247341914178</v>
      </c>
      <c r="GI55" s="55"/>
      <c r="GJ55" s="115">
        <f>GH55/$OD55</f>
        <v>3.7022623670957087</v>
      </c>
      <c r="GK55" s="335"/>
      <c r="GL55" s="335"/>
      <c r="GM55" s="127"/>
      <c r="GN55" s="26"/>
      <c r="GT55" s="127"/>
      <c r="GU55" s="127"/>
      <c r="GV55" s="127"/>
      <c r="GW55" s="127"/>
      <c r="GX55" s="127"/>
      <c r="GY55" s="26">
        <f>GZ55*$NT55</f>
        <v>0.11428921773447455</v>
      </c>
      <c r="GZ55" s="330">
        <f>$AN55*GU$16/C55</f>
        <v>0.12841485138705006</v>
      </c>
      <c r="HA55" s="73"/>
      <c r="HB55" s="115">
        <f>GZ55/$OD55</f>
        <v>0.64207425693525022</v>
      </c>
      <c r="HC55" s="123"/>
      <c r="HD55" s="60"/>
      <c r="HE55" s="127"/>
      <c r="HF55" s="127"/>
      <c r="HG55" s="127"/>
      <c r="HH55" s="127"/>
      <c r="HI55" s="127"/>
      <c r="HJ55" s="127"/>
      <c r="HK55" s="127"/>
      <c r="HL55" s="127"/>
      <c r="HM55" s="115">
        <f>HN55*$NT55</f>
        <v>0.17227323303093442</v>
      </c>
      <c r="HN55" s="127">
        <f>$AN55*GV$16/C55</f>
        <v>0.19356543037183643</v>
      </c>
      <c r="HO55" s="73"/>
      <c r="HP55" s="115">
        <f>HN55/$OD55</f>
        <v>0.96782715185918211</v>
      </c>
      <c r="HQ55" s="123"/>
      <c r="HR55" s="60"/>
      <c r="HS55" s="127"/>
      <c r="HT55" s="127"/>
      <c r="HU55" s="127"/>
      <c r="HV55" s="127"/>
      <c r="HW55" s="127"/>
      <c r="HX55" s="127"/>
      <c r="HY55" s="127"/>
      <c r="HZ55" s="127"/>
      <c r="IA55" s="115">
        <f>IB55*$NT55</f>
        <v>4.7214903316046882E-3</v>
      </c>
      <c r="IB55" s="127">
        <f>$AN55*GW$16/C55</f>
        <v>5.3050453164097617E-3</v>
      </c>
      <c r="IC55" s="73"/>
      <c r="ID55" s="115">
        <f>IB55/$OD55</f>
        <v>2.6525226582048807E-2</v>
      </c>
      <c r="IE55" s="123"/>
      <c r="IF55" s="60"/>
      <c r="IG55" s="127"/>
      <c r="IH55" s="127"/>
      <c r="II55" s="127"/>
      <c r="IJ55" s="127"/>
      <c r="IK55" s="127"/>
      <c r="IL55" s="127"/>
      <c r="IM55" s="127"/>
      <c r="IN55" s="127"/>
      <c r="IO55" s="431"/>
      <c r="IP55" s="431"/>
      <c r="IQ55" s="431"/>
      <c r="IR55" s="431"/>
      <c r="IS55" s="431"/>
      <c r="IT55" s="431"/>
      <c r="IU55" s="431"/>
      <c r="IV55" s="335">
        <f>IW55*$NT55</f>
        <v>0.7024359137211944</v>
      </c>
      <c r="IW55" s="330">
        <f>AN55*JK53*C54/C55</f>
        <v>0.78925383564179141</v>
      </c>
      <c r="IX55" s="73"/>
      <c r="IY55" s="115">
        <f>IW55/$OD55</f>
        <v>3.946269178208957</v>
      </c>
      <c r="IZ55" s="73"/>
      <c r="JA55" s="115"/>
      <c r="JB55" s="115">
        <f>$IW55*JM53/$JK53</f>
        <v>0.45028503191917807</v>
      </c>
      <c r="JC55" s="115">
        <f>$IW55*JN53/$JK53</f>
        <v>0.33896880372261329</v>
      </c>
      <c r="JD55" s="115">
        <f>$IW55*JO53/$JK53</f>
        <v>0</v>
      </c>
      <c r="JE55" s="60"/>
      <c r="JF55" s="60"/>
      <c r="JG55" s="60"/>
      <c r="JH55" s="60"/>
      <c r="JI55" s="60"/>
      <c r="JJ55" s="60"/>
      <c r="JK55" s="60"/>
      <c r="JL55" s="60"/>
      <c r="JM55" s="123"/>
      <c r="JN55" s="123"/>
      <c r="JO55" s="123"/>
      <c r="JP55" s="123"/>
      <c r="JQ55" s="60"/>
      <c r="JR55" s="60"/>
      <c r="JS55" s="60"/>
      <c r="JT55" s="60"/>
      <c r="JU55" s="60"/>
      <c r="JV55" s="60"/>
      <c r="JW55" s="60"/>
      <c r="JX55" s="60"/>
      <c r="JY55" s="60"/>
      <c r="JZ55" s="60"/>
      <c r="KA55" s="60"/>
      <c r="KB55" s="60"/>
      <c r="KC55" s="60"/>
      <c r="KD55" s="123"/>
      <c r="KE55" s="123"/>
      <c r="KF55" s="123"/>
      <c r="KG55" s="123"/>
      <c r="KH55" s="123"/>
      <c r="KI55" s="123"/>
      <c r="KJ55" s="115">
        <f>BW55*44/12+$IW55+$GZ55</f>
        <v>3.196005778992193</v>
      </c>
      <c r="KK55" s="74"/>
      <c r="KL55" s="74"/>
      <c r="KM55" s="143">
        <f>KJ55/$OD55</f>
        <v>15.980028894960965</v>
      </c>
      <c r="KN55" s="73"/>
      <c r="KO55" s="74"/>
      <c r="KP55" s="74"/>
      <c r="KQ55" s="74"/>
      <c r="KR55" s="74"/>
      <c r="KS55" s="73"/>
      <c r="KT55" s="115">
        <f>CK55*44/12+$IW55+$HN55</f>
        <v>4.0476795905831811</v>
      </c>
      <c r="KU55" s="74"/>
      <c r="KV55" s="74"/>
      <c r="KW55" s="143">
        <f>KT55/$OD55</f>
        <v>20.238397952915903</v>
      </c>
      <c r="KX55" s="73"/>
      <c r="KY55" s="74"/>
      <c r="KZ55" s="74"/>
      <c r="LA55" s="74"/>
      <c r="LB55" s="74"/>
      <c r="LC55" s="73"/>
      <c r="LD55" s="115">
        <f>CY55*44/12+$IW55+$IB55</f>
        <v>1.5837320226417499</v>
      </c>
      <c r="LE55" s="74"/>
      <c r="LF55" s="74"/>
      <c r="LG55" s="143">
        <f>LD55/$OD55</f>
        <v>7.9186601132087491</v>
      </c>
      <c r="LH55" s="73"/>
      <c r="LI55" s="74"/>
      <c r="LJ55" s="74"/>
      <c r="LK55" s="74"/>
      <c r="LL55" s="74"/>
      <c r="LM55" s="73"/>
      <c r="LN55" s="115">
        <f>DM55*44/12+$IW55+$GZ55</f>
        <v>3.8437041762113622</v>
      </c>
      <c r="LO55" s="74"/>
      <c r="LP55" s="74"/>
      <c r="LQ55" s="143">
        <f>LN55/$OD55</f>
        <v>19.218520881056811</v>
      </c>
      <c r="LR55" s="73"/>
      <c r="LS55" s="74"/>
      <c r="LT55" s="74"/>
      <c r="LU55" s="74"/>
      <c r="LV55" s="74"/>
      <c r="LW55" s="73"/>
      <c r="LX55" s="115">
        <f>EA55*44/12+$IW55+$HN55</f>
        <v>4.73583694870781</v>
      </c>
      <c r="LY55" s="74"/>
      <c r="LZ55" s="74"/>
      <c r="MA55" s="143">
        <f>LX55/$OD55</f>
        <v>23.67918474353905</v>
      </c>
      <c r="MB55" s="127"/>
      <c r="MC55" s="74"/>
      <c r="MD55" s="74"/>
      <c r="ME55" s="74"/>
      <c r="MF55" s="74"/>
      <c r="MG55" s="127"/>
      <c r="MH55" s="115">
        <f>EO55*44/12+$IW55+$IB55</f>
        <v>2.1579126710131149</v>
      </c>
      <c r="MI55" s="74"/>
      <c r="MJ55" s="74"/>
      <c r="MK55" s="143">
        <f>MH55/$OD55</f>
        <v>10.789563355065575</v>
      </c>
      <c r="ML55" s="127"/>
      <c r="MM55" s="127"/>
      <c r="MN55" s="127"/>
      <c r="MO55" s="127"/>
      <c r="MP55" s="127"/>
      <c r="MQ55" s="127"/>
      <c r="MR55" s="60"/>
      <c r="MS55" s="60"/>
      <c r="MT55" s="60"/>
      <c r="MU55" s="60"/>
      <c r="MV55" s="60"/>
      <c r="MW55" s="127"/>
      <c r="MX55" s="127"/>
      <c r="MY55" s="127"/>
      <c r="MZ55" s="127"/>
      <c r="NA55" s="127"/>
      <c r="NB55" s="127"/>
      <c r="NC55" s="127"/>
      <c r="ND55" s="127"/>
      <c r="NE55" s="127"/>
      <c r="NF55" s="127"/>
      <c r="NG55" s="127"/>
      <c r="NH55" s="127"/>
      <c r="NI55" s="127"/>
      <c r="NJ55" s="127"/>
      <c r="NK55" s="127"/>
      <c r="NL55" s="127"/>
      <c r="NM55" s="127"/>
      <c r="NN55" s="127"/>
      <c r="NO55" s="127"/>
      <c r="NP55" s="127"/>
      <c r="NQ55" s="127"/>
      <c r="NR55" s="60"/>
      <c r="NS55" s="60"/>
      <c r="NT55" s="31">
        <v>0.89</v>
      </c>
      <c r="NU55" s="31"/>
      <c r="NV55" s="32">
        <f>$NT55*NW55</f>
        <v>16.465</v>
      </c>
      <c r="NW55" s="9">
        <v>18.5</v>
      </c>
      <c r="NX55" s="9"/>
      <c r="NY55" s="9"/>
      <c r="NZ55" s="9"/>
      <c r="OA55" s="32"/>
      <c r="OB55" s="43"/>
      <c r="OC55" s="38">
        <f>$NT55*OD55</f>
        <v>0.17800000000000002</v>
      </c>
      <c r="OD55" s="35">
        <v>0.2</v>
      </c>
      <c r="OE55" s="38">
        <f>$NT55*OF55</f>
        <v>3.56E-2</v>
      </c>
      <c r="OF55" s="35">
        <v>0.04</v>
      </c>
      <c r="RU55" s="97"/>
      <c r="RV55" s="97"/>
      <c r="RW55" s="97"/>
      <c r="RX55" s="97"/>
      <c r="RY55" s="97"/>
      <c r="RZ55" s="97"/>
    </row>
    <row r="56" spans="1:494" x14ac:dyDescent="0.25">
      <c r="AE56" s="115"/>
      <c r="AF56" s="115"/>
      <c r="AG56" s="115"/>
      <c r="AH56" s="115"/>
      <c r="AI56" s="115"/>
      <c r="AJ56" s="115"/>
      <c r="AL56" s="74"/>
      <c r="AO56" s="115"/>
      <c r="AP56" s="115"/>
      <c r="AQ56" s="115"/>
      <c r="AR56" s="115"/>
      <c r="AS56" s="115"/>
      <c r="AT56" s="115"/>
      <c r="AU56" s="115"/>
      <c r="AV56" s="115"/>
      <c r="AW56" s="115"/>
      <c r="AX56" s="115"/>
      <c r="AY56" s="115"/>
      <c r="AZ56" s="115"/>
      <c r="BA56" s="115"/>
      <c r="BB56" s="115"/>
      <c r="BC56" s="115"/>
      <c r="BD56" s="115"/>
      <c r="BE56" s="115"/>
      <c r="BF56" s="115"/>
      <c r="BG56" s="115"/>
      <c r="BH56" s="115"/>
      <c r="BI56" s="115"/>
      <c r="BJ56" s="115"/>
      <c r="BK56" s="115"/>
      <c r="BL56" s="115"/>
      <c r="BM56" s="115"/>
      <c r="BN56" s="115"/>
      <c r="BO56" s="115"/>
      <c r="BP56" s="115"/>
      <c r="BQ56" s="115"/>
      <c r="BR56" s="115"/>
      <c r="BS56" s="115"/>
      <c r="BT56" s="115"/>
      <c r="BU56" s="115"/>
      <c r="BW56" s="115"/>
      <c r="CA56" s="74"/>
      <c r="CB56" s="74"/>
      <c r="CC56" s="74"/>
      <c r="CD56" s="115"/>
      <c r="CE56" s="115"/>
      <c r="CF56" s="115"/>
      <c r="CG56" s="115"/>
      <c r="CH56" s="115"/>
      <c r="CI56" s="74"/>
      <c r="CK56" s="115"/>
      <c r="CX56" s="37"/>
      <c r="CY56" s="115"/>
      <c r="CZ56" s="37"/>
      <c r="DA56" s="37"/>
      <c r="DB56" s="37"/>
      <c r="DF56" s="115"/>
      <c r="DG56" s="115"/>
      <c r="DH56" s="115"/>
      <c r="DI56" s="115"/>
      <c r="DJ56" s="115"/>
      <c r="DL56" s="37"/>
      <c r="DN56" s="37"/>
      <c r="DO56" s="37"/>
      <c r="DP56" s="37"/>
      <c r="DT56" s="37"/>
      <c r="DU56" s="37"/>
      <c r="DV56" s="37"/>
      <c r="DW56" s="37"/>
      <c r="DX56" s="37"/>
      <c r="EA56" s="74"/>
      <c r="EN56" s="37"/>
      <c r="EP56" s="37"/>
      <c r="EQ56" s="37"/>
      <c r="ER56" s="37"/>
      <c r="EV56" s="37"/>
      <c r="EW56" s="37"/>
      <c r="EX56" s="37"/>
      <c r="EY56" s="37"/>
      <c r="EZ56" s="37"/>
      <c r="FF56" s="115"/>
      <c r="FH56" s="74"/>
      <c r="FK56" s="74"/>
      <c r="FR56" s="74"/>
      <c r="FT56" s="115"/>
      <c r="FZ56" s="37"/>
      <c r="GH56" s="115"/>
      <c r="GJ56" s="74"/>
      <c r="GM56" s="74"/>
      <c r="GT56" s="74"/>
      <c r="GU56" s="74"/>
      <c r="GV56" s="74"/>
      <c r="GW56" s="74"/>
      <c r="GX56" s="74"/>
      <c r="HB56" s="74"/>
      <c r="HD56" s="74"/>
      <c r="HE56" s="74"/>
      <c r="HF56" s="74"/>
      <c r="HG56" s="74"/>
      <c r="HH56" s="74"/>
      <c r="HI56" s="74"/>
      <c r="HJ56" s="74"/>
      <c r="HK56" s="74"/>
      <c r="HL56" s="74"/>
      <c r="IA56" s="133"/>
      <c r="IB56" s="133"/>
      <c r="IC56" s="133"/>
      <c r="IE56" s="133"/>
      <c r="IO56" s="431"/>
      <c r="IP56" s="431"/>
      <c r="IQ56" s="431"/>
      <c r="IR56" s="431"/>
      <c r="IS56" s="431"/>
      <c r="IT56" s="431"/>
      <c r="IU56" s="431"/>
      <c r="OB56" s="26"/>
    </row>
    <row r="57" spans="1:494" x14ac:dyDescent="0.25">
      <c r="AE57" s="115"/>
      <c r="AF57" s="115"/>
      <c r="AG57" s="115"/>
      <c r="AH57" s="115"/>
      <c r="AI57" s="115"/>
      <c r="AJ57" s="115"/>
      <c r="AL57" s="74"/>
      <c r="AO57" s="115"/>
      <c r="AP57" s="115"/>
      <c r="AQ57" s="115"/>
      <c r="AR57" s="115"/>
      <c r="AS57" s="115"/>
      <c r="AT57" s="115"/>
      <c r="AU57" s="115"/>
      <c r="AV57" s="115"/>
      <c r="AW57" s="115"/>
      <c r="AX57" s="115"/>
      <c r="AY57" s="115"/>
      <c r="AZ57" s="115"/>
      <c r="BA57" s="115"/>
      <c r="BB57" s="115"/>
      <c r="BC57" s="115"/>
      <c r="BD57" s="115"/>
      <c r="BE57" s="115"/>
      <c r="BF57" s="115"/>
      <c r="BG57" s="115"/>
      <c r="BH57" s="115"/>
      <c r="BI57" s="115"/>
      <c r="BJ57" s="115"/>
      <c r="BK57" s="115"/>
      <c r="BL57" s="115"/>
      <c r="BM57" s="115"/>
      <c r="BN57" s="115"/>
      <c r="BO57" s="115"/>
      <c r="BP57" s="115"/>
      <c r="BQ57" s="115"/>
      <c r="BR57" s="115"/>
      <c r="BS57" s="115"/>
      <c r="BT57" s="115"/>
      <c r="BU57" s="115"/>
      <c r="BW57" s="115"/>
      <c r="CA57" s="74"/>
      <c r="CB57" s="74"/>
      <c r="CC57" s="74"/>
      <c r="CD57" s="115"/>
      <c r="CE57" s="115"/>
      <c r="CF57" s="115"/>
      <c r="CG57" s="115"/>
      <c r="CH57" s="115"/>
      <c r="CI57" s="74"/>
      <c r="CK57" s="115"/>
      <c r="CX57" s="37"/>
      <c r="CY57" s="115"/>
      <c r="CZ57" s="37"/>
      <c r="DA57" s="37"/>
      <c r="DB57" s="37"/>
      <c r="DF57" s="115"/>
      <c r="DG57" s="115"/>
      <c r="DH57" s="115"/>
      <c r="DI57" s="115"/>
      <c r="DJ57" s="115"/>
      <c r="DL57" s="37"/>
      <c r="DN57" s="37"/>
      <c r="DO57" s="37"/>
      <c r="DP57" s="37"/>
      <c r="DT57" s="37"/>
      <c r="DU57" s="37"/>
      <c r="DV57" s="37"/>
      <c r="DW57" s="37"/>
      <c r="DX57" s="37"/>
      <c r="EA57" s="74"/>
      <c r="EN57" s="37"/>
      <c r="EP57" s="37"/>
      <c r="EQ57" s="37"/>
      <c r="ER57" s="37"/>
      <c r="EV57" s="37"/>
      <c r="EW57" s="37"/>
      <c r="EX57" s="37"/>
      <c r="EY57" s="37"/>
      <c r="EZ57" s="37"/>
      <c r="FF57" s="115"/>
      <c r="FH57" s="74"/>
      <c r="FK57" s="74"/>
      <c r="FR57" s="74"/>
      <c r="FT57" s="115"/>
      <c r="FZ57" s="37"/>
      <c r="GH57" s="115"/>
      <c r="GJ57" s="74"/>
      <c r="GM57" s="74"/>
      <c r="GT57" s="74"/>
      <c r="GU57" s="74"/>
      <c r="GV57" s="74"/>
      <c r="GW57" s="74"/>
      <c r="GX57" s="74"/>
      <c r="HB57" s="74"/>
      <c r="HD57" s="74"/>
      <c r="HE57" s="74"/>
      <c r="HF57" s="74"/>
      <c r="HG57" s="74"/>
      <c r="HH57" s="74"/>
      <c r="HI57" s="74"/>
      <c r="HJ57" s="74"/>
      <c r="HK57" s="74"/>
      <c r="HL57" s="74"/>
      <c r="IA57" s="133"/>
      <c r="IB57" s="133"/>
      <c r="IC57" s="133"/>
      <c r="IE57" s="133"/>
      <c r="IO57" s="431"/>
      <c r="IP57" s="431"/>
      <c r="IQ57" s="431"/>
      <c r="IR57" s="431"/>
      <c r="IS57" s="431"/>
      <c r="IT57" s="431"/>
      <c r="IU57" s="431"/>
      <c r="OB57" s="26"/>
    </row>
    <row r="58" spans="1:494" x14ac:dyDescent="0.25">
      <c r="A58" s="9" t="s">
        <v>172</v>
      </c>
      <c r="X58" s="73"/>
      <c r="AE58" s="115"/>
      <c r="AF58" s="115"/>
      <c r="AG58" s="115"/>
      <c r="AH58" s="115"/>
      <c r="AI58" s="115"/>
      <c r="AJ58" s="115"/>
      <c r="AL58" s="74"/>
      <c r="AO58" s="115"/>
      <c r="AP58" s="115"/>
      <c r="AQ58" s="115"/>
      <c r="AR58" s="115"/>
      <c r="AS58" s="115"/>
      <c r="AT58" s="115"/>
      <c r="AU58" s="115"/>
      <c r="AV58" s="115"/>
      <c r="AW58" s="115"/>
      <c r="AX58" s="115"/>
      <c r="AY58" s="115"/>
      <c r="AZ58" s="115"/>
      <c r="BA58" s="115"/>
      <c r="BB58" s="115"/>
      <c r="BC58" s="115"/>
      <c r="BD58" s="115"/>
      <c r="BE58" s="115"/>
      <c r="BF58" s="115"/>
      <c r="BG58" s="115"/>
      <c r="BH58" s="115"/>
      <c r="BI58" s="115"/>
      <c r="BJ58" s="115"/>
      <c r="BK58" s="115"/>
      <c r="BL58" s="115"/>
      <c r="BM58" s="115"/>
      <c r="BN58" s="115"/>
      <c r="BO58" s="115"/>
      <c r="BP58" s="115"/>
      <c r="BQ58" s="115"/>
      <c r="BR58" s="115"/>
      <c r="BS58" s="115"/>
      <c r="BT58" s="115"/>
      <c r="BU58" s="115"/>
      <c r="BW58" s="115"/>
      <c r="CA58" s="74"/>
      <c r="CB58" s="74"/>
      <c r="CC58" s="74"/>
      <c r="CD58" s="115"/>
      <c r="CE58" s="115"/>
      <c r="CF58" s="115"/>
      <c r="CG58" s="115"/>
      <c r="CH58" s="115"/>
      <c r="CI58" s="74"/>
      <c r="CK58" s="115"/>
      <c r="CX58" s="37"/>
      <c r="CY58" s="115"/>
      <c r="CZ58" s="37"/>
      <c r="DA58" s="37"/>
      <c r="DB58" s="37"/>
      <c r="DF58" s="115"/>
      <c r="DG58" s="115"/>
      <c r="DH58" s="115"/>
      <c r="DI58" s="115"/>
      <c r="DJ58" s="115"/>
      <c r="DL58" s="37"/>
      <c r="DN58" s="37"/>
      <c r="DO58" s="37"/>
      <c r="DP58" s="37"/>
      <c r="DT58" s="37"/>
      <c r="DU58" s="37"/>
      <c r="DV58" s="37"/>
      <c r="DW58" s="37"/>
      <c r="DX58" s="37"/>
      <c r="EA58" s="74"/>
      <c r="EN58" s="37"/>
      <c r="EP58" s="37"/>
      <c r="EQ58" s="37"/>
      <c r="ER58" s="37"/>
      <c r="EV58" s="37"/>
      <c r="EW58" s="37"/>
      <c r="EX58" s="37"/>
      <c r="EY58" s="37"/>
      <c r="EZ58" s="37"/>
      <c r="FF58" s="115"/>
      <c r="FH58" s="74"/>
      <c r="FK58" s="74"/>
      <c r="FR58" s="74"/>
      <c r="FT58" s="115"/>
      <c r="FZ58" s="37"/>
      <c r="GH58" s="115"/>
      <c r="GJ58" s="74"/>
      <c r="GM58" s="74"/>
      <c r="GT58" s="74"/>
      <c r="GU58" s="74"/>
      <c r="GV58" s="74"/>
      <c r="GW58" s="74"/>
      <c r="GX58" s="74"/>
      <c r="HB58" s="74"/>
      <c r="HD58" s="74"/>
      <c r="HE58" s="74"/>
      <c r="HF58" s="74"/>
      <c r="HG58" s="74"/>
      <c r="HH58" s="74"/>
      <c r="HI58" s="74"/>
      <c r="HJ58" s="74"/>
      <c r="HK58" s="74"/>
      <c r="HL58" s="74"/>
      <c r="IA58" s="133"/>
      <c r="IB58" s="133"/>
      <c r="IC58" s="133"/>
      <c r="IE58" s="133"/>
      <c r="IO58" s="97"/>
      <c r="IP58" s="97"/>
      <c r="IQ58" s="97"/>
      <c r="IR58" s="97"/>
      <c r="IS58" s="97"/>
      <c r="IT58" s="97"/>
      <c r="IU58" s="97"/>
      <c r="OB58" s="26"/>
    </row>
    <row r="59" spans="1:494" s="54" customFormat="1" ht="10.199999999999999" x14ac:dyDescent="0.2">
      <c r="A59" s="54" t="s">
        <v>254</v>
      </c>
      <c r="B59" s="77">
        <f>W59/(R21+R22)</f>
        <v>0.10160526315789474</v>
      </c>
      <c r="D59" s="131"/>
      <c r="E59" s="133"/>
      <c r="F59" s="133"/>
      <c r="G59" s="133"/>
      <c r="H59" s="133"/>
      <c r="I59" s="133"/>
      <c r="J59" s="133"/>
      <c r="K59" s="133"/>
      <c r="L59" s="133"/>
      <c r="M59" s="133"/>
      <c r="W59" s="688">
        <f>W63+W68</f>
        <v>130</v>
      </c>
      <c r="X59" s="474"/>
      <c r="Y59" s="179">
        <f>Y63+Y68</f>
        <v>2.2750000000000004</v>
      </c>
      <c r="Z59" s="179">
        <f>Z63+Z68</f>
        <v>2.1059999999999999</v>
      </c>
      <c r="AE59" s="179"/>
      <c r="AF59" s="179"/>
      <c r="AG59" s="179"/>
      <c r="AH59" s="179"/>
      <c r="AI59" s="179"/>
      <c r="AJ59" s="179"/>
      <c r="AL59" s="133"/>
      <c r="AO59" s="179"/>
      <c r="AP59" s="179"/>
      <c r="AQ59" s="179"/>
      <c r="AR59" s="179"/>
      <c r="AS59" s="179"/>
      <c r="AT59" s="179"/>
      <c r="AU59" s="179"/>
      <c r="AV59" s="179"/>
      <c r="AW59" s="179"/>
      <c r="AX59" s="179"/>
      <c r="AY59" s="179"/>
      <c r="AZ59" s="179"/>
      <c r="BA59" s="179"/>
      <c r="BB59" s="179"/>
      <c r="BC59" s="179"/>
      <c r="BD59" s="179"/>
      <c r="BE59" s="179"/>
      <c r="BF59" s="179"/>
      <c r="BG59" s="179"/>
      <c r="BH59" s="179"/>
      <c r="BI59" s="179"/>
      <c r="BJ59" s="179"/>
      <c r="BK59" s="179"/>
      <c r="BL59" s="179"/>
      <c r="BM59" s="179"/>
      <c r="BN59" s="179"/>
      <c r="BO59" s="179"/>
      <c r="BP59" s="179"/>
      <c r="BQ59" s="179"/>
      <c r="BR59" s="179"/>
      <c r="BS59" s="179"/>
      <c r="BT59" s="179"/>
      <c r="BU59" s="179"/>
      <c r="BW59" s="469">
        <f>(BW63*$W63+BW68*$W68)/$W59</f>
        <v>0.42965577912885922</v>
      </c>
      <c r="BX59" s="54">
        <f>10^3*BW59/(($W63*$OB63+$W68*$OB68)/$W59)</f>
        <v>26.52196167462094</v>
      </c>
      <c r="CA59" s="133"/>
      <c r="CB59" s="133"/>
      <c r="CC59" s="133"/>
      <c r="CD59" s="179"/>
      <c r="CE59" s="179"/>
      <c r="CF59" s="179"/>
      <c r="CG59" s="179"/>
      <c r="CH59" s="179"/>
      <c r="CI59" s="133"/>
      <c r="CK59" s="179"/>
      <c r="CO59" s="133"/>
      <c r="CP59" s="133"/>
      <c r="CQ59" s="133"/>
      <c r="CR59" s="179"/>
      <c r="CS59" s="179"/>
      <c r="CT59" s="179"/>
      <c r="CU59" s="179"/>
      <c r="CV59" s="179"/>
      <c r="CW59" s="133"/>
      <c r="CY59" s="179"/>
      <c r="DC59" s="133"/>
      <c r="DD59" s="133"/>
      <c r="DE59" s="133"/>
      <c r="DF59" s="179"/>
      <c r="DG59" s="179"/>
      <c r="DH59" s="179"/>
      <c r="DI59" s="179"/>
      <c r="DJ59" s="179"/>
      <c r="DK59" s="133"/>
      <c r="DM59" s="469">
        <f>(DM63*$W63+DM68*$W68)/$W59</f>
        <v>0.44338083529627653</v>
      </c>
      <c r="DN59" s="54">
        <f>10^3*DM59/(($W63*$OB63+$W68*$OB68)/$W59)</f>
        <v>27.36918736396769</v>
      </c>
      <c r="DQ59" s="133"/>
      <c r="DR59" s="133"/>
      <c r="DS59" s="133"/>
      <c r="DY59" s="133"/>
      <c r="EA59" s="133"/>
      <c r="EE59" s="133"/>
      <c r="EF59" s="133"/>
      <c r="EG59" s="133"/>
      <c r="EM59" s="133"/>
      <c r="EO59" s="133"/>
      <c r="ES59" s="133"/>
      <c r="ET59" s="133"/>
      <c r="EU59" s="133"/>
      <c r="FA59" s="133"/>
      <c r="FF59" s="179"/>
      <c r="FH59" s="133"/>
      <c r="FK59" s="133"/>
      <c r="FR59" s="133"/>
      <c r="FT59" s="179"/>
      <c r="FV59" s="133"/>
      <c r="FY59" s="133"/>
      <c r="GF59" s="133"/>
      <c r="GH59" s="179"/>
      <c r="GJ59" s="133"/>
      <c r="GM59" s="133"/>
      <c r="GT59" s="133"/>
      <c r="GU59" s="133"/>
      <c r="GV59" s="133"/>
      <c r="GW59" s="133"/>
      <c r="GX59" s="133"/>
      <c r="GY59" s="133"/>
      <c r="GZ59" s="469">
        <f>(GZ63*$W63+GZ68*$W68)/$W59</f>
        <v>0.13833304459932716</v>
      </c>
      <c r="HA59" s="693">
        <f>10^3*GZ59/(($W63*$OB63+$W68*$OB68)/$W59)</f>
        <v>8.5390768271189614</v>
      </c>
      <c r="HB59" s="133"/>
      <c r="HC59" s="133"/>
      <c r="HD59" s="133"/>
      <c r="HE59" s="133"/>
      <c r="HF59" s="133"/>
      <c r="HG59" s="133"/>
      <c r="HH59" s="133"/>
      <c r="HI59" s="133"/>
      <c r="HJ59" s="133"/>
      <c r="HK59" s="133"/>
      <c r="HL59" s="133"/>
      <c r="HM59" s="133"/>
      <c r="HN59" s="133"/>
      <c r="HO59" s="133"/>
      <c r="HP59" s="133"/>
      <c r="HQ59" s="133"/>
      <c r="HR59" s="133"/>
      <c r="HS59" s="133"/>
      <c r="HT59" s="133"/>
      <c r="HU59" s="133"/>
      <c r="HV59" s="133"/>
      <c r="HW59" s="133"/>
      <c r="HX59" s="133"/>
      <c r="HY59" s="133"/>
      <c r="HZ59" s="133"/>
      <c r="IA59" s="133"/>
      <c r="IB59" s="133"/>
      <c r="IC59" s="133"/>
      <c r="ID59" s="133"/>
      <c r="IE59" s="133"/>
      <c r="IF59" s="133"/>
      <c r="IG59" s="133"/>
      <c r="IH59" s="133"/>
      <c r="II59" s="133"/>
      <c r="IJ59" s="133"/>
      <c r="IK59" s="133"/>
      <c r="IL59" s="133"/>
      <c r="IM59" s="133"/>
      <c r="IN59" s="133"/>
      <c r="IO59" s="595"/>
      <c r="IP59" s="595"/>
      <c r="IQ59" s="595"/>
      <c r="IR59" s="595"/>
      <c r="IS59" s="595"/>
      <c r="IT59" s="595"/>
      <c r="IU59" s="595"/>
      <c r="IW59" s="469">
        <f>(IW63*$W63+IW68*$W68)/$W59</f>
        <v>0.27351185570143327</v>
      </c>
      <c r="IX59" s="693">
        <f>10^3*IW59/(($W63*$OB63+$W68*$OB68)/$W59)</f>
        <v>16.883447882804521</v>
      </c>
      <c r="IY59" s="133"/>
      <c r="IZ59" s="133"/>
      <c r="JA59" s="133"/>
      <c r="JB59" s="133"/>
      <c r="JC59" s="133"/>
      <c r="JD59" s="133"/>
      <c r="JE59" s="133"/>
      <c r="JF59" s="133"/>
      <c r="JG59" s="133"/>
      <c r="JH59" s="133"/>
      <c r="JI59" s="133"/>
      <c r="JJ59" s="133"/>
      <c r="JK59" s="133"/>
      <c r="JL59" s="133"/>
      <c r="JM59" s="133"/>
      <c r="JN59" s="133"/>
      <c r="JO59" s="133"/>
      <c r="JP59" s="133"/>
      <c r="JQ59" s="133"/>
      <c r="JR59" s="133"/>
      <c r="JS59" s="133"/>
      <c r="JT59" s="133"/>
      <c r="JU59" s="133"/>
      <c r="JV59" s="133"/>
      <c r="JW59" s="133"/>
      <c r="JX59" s="133"/>
      <c r="JY59" s="133"/>
      <c r="JZ59" s="133"/>
      <c r="KA59" s="133"/>
      <c r="KB59" s="133"/>
      <c r="KC59" s="133"/>
      <c r="KD59" s="133"/>
      <c r="KE59" s="133"/>
      <c r="KF59" s="133"/>
      <c r="KG59" s="133"/>
      <c r="KH59" s="133"/>
      <c r="KI59" s="133"/>
      <c r="KJ59" s="133"/>
      <c r="KK59" s="133"/>
      <c r="KL59" s="133"/>
      <c r="KM59" s="133"/>
      <c r="KN59" s="133"/>
      <c r="KO59" s="133"/>
      <c r="KP59" s="133"/>
      <c r="KQ59" s="133"/>
      <c r="KR59" s="133"/>
      <c r="KS59" s="133"/>
      <c r="KT59" s="133"/>
      <c r="KU59" s="133"/>
      <c r="KV59" s="133"/>
      <c r="KW59" s="133"/>
      <c r="KX59" s="133"/>
      <c r="KY59" s="133"/>
      <c r="KZ59" s="133"/>
      <c r="LA59" s="133"/>
      <c r="LB59" s="133"/>
      <c r="LC59" s="133"/>
      <c r="LD59" s="133"/>
      <c r="LE59" s="133"/>
      <c r="LF59" s="133"/>
      <c r="LG59" s="133"/>
      <c r="LH59" s="133"/>
      <c r="LI59" s="133"/>
      <c r="LJ59" s="133"/>
      <c r="LK59" s="133"/>
      <c r="LL59" s="133"/>
      <c r="LM59" s="133"/>
      <c r="LN59" s="133"/>
      <c r="LO59" s="133"/>
      <c r="LP59" s="133"/>
      <c r="LQ59" s="133"/>
      <c r="LR59" s="133"/>
      <c r="LS59" s="133"/>
      <c r="LT59" s="133"/>
      <c r="LU59" s="133"/>
      <c r="LV59" s="133"/>
      <c r="LW59" s="133"/>
      <c r="LX59" s="133"/>
      <c r="LY59" s="133"/>
      <c r="LZ59" s="133"/>
      <c r="MA59" s="133"/>
      <c r="MB59" s="133"/>
      <c r="MC59" s="133"/>
      <c r="MD59" s="133"/>
      <c r="ME59" s="133"/>
      <c r="MF59" s="133"/>
      <c r="MG59" s="133"/>
      <c r="MH59" s="133"/>
      <c r="MI59" s="133"/>
      <c r="MJ59" s="133"/>
      <c r="MK59" s="133"/>
      <c r="ML59" s="133"/>
      <c r="MM59" s="133"/>
      <c r="MN59" s="133"/>
      <c r="MO59" s="133"/>
      <c r="MP59" s="133"/>
      <c r="MQ59" s="133"/>
      <c r="MR59" s="133"/>
      <c r="MS59" s="133"/>
      <c r="MT59" s="133"/>
      <c r="MU59" s="133"/>
      <c r="MV59" s="133"/>
      <c r="MW59" s="133"/>
      <c r="MX59" s="133"/>
      <c r="MY59" s="133"/>
      <c r="MZ59" s="133"/>
      <c r="NA59" s="133"/>
      <c r="NB59" s="133"/>
      <c r="NC59" s="133"/>
      <c r="ND59" s="133"/>
      <c r="NE59" s="133"/>
      <c r="NF59" s="133"/>
      <c r="NG59" s="133"/>
      <c r="NH59" s="133"/>
      <c r="NI59" s="133"/>
      <c r="NJ59" s="133"/>
      <c r="NK59" s="133"/>
      <c r="NL59" s="133"/>
      <c r="NM59" s="133"/>
      <c r="NN59" s="133"/>
      <c r="NO59" s="133"/>
      <c r="NP59" s="133"/>
      <c r="NQ59" s="133"/>
      <c r="NR59" s="133"/>
      <c r="NS59" s="133"/>
      <c r="OB59" s="693"/>
      <c r="RU59" s="179"/>
      <c r="RV59" s="179"/>
      <c r="RW59" s="179"/>
      <c r="RX59" s="179"/>
      <c r="RY59" s="179"/>
      <c r="RZ59" s="179"/>
    </row>
    <row r="60" spans="1:494" s="54" customFormat="1" x14ac:dyDescent="0.25">
      <c r="A60" s="54" t="s">
        <v>181</v>
      </c>
      <c r="D60" s="131"/>
      <c r="E60" s="133"/>
      <c r="F60" s="133"/>
      <c r="G60" s="133"/>
      <c r="H60" s="133"/>
      <c r="I60" s="133"/>
      <c r="J60" s="133"/>
      <c r="K60" s="133"/>
      <c r="L60" s="133"/>
      <c r="M60" s="133"/>
      <c r="V60" s="688">
        <f>V64+V69+V70</f>
        <v>48.150072150072148</v>
      </c>
      <c r="W60" s="474">
        <f>W64+W69+W70</f>
        <v>36.290909090909096</v>
      </c>
      <c r="X60" s="474"/>
      <c r="Y60" s="179">
        <f>Y64+Y69+Y70</f>
        <v>0.59810909090909092</v>
      </c>
      <c r="AA60" s="179">
        <f>AA64+AA69+AA70</f>
        <v>3.1360000000000001</v>
      </c>
      <c r="AB60" s="179"/>
      <c r="AE60" s="179"/>
      <c r="AF60" s="179"/>
      <c r="AG60" s="179"/>
      <c r="AH60" s="179"/>
      <c r="AI60" s="179"/>
      <c r="AJ60" s="179"/>
      <c r="AL60" s="133"/>
      <c r="AO60" s="179"/>
      <c r="AP60" s="179"/>
      <c r="AQ60" s="179"/>
      <c r="AR60" s="179"/>
      <c r="AS60" s="179"/>
      <c r="AT60" s="179"/>
      <c r="AU60" s="179"/>
      <c r="AV60" s="179"/>
      <c r="AW60" s="179"/>
      <c r="AX60" s="179"/>
      <c r="AY60" s="179"/>
      <c r="AZ60" s="179"/>
      <c r="BA60" s="179"/>
      <c r="BB60" s="179"/>
      <c r="BC60" s="179"/>
      <c r="BD60" s="179"/>
      <c r="BE60" s="179"/>
      <c r="BF60" s="179"/>
      <c r="BG60" s="179"/>
      <c r="BH60" s="179"/>
      <c r="BI60" s="179"/>
      <c r="BJ60" s="179"/>
      <c r="BK60" s="179"/>
      <c r="BL60" s="179"/>
      <c r="BM60" s="179"/>
      <c r="BN60" s="179"/>
      <c r="BO60" s="179"/>
      <c r="BP60" s="179"/>
      <c r="BQ60" s="179"/>
      <c r="BR60" s="179"/>
      <c r="BS60" s="179"/>
      <c r="BT60" s="179"/>
      <c r="BU60" s="179"/>
      <c r="BW60" s="179"/>
      <c r="CA60" s="133"/>
      <c r="CB60" s="133"/>
      <c r="CC60" s="133"/>
      <c r="CD60" s="179"/>
      <c r="CE60" s="179"/>
      <c r="CF60" s="179"/>
      <c r="CG60" s="179"/>
      <c r="CH60" s="179"/>
      <c r="CI60" s="133"/>
      <c r="CK60" s="179"/>
      <c r="CO60" s="133"/>
      <c r="CP60" s="133"/>
      <c r="CQ60" s="133"/>
      <c r="CR60" s="179"/>
      <c r="CS60" s="179"/>
      <c r="CT60" s="179"/>
      <c r="CU60" s="179"/>
      <c r="CV60" s="179"/>
      <c r="CW60" s="133"/>
      <c r="CY60" s="179"/>
      <c r="DC60" s="133"/>
      <c r="DD60" s="133"/>
      <c r="DE60" s="133"/>
      <c r="DF60" s="179"/>
      <c r="DG60" s="179"/>
      <c r="DH60" s="179"/>
      <c r="DI60" s="179"/>
      <c r="DJ60" s="179"/>
      <c r="DK60" s="133"/>
      <c r="DM60" s="133"/>
      <c r="DQ60" s="133"/>
      <c r="DR60" s="133"/>
      <c r="DS60" s="133"/>
      <c r="DY60" s="133"/>
      <c r="EA60" s="133"/>
      <c r="EE60" s="133"/>
      <c r="EF60" s="133"/>
      <c r="EG60" s="133"/>
      <c r="EM60" s="133"/>
      <c r="EO60" s="133"/>
      <c r="ES60" s="133"/>
      <c r="ET60" s="133"/>
      <c r="EU60" s="133"/>
      <c r="FA60" s="133"/>
      <c r="FF60" s="179"/>
      <c r="FH60" s="133"/>
      <c r="FK60" s="133"/>
      <c r="FR60" s="133"/>
      <c r="FT60" s="179"/>
      <c r="FV60" s="133"/>
      <c r="FY60" s="133"/>
      <c r="GF60" s="133"/>
      <c r="GH60" s="179"/>
      <c r="GJ60" s="133"/>
      <c r="GM60" s="133"/>
      <c r="GT60" s="133"/>
      <c r="GU60" s="133"/>
      <c r="GV60" s="133"/>
      <c r="GW60" s="133"/>
      <c r="GX60" s="133"/>
      <c r="GY60" s="133"/>
      <c r="GZ60" s="133"/>
      <c r="HA60" s="133"/>
      <c r="HB60" s="133"/>
      <c r="HC60" s="133"/>
      <c r="HD60" s="133"/>
      <c r="HE60" s="133"/>
      <c r="HF60" s="133"/>
      <c r="HG60" s="133"/>
      <c r="HH60" s="133"/>
      <c r="HI60" s="133"/>
      <c r="HJ60" s="133"/>
      <c r="HK60" s="133"/>
      <c r="HL60" s="133"/>
      <c r="HM60" s="133"/>
      <c r="HN60" s="133"/>
      <c r="HO60" s="133"/>
      <c r="HP60" s="133"/>
      <c r="HQ60" s="133"/>
      <c r="HR60" s="133"/>
      <c r="HS60" s="133"/>
      <c r="HT60" s="133"/>
      <c r="HU60" s="133"/>
      <c r="HV60" s="133"/>
      <c r="HW60" s="133"/>
      <c r="HX60" s="133"/>
      <c r="HY60" s="133"/>
      <c r="HZ60" s="133"/>
      <c r="IA60" s="133"/>
      <c r="IB60" s="133"/>
      <c r="IC60" s="133"/>
      <c r="ID60" s="133"/>
      <c r="IE60" s="133"/>
      <c r="IF60" s="133"/>
      <c r="IG60" s="133"/>
      <c r="IH60" s="133"/>
      <c r="II60" s="133"/>
      <c r="IJ60" s="133"/>
      <c r="IK60" s="133"/>
      <c r="IL60" s="133"/>
      <c r="IM60" s="133"/>
      <c r="IN60" s="133"/>
      <c r="IO60" s="431"/>
      <c r="IP60" s="431"/>
      <c r="IQ60" s="431"/>
      <c r="IR60" s="431"/>
      <c r="IS60" s="431"/>
      <c r="IT60" s="431"/>
      <c r="IU60" s="431"/>
      <c r="IW60" s="133"/>
      <c r="IX60" s="133"/>
      <c r="IY60" s="133"/>
      <c r="IZ60" s="133"/>
      <c r="JA60" s="133"/>
      <c r="JB60" s="133"/>
      <c r="JC60" s="133"/>
      <c r="JD60" s="133"/>
      <c r="JE60" s="133"/>
      <c r="JF60" s="133"/>
      <c r="JG60" s="133"/>
      <c r="JH60" s="133"/>
      <c r="JI60" s="133"/>
      <c r="JJ60" s="133"/>
      <c r="JK60" s="133"/>
      <c r="JL60" s="133"/>
      <c r="JM60" s="133"/>
      <c r="JN60" s="133"/>
      <c r="JO60" s="133"/>
      <c r="JP60" s="133"/>
      <c r="JQ60" s="133"/>
      <c r="JR60" s="133"/>
      <c r="JS60" s="133"/>
      <c r="JT60" s="133"/>
      <c r="JU60" s="133"/>
      <c r="JV60" s="133"/>
      <c r="JW60" s="133"/>
      <c r="JX60" s="133"/>
      <c r="JY60" s="133"/>
      <c r="JZ60" s="133"/>
      <c r="KA60" s="133"/>
      <c r="KB60" s="133"/>
      <c r="KC60" s="133"/>
      <c r="KD60" s="133"/>
      <c r="KE60" s="133"/>
      <c r="KF60" s="133"/>
      <c r="KG60" s="133"/>
      <c r="KH60" s="133"/>
      <c r="KI60" s="133"/>
      <c r="KJ60" s="133"/>
      <c r="KK60" s="133"/>
      <c r="KL60" s="133"/>
      <c r="KM60" s="133"/>
      <c r="KN60" s="133"/>
      <c r="KO60" s="133"/>
      <c r="KP60" s="133"/>
      <c r="KQ60" s="133"/>
      <c r="KR60" s="133"/>
      <c r="KS60" s="133"/>
      <c r="KT60" s="133"/>
      <c r="KU60" s="133"/>
      <c r="KV60" s="133"/>
      <c r="KW60" s="133"/>
      <c r="KX60" s="133"/>
      <c r="KY60" s="133"/>
      <c r="KZ60" s="133"/>
      <c r="LA60" s="133"/>
      <c r="LB60" s="133"/>
      <c r="LC60" s="133"/>
      <c r="LD60" s="133"/>
      <c r="LE60" s="133"/>
      <c r="LF60" s="133"/>
      <c r="LG60" s="133"/>
      <c r="LH60" s="133"/>
      <c r="LI60" s="133"/>
      <c r="LJ60" s="133"/>
      <c r="LK60" s="133"/>
      <c r="LL60" s="133"/>
      <c r="LM60" s="133"/>
      <c r="LN60" s="133"/>
      <c r="LO60" s="133"/>
      <c r="LP60" s="133"/>
      <c r="LQ60" s="133"/>
      <c r="LR60" s="133"/>
      <c r="LS60" s="133"/>
      <c r="LT60" s="133"/>
      <c r="LU60" s="133"/>
      <c r="LV60" s="133"/>
      <c r="LW60" s="133"/>
      <c r="LX60" s="133"/>
      <c r="LY60" s="133"/>
      <c r="LZ60" s="133"/>
      <c r="MA60" s="133"/>
      <c r="MB60" s="133"/>
      <c r="MC60" s="133"/>
      <c r="MD60" s="133"/>
      <c r="ME60" s="133"/>
      <c r="MF60" s="133"/>
      <c r="MG60" s="133"/>
      <c r="MH60" s="133"/>
      <c r="MI60" s="133"/>
      <c r="MJ60" s="133"/>
      <c r="MK60" s="133"/>
      <c r="ML60" s="133"/>
      <c r="MM60" s="133"/>
      <c r="MN60" s="133"/>
      <c r="MO60" s="133"/>
      <c r="MP60" s="133"/>
      <c r="MQ60" s="133"/>
      <c r="MR60" s="133"/>
      <c r="MS60" s="133"/>
      <c r="MT60" s="133"/>
      <c r="MU60" s="133"/>
      <c r="MV60" s="133"/>
      <c r="MW60" s="133"/>
      <c r="MX60" s="133"/>
      <c r="MY60" s="133"/>
      <c r="MZ60" s="133"/>
      <c r="NA60" s="133"/>
      <c r="NB60" s="133"/>
      <c r="NC60" s="133"/>
      <c r="ND60" s="133"/>
      <c r="NE60" s="133"/>
      <c r="NF60" s="133"/>
      <c r="NG60" s="133"/>
      <c r="NH60" s="133"/>
      <c r="NI60" s="133"/>
      <c r="NJ60" s="133"/>
      <c r="NK60" s="133"/>
      <c r="NL60" s="133"/>
      <c r="NM60" s="133"/>
      <c r="NN60" s="133"/>
      <c r="NO60" s="133"/>
      <c r="NP60" s="133"/>
      <c r="NQ60" s="133"/>
      <c r="NR60" s="133"/>
      <c r="NS60" s="133"/>
      <c r="OB60" s="693"/>
      <c r="RU60" s="179"/>
      <c r="RV60" s="179"/>
      <c r="RW60" s="179"/>
      <c r="RX60" s="179"/>
      <c r="RY60" s="179"/>
      <c r="RZ60" s="179"/>
    </row>
    <row r="61" spans="1:494" x14ac:dyDescent="0.25">
      <c r="A61" s="9"/>
      <c r="AE61" s="115"/>
      <c r="AF61" s="115"/>
      <c r="AG61" s="115"/>
      <c r="AH61" s="115"/>
      <c r="AI61" s="115"/>
      <c r="AJ61" s="115"/>
      <c r="AL61" s="74"/>
      <c r="AO61" s="115"/>
      <c r="AP61" s="115"/>
      <c r="AQ61" s="115"/>
      <c r="AR61" s="115"/>
      <c r="AS61" s="115"/>
      <c r="AT61" s="115"/>
      <c r="AU61" s="115"/>
      <c r="AV61" s="115"/>
      <c r="AW61" s="115"/>
      <c r="AX61" s="115"/>
      <c r="AY61" s="115"/>
      <c r="AZ61" s="115"/>
      <c r="BA61" s="115"/>
      <c r="BB61" s="115"/>
      <c r="BC61" s="115"/>
      <c r="BD61" s="115"/>
      <c r="BE61" s="115"/>
      <c r="BF61" s="115"/>
      <c r="BG61" s="115"/>
      <c r="BH61" s="115"/>
      <c r="BI61" s="115"/>
      <c r="BJ61" s="115"/>
      <c r="BK61" s="115"/>
      <c r="BL61" s="115"/>
      <c r="BM61" s="115"/>
      <c r="BN61" s="115"/>
      <c r="BO61" s="115"/>
      <c r="BP61" s="115"/>
      <c r="BQ61" s="115"/>
      <c r="BR61" s="115"/>
      <c r="BS61" s="115"/>
      <c r="BT61" s="115"/>
      <c r="BU61" s="115"/>
      <c r="BW61" s="115"/>
      <c r="CA61" s="74"/>
      <c r="CB61" s="74"/>
      <c r="CC61" s="74"/>
      <c r="CD61" s="115"/>
      <c r="CE61" s="115"/>
      <c r="CF61" s="115"/>
      <c r="CG61" s="115"/>
      <c r="CH61" s="115"/>
      <c r="CI61" s="74"/>
      <c r="CK61" s="115"/>
      <c r="CX61" s="37"/>
      <c r="CY61" s="115"/>
      <c r="CZ61" s="37"/>
      <c r="DA61" s="37"/>
      <c r="DB61" s="37"/>
      <c r="DF61" s="115"/>
      <c r="DG61" s="115"/>
      <c r="DH61" s="115"/>
      <c r="DI61" s="115"/>
      <c r="DJ61" s="115"/>
      <c r="DL61" s="37"/>
      <c r="DN61" s="37"/>
      <c r="DO61" s="37"/>
      <c r="DP61" s="37"/>
      <c r="DT61" s="37"/>
      <c r="DU61" s="37"/>
      <c r="DV61" s="37"/>
      <c r="DW61" s="37"/>
      <c r="DX61" s="37"/>
      <c r="EA61" s="74"/>
      <c r="EN61" s="37"/>
      <c r="EP61" s="37"/>
      <c r="EQ61" s="37"/>
      <c r="ER61" s="37"/>
      <c r="EV61" s="37"/>
      <c r="EW61" s="37"/>
      <c r="EX61" s="37"/>
      <c r="EY61" s="37"/>
      <c r="EZ61" s="37"/>
      <c r="FF61" s="115"/>
      <c r="FH61" s="74"/>
      <c r="FK61" s="74"/>
      <c r="FR61" s="74"/>
      <c r="FT61" s="115"/>
      <c r="FZ61" s="37"/>
      <c r="GH61" s="115"/>
      <c r="GJ61" s="74"/>
      <c r="GM61" s="74"/>
      <c r="GT61" s="74"/>
      <c r="GU61" s="74"/>
      <c r="GV61" s="74"/>
      <c r="GW61" s="74"/>
      <c r="GX61" s="74"/>
      <c r="HB61" s="74"/>
      <c r="HD61" s="74"/>
      <c r="HE61" s="74"/>
      <c r="HF61" s="74"/>
      <c r="HG61" s="74"/>
      <c r="HH61" s="74"/>
      <c r="HI61" s="74"/>
      <c r="HJ61" s="74"/>
      <c r="HK61" s="74"/>
      <c r="HL61" s="74"/>
      <c r="IA61" s="133"/>
      <c r="IB61" s="133"/>
      <c r="IC61" s="133"/>
      <c r="IE61" s="133"/>
      <c r="IO61" s="97"/>
      <c r="IP61" s="97"/>
      <c r="IQ61" s="97"/>
      <c r="IR61" s="97"/>
      <c r="IS61" s="97"/>
      <c r="IT61" s="97"/>
      <c r="IU61" s="97"/>
      <c r="OB61" s="26"/>
    </row>
    <row r="62" spans="1:494" x14ac:dyDescent="0.25">
      <c r="A62" s="9" t="s">
        <v>174</v>
      </c>
      <c r="AE62" s="115"/>
      <c r="AF62" s="115"/>
      <c r="AG62" s="115"/>
      <c r="AH62" s="115"/>
      <c r="AI62" s="115"/>
      <c r="AJ62" s="115"/>
      <c r="AL62" s="74"/>
      <c r="AO62" s="115"/>
      <c r="AP62" s="115"/>
      <c r="AQ62" s="115"/>
      <c r="AR62" s="115"/>
      <c r="AS62" s="115"/>
      <c r="AT62" s="115"/>
      <c r="AU62" s="115"/>
      <c r="AV62" s="115"/>
      <c r="AW62" s="115"/>
      <c r="AX62" s="115"/>
      <c r="AY62" s="115"/>
      <c r="AZ62" s="115"/>
      <c r="BA62" s="115"/>
      <c r="BB62" s="115"/>
      <c r="BC62" s="115"/>
      <c r="BD62" s="115"/>
      <c r="BE62" s="115"/>
      <c r="BF62" s="115"/>
      <c r="BG62" s="115"/>
      <c r="BH62" s="115"/>
      <c r="BI62" s="115"/>
      <c r="BJ62" s="115"/>
      <c r="BK62" s="115"/>
      <c r="BL62" s="115"/>
      <c r="BM62" s="115"/>
      <c r="BN62" s="115"/>
      <c r="BO62" s="115"/>
      <c r="BP62" s="115"/>
      <c r="BQ62" s="115"/>
      <c r="BR62" s="115"/>
      <c r="BS62" s="115"/>
      <c r="BT62" s="115"/>
      <c r="BU62" s="115"/>
      <c r="BW62" s="115"/>
      <c r="CA62" s="74"/>
      <c r="CB62" s="74"/>
      <c r="CC62" s="74"/>
      <c r="CD62" s="115"/>
      <c r="CE62" s="115"/>
      <c r="CF62" s="115"/>
      <c r="CG62" s="115"/>
      <c r="CH62" s="115"/>
      <c r="CI62" s="74"/>
      <c r="CK62" s="115"/>
      <c r="CX62" s="37"/>
      <c r="CY62" s="115"/>
      <c r="CZ62" s="37"/>
      <c r="DA62" s="37"/>
      <c r="DB62" s="37"/>
      <c r="DF62" s="115"/>
      <c r="DG62" s="115"/>
      <c r="DH62" s="115"/>
      <c r="DI62" s="115"/>
      <c r="DJ62" s="115"/>
      <c r="DL62" s="37"/>
      <c r="DN62" s="37"/>
      <c r="DO62" s="37"/>
      <c r="DP62" s="37"/>
      <c r="DT62" s="37"/>
      <c r="DU62" s="37"/>
      <c r="DV62" s="37"/>
      <c r="DW62" s="37"/>
      <c r="DX62" s="37"/>
      <c r="EA62" s="74"/>
      <c r="EN62" s="37"/>
      <c r="EP62" s="37"/>
      <c r="EQ62" s="37"/>
      <c r="ER62" s="37"/>
      <c r="EV62" s="37"/>
      <c r="EW62" s="37"/>
      <c r="EX62" s="37"/>
      <c r="EY62" s="37"/>
      <c r="EZ62" s="37"/>
      <c r="FF62" s="115"/>
      <c r="FH62" s="74"/>
      <c r="FK62" s="74"/>
      <c r="FR62" s="74"/>
      <c r="FT62" s="115"/>
      <c r="FZ62" s="37"/>
      <c r="GH62" s="115"/>
      <c r="GJ62" s="74"/>
      <c r="GM62" s="74"/>
      <c r="GT62" s="74"/>
      <c r="GU62" s="74"/>
      <c r="GV62" s="74"/>
      <c r="GW62" s="74"/>
      <c r="GX62" s="74"/>
      <c r="HB62" s="74"/>
      <c r="HD62" s="74"/>
      <c r="HE62" s="74"/>
      <c r="HF62" s="74"/>
      <c r="HG62" s="74"/>
      <c r="HH62" s="74"/>
      <c r="HI62" s="74"/>
      <c r="HJ62" s="74"/>
      <c r="HK62" s="74"/>
      <c r="HL62" s="74"/>
      <c r="IA62" s="133"/>
      <c r="IB62" s="133"/>
      <c r="IC62" s="133"/>
      <c r="IE62" s="133"/>
      <c r="IO62" s="68">
        <f>IP62+IQ62+IR62+IS62+IT62+IU62</f>
        <v>30.640380171851852</v>
      </c>
      <c r="IP62" s="97">
        <f>JS62*$W63</f>
        <v>17.579596408888889</v>
      </c>
      <c r="IQ62" s="97">
        <f>JU62*$W63</f>
        <v>13.060783762962961</v>
      </c>
      <c r="IR62" s="97">
        <f>JX62*$W63</f>
        <v>0</v>
      </c>
      <c r="IS62" s="97">
        <f>KB62*$W63</f>
        <v>0</v>
      </c>
      <c r="IT62" s="97">
        <f>KF62*$W63</f>
        <v>0</v>
      </c>
      <c r="IU62" s="97">
        <f>KH62*$W63</f>
        <v>0</v>
      </c>
      <c r="IW62" s="37"/>
      <c r="IX62" s="37"/>
      <c r="IZ62" s="37"/>
      <c r="JK62" s="115">
        <f>JM62+JN62+JO62</f>
        <v>0.31265694052910054</v>
      </c>
      <c r="JM62" s="179">
        <f>JS62+KB62</f>
        <v>0.17938363682539682</v>
      </c>
      <c r="JN62" s="179">
        <f>JU62+KF62</f>
        <v>0.13327330370370369</v>
      </c>
      <c r="JO62" s="179">
        <f>JX62+KH62</f>
        <v>0</v>
      </c>
      <c r="JQ62" s="127">
        <f>JS62+JU62+JX62</f>
        <v>0.31265694052910054</v>
      </c>
      <c r="JS62" s="172">
        <f>'Crops; pasture AMORTIZED'!FY34/$C63</f>
        <v>0.17938363682539682</v>
      </c>
      <c r="JU62" s="172">
        <f>'Crops; pasture AMORTIZED'!FW34/$C63</f>
        <v>0.13327330370370369</v>
      </c>
      <c r="JV62" s="37"/>
      <c r="JW62" s="37"/>
      <c r="JX62" s="37"/>
      <c r="JY62" s="37"/>
      <c r="KD62" s="74"/>
      <c r="KE62" s="74"/>
      <c r="KF62" s="74"/>
      <c r="KG62" s="74"/>
      <c r="KH62" s="74"/>
      <c r="KI62" s="74"/>
      <c r="KJ62" s="126"/>
      <c r="KK62" s="126"/>
      <c r="KL62" s="126"/>
      <c r="KM62" s="126"/>
      <c r="KN62" s="126"/>
      <c r="KO62" s="126"/>
      <c r="KP62" s="126"/>
      <c r="KQ62" s="126"/>
      <c r="KR62" s="126"/>
      <c r="KS62" s="126"/>
      <c r="OB62" s="26"/>
    </row>
    <row r="63" spans="1:494" x14ac:dyDescent="0.25">
      <c r="A63" s="37" t="s">
        <v>175</v>
      </c>
      <c r="B63" s="52">
        <f>C63*NT21/NT63</f>
        <v>9.4500000000000001E-2</v>
      </c>
      <c r="C63" s="39">
        <v>0.35</v>
      </c>
      <c r="D63" s="722">
        <f>C63*NW63/NW21</f>
        <v>0.36029411764705882</v>
      </c>
      <c r="E63" s="104"/>
      <c r="F63" s="104"/>
      <c r="G63" s="104"/>
      <c r="H63" s="104"/>
      <c r="I63" s="104"/>
      <c r="J63" s="104"/>
      <c r="K63" s="104"/>
      <c r="L63" s="104"/>
      <c r="M63" s="104"/>
      <c r="N63" s="69"/>
      <c r="V63" s="55">
        <f>W63/NT63</f>
        <v>98</v>
      </c>
      <c r="W63" s="112">
        <v>98</v>
      </c>
      <c r="X63" s="295"/>
      <c r="Y63" s="26">
        <f>W63*NW63/10^3</f>
        <v>1.7150000000000001</v>
      </c>
      <c r="Z63" s="26">
        <f>W63*OB63/10^3</f>
        <v>1.5875999999999999</v>
      </c>
      <c r="AA63" s="26"/>
      <c r="AB63" s="26"/>
      <c r="AE63" s="115">
        <f>AB$21*$AN63/$C63</f>
        <v>1.3531601168223182</v>
      </c>
      <c r="AF63" s="115"/>
      <c r="AG63" s="115">
        <f>AC$21*$AN63/$C63</f>
        <v>1.485093228212494</v>
      </c>
      <c r="AH63" s="115"/>
      <c r="AI63" s="115">
        <f>AD$21*$AN63/$C63</f>
        <v>1.2052930547811547</v>
      </c>
      <c r="AJ63" s="115"/>
      <c r="AK63" s="722">
        <f>Y63/(Y63+Y64)</f>
        <v>0.86450247000705716</v>
      </c>
      <c r="AL63" s="164">
        <v>0.6</v>
      </c>
      <c r="AM63" s="69">
        <f>V63*AL63/(V63*AL63+V64*AL64)</f>
        <v>0.92452830188679247</v>
      </c>
      <c r="AN63" s="40">
        <f t="shared" ref="AN63:AN64" si="19">AK63</f>
        <v>0.86450247000705716</v>
      </c>
      <c r="AO63" s="115"/>
      <c r="AP63" s="115"/>
      <c r="AQ63" s="115"/>
      <c r="AR63" s="115"/>
      <c r="AS63" s="115"/>
      <c r="AT63" s="115"/>
      <c r="AU63" s="115"/>
      <c r="AV63" s="115"/>
      <c r="AW63" s="115"/>
      <c r="AX63" s="115"/>
      <c r="AY63" s="115"/>
      <c r="AZ63" s="115"/>
      <c r="BA63" s="115"/>
      <c r="BB63" s="115"/>
      <c r="BC63" s="115"/>
      <c r="BD63" s="115"/>
      <c r="BE63" s="115"/>
      <c r="BF63" s="115"/>
      <c r="BG63" s="115"/>
      <c r="BH63" s="115"/>
      <c r="BI63" s="115"/>
      <c r="BJ63" s="115"/>
      <c r="BK63" s="115"/>
      <c r="BL63" s="115"/>
      <c r="BM63" s="115"/>
      <c r="BN63" s="115"/>
      <c r="BO63" s="115"/>
      <c r="BP63" s="115"/>
      <c r="BQ63" s="115"/>
      <c r="BR63" s="115"/>
      <c r="BS63" s="115"/>
      <c r="BT63" s="115"/>
      <c r="BU63" s="115"/>
      <c r="BV63" s="26">
        <f>BW63*$NT63</f>
        <v>0.48681591911573457</v>
      </c>
      <c r="BW63" s="127">
        <f>BP$21*$AN63/$C63</f>
        <v>0.48681591911573457</v>
      </c>
      <c r="BX63" s="685">
        <f>10^3*BW63/$OB63</f>
        <v>30.050365377514481</v>
      </c>
      <c r="BY63" s="26"/>
      <c r="BZ63" s="115">
        <f>10^3*BW63/$NW63</f>
        <v>27.818052520899119</v>
      </c>
      <c r="CA63" s="115"/>
      <c r="CB63" s="115"/>
      <c r="CC63" s="115"/>
      <c r="CD63" s="115"/>
      <c r="CE63" s="115"/>
      <c r="CF63" s="115"/>
      <c r="CG63" s="115"/>
      <c r="CH63" s="115"/>
      <c r="CI63" s="115"/>
      <c r="CJ63" s="26">
        <f>CK63*$NT63</f>
        <v>0.68806419604234281</v>
      </c>
      <c r="CK63" s="115">
        <f>BQ$21*$AN63/$C63</f>
        <v>0.68806419604234281</v>
      </c>
      <c r="CL63" s="685">
        <f>10^3*CK63/$OB63</f>
        <v>42.473098521132272</v>
      </c>
      <c r="CM63" s="26"/>
      <c r="CN63" s="115">
        <f>10^3*CK63/$NW63</f>
        <v>39.317954059562446</v>
      </c>
      <c r="CO63" s="115"/>
      <c r="CP63" s="115"/>
      <c r="CQ63" s="115"/>
      <c r="CW63" s="115"/>
      <c r="CX63" s="26">
        <f>CY63*$NT63</f>
        <v>0.26176572241389268</v>
      </c>
      <c r="CY63" s="115">
        <f>BR$21*$AN63/$C63</f>
        <v>0.26176572241389268</v>
      </c>
      <c r="CZ63" s="685">
        <f>10^3*CY63/$OB63</f>
        <v>16.158377926783498</v>
      </c>
      <c r="DA63" s="26"/>
      <c r="DB63" s="115">
        <f>10^3*CY63/$NW63</f>
        <v>14.958041280793866</v>
      </c>
      <c r="DC63" s="115"/>
      <c r="DD63" s="115"/>
      <c r="DE63" s="115"/>
      <c r="DF63" s="115"/>
      <c r="DG63" s="115"/>
      <c r="DH63" s="115"/>
      <c r="DI63" s="115"/>
      <c r="DJ63" s="115"/>
      <c r="DK63" s="115"/>
      <c r="DL63" s="26">
        <f>DM63*$NT63</f>
        <v>0.50065522991560463</v>
      </c>
      <c r="DM63" s="115">
        <f>BS$21*$AN63/$C63</f>
        <v>0.50065522991560463</v>
      </c>
      <c r="DN63" s="685">
        <f>10^3*DM63/$OB63</f>
        <v>30.904643821950906</v>
      </c>
      <c r="DO63" s="26"/>
      <c r="DP63" s="115">
        <f>10^3*DM63/$NW63</f>
        <v>28.608870280891693</v>
      </c>
      <c r="DQ63" s="115"/>
      <c r="DR63" s="115"/>
      <c r="DS63" s="115"/>
      <c r="DT63" s="37"/>
      <c r="DU63" s="37"/>
      <c r="DV63" s="37"/>
      <c r="DW63" s="37"/>
      <c r="DX63" s="37"/>
      <c r="DY63" s="115"/>
      <c r="DZ63" s="26">
        <f>EA63*$NT63</f>
        <v>0.6465658558084556</v>
      </c>
      <c r="EA63" s="115">
        <f>BT$21*$AN63/$C63</f>
        <v>0.6465658558084556</v>
      </c>
      <c r="EB63" s="685">
        <f>10^3*EA63/$OB63</f>
        <v>39.911472580768866</v>
      </c>
      <c r="EC63" s="26"/>
      <c r="ED63" s="115">
        <f>10^3*EA63/$NW63</f>
        <v>36.946620331911745</v>
      </c>
      <c r="EE63" s="115"/>
      <c r="EF63" s="115"/>
      <c r="EG63" s="115"/>
      <c r="EM63" s="115"/>
      <c r="EN63" s="26">
        <f>EO63*$NT63</f>
        <v>0.33712254775550121</v>
      </c>
      <c r="EO63" s="115">
        <f>BU$21*$AN63/$C63</f>
        <v>0.33712254775550121</v>
      </c>
      <c r="EP63" s="685">
        <f>10^3*EO63/$OB63</f>
        <v>20.810033812067978</v>
      </c>
      <c r="EQ63" s="26"/>
      <c r="ER63" s="115">
        <f>10^3*EO63/$NW63</f>
        <v>19.26414558602864</v>
      </c>
      <c r="ES63" s="115"/>
      <c r="ET63" s="115"/>
      <c r="EU63" s="115"/>
      <c r="EV63" s="37"/>
      <c r="EW63" s="37"/>
      <c r="EX63" s="37"/>
      <c r="EY63" s="37"/>
      <c r="EZ63" s="37"/>
      <c r="FA63" s="115"/>
      <c r="FE63" s="26">
        <f>FF63*$NT63</f>
        <v>0.99700837407468412</v>
      </c>
      <c r="FF63" s="115">
        <f>FB$21*$AN63/$C63</f>
        <v>0.99700837407468412</v>
      </c>
      <c r="FG63" s="272">
        <f>10^3*FF63/$OB63</f>
        <v>61.543726794733587</v>
      </c>
      <c r="FH63" s="115"/>
      <c r="FI63" s="115">
        <f>10^3*FF63/$NW63</f>
        <v>56.971907089981947</v>
      </c>
      <c r="FJ63" s="115"/>
      <c r="FK63" s="115"/>
      <c r="FL63" s="26"/>
      <c r="FR63" s="115"/>
      <c r="FS63" s="26">
        <f>FT63*$NT63</f>
        <v>1.2875758288602324</v>
      </c>
      <c r="FT63" s="115">
        <f>FC$21*$AN63/$C63</f>
        <v>1.2875758288602324</v>
      </c>
      <c r="FU63" s="272">
        <f>10^3*FT63/$OB63</f>
        <v>79.479989435816819</v>
      </c>
      <c r="FV63" s="115"/>
      <c r="FW63" s="115">
        <f>10^3*FT63/$NW63</f>
        <v>73.575761649156135</v>
      </c>
      <c r="FX63" s="115"/>
      <c r="FY63" s="115"/>
      <c r="FZ63" s="26"/>
      <c r="GF63" s="115"/>
      <c r="GG63" s="26">
        <f>GH63*$NT63</f>
        <v>0.6713482315131033</v>
      </c>
      <c r="GH63" s="115">
        <f>FD$21*$AN63/$C63</f>
        <v>0.6713482315131033</v>
      </c>
      <c r="GI63" s="272">
        <f>10^3*GH63/$OB63</f>
        <v>41.441248858833539</v>
      </c>
      <c r="GJ63" s="115"/>
      <c r="GK63" s="115">
        <f>10^3*GH63/$NW63</f>
        <v>38.362756086463044</v>
      </c>
      <c r="GL63" s="115"/>
      <c r="GM63" s="115"/>
      <c r="GN63" s="26"/>
      <c r="GT63" s="115"/>
      <c r="GU63" s="115"/>
      <c r="GV63" s="115"/>
      <c r="GW63" s="115"/>
      <c r="GX63" s="115"/>
      <c r="GY63" s="26">
        <f>GZ63*$NT63</f>
        <v>0.1641262303721216</v>
      </c>
      <c r="GZ63" s="127">
        <f>$AN63*GU$21/C63</f>
        <v>0.1641262303721216</v>
      </c>
      <c r="HA63" s="673">
        <f>10^3*GZ63/$OB63</f>
        <v>10.131248788402567</v>
      </c>
      <c r="HB63" s="74"/>
      <c r="HD63" s="74"/>
      <c r="HE63" s="115"/>
      <c r="HF63" s="115"/>
      <c r="HG63" s="115"/>
      <c r="HH63" s="115"/>
      <c r="HI63" s="115"/>
      <c r="HJ63" s="115"/>
      <c r="HK63" s="115"/>
      <c r="HL63" s="115"/>
      <c r="HM63" s="115">
        <f>HN63*$NT63</f>
        <v>0.11577425476239693</v>
      </c>
      <c r="HN63" s="127">
        <f>$AN63*GV$21/C63</f>
        <v>0.11577425476239693</v>
      </c>
      <c r="HO63" s="73">
        <f>10^3*HN63/$OB63</f>
        <v>7.146558935950428</v>
      </c>
      <c r="HS63" s="115"/>
      <c r="HT63" s="115"/>
      <c r="HU63" s="115"/>
      <c r="HV63" s="115"/>
      <c r="HW63" s="115"/>
      <c r="HX63" s="115"/>
      <c r="HY63" s="115"/>
      <c r="HZ63" s="115"/>
      <c r="IA63" s="115">
        <f>IB63*$NT63</f>
        <v>0.2183178165627308</v>
      </c>
      <c r="IB63" s="127">
        <f>$AN63*GW$21/C63</f>
        <v>0.2183178165627308</v>
      </c>
      <c r="IC63" s="73">
        <f>10^3*IB63/$OB63</f>
        <v>13.476408429798198</v>
      </c>
      <c r="IE63" s="133"/>
      <c r="IG63" s="115"/>
      <c r="IH63" s="115"/>
      <c r="II63" s="115"/>
      <c r="IJ63" s="115"/>
      <c r="IK63" s="115"/>
      <c r="IL63" s="115"/>
      <c r="IM63" s="115"/>
      <c r="IN63" s="115"/>
      <c r="IO63" s="431"/>
      <c r="IP63" s="431"/>
      <c r="IQ63" s="431"/>
      <c r="IR63" s="431"/>
      <c r="IS63" s="431"/>
      <c r="IT63" s="431"/>
      <c r="IU63" s="431"/>
      <c r="IV63" s="335">
        <f>IW63*$NT63</f>
        <v>0.27029269735225697</v>
      </c>
      <c r="IW63" s="127">
        <f>AN63*JK62</f>
        <v>0.27029269735225697</v>
      </c>
      <c r="IX63" s="673">
        <f>10^3*IW63/$OB63</f>
        <v>16.684734404460308</v>
      </c>
      <c r="IY63" s="73"/>
      <c r="IZ63" s="73"/>
      <c r="JA63" s="115"/>
      <c r="JB63" s="115">
        <f>$IW63*JM62/$JK62</f>
        <v>0.15507759711440444</v>
      </c>
      <c r="JC63" s="115">
        <f>$IW63*JN62/$JK62</f>
        <v>0.1152151002378525</v>
      </c>
      <c r="JD63" s="115">
        <f>$IW63*JO62/$JK62</f>
        <v>0</v>
      </c>
      <c r="JK63" s="37"/>
      <c r="JL63" s="37"/>
      <c r="JQ63" s="37"/>
      <c r="JR63" s="37"/>
      <c r="JS63" s="37"/>
      <c r="JT63" s="37"/>
      <c r="JU63" s="37"/>
      <c r="JV63" s="37"/>
      <c r="JW63" s="37"/>
      <c r="JX63" s="37"/>
      <c r="JY63" s="37"/>
      <c r="KJ63" s="115">
        <f>BW63*44/12+$IW63+$GZ63</f>
        <v>2.2194106311487385</v>
      </c>
      <c r="KK63" s="74"/>
      <c r="KL63" s="677">
        <f>10^3*KJ63/$OB63</f>
        <v>137.00065624374929</v>
      </c>
      <c r="KM63" s="74"/>
      <c r="KN63" s="73"/>
      <c r="KO63" s="115"/>
      <c r="KP63" s="115"/>
      <c r="KQ63" s="115"/>
      <c r="KR63" s="115"/>
      <c r="KS63" s="73"/>
      <c r="KT63" s="115">
        <f>CK63*44/12+$IW63+$HN63</f>
        <v>2.9089690042699106</v>
      </c>
      <c r="KV63" s="677">
        <f>10^3*KT63/$OB63</f>
        <v>179.56598791789574</v>
      </c>
      <c r="KX63" s="73"/>
      <c r="KY63" s="115"/>
      <c r="KZ63" s="115"/>
      <c r="LA63" s="115"/>
      <c r="LB63" s="115"/>
      <c r="LC63" s="73"/>
      <c r="LD63" s="115">
        <f>CY63*44/12+$IW63+$IB63</f>
        <v>1.4484181627659276</v>
      </c>
      <c r="LF63" s="677">
        <f>10^3*LD63/$OB63</f>
        <v>89.408528565798008</v>
      </c>
      <c r="LH63" s="73"/>
      <c r="LI63" s="115"/>
      <c r="LJ63" s="115"/>
      <c r="LK63" s="115"/>
      <c r="LL63" s="115"/>
      <c r="LM63" s="73"/>
      <c r="LN63" s="115">
        <f>DM63*44/12+$IW63+$GZ63</f>
        <v>2.2701547707482623</v>
      </c>
      <c r="LP63" s="677">
        <f>10^3*LN63/$OB63</f>
        <v>140.13301054001619</v>
      </c>
      <c r="LR63" s="73"/>
      <c r="LW63" s="73"/>
      <c r="LX63" s="115">
        <f>EA63*44/12+$IW63+$HN63</f>
        <v>2.7568084234123242</v>
      </c>
      <c r="LZ63" s="677">
        <f>10^3*LX63/$OB63</f>
        <v>170.17335946989658</v>
      </c>
      <c r="MB63" s="127"/>
      <c r="MG63" s="127"/>
      <c r="MH63" s="115">
        <f>EO63*44/12+$IW63+$IB63</f>
        <v>1.7247265223518256</v>
      </c>
      <c r="MJ63" s="677">
        <f>10^3*MH63/$OB63</f>
        <v>106.46460014517442</v>
      </c>
      <c r="ML63" s="115"/>
      <c r="MM63" s="115"/>
      <c r="MN63" s="115"/>
      <c r="MO63" s="115"/>
      <c r="MP63" s="115"/>
      <c r="MQ63" s="115"/>
      <c r="MW63" s="115"/>
      <c r="MX63" s="115"/>
      <c r="MY63" s="115"/>
      <c r="MZ63" s="115"/>
      <c r="NA63" s="115"/>
      <c r="NB63" s="115"/>
      <c r="NC63" s="115"/>
      <c r="ND63" s="115"/>
      <c r="NE63" s="115"/>
      <c r="NF63" s="115"/>
      <c r="NG63" s="115"/>
      <c r="NH63" s="115"/>
      <c r="NI63" s="115"/>
      <c r="NJ63" s="115"/>
      <c r="NK63" s="115"/>
      <c r="NL63" s="115"/>
      <c r="NM63" s="115"/>
      <c r="NN63" s="115"/>
      <c r="NO63" s="115"/>
      <c r="NP63" s="115"/>
      <c r="NQ63" s="115"/>
      <c r="NT63" s="31">
        <v>1</v>
      </c>
      <c r="NU63" s="31"/>
      <c r="NV63" s="32">
        <f>$NT63*NW63</f>
        <v>17.5</v>
      </c>
      <c r="NW63" s="9">
        <v>17.5</v>
      </c>
      <c r="NX63" s="9"/>
      <c r="NY63" s="9"/>
      <c r="NZ63" s="9"/>
      <c r="OA63" s="32">
        <f>$NT63*OB63</f>
        <v>16.2</v>
      </c>
      <c r="OB63" s="43">
        <v>16.2</v>
      </c>
      <c r="OC63" s="38">
        <f>$NT63*OD63</f>
        <v>0</v>
      </c>
      <c r="OD63" s="31">
        <v>0</v>
      </c>
      <c r="OE63" s="38">
        <f>$NT63*OF63</f>
        <v>0</v>
      </c>
      <c r="OF63" s="31">
        <v>0</v>
      </c>
    </row>
    <row r="64" spans="1:494" x14ac:dyDescent="0.25">
      <c r="A64" s="37" t="s">
        <v>176</v>
      </c>
      <c r="B64" s="52">
        <f>C64*NT21/NT64</f>
        <v>2.3142857142857142E-2</v>
      </c>
      <c r="C64" s="45">
        <v>0.06</v>
      </c>
      <c r="D64" s="722">
        <f>C64*NW64/NW21</f>
        <v>5.6470588235294113E-2</v>
      </c>
      <c r="E64" s="122"/>
      <c r="F64" s="122"/>
      <c r="G64" s="122"/>
      <c r="H64" s="122"/>
      <c r="I64" s="122"/>
      <c r="J64" s="122"/>
      <c r="K64" s="122"/>
      <c r="L64" s="122"/>
      <c r="M64" s="122"/>
      <c r="N64" s="683"/>
      <c r="V64" s="55">
        <f>W64/NT64</f>
        <v>24.000000000000004</v>
      </c>
      <c r="W64" s="55">
        <f>C64/C63*W63</f>
        <v>16.8</v>
      </c>
      <c r="X64" s="73"/>
      <c r="Y64" s="26">
        <f>W64*NW64/10^3</f>
        <v>0.26880000000000004</v>
      </c>
      <c r="Z64" s="26"/>
      <c r="AA64" s="26">
        <f>W64*OD64</f>
        <v>1.3440000000000001</v>
      </c>
      <c r="AB64" s="26"/>
      <c r="AE64" s="115">
        <f>AB$21*$AN64/$C64</f>
        <v>1.2371749639518339</v>
      </c>
      <c r="AF64" s="115"/>
      <c r="AG64" s="115">
        <f>AC$21*$AN64/$C64</f>
        <v>1.3577995229371373</v>
      </c>
      <c r="AH64" s="115"/>
      <c r="AI64" s="115">
        <f>AD$21*$AN64/$C64</f>
        <v>1.1019822215141986</v>
      </c>
      <c r="AJ64" s="115"/>
      <c r="AK64" s="722">
        <f>1-AK63</f>
        <v>0.13549752999294284</v>
      </c>
      <c r="AL64" s="164">
        <v>0.2</v>
      </c>
      <c r="AM64" s="69">
        <f>V64*AL64/(V63*AL63+V64*AL64)</f>
        <v>7.5471698113207558E-2</v>
      </c>
      <c r="AN64" s="40">
        <f t="shared" si="19"/>
        <v>0.13549752999294284</v>
      </c>
      <c r="AO64" s="115"/>
      <c r="AP64" s="115"/>
      <c r="AQ64" s="115"/>
      <c r="AR64" s="115"/>
      <c r="AS64" s="115"/>
      <c r="AT64" s="115"/>
      <c r="AU64" s="115"/>
      <c r="AV64" s="115"/>
      <c r="AW64" s="115"/>
      <c r="AX64" s="115"/>
      <c r="AY64" s="115"/>
      <c r="AZ64" s="115"/>
      <c r="BA64" s="115"/>
      <c r="BB64" s="115"/>
      <c r="BC64" s="115"/>
      <c r="BD64" s="115"/>
      <c r="BE64" s="115"/>
      <c r="BF64" s="115"/>
      <c r="BG64" s="115"/>
      <c r="BH64" s="115"/>
      <c r="BI64" s="115"/>
      <c r="BJ64" s="115"/>
      <c r="BK64" s="115"/>
      <c r="BL64" s="115"/>
      <c r="BM64" s="115"/>
      <c r="BN64" s="115"/>
      <c r="BO64" s="115"/>
      <c r="BP64" s="115"/>
      <c r="BQ64" s="115"/>
      <c r="BR64" s="115"/>
      <c r="BS64" s="115"/>
      <c r="BT64" s="115"/>
      <c r="BU64" s="115"/>
      <c r="BV64" s="26">
        <f>BW64*$NT64</f>
        <v>0.31156218823407011</v>
      </c>
      <c r="BW64" s="115">
        <f>BP$21*$AN64/$C64</f>
        <v>0.44508884033438589</v>
      </c>
      <c r="BX64" s="55"/>
      <c r="BY64" s="143">
        <f>BW64/$OD64</f>
        <v>5.5636105041798238</v>
      </c>
      <c r="BZ64" s="335"/>
      <c r="CA64" s="127"/>
      <c r="CB64" s="127"/>
      <c r="CC64" s="127"/>
      <c r="CD64" s="115"/>
      <c r="CE64" s="115"/>
      <c r="CF64" s="115"/>
      <c r="CG64" s="115"/>
      <c r="CH64" s="115"/>
      <c r="CI64" s="127"/>
      <c r="CJ64" s="26">
        <f>CK64*$NT64</f>
        <v>0.4403610854670994</v>
      </c>
      <c r="CK64" s="115">
        <f>BQ$21*$AN64/$C64</f>
        <v>0.62908726495299916</v>
      </c>
      <c r="CL64" s="55"/>
      <c r="CM64" s="143">
        <f>CK64/$OD64</f>
        <v>7.8635908119124895</v>
      </c>
      <c r="CN64" s="335"/>
      <c r="CO64" s="127"/>
      <c r="CP64" s="127"/>
      <c r="CQ64" s="127"/>
      <c r="CW64" s="127"/>
      <c r="CX64" s="26">
        <f>CY64*$NT64</f>
        <v>0.16753006234489132</v>
      </c>
      <c r="CY64" s="115">
        <f>BR$21*$AN64/$C64</f>
        <v>0.23932866049270191</v>
      </c>
      <c r="CZ64" s="55"/>
      <c r="DA64" s="143">
        <f>CY64/$OD64</f>
        <v>2.9916082561587736</v>
      </c>
      <c r="DB64" s="335"/>
      <c r="DC64" s="127"/>
      <c r="DD64" s="127"/>
      <c r="DE64" s="127"/>
      <c r="DF64" s="115"/>
      <c r="DG64" s="115"/>
      <c r="DH64" s="115"/>
      <c r="DI64" s="115"/>
      <c r="DJ64" s="115"/>
      <c r="DK64" s="127"/>
      <c r="DL64" s="26">
        <f>DM64*$NT64</f>
        <v>0.32041934714598697</v>
      </c>
      <c r="DM64" s="115">
        <f>BS$21*$AN64/$C64</f>
        <v>0.45774192449426709</v>
      </c>
      <c r="DN64" s="55"/>
      <c r="DO64" s="143">
        <f>DM64/$OD64</f>
        <v>5.7217740561783383</v>
      </c>
      <c r="DP64" s="335"/>
      <c r="DQ64" s="127"/>
      <c r="DR64" s="127"/>
      <c r="DS64" s="127"/>
      <c r="DT64" s="37"/>
      <c r="DU64" s="37"/>
      <c r="DV64" s="37"/>
      <c r="DW64" s="37"/>
      <c r="DX64" s="37"/>
      <c r="DY64" s="127"/>
      <c r="DZ64" s="26">
        <f>EA64*$NT64</f>
        <v>0.41380214771741153</v>
      </c>
      <c r="EA64" s="115">
        <f>BT$21*$AN64/$C64</f>
        <v>0.59114592531058796</v>
      </c>
      <c r="EB64" s="55"/>
      <c r="EC64" s="143">
        <f>EA64/$OD64</f>
        <v>7.3893240663823496</v>
      </c>
      <c r="ED64" s="335"/>
      <c r="EE64" s="127"/>
      <c r="EF64" s="127"/>
      <c r="EG64" s="127"/>
      <c r="EM64" s="127"/>
      <c r="EN64" s="26">
        <f>EO64*$NT64</f>
        <v>0.21575843056352073</v>
      </c>
      <c r="EO64" s="115">
        <f>BU$21*$AN64/$C64</f>
        <v>0.30822632937645822</v>
      </c>
      <c r="EP64" s="55"/>
      <c r="EQ64" s="143">
        <f>EO64/$OD64</f>
        <v>3.8528291172057276</v>
      </c>
      <c r="ER64" s="335"/>
      <c r="ES64" s="127"/>
      <c r="ET64" s="127"/>
      <c r="EU64" s="127"/>
      <c r="EV64" s="37"/>
      <c r="EW64" s="37"/>
      <c r="EX64" s="37"/>
      <c r="EY64" s="37"/>
      <c r="EZ64" s="37"/>
      <c r="FA64" s="127"/>
      <c r="FE64" s="26">
        <f>FF64*$NT64</f>
        <v>0.63808535940779787</v>
      </c>
      <c r="FF64" s="115">
        <f>FB$21*$AN64/$C64</f>
        <v>0.91155051343971127</v>
      </c>
      <c r="FG64" s="55"/>
      <c r="FH64" s="115">
        <f>FF64/$OD64</f>
        <v>11.39438141799639</v>
      </c>
      <c r="FI64" s="335"/>
      <c r="FJ64" s="335"/>
      <c r="FK64" s="127"/>
      <c r="FL64" s="26"/>
      <c r="FR64" s="127"/>
      <c r="FS64" s="26">
        <f>FT64*$NT64</f>
        <v>0.82404853047054882</v>
      </c>
      <c r="FT64" s="115">
        <f>FC$21*$AN64/$C64</f>
        <v>1.1772121863864984</v>
      </c>
      <c r="FU64" s="55"/>
      <c r="FV64" s="115">
        <f>FT64/$OD64</f>
        <v>14.715152329831229</v>
      </c>
      <c r="FW64" s="335"/>
      <c r="FX64" s="335"/>
      <c r="FY64" s="127"/>
      <c r="FZ64" s="26"/>
      <c r="GF64" s="127"/>
      <c r="GG64" s="26">
        <f>GH64*$NT64</f>
        <v>0.42966286816838606</v>
      </c>
      <c r="GH64" s="115">
        <f>FD$21*$AN64/$C64</f>
        <v>0.61380409738340869</v>
      </c>
      <c r="GI64" s="55"/>
      <c r="GJ64" s="115">
        <f>GH64/$OD64</f>
        <v>7.6725512172926082</v>
      </c>
      <c r="GK64" s="335"/>
      <c r="GL64" s="335"/>
      <c r="GM64" s="127"/>
      <c r="GN64" s="26"/>
      <c r="GT64" s="127"/>
      <c r="GU64" s="127"/>
      <c r="GV64" s="127"/>
      <c r="GW64" s="127"/>
      <c r="GX64" s="127"/>
      <c r="GY64" s="26">
        <f>GZ64*$NT64</f>
        <v>0.10504078743815781</v>
      </c>
      <c r="GZ64" s="330">
        <f>$AN64*GU$21/C64</f>
        <v>0.15005826776879688</v>
      </c>
      <c r="HA64" s="73"/>
      <c r="HB64" s="115">
        <f>GZ64/$OD64</f>
        <v>1.8757283471099611</v>
      </c>
      <c r="HD64" s="74"/>
      <c r="HE64" s="127"/>
      <c r="HF64" s="127"/>
      <c r="HG64" s="127"/>
      <c r="HH64" s="127"/>
      <c r="HI64" s="127"/>
      <c r="HJ64" s="127"/>
      <c r="HK64" s="127"/>
      <c r="HL64" s="127"/>
      <c r="HM64" s="115">
        <f>HN64*$NT64</f>
        <v>7.4095523047934042E-2</v>
      </c>
      <c r="HN64" s="127">
        <f>$AN64*GV$21/C64</f>
        <v>0.10585074721133436</v>
      </c>
      <c r="HO64" s="73"/>
      <c r="HP64" s="115">
        <f>HN64/$OD64</f>
        <v>1.3231343401416795</v>
      </c>
      <c r="HS64" s="127"/>
      <c r="HT64" s="127"/>
      <c r="HU64" s="127"/>
      <c r="HV64" s="127"/>
      <c r="HW64" s="127"/>
      <c r="HX64" s="127"/>
      <c r="HY64" s="127"/>
      <c r="HZ64" s="127"/>
      <c r="IA64" s="115">
        <f>IB64*$NT64</f>
        <v>0.13972340260014771</v>
      </c>
      <c r="IB64" s="127">
        <f>$AN64*GW$21/C64</f>
        <v>0.19960486085735388</v>
      </c>
      <c r="IC64" s="73"/>
      <c r="ID64" s="115">
        <f>IB64/$OD64</f>
        <v>2.4950607607169233</v>
      </c>
      <c r="IE64" s="133"/>
      <c r="IG64" s="127"/>
      <c r="IH64" s="127"/>
      <c r="II64" s="127"/>
      <c r="IJ64" s="127"/>
      <c r="IK64" s="127"/>
      <c r="IL64" s="127"/>
      <c r="IM64" s="127"/>
      <c r="IN64" s="127"/>
      <c r="IO64" s="431"/>
      <c r="IP64" s="431"/>
      <c r="IQ64" s="431"/>
      <c r="IR64" s="431"/>
      <c r="IS64" s="431"/>
      <c r="IT64" s="431"/>
      <c r="IU64" s="431"/>
      <c r="IV64" s="335">
        <f>IW64*$NT64</f>
        <v>0.17298732630544447</v>
      </c>
      <c r="IW64" s="330">
        <f>AN64*JK62*C63/C64</f>
        <v>0.24712475186492069</v>
      </c>
      <c r="IX64" s="73"/>
      <c r="IY64" s="115">
        <f>IW64/$OD64</f>
        <v>3.0890593983115084</v>
      </c>
      <c r="IZ64" s="73"/>
      <c r="JA64" s="115"/>
      <c r="JB64" s="115">
        <f>$IW64*JM62/$JK62</f>
        <v>0.14178523164745549</v>
      </c>
      <c r="JC64" s="115">
        <f>$IW64*JN62/$JK62</f>
        <v>0.10533952021746518</v>
      </c>
      <c r="JD64" s="115">
        <f>$IW64*JO62/$JK62</f>
        <v>0</v>
      </c>
      <c r="KJ64" s="115">
        <f>BW64*44/12+$IW64+$GZ64</f>
        <v>2.0291754341931325</v>
      </c>
      <c r="KK64" s="74"/>
      <c r="KL64" s="74"/>
      <c r="KM64" s="143">
        <f>KJ64/$OD64</f>
        <v>25.364692927414154</v>
      </c>
      <c r="KN64" s="73"/>
      <c r="KO64" s="74"/>
      <c r="KP64" s="74"/>
      <c r="KQ64" s="74"/>
      <c r="KR64" s="74"/>
      <c r="KS64" s="73"/>
      <c r="KT64" s="115">
        <f>CK64*44/12+$IW64+$HN64</f>
        <v>2.6596288039039191</v>
      </c>
      <c r="KW64" s="143">
        <f>KT64/$OD64</f>
        <v>33.245360048798986</v>
      </c>
      <c r="KX64" s="73"/>
      <c r="LC64" s="73"/>
      <c r="LD64" s="115">
        <f>CY64*44/12+$IW64+$IB64</f>
        <v>1.3242680345288482</v>
      </c>
      <c r="LG64" s="143">
        <f>LD64/$OD64</f>
        <v>16.553350431610603</v>
      </c>
      <c r="LH64" s="73"/>
      <c r="LM64" s="73"/>
      <c r="LN64" s="115">
        <f>DM64*44/12+$IW64+$GZ64</f>
        <v>2.0755700761126969</v>
      </c>
      <c r="LQ64" s="143">
        <f>LN64/$OD64</f>
        <v>25.94462595140871</v>
      </c>
      <c r="LR64" s="73"/>
      <c r="LW64" s="73"/>
      <c r="LX64" s="115">
        <f>EA64*44/12+$IW64+$HN64</f>
        <v>2.5205105585484109</v>
      </c>
      <c r="MA64" s="143">
        <f>LX64/$OD64</f>
        <v>31.506381981855135</v>
      </c>
      <c r="MB64" s="127"/>
      <c r="MG64" s="127"/>
      <c r="MH64" s="115">
        <f>EO64*44/12+$IW64+$IB64</f>
        <v>1.5768928204359549</v>
      </c>
      <c r="MK64" s="143">
        <f>MH64/$OD64</f>
        <v>19.711160255449435</v>
      </c>
      <c r="ML64" s="127"/>
      <c r="MM64" s="127"/>
      <c r="MN64" s="127"/>
      <c r="MO64" s="127"/>
      <c r="MP64" s="127"/>
      <c r="MQ64" s="127"/>
      <c r="MW64" s="127"/>
      <c r="MX64" s="127"/>
      <c r="MY64" s="127"/>
      <c r="MZ64" s="127"/>
      <c r="NA64" s="127"/>
      <c r="NB64" s="127"/>
      <c r="NC64" s="127"/>
      <c r="ND64" s="127"/>
      <c r="NE64" s="127"/>
      <c r="NF64" s="127"/>
      <c r="NG64" s="127"/>
      <c r="NH64" s="127"/>
      <c r="NI64" s="127"/>
      <c r="NJ64" s="127"/>
      <c r="NK64" s="127"/>
      <c r="NL64" s="127"/>
      <c r="NM64" s="127"/>
      <c r="NN64" s="127"/>
      <c r="NO64" s="127"/>
      <c r="NP64" s="127"/>
      <c r="NQ64" s="127"/>
      <c r="NT64" s="31">
        <v>0.7</v>
      </c>
      <c r="NU64" s="31"/>
      <c r="NV64" s="32">
        <f t="shared" ref="NV64" si="20">$NT64*NW64</f>
        <v>11.2</v>
      </c>
      <c r="NW64" s="43">
        <v>16</v>
      </c>
      <c r="NX64" s="43"/>
      <c r="NY64" s="43"/>
      <c r="NZ64" s="43"/>
      <c r="OA64" s="32"/>
      <c r="OB64" s="43"/>
      <c r="OC64" s="38">
        <f t="shared" ref="OC64" si="21">$NT64*OD64</f>
        <v>5.5999999999999994E-2</v>
      </c>
      <c r="OD64" s="35">
        <v>0.08</v>
      </c>
      <c r="OE64" s="38">
        <f t="shared" ref="OE64" si="22">$NT64*OF64</f>
        <v>3.4999999999999996E-3</v>
      </c>
      <c r="OF64" s="35">
        <v>5.0000000000000001E-3</v>
      </c>
    </row>
    <row r="65" spans="1:494" x14ac:dyDescent="0.25">
      <c r="A65" s="37" t="s">
        <v>219</v>
      </c>
      <c r="B65" s="52"/>
      <c r="C65" s="69">
        <f>1-C63-C64</f>
        <v>0.59000000000000008</v>
      </c>
      <c r="V65" s="55"/>
      <c r="W65" s="55"/>
      <c r="X65" s="73"/>
      <c r="Y65" s="26"/>
      <c r="Z65" s="26"/>
      <c r="AA65" s="26"/>
      <c r="AB65" s="26"/>
      <c r="AE65" s="115"/>
      <c r="AF65" s="115"/>
      <c r="AG65" s="115"/>
      <c r="AH65" s="115"/>
      <c r="AI65" s="115"/>
      <c r="AJ65" s="115"/>
      <c r="AK65" s="722"/>
      <c r="AL65" s="74"/>
      <c r="AN65" s="40">
        <f>1-AN63-AN64</f>
        <v>0</v>
      </c>
      <c r="AO65" s="115"/>
      <c r="AP65" s="115"/>
      <c r="AQ65" s="115"/>
      <c r="AR65" s="115"/>
      <c r="AS65" s="115"/>
      <c r="AT65" s="115"/>
      <c r="AU65" s="115"/>
      <c r="AV65" s="115"/>
      <c r="AW65" s="115"/>
      <c r="AX65" s="115"/>
      <c r="AY65" s="115"/>
      <c r="AZ65" s="115"/>
      <c r="BA65" s="115"/>
      <c r="BB65" s="115"/>
      <c r="BC65" s="115"/>
      <c r="BD65" s="115"/>
      <c r="BE65" s="115"/>
      <c r="BF65" s="115"/>
      <c r="BG65" s="115"/>
      <c r="BH65" s="115"/>
      <c r="BI65" s="115"/>
      <c r="BJ65" s="115"/>
      <c r="BK65" s="115"/>
      <c r="BL65" s="115"/>
      <c r="BM65" s="115"/>
      <c r="BN65" s="115"/>
      <c r="BO65" s="115"/>
      <c r="BP65" s="115"/>
      <c r="BQ65" s="115"/>
      <c r="BR65" s="115"/>
      <c r="BS65" s="115"/>
      <c r="BT65" s="115"/>
      <c r="BU65" s="115"/>
      <c r="BW65" s="115"/>
      <c r="CA65" s="74"/>
      <c r="CB65" s="74"/>
      <c r="CC65" s="74"/>
      <c r="CD65" s="115"/>
      <c r="CE65" s="115"/>
      <c r="CF65" s="115"/>
      <c r="CG65" s="115"/>
      <c r="CH65" s="115"/>
      <c r="CI65" s="74"/>
      <c r="CK65" s="115"/>
      <c r="CX65" s="37"/>
      <c r="CY65" s="115"/>
      <c r="CZ65" s="37"/>
      <c r="DA65" s="37"/>
      <c r="DB65" s="37"/>
      <c r="DF65" s="115"/>
      <c r="DG65" s="115"/>
      <c r="DH65" s="115"/>
      <c r="DI65" s="115"/>
      <c r="DJ65" s="115"/>
      <c r="DL65" s="37"/>
      <c r="DM65" s="115"/>
      <c r="DN65" s="37"/>
      <c r="DO65" s="37"/>
      <c r="DP65" s="37"/>
      <c r="DT65" s="37"/>
      <c r="DU65" s="37"/>
      <c r="DV65" s="37"/>
      <c r="DW65" s="37"/>
      <c r="DX65" s="37"/>
      <c r="EA65" s="115"/>
      <c r="EN65" s="37"/>
      <c r="EO65" s="115"/>
      <c r="EP65" s="37"/>
      <c r="EQ65" s="37"/>
      <c r="ER65" s="37"/>
      <c r="EV65" s="37"/>
      <c r="EW65" s="37"/>
      <c r="EX65" s="37"/>
      <c r="EY65" s="37"/>
      <c r="EZ65" s="37"/>
      <c r="FF65" s="115"/>
      <c r="FH65" s="74"/>
      <c r="FK65" s="74"/>
      <c r="FR65" s="74"/>
      <c r="FT65" s="115"/>
      <c r="FZ65" s="37"/>
      <c r="GH65" s="115"/>
      <c r="GJ65" s="74"/>
      <c r="GM65" s="74"/>
      <c r="GT65" s="74"/>
      <c r="GU65" s="74"/>
      <c r="GV65" s="74"/>
      <c r="GW65" s="74"/>
      <c r="GX65" s="74"/>
      <c r="HB65" s="74"/>
      <c r="HD65" s="74"/>
      <c r="HE65" s="74"/>
      <c r="HF65" s="74"/>
      <c r="HG65" s="74"/>
      <c r="HH65" s="74"/>
      <c r="HI65" s="74"/>
      <c r="HJ65" s="74"/>
      <c r="HK65" s="74"/>
      <c r="HL65" s="74"/>
      <c r="IA65" s="133"/>
      <c r="IB65" s="133"/>
      <c r="IC65" s="133"/>
      <c r="IE65" s="133"/>
      <c r="IO65" s="97"/>
      <c r="IP65" s="97"/>
      <c r="IQ65" s="97"/>
      <c r="IR65" s="97"/>
      <c r="IS65" s="97"/>
      <c r="IT65" s="97"/>
      <c r="IU65" s="97"/>
      <c r="NT65" s="31"/>
      <c r="NU65" s="31"/>
      <c r="NV65" s="32"/>
      <c r="NW65" s="43"/>
      <c r="NX65" s="43"/>
      <c r="NY65" s="43"/>
      <c r="NZ65" s="43"/>
      <c r="OA65" s="32"/>
      <c r="OB65" s="43"/>
      <c r="OC65" s="38"/>
      <c r="OD65" s="35"/>
      <c r="OE65" s="38"/>
      <c r="OF65" s="35"/>
    </row>
    <row r="66" spans="1:494" x14ac:dyDescent="0.25">
      <c r="A66" s="9"/>
      <c r="AE66" s="115"/>
      <c r="AF66" s="115"/>
      <c r="AG66" s="115"/>
      <c r="AH66" s="115"/>
      <c r="AI66" s="115"/>
      <c r="AJ66" s="115"/>
      <c r="AL66" s="74"/>
      <c r="AO66" s="115"/>
      <c r="AP66" s="115"/>
      <c r="AQ66" s="115"/>
      <c r="AR66" s="115"/>
      <c r="AS66" s="115"/>
      <c r="AT66" s="115"/>
      <c r="AU66" s="115"/>
      <c r="AV66" s="115"/>
      <c r="AW66" s="115"/>
      <c r="AX66" s="115"/>
      <c r="AY66" s="115"/>
      <c r="AZ66" s="115"/>
      <c r="BA66" s="115"/>
      <c r="BB66" s="115"/>
      <c r="BC66" s="115"/>
      <c r="BD66" s="115"/>
      <c r="BE66" s="115"/>
      <c r="BF66" s="115"/>
      <c r="BG66" s="115"/>
      <c r="BH66" s="115"/>
      <c r="BI66" s="115"/>
      <c r="BJ66" s="115"/>
      <c r="BK66" s="115"/>
      <c r="BL66" s="115"/>
      <c r="BM66" s="115"/>
      <c r="BN66" s="115"/>
      <c r="BO66" s="115"/>
      <c r="BP66" s="115"/>
      <c r="BQ66" s="115"/>
      <c r="BR66" s="115"/>
      <c r="BS66" s="115"/>
      <c r="BT66" s="115"/>
      <c r="BU66" s="115"/>
      <c r="BW66" s="115"/>
      <c r="CA66" s="74"/>
      <c r="CB66" s="74"/>
      <c r="CC66" s="74"/>
      <c r="CD66" s="115"/>
      <c r="CE66" s="115"/>
      <c r="CF66" s="115"/>
      <c r="CG66" s="115"/>
      <c r="CH66" s="115"/>
      <c r="CI66" s="74"/>
      <c r="CK66" s="115"/>
      <c r="CX66" s="37"/>
      <c r="CY66" s="115"/>
      <c r="CZ66" s="37"/>
      <c r="DA66" s="37"/>
      <c r="DB66" s="37"/>
      <c r="DF66" s="115"/>
      <c r="DG66" s="115"/>
      <c r="DH66" s="115"/>
      <c r="DI66" s="115"/>
      <c r="DJ66" s="115"/>
      <c r="DL66" s="37"/>
      <c r="DM66" s="115"/>
      <c r="DN66" s="37"/>
      <c r="DO66" s="37"/>
      <c r="DP66" s="37"/>
      <c r="DT66" s="37"/>
      <c r="DU66" s="37"/>
      <c r="DV66" s="37"/>
      <c r="DW66" s="37"/>
      <c r="DX66" s="37"/>
      <c r="EA66" s="115"/>
      <c r="EN66" s="37"/>
      <c r="EO66" s="115"/>
      <c r="EP66" s="37"/>
      <c r="EQ66" s="37"/>
      <c r="ER66" s="37"/>
      <c r="EV66" s="37"/>
      <c r="EW66" s="37"/>
      <c r="EX66" s="37"/>
      <c r="EY66" s="37"/>
      <c r="EZ66" s="37"/>
      <c r="FF66" s="115"/>
      <c r="FH66" s="74"/>
      <c r="FK66" s="74"/>
      <c r="FR66" s="74"/>
      <c r="FT66" s="115"/>
      <c r="FZ66" s="37"/>
      <c r="GH66" s="115"/>
      <c r="GJ66" s="74"/>
      <c r="GM66" s="74"/>
      <c r="GT66" s="74"/>
      <c r="GU66" s="74"/>
      <c r="GV66" s="74"/>
      <c r="GW66" s="74"/>
      <c r="GX66" s="74"/>
      <c r="HB66" s="74"/>
      <c r="HD66" s="74"/>
      <c r="HE66" s="74"/>
      <c r="HF66" s="74"/>
      <c r="HG66" s="74"/>
      <c r="HH66" s="74"/>
      <c r="HI66" s="74"/>
      <c r="HJ66" s="74"/>
      <c r="HK66" s="74"/>
      <c r="HL66" s="74"/>
      <c r="IA66" s="133"/>
      <c r="IB66" s="133"/>
      <c r="IC66" s="133"/>
      <c r="IE66" s="133"/>
      <c r="IO66" s="595"/>
      <c r="IP66" s="595"/>
      <c r="IQ66" s="595"/>
      <c r="IR66" s="595"/>
      <c r="IS66" s="595"/>
      <c r="IT66" s="595"/>
      <c r="IU66" s="595"/>
      <c r="OB66" s="26"/>
    </row>
    <row r="67" spans="1:494" x14ac:dyDescent="0.25">
      <c r="A67" s="9" t="s">
        <v>177</v>
      </c>
      <c r="AE67" s="115"/>
      <c r="AF67" s="115"/>
      <c r="AG67" s="115"/>
      <c r="AH67" s="115"/>
      <c r="AI67" s="115"/>
      <c r="AJ67" s="115"/>
      <c r="AL67" s="74"/>
      <c r="AO67" s="115"/>
      <c r="AP67" s="115"/>
      <c r="AQ67" s="115"/>
      <c r="AR67" s="115"/>
      <c r="AS67" s="115"/>
      <c r="AT67" s="115"/>
      <c r="AU67" s="115"/>
      <c r="AV67" s="115"/>
      <c r="AW67" s="115"/>
      <c r="AX67" s="115"/>
      <c r="AY67" s="115"/>
      <c r="AZ67" s="115"/>
      <c r="BA67" s="115"/>
      <c r="BB67" s="115"/>
      <c r="BC67" s="115"/>
      <c r="BD67" s="115"/>
      <c r="BE67" s="115"/>
      <c r="BF67" s="115"/>
      <c r="BG67" s="115"/>
      <c r="BH67" s="115"/>
      <c r="BI67" s="115"/>
      <c r="BJ67" s="115"/>
      <c r="BK67" s="115"/>
      <c r="BL67" s="115"/>
      <c r="BM67" s="115"/>
      <c r="BN67" s="115"/>
      <c r="BO67" s="115"/>
      <c r="BP67" s="115"/>
      <c r="BQ67" s="115"/>
      <c r="BR67" s="115"/>
      <c r="BS67" s="115"/>
      <c r="BT67" s="115"/>
      <c r="BU67" s="115"/>
      <c r="BW67" s="115"/>
      <c r="CA67" s="74"/>
      <c r="CB67" s="74"/>
      <c r="CC67" s="74"/>
      <c r="CD67" s="115"/>
      <c r="CE67" s="115"/>
      <c r="CF67" s="115"/>
      <c r="CG67" s="115"/>
      <c r="CH67" s="115"/>
      <c r="CI67" s="74"/>
      <c r="CK67" s="115"/>
      <c r="CX67" s="37"/>
      <c r="CY67" s="115"/>
      <c r="CZ67" s="37"/>
      <c r="DA67" s="37"/>
      <c r="DB67" s="37"/>
      <c r="DF67" s="115"/>
      <c r="DG67" s="115"/>
      <c r="DH67" s="115"/>
      <c r="DI67" s="115"/>
      <c r="DJ67" s="115"/>
      <c r="DL67" s="37"/>
      <c r="DM67" s="115"/>
      <c r="DN67" s="37"/>
      <c r="DO67" s="37"/>
      <c r="DP67" s="37"/>
      <c r="DT67" s="37"/>
      <c r="DU67" s="37"/>
      <c r="DV67" s="37"/>
      <c r="DW67" s="37"/>
      <c r="DX67" s="37"/>
      <c r="EA67" s="115"/>
      <c r="EN67" s="37"/>
      <c r="EO67" s="115"/>
      <c r="EP67" s="37"/>
      <c r="EQ67" s="37"/>
      <c r="ER67" s="37"/>
      <c r="EV67" s="37"/>
      <c r="EW67" s="37"/>
      <c r="EX67" s="37"/>
      <c r="EY67" s="37"/>
      <c r="EZ67" s="37"/>
      <c r="FF67" s="115"/>
      <c r="FH67" s="74"/>
      <c r="FK67" s="74"/>
      <c r="FR67" s="74"/>
      <c r="FT67" s="115"/>
      <c r="FZ67" s="37"/>
      <c r="GH67" s="115"/>
      <c r="GJ67" s="74"/>
      <c r="GM67" s="74"/>
      <c r="GT67" s="74"/>
      <c r="GU67" s="74"/>
      <c r="GV67" s="74"/>
      <c r="GW67" s="74"/>
      <c r="GX67" s="74"/>
      <c r="HB67" s="74"/>
      <c r="HD67" s="74"/>
      <c r="HE67" s="74"/>
      <c r="HF67" s="74"/>
      <c r="HG67" s="74"/>
      <c r="HH67" s="74"/>
      <c r="HI67" s="74"/>
      <c r="HJ67" s="74"/>
      <c r="HK67" s="74"/>
      <c r="HL67" s="74"/>
      <c r="IA67" s="133"/>
      <c r="IB67" s="133"/>
      <c r="IC67" s="133"/>
      <c r="IE67" s="133"/>
      <c r="IO67" s="68">
        <f>IP67+IQ67+IR67+IS67+IT67+IU67</f>
        <v>14.400227815757576</v>
      </c>
      <c r="IP67" s="97">
        <f>JS67*$W68</f>
        <v>7.7298830157570908</v>
      </c>
      <c r="IQ67" s="97">
        <f>JU67*$W68</f>
        <v>6.6703448000004855</v>
      </c>
      <c r="IR67" s="97">
        <f>JX67*$W68</f>
        <v>0</v>
      </c>
      <c r="IS67" s="97">
        <f>KB67*$W68</f>
        <v>0</v>
      </c>
      <c r="IT67" s="97">
        <f>KF67*$W68</f>
        <v>0</v>
      </c>
      <c r="IU67" s="97">
        <f>KH67*$W68</f>
        <v>0</v>
      </c>
      <c r="JK67" s="115">
        <f>JM67+JN67+JO67</f>
        <v>0.45000711924242426</v>
      </c>
      <c r="JM67" s="179">
        <f>JS67+KB67</f>
        <v>0.24155884424240909</v>
      </c>
      <c r="JN67" s="179">
        <f>JU67+KF67</f>
        <v>0.20844827500001517</v>
      </c>
      <c r="JO67" s="179">
        <f>JX67+KH67</f>
        <v>0</v>
      </c>
      <c r="JQ67" s="127">
        <f>JS67+JU67+JX67</f>
        <v>0.45000711924242426</v>
      </c>
      <c r="JS67" s="172">
        <f>'Crops; pasture AMORTIZED'!FY35/$C68</f>
        <v>0.24155884424240909</v>
      </c>
      <c r="JU67" s="172">
        <f>'Crops; pasture AMORTIZED'!FW35/$C68</f>
        <v>0.20844827500001517</v>
      </c>
      <c r="KD67" s="74"/>
      <c r="KE67" s="74"/>
      <c r="KF67" s="74"/>
      <c r="KG67" s="74"/>
      <c r="KH67" s="74"/>
      <c r="KI67" s="74"/>
      <c r="OB67" s="26"/>
    </row>
    <row r="68" spans="1:494" x14ac:dyDescent="0.25">
      <c r="A68" s="37" t="s">
        <v>178</v>
      </c>
      <c r="B68" s="52">
        <f>C68*NT22/NT68</f>
        <v>0.13200000000000001</v>
      </c>
      <c r="C68" s="39">
        <v>0.55000000000000004</v>
      </c>
      <c r="D68" s="722">
        <f>C68*NW68/NW22</f>
        <v>0.56617647058823528</v>
      </c>
      <c r="E68" s="104"/>
      <c r="F68" s="104"/>
      <c r="G68" s="104"/>
      <c r="H68" s="104"/>
      <c r="I68" s="104"/>
      <c r="J68" s="104"/>
      <c r="K68" s="104"/>
      <c r="L68" s="104"/>
      <c r="M68" s="104"/>
      <c r="N68" s="69"/>
      <c r="V68" s="55">
        <f>W68/NT68</f>
        <v>32</v>
      </c>
      <c r="W68" s="112">
        <v>32</v>
      </c>
      <c r="X68" s="295"/>
      <c r="Y68" s="26">
        <f>W68*NW68/10^3</f>
        <v>0.56000000000000005</v>
      </c>
      <c r="Z68" s="26">
        <f>W68*OB68/10^3</f>
        <v>0.51839999999999997</v>
      </c>
      <c r="AA68" s="26"/>
      <c r="AB68" s="26"/>
      <c r="AE68" s="115">
        <f>AB$22*$AN68/$C68</f>
        <v>1.0237863575946171</v>
      </c>
      <c r="AF68" s="115"/>
      <c r="AG68" s="115">
        <f>AC$22*$AN68/$C68</f>
        <v>1.0966602621707355</v>
      </c>
      <c r="AH68" s="115"/>
      <c r="AI68" s="115">
        <f>AD$22*$AN68/$C68</f>
        <v>0.84283960078492925</v>
      </c>
      <c r="AJ68" s="115"/>
      <c r="AK68" s="722">
        <f>Y68/(Y68+Y69+Y70)</f>
        <v>0.62970232253843639</v>
      </c>
      <c r="AL68" s="164">
        <v>0.6</v>
      </c>
      <c r="AM68" s="104">
        <f>V68*AL68/(V68*AL68+V69*AL69+V70*AL70)</f>
        <v>0.79900076863950809</v>
      </c>
      <c r="AN68" s="40">
        <f t="shared" ref="AN68:AN70" si="23">AK68</f>
        <v>0.62970232253843639</v>
      </c>
      <c r="AO68" s="115"/>
      <c r="AP68" s="115"/>
      <c r="AQ68" s="115"/>
      <c r="AR68" s="115"/>
      <c r="AS68" s="115"/>
      <c r="AT68" s="115"/>
      <c r="AU68" s="115"/>
      <c r="AV68" s="115"/>
      <c r="AW68" s="115"/>
      <c r="AX68" s="115"/>
      <c r="AY68" s="115"/>
      <c r="AZ68" s="115"/>
      <c r="BA68" s="115"/>
      <c r="BB68" s="115"/>
      <c r="BC68" s="115"/>
      <c r="BD68" s="115"/>
      <c r="BE68" s="115"/>
      <c r="BF68" s="115"/>
      <c r="BG68" s="115"/>
      <c r="BH68" s="115"/>
      <c r="BI68" s="115"/>
      <c r="BJ68" s="115"/>
      <c r="BK68" s="115"/>
      <c r="BL68" s="115"/>
      <c r="BM68" s="115"/>
      <c r="BN68" s="115"/>
      <c r="BO68" s="115"/>
      <c r="BP68" s="115"/>
      <c r="BQ68" s="115"/>
      <c r="BR68" s="115"/>
      <c r="BS68" s="115"/>
      <c r="BT68" s="115"/>
      <c r="BU68" s="115"/>
      <c r="BV68" s="26">
        <f>BW68*$NT68</f>
        <v>0.25460285041905328</v>
      </c>
      <c r="BW68" s="127">
        <f>BP$22*$AN68/$C68</f>
        <v>0.25460285041905328</v>
      </c>
      <c r="BX68" s="685">
        <f>10^3*BW68/$OB68</f>
        <v>15.716225334509463</v>
      </c>
      <c r="BZ68" s="115">
        <f>10^3*BW68/$NW68</f>
        <v>14.548734309660187</v>
      </c>
      <c r="CA68" s="115"/>
      <c r="CB68" s="115"/>
      <c r="CC68" s="115"/>
      <c r="CD68" s="115"/>
      <c r="CE68" s="115"/>
      <c r="CF68" s="115"/>
      <c r="CG68" s="115"/>
      <c r="CH68" s="115"/>
      <c r="CI68" s="115"/>
      <c r="CJ68" s="26">
        <f>CK68*$NT68</f>
        <v>0.30250780741770367</v>
      </c>
      <c r="CK68" s="115">
        <f>BQ$22*$AN68/$C68</f>
        <v>0.30250780741770367</v>
      </c>
      <c r="CL68" s="685">
        <f>10^3*CK68/$OB68</f>
        <v>18.673321445537262</v>
      </c>
      <c r="CN68" s="115">
        <f>10^3*CK68/$NW68</f>
        <v>17.286160423868779</v>
      </c>
      <c r="CO68" s="115"/>
      <c r="CP68" s="115"/>
      <c r="CQ68" s="115"/>
      <c r="CW68" s="115"/>
      <c r="CX68" s="26">
        <f>CY68*$NT68</f>
        <v>0.13545494352147164</v>
      </c>
      <c r="CY68" s="115">
        <f>BR$22*$AN68/$C68</f>
        <v>0.13545494352147164</v>
      </c>
      <c r="CZ68" s="685">
        <f>10^3*CY68/$OB68</f>
        <v>8.3614162667575087</v>
      </c>
      <c r="DA68" s="37"/>
      <c r="DB68" s="115">
        <f>10^3*CY68/$NW68</f>
        <v>7.7402824869412372</v>
      </c>
      <c r="DC68" s="115"/>
      <c r="DD68" s="115"/>
      <c r="DE68" s="115"/>
      <c r="DF68" s="115"/>
      <c r="DG68" s="115"/>
      <c r="DH68" s="115"/>
      <c r="DI68" s="115"/>
      <c r="DJ68" s="115"/>
      <c r="DK68" s="115"/>
      <c r="DL68" s="26">
        <f>DM68*$NT68</f>
        <v>0.26797800177458425</v>
      </c>
      <c r="DM68" s="115">
        <f>BS$22*$AN68/$C68</f>
        <v>0.26797800177458425</v>
      </c>
      <c r="DN68" s="685">
        <f>10^3*DM68/$OB68</f>
        <v>16.541851961394091</v>
      </c>
      <c r="DO68" s="37"/>
      <c r="DP68" s="115">
        <f>10^3*DM68/$NW68</f>
        <v>15.313028672833385</v>
      </c>
      <c r="DQ68" s="115"/>
      <c r="DR68" s="115"/>
      <c r="DS68" s="115"/>
      <c r="DT68" s="37"/>
      <c r="DU68" s="37"/>
      <c r="DV68" s="37"/>
      <c r="DW68" s="37"/>
      <c r="DX68" s="37"/>
      <c r="DY68" s="115"/>
      <c r="DZ68" s="26">
        <f>EA68*$NT68</f>
        <v>0.30618707198975775</v>
      </c>
      <c r="EA68" s="115">
        <f>BT$22*$AN68/$C68</f>
        <v>0.30618707198975775</v>
      </c>
      <c r="EB68" s="685">
        <f>10^3*EA68/$OB68</f>
        <v>18.900436542577637</v>
      </c>
      <c r="ED68" s="115">
        <f>10^3*EA68/$NW68</f>
        <v>17.496404113700443</v>
      </c>
      <c r="EE68" s="115"/>
      <c r="EF68" s="115"/>
      <c r="EG68" s="115"/>
      <c r="EM68" s="115"/>
      <c r="EN68" s="26">
        <f>EO68*$NT68</f>
        <v>0.17310443384427432</v>
      </c>
      <c r="EO68" s="115">
        <f>BU$22*$AN68/$C68</f>
        <v>0.17310443384427432</v>
      </c>
      <c r="EP68" s="685">
        <f>10^3*EO68/$OB68</f>
        <v>10.685458879276194</v>
      </c>
      <c r="EQ68" s="37"/>
      <c r="ER68" s="115">
        <f>10^3*EO68/$NW68</f>
        <v>9.891681933958532</v>
      </c>
      <c r="ES68" s="115"/>
      <c r="ET68" s="115"/>
      <c r="EU68" s="115"/>
      <c r="EV68" s="37"/>
      <c r="EW68" s="37"/>
      <c r="EX68" s="37"/>
      <c r="EY68" s="37"/>
      <c r="EZ68" s="37"/>
      <c r="FA68" s="115"/>
      <c r="FE68" s="26">
        <f>FF68*$NT68</f>
        <v>0.53365329247054694</v>
      </c>
      <c r="FF68" s="115">
        <f>FB$22*$AN68/$C68</f>
        <v>0.53365329247054694</v>
      </c>
      <c r="FG68" s="272">
        <f>10^3*FF68/$OB68</f>
        <v>32.941561263614012</v>
      </c>
      <c r="FH68" s="115"/>
      <c r="FI68" s="115">
        <f>10^3*FF68/$NW68</f>
        <v>30.494473855459827</v>
      </c>
      <c r="FJ68" s="115"/>
      <c r="FK68" s="115"/>
      <c r="FL68" s="26"/>
      <c r="FR68" s="115"/>
      <c r="FS68" s="26">
        <f>FT68*$NT68</f>
        <v>0.60974310576692892</v>
      </c>
      <c r="FT68" s="115">
        <f>FC$22*$AN68/$C68</f>
        <v>0.60974310576692892</v>
      </c>
      <c r="FU68" s="272">
        <f>10^3*FT68/$OB68</f>
        <v>37.638463318946229</v>
      </c>
      <c r="FV68" s="115"/>
      <c r="FW68" s="115">
        <f>10^3*FT68/$NW68</f>
        <v>34.842463186681655</v>
      </c>
      <c r="FX68" s="115"/>
      <c r="FY68" s="115"/>
      <c r="FZ68" s="26"/>
      <c r="GF68" s="115"/>
      <c r="GG68" s="26">
        <f>GH68*$NT68</f>
        <v>0.34472139672103602</v>
      </c>
      <c r="GH68" s="115">
        <f>FD$22*$AN68/$C68</f>
        <v>0.34472139672103602</v>
      </c>
      <c r="GI68" s="272">
        <f>10^3*GH68/$OB68</f>
        <v>21.279098563026913</v>
      </c>
      <c r="GJ68" s="115"/>
      <c r="GK68" s="115">
        <f>10^3*GH68/$NW68</f>
        <v>19.698365526916344</v>
      </c>
      <c r="GL68" s="115"/>
      <c r="GM68" s="115"/>
      <c r="GN68" s="26"/>
      <c r="GT68" s="115"/>
      <c r="GU68" s="115"/>
      <c r="GV68" s="115"/>
      <c r="GW68" s="115"/>
      <c r="GX68" s="115"/>
      <c r="GY68" s="26">
        <f>GZ68*$NT68</f>
        <v>5.9341413170144297E-2</v>
      </c>
      <c r="GZ68" s="127">
        <f>$AN68*GU$22/C68</f>
        <v>5.9341413170144297E-2</v>
      </c>
      <c r="HA68" s="673">
        <f>10^3*GZ68/$OB68</f>
        <v>3.6630501956879198</v>
      </c>
      <c r="HB68" s="74"/>
      <c r="HD68" s="74"/>
      <c r="HE68" s="115"/>
      <c r="HF68" s="115"/>
      <c r="HG68" s="115"/>
      <c r="HH68" s="115"/>
      <c r="HI68" s="115"/>
      <c r="HJ68" s="115"/>
      <c r="HK68" s="115"/>
      <c r="HL68" s="115"/>
      <c r="HM68" s="115">
        <f>HN68*$NT68</f>
        <v>7.3775040200431907E-2</v>
      </c>
      <c r="HN68" s="127">
        <f>$AN68*GV$22/C68</f>
        <v>7.3775040200431907E-2</v>
      </c>
      <c r="HO68" s="73">
        <f>10^3*HN68/$OB68</f>
        <v>4.5540148271871548</v>
      </c>
      <c r="HS68" s="115"/>
      <c r="HT68" s="115"/>
      <c r="HU68" s="115"/>
      <c r="HV68" s="115"/>
      <c r="HW68" s="115"/>
      <c r="HX68" s="115"/>
      <c r="HY68" s="115"/>
      <c r="HZ68" s="115"/>
      <c r="IA68" s="115">
        <f>IB68*$NT68</f>
        <v>2.3502548554303719E-2</v>
      </c>
      <c r="IB68" s="127">
        <f>$AN68*GW$22/C68</f>
        <v>2.3502548554303719E-2</v>
      </c>
      <c r="IC68" s="73">
        <f>10^3*IB68/$OB68</f>
        <v>1.4507746021175136</v>
      </c>
      <c r="IE68" s="133"/>
      <c r="IG68" s="115"/>
      <c r="IH68" s="115"/>
      <c r="II68" s="115"/>
      <c r="IJ68" s="115"/>
      <c r="IK68" s="115"/>
      <c r="IL68" s="115"/>
      <c r="IM68" s="115"/>
      <c r="IN68" s="115"/>
      <c r="IO68" s="431"/>
      <c r="IP68" s="431"/>
      <c r="IQ68" s="431"/>
      <c r="IR68" s="431"/>
      <c r="IS68" s="431"/>
      <c r="IT68" s="431"/>
      <c r="IU68" s="431"/>
      <c r="IV68" s="335">
        <f>IW68*$NT68</f>
        <v>0.28337052814578567</v>
      </c>
      <c r="IW68" s="127">
        <f>AN68*JK67</f>
        <v>0.28337052814578567</v>
      </c>
      <c r="IX68" s="673">
        <f>10^3*IW68/OB68</f>
        <v>17.492007910233685</v>
      </c>
      <c r="IZ68" s="73"/>
      <c r="JA68" s="115"/>
      <c r="JB68" s="115">
        <f>$IW68*JM67/$JK67</f>
        <v>0.15211016524914542</v>
      </c>
      <c r="JC68" s="115">
        <f>$IW68*JN67/$JK67</f>
        <v>0.13126036289664025</v>
      </c>
      <c r="JD68" s="115">
        <f>$IW68*JO67/$JK67</f>
        <v>0</v>
      </c>
      <c r="KJ68" s="115">
        <f>BW68*44/12+$IW68+$GZ68</f>
        <v>1.2762557261857919</v>
      </c>
      <c r="KK68" s="74"/>
      <c r="KL68" s="677">
        <f>10^3*KJ68/$OB68</f>
        <v>78.781217665789626</v>
      </c>
      <c r="KM68" s="74"/>
      <c r="KN68" s="73"/>
      <c r="KO68" s="115"/>
      <c r="KP68" s="115"/>
      <c r="KQ68" s="115"/>
      <c r="KR68" s="115"/>
      <c r="KS68" s="73"/>
      <c r="KT68" s="115">
        <f>CK68*44/12+$IW68+$HN68</f>
        <v>1.4663408622111311</v>
      </c>
      <c r="KV68" s="677">
        <f>10^3*KT68/$OB68</f>
        <v>90.514868037724142</v>
      </c>
      <c r="KX68" s="73"/>
      <c r="KY68" s="115"/>
      <c r="KZ68" s="115"/>
      <c r="LA68" s="115"/>
      <c r="LB68" s="115"/>
      <c r="LC68" s="73"/>
      <c r="LD68" s="115">
        <f>CY68*44/12+$IW68+$IB68</f>
        <v>0.80354120294548537</v>
      </c>
      <c r="LF68" s="677">
        <f>10^3*LD68/$OB68</f>
        <v>49.601308823795392</v>
      </c>
      <c r="LH68" s="73"/>
      <c r="LI68" s="115"/>
      <c r="LJ68" s="115"/>
      <c r="LK68" s="115"/>
      <c r="LL68" s="115"/>
      <c r="LM68" s="73"/>
      <c r="LN68" s="115">
        <f>DM68*44/12+$IW68+$GZ68</f>
        <v>1.3252979478227389</v>
      </c>
      <c r="LP68" s="677">
        <f>10^3*LN68/$OB68</f>
        <v>81.808515297699941</v>
      </c>
      <c r="LR68" s="73"/>
      <c r="LW68" s="73"/>
      <c r="LX68" s="115">
        <f>EA68*44/12+$IW68+$HN68</f>
        <v>1.4798314989753294</v>
      </c>
      <c r="LZ68" s="677">
        <f>10^3*LX68/$OB68</f>
        <v>91.347623393538854</v>
      </c>
      <c r="MB68" s="73"/>
      <c r="MG68" s="73"/>
      <c r="MH68" s="115">
        <f>EO68*44/12+$IW68+$IB68</f>
        <v>0.94158933412909518</v>
      </c>
      <c r="MJ68" s="677">
        <f>10^3*MH68/$OB68</f>
        <v>58.122798403030565</v>
      </c>
      <c r="ML68" s="115"/>
      <c r="MM68" s="115"/>
      <c r="MN68" s="115"/>
      <c r="MO68" s="115"/>
      <c r="MP68" s="115"/>
      <c r="MQ68" s="115"/>
      <c r="MW68" s="115"/>
      <c r="MX68" s="115"/>
      <c r="MY68" s="115"/>
      <c r="MZ68" s="115"/>
      <c r="NA68" s="115"/>
      <c r="NB68" s="115"/>
      <c r="NC68" s="115"/>
      <c r="ND68" s="115"/>
      <c r="NE68" s="115"/>
      <c r="NF68" s="115"/>
      <c r="NG68" s="115"/>
      <c r="NH68" s="115"/>
      <c r="NI68" s="115"/>
      <c r="NJ68" s="115"/>
      <c r="NK68" s="115"/>
      <c r="NL68" s="115"/>
      <c r="NM68" s="115"/>
      <c r="NN68" s="115"/>
      <c r="NO68" s="115"/>
      <c r="NP68" s="115"/>
      <c r="NQ68" s="115"/>
      <c r="NT68" s="31">
        <v>1</v>
      </c>
      <c r="NU68" s="31"/>
      <c r="NV68" s="32">
        <f>$NT68*NW68</f>
        <v>17.5</v>
      </c>
      <c r="NW68" s="9">
        <v>17.5</v>
      </c>
      <c r="NX68" s="9"/>
      <c r="NY68" s="9"/>
      <c r="NZ68" s="9"/>
      <c r="OA68" s="32">
        <f>$NT68*OB68</f>
        <v>16.2</v>
      </c>
      <c r="OB68" s="43">
        <v>16.2</v>
      </c>
      <c r="OC68" s="38">
        <f>$NT68*OD68</f>
        <v>0</v>
      </c>
      <c r="OD68" s="31">
        <v>0</v>
      </c>
      <c r="OE68" s="38">
        <f>$NT68*OF68</f>
        <v>0</v>
      </c>
      <c r="OF68" s="31">
        <v>0</v>
      </c>
    </row>
    <row r="69" spans="1:494" x14ac:dyDescent="0.25">
      <c r="A69" s="37" t="s">
        <v>179</v>
      </c>
      <c r="B69" s="52">
        <f>C69*NT22/NT69</f>
        <v>4.6285714285714284E-2</v>
      </c>
      <c r="C69" s="45">
        <v>0.13500000000000001</v>
      </c>
      <c r="D69" s="722">
        <f>C69*NW69/NW22</f>
        <v>0.12705882352941178</v>
      </c>
      <c r="E69" s="104"/>
      <c r="F69" s="104"/>
      <c r="G69" s="104"/>
      <c r="H69" s="104"/>
      <c r="I69" s="104"/>
      <c r="J69" s="104"/>
      <c r="K69" s="104"/>
      <c r="L69" s="104"/>
      <c r="M69" s="104"/>
      <c r="N69" s="69"/>
      <c r="V69" s="55">
        <f>W69/NT69</f>
        <v>11.220779220779221</v>
      </c>
      <c r="W69" s="55">
        <f>C69/C68*W68</f>
        <v>7.8545454545454545</v>
      </c>
      <c r="X69" s="73"/>
      <c r="Y69" s="26">
        <f>W69*NW69/10^3</f>
        <v>0.12567272727272727</v>
      </c>
      <c r="Z69" s="26"/>
      <c r="AA69" s="26">
        <f>W69*OD69</f>
        <v>0.62836363636363635</v>
      </c>
      <c r="AB69" s="26"/>
      <c r="AE69" s="115">
        <f>AB$22*$AN69/$C69</f>
        <v>0.93603324122936415</v>
      </c>
      <c r="AF69" s="115"/>
      <c r="AG69" s="115">
        <f>AC$22*$AN69/$C69</f>
        <v>1.0026608111275295</v>
      </c>
      <c r="AH69" s="115"/>
      <c r="AI69" s="115">
        <f>AD$22*$AN69/$C69</f>
        <v>0.77059620643193527</v>
      </c>
      <c r="AJ69" s="115"/>
      <c r="AK69" s="722">
        <f>Y69/(Y68+Y69+Y70)</f>
        <v>0.14131501472031402</v>
      </c>
      <c r="AL69" s="164">
        <v>0.2</v>
      </c>
      <c r="AM69" s="104">
        <f>V69*AL69/(V68*AL68+V69*AL69+V70*AL70)</f>
        <v>9.3389700230591871E-2</v>
      </c>
      <c r="AN69" s="40">
        <f t="shared" si="23"/>
        <v>0.14131501472031402</v>
      </c>
      <c r="AO69" s="115"/>
      <c r="AP69" s="115"/>
      <c r="AQ69" s="115"/>
      <c r="AR69" s="115"/>
      <c r="AS69" s="115"/>
      <c r="AT69" s="115"/>
      <c r="AU69" s="115"/>
      <c r="AV69" s="115"/>
      <c r="AW69" s="115"/>
      <c r="AX69" s="115"/>
      <c r="AY69" s="115"/>
      <c r="AZ69" s="115"/>
      <c r="BA69" s="115"/>
      <c r="BB69" s="115"/>
      <c r="BC69" s="115"/>
      <c r="BD69" s="115"/>
      <c r="BE69" s="115"/>
      <c r="BF69" s="115"/>
      <c r="BG69" s="115"/>
      <c r="BH69" s="115"/>
      <c r="BI69" s="115"/>
      <c r="BJ69" s="115"/>
      <c r="BK69" s="115"/>
      <c r="BL69" s="115"/>
      <c r="BM69" s="115"/>
      <c r="BN69" s="115"/>
      <c r="BO69" s="115"/>
      <c r="BP69" s="115"/>
      <c r="BQ69" s="115"/>
      <c r="BR69" s="115"/>
      <c r="BS69" s="115"/>
      <c r="BT69" s="115"/>
      <c r="BU69" s="115"/>
      <c r="BV69" s="26">
        <f>BW69*$NT69</f>
        <v>0.16294582426819404</v>
      </c>
      <c r="BW69" s="115">
        <f>BP$22*$AN69/$C69</f>
        <v>0.23277974895456294</v>
      </c>
      <c r="BX69" s="26"/>
      <c r="BY69" s="143">
        <f>BW69/$OD69</f>
        <v>2.9097468619320366</v>
      </c>
      <c r="BZ69" s="335"/>
      <c r="CA69" s="127"/>
      <c r="CB69" s="127"/>
      <c r="CC69" s="127"/>
      <c r="CD69" s="115"/>
      <c r="CE69" s="115"/>
      <c r="CF69" s="115"/>
      <c r="CG69" s="115"/>
      <c r="CH69" s="115"/>
      <c r="CI69" s="127"/>
      <c r="CJ69" s="26">
        <f>CK69*$NT69</f>
        <v>0.19360499674733031</v>
      </c>
      <c r="CK69" s="115">
        <f>BQ$22*$AN69/$C69</f>
        <v>0.27657856678190046</v>
      </c>
      <c r="CL69" s="26"/>
      <c r="CM69" s="143">
        <f>CK69/$OD69</f>
        <v>3.4572320847737559</v>
      </c>
      <c r="CN69" s="335"/>
      <c r="CO69" s="127"/>
      <c r="CP69" s="127"/>
      <c r="CQ69" s="127"/>
      <c r="CW69" s="127"/>
      <c r="CX69" s="26">
        <f>CY69*$NT69</f>
        <v>8.6691163853741829E-2</v>
      </c>
      <c r="CY69" s="115">
        <f>BR$22*$AN69/$C69</f>
        <v>0.12384451979105976</v>
      </c>
      <c r="CZ69" s="26"/>
      <c r="DA69" s="143">
        <f>CY69/$OD69</f>
        <v>1.5480564973882469</v>
      </c>
      <c r="DB69" s="335"/>
      <c r="DC69" s="127"/>
      <c r="DD69" s="127"/>
      <c r="DE69" s="127"/>
      <c r="DF69" s="115"/>
      <c r="DG69" s="115"/>
      <c r="DH69" s="115"/>
      <c r="DI69" s="115"/>
      <c r="DJ69" s="115"/>
      <c r="DK69" s="127"/>
      <c r="DL69" s="26">
        <f>DM69*$NT69</f>
        <v>0.17150592113573393</v>
      </c>
      <c r="DM69" s="115">
        <f>BS$22*$AN69/$C69</f>
        <v>0.2450084587653342</v>
      </c>
      <c r="DN69" s="26"/>
      <c r="DO69" s="143">
        <f>DM69/$OD69</f>
        <v>3.0626057345666773</v>
      </c>
      <c r="DP69" s="335"/>
      <c r="DQ69" s="127"/>
      <c r="DR69" s="127"/>
      <c r="DS69" s="127"/>
      <c r="DT69" s="37"/>
      <c r="DU69" s="37"/>
      <c r="DV69" s="37"/>
      <c r="DW69" s="37"/>
      <c r="DX69" s="37"/>
      <c r="DY69" s="127"/>
      <c r="DZ69" s="26">
        <f>EA69*$NT69</f>
        <v>0.19595972607344495</v>
      </c>
      <c r="EA69" s="115">
        <f>BT$22*$AN69/$C69</f>
        <v>0.27994246581920706</v>
      </c>
      <c r="EB69" s="26"/>
      <c r="EC69" s="143">
        <f>EA69/$OD69</f>
        <v>3.4992808227400882</v>
      </c>
      <c r="ED69" s="335"/>
      <c r="EE69" s="127"/>
      <c r="EF69" s="127"/>
      <c r="EG69" s="127"/>
      <c r="EM69" s="127"/>
      <c r="EN69" s="26">
        <f>EO69*$NT69</f>
        <v>0.11078683766033552</v>
      </c>
      <c r="EO69" s="115">
        <f>BU$22*$AN69/$C69</f>
        <v>0.15826691094333648</v>
      </c>
      <c r="EP69" s="26"/>
      <c r="EQ69" s="143">
        <f>EO69/$OD69</f>
        <v>1.9783363867917059</v>
      </c>
      <c r="ER69" s="335"/>
      <c r="ES69" s="127"/>
      <c r="ET69" s="127"/>
      <c r="EU69" s="127"/>
      <c r="EV69" s="37"/>
      <c r="EW69" s="37"/>
      <c r="EX69" s="37"/>
      <c r="EY69" s="37"/>
      <c r="EZ69" s="37"/>
      <c r="FA69" s="127"/>
      <c r="FE69" s="26">
        <f>FF69*$NT69</f>
        <v>0.34153810718114996</v>
      </c>
      <c r="FF69" s="115">
        <f>FB$22*$AN69/$C69</f>
        <v>0.4879115816873571</v>
      </c>
      <c r="FG69" s="26"/>
      <c r="FH69" s="115">
        <f>FF69/$OD69</f>
        <v>6.0988947710919632</v>
      </c>
      <c r="FI69" s="335"/>
      <c r="FJ69" s="335"/>
      <c r="FK69" s="127"/>
      <c r="FL69" s="26"/>
      <c r="FR69" s="127"/>
      <c r="FS69" s="26">
        <f>FT69*$NT69</f>
        <v>0.39023558769083444</v>
      </c>
      <c r="FT69" s="115">
        <f>FC$22*$AN69/$C69</f>
        <v>0.55747941098690634</v>
      </c>
      <c r="FU69" s="26"/>
      <c r="FV69" s="115">
        <f>FT69/$OD69</f>
        <v>6.968492637336329</v>
      </c>
      <c r="FW69" s="335"/>
      <c r="FX69" s="335"/>
      <c r="FY69" s="127"/>
      <c r="FZ69" s="26"/>
      <c r="GF69" s="127"/>
      <c r="GG69" s="26">
        <f>GH69*$NT69</f>
        <v>0.22062169390146302</v>
      </c>
      <c r="GH69" s="115">
        <f>FD$22*$AN69/$C69</f>
        <v>0.31517384843066149</v>
      </c>
      <c r="GI69" s="26"/>
      <c r="GJ69" s="115">
        <f>GH69/$OD69</f>
        <v>3.9396731053832683</v>
      </c>
      <c r="GK69" s="335"/>
      <c r="GL69" s="335"/>
      <c r="GM69" s="127"/>
      <c r="GN69" s="26"/>
      <c r="GT69" s="127"/>
      <c r="GU69" s="127"/>
      <c r="GV69" s="127"/>
      <c r="GW69" s="127"/>
      <c r="GX69" s="127"/>
      <c r="GY69" s="26">
        <f>GZ69*$NT69</f>
        <v>3.7978504428892342E-2</v>
      </c>
      <c r="GZ69" s="330">
        <f>$AN69*GU$22/C69</f>
        <v>5.4255006326989062E-2</v>
      </c>
      <c r="HB69" s="115">
        <f>GZ69/$OD69</f>
        <v>0.67818757908736327</v>
      </c>
      <c r="HD69" s="74"/>
      <c r="HE69" s="127"/>
      <c r="HF69" s="127"/>
      <c r="HG69" s="127"/>
      <c r="HH69" s="127"/>
      <c r="HI69" s="127"/>
      <c r="HJ69" s="127"/>
      <c r="HK69" s="127"/>
      <c r="HL69" s="127"/>
      <c r="HM69" s="115">
        <f>HN69*$NT69</f>
        <v>4.7216025728276413E-2</v>
      </c>
      <c r="HN69" s="127">
        <f>$AN69*GV$22/C69</f>
        <v>6.745146532610917E-2</v>
      </c>
      <c r="HP69" s="115">
        <f>HN69/$OD69</f>
        <v>0.84314331657636465</v>
      </c>
      <c r="HS69" s="127"/>
      <c r="HT69" s="127"/>
      <c r="HU69" s="127"/>
      <c r="HV69" s="127"/>
      <c r="HW69" s="127"/>
      <c r="HX69" s="127"/>
      <c r="HY69" s="127"/>
      <c r="HZ69" s="127"/>
      <c r="IA69" s="115">
        <f>IB69*$NT69</f>
        <v>1.504163107475438E-2</v>
      </c>
      <c r="IB69" s="127">
        <f>$AN69*GW$22/C69</f>
        <v>2.1488044392506258E-2</v>
      </c>
      <c r="IC69" s="133"/>
      <c r="ID69" s="115">
        <f>IB69/$OD69</f>
        <v>0.26860055490632823</v>
      </c>
      <c r="IE69" s="133"/>
      <c r="IG69" s="127"/>
      <c r="IH69" s="127"/>
      <c r="II69" s="127"/>
      <c r="IJ69" s="127"/>
      <c r="IK69" s="127"/>
      <c r="IL69" s="127"/>
      <c r="IM69" s="127"/>
      <c r="IN69" s="127"/>
      <c r="IO69" s="431"/>
      <c r="IP69" s="431"/>
      <c r="IQ69" s="431"/>
      <c r="IR69" s="431"/>
      <c r="IS69" s="431"/>
      <c r="IT69" s="431"/>
      <c r="IU69" s="431"/>
      <c r="IV69" s="335">
        <f>IW69*$NT69</f>
        <v>0.18135713801330278</v>
      </c>
      <c r="IW69" s="330">
        <f>$AN69*JK67*$C68/$C69</f>
        <v>0.25908162573328969</v>
      </c>
      <c r="IX69" s="73"/>
      <c r="IY69" s="115">
        <f>IW69/$OD69</f>
        <v>3.2385203216661211</v>
      </c>
      <c r="IZ69" s="73"/>
      <c r="JA69" s="115"/>
      <c r="JB69" s="115">
        <f>$IW69*JM67/$JK67</f>
        <v>0.13907215108493293</v>
      </c>
      <c r="JC69" s="115">
        <f>$IW69*JN67/$JK67</f>
        <v>0.12000947464835678</v>
      </c>
      <c r="JD69" s="115">
        <f>$IW69*JO67/$JK67</f>
        <v>0</v>
      </c>
      <c r="KJ69" s="115">
        <f>BW69*44/12+$IW69+$GZ69</f>
        <v>1.1668623782270096</v>
      </c>
      <c r="KK69" s="74"/>
      <c r="KL69" s="74"/>
      <c r="KM69" s="143">
        <f>KJ69/$OD69</f>
        <v>14.58577972783762</v>
      </c>
      <c r="KN69" s="73"/>
      <c r="KO69" s="74"/>
      <c r="KP69" s="74"/>
      <c r="KQ69" s="74"/>
      <c r="KR69" s="74"/>
      <c r="KS69" s="73"/>
      <c r="KT69" s="115">
        <f>CK69*44/12+$IW69+$HN69</f>
        <v>1.3406545025930339</v>
      </c>
      <c r="KW69" s="143">
        <f>KT69/$OD69</f>
        <v>16.758181282412924</v>
      </c>
      <c r="KX69" s="73"/>
      <c r="LC69" s="73"/>
      <c r="LD69" s="115">
        <f>CY69*44/12+$IW69+$IB69</f>
        <v>0.73466624269301506</v>
      </c>
      <c r="LG69" s="143">
        <f>LD69/$OD69</f>
        <v>9.1833280336626881</v>
      </c>
      <c r="LH69" s="73"/>
      <c r="LM69" s="73"/>
      <c r="LN69" s="115">
        <f>DM69*44/12+$IW69+$GZ69</f>
        <v>1.211700980866504</v>
      </c>
      <c r="LQ69" s="143">
        <f>LN69/$OD69</f>
        <v>15.1462622608313</v>
      </c>
      <c r="LR69" s="73"/>
      <c r="LW69" s="73"/>
      <c r="LX69" s="115">
        <f>EA69*44/12+$IW69+$HN69</f>
        <v>1.3529887990631582</v>
      </c>
      <c r="MA69" s="143">
        <f>LX69/$OD69</f>
        <v>16.912359988289477</v>
      </c>
      <c r="MB69" s="127"/>
      <c r="MG69" s="127"/>
      <c r="MH69" s="115">
        <f>EO69*44/12+$IW69+$IB69</f>
        <v>0.86088167691802964</v>
      </c>
      <c r="MK69" s="143">
        <f>MH69/$OD69</f>
        <v>10.761020961475371</v>
      </c>
      <c r="ML69" s="127"/>
      <c r="MM69" s="127"/>
      <c r="MN69" s="127"/>
      <c r="MO69" s="127"/>
      <c r="MP69" s="127"/>
      <c r="MQ69" s="127"/>
      <c r="MW69" s="127"/>
      <c r="MX69" s="127"/>
      <c r="MY69" s="127"/>
      <c r="MZ69" s="127"/>
      <c r="NA69" s="127"/>
      <c r="NB69" s="127"/>
      <c r="NC69" s="127"/>
      <c r="ND69" s="127"/>
      <c r="NE69" s="127"/>
      <c r="NF69" s="127"/>
      <c r="NG69" s="127"/>
      <c r="NH69" s="127"/>
      <c r="NI69" s="127"/>
      <c r="NJ69" s="127"/>
      <c r="NK69" s="127"/>
      <c r="NL69" s="127"/>
      <c r="NM69" s="127"/>
      <c r="NN69" s="127"/>
      <c r="NO69" s="127"/>
      <c r="NP69" s="127"/>
      <c r="NQ69" s="127"/>
      <c r="NT69" s="31">
        <v>0.7</v>
      </c>
      <c r="NU69" s="31"/>
      <c r="NV69" s="32">
        <f t="shared" ref="NV69:NV70" si="24">$NT69*NW69</f>
        <v>11.2</v>
      </c>
      <c r="NW69" s="43">
        <v>16</v>
      </c>
      <c r="NX69" s="43"/>
      <c r="NY69" s="43"/>
      <c r="NZ69" s="43"/>
      <c r="OA69" s="32"/>
      <c r="OB69" s="43"/>
      <c r="OC69" s="38">
        <f t="shared" ref="OC69:OC70" si="25">$NT69*OD69</f>
        <v>5.5999999999999994E-2</v>
      </c>
      <c r="OD69" s="35">
        <v>0.08</v>
      </c>
      <c r="OE69" s="38">
        <f t="shared" ref="OE69:OE70" si="26">$NT69*OF69</f>
        <v>3.4999999999999996E-3</v>
      </c>
      <c r="OF69" s="35">
        <v>5.0000000000000001E-3</v>
      </c>
    </row>
    <row r="70" spans="1:494" x14ac:dyDescent="0.25">
      <c r="A70" s="37" t="s">
        <v>180</v>
      </c>
      <c r="B70" s="52">
        <f>C70*NT22/NT70</f>
        <v>5.333333333333333E-2</v>
      </c>
      <c r="C70" s="39">
        <v>0.2</v>
      </c>
      <c r="D70" s="722">
        <f>C70*NW70/NW22</f>
        <v>0.20588235294117646</v>
      </c>
      <c r="E70" s="104"/>
      <c r="F70" s="104"/>
      <c r="G70" s="104"/>
      <c r="H70" s="104"/>
      <c r="I70" s="104"/>
      <c r="J70" s="104"/>
      <c r="K70" s="104"/>
      <c r="L70" s="104"/>
      <c r="M70" s="104"/>
      <c r="N70" s="69"/>
      <c r="V70" s="55">
        <f>W70/NT70</f>
        <v>12.929292929292929</v>
      </c>
      <c r="W70" s="26">
        <f>C70/C68*W68</f>
        <v>11.636363636363637</v>
      </c>
      <c r="X70" s="115"/>
      <c r="Y70" s="26">
        <f>W70*NW70/10^3</f>
        <v>0.20363636363636364</v>
      </c>
      <c r="Z70" s="26"/>
      <c r="AA70" s="26">
        <f>W70*OD70</f>
        <v>1.1636363636363638</v>
      </c>
      <c r="AB70" s="26"/>
      <c r="AE70" s="115">
        <f>AB$22*$AN70/$C70</f>
        <v>1.0237863575946171</v>
      </c>
      <c r="AF70" s="115"/>
      <c r="AG70" s="115">
        <f>AC$22*$AN70/$C70</f>
        <v>1.0966602621707355</v>
      </c>
      <c r="AH70" s="115"/>
      <c r="AI70" s="115">
        <f>AD$22*$AN70/$C70</f>
        <v>0.84283960078492925</v>
      </c>
      <c r="AJ70" s="115"/>
      <c r="AK70" s="40">
        <f>1-AK68-AK69</f>
        <v>0.22898266274124959</v>
      </c>
      <c r="AL70" s="164">
        <v>0.2</v>
      </c>
      <c r="AM70" s="722">
        <f>V70*AL70/(V68*AL68+V69*AL69+V70*AL70)</f>
        <v>0.10760953112990009</v>
      </c>
      <c r="AN70" s="40">
        <f t="shared" si="23"/>
        <v>0.22898266274124959</v>
      </c>
      <c r="AO70" s="115"/>
      <c r="AP70" s="115"/>
      <c r="AQ70" s="115"/>
      <c r="AR70" s="115"/>
      <c r="AS70" s="115"/>
      <c r="AT70" s="115"/>
      <c r="AU70" s="115"/>
      <c r="AV70" s="115"/>
      <c r="AW70" s="115"/>
      <c r="AX70" s="115"/>
      <c r="AY70" s="115"/>
      <c r="AZ70" s="115"/>
      <c r="BA70" s="115"/>
      <c r="BB70" s="115"/>
      <c r="BC70" s="115"/>
      <c r="BD70" s="115"/>
      <c r="BE70" s="115"/>
      <c r="BF70" s="115"/>
      <c r="BG70" s="115"/>
      <c r="BH70" s="115"/>
      <c r="BI70" s="115"/>
      <c r="BJ70" s="115"/>
      <c r="BK70" s="115"/>
      <c r="BL70" s="115"/>
      <c r="BM70" s="115"/>
      <c r="BN70" s="115"/>
      <c r="BO70" s="115"/>
      <c r="BP70" s="115"/>
      <c r="BQ70" s="115"/>
      <c r="BR70" s="115"/>
      <c r="BS70" s="115"/>
      <c r="BT70" s="115"/>
      <c r="BU70" s="115"/>
      <c r="BV70" s="26">
        <f>BW70*$NT70</f>
        <v>0.22914256537714797</v>
      </c>
      <c r="BW70" s="115">
        <f>BP$22*$AN70/$C70</f>
        <v>0.25460285041905328</v>
      </c>
      <c r="BX70" s="26"/>
      <c r="BY70" s="143">
        <f>BW70/$OD70</f>
        <v>2.5460285041905326</v>
      </c>
      <c r="BZ70" s="335"/>
      <c r="CA70" s="127"/>
      <c r="CB70" s="127"/>
      <c r="CC70" s="127"/>
      <c r="CD70" s="115"/>
      <c r="CE70" s="115"/>
      <c r="CF70" s="115"/>
      <c r="CG70" s="115"/>
      <c r="CH70" s="115"/>
      <c r="CI70" s="127"/>
      <c r="CJ70" s="26">
        <f>CK70*$NT70</f>
        <v>0.27225702667593332</v>
      </c>
      <c r="CK70" s="115">
        <f>BQ$22*$AN70/$C70</f>
        <v>0.30250780741770367</v>
      </c>
      <c r="CL70" s="26"/>
      <c r="CM70" s="143">
        <f>CK70/$OD70</f>
        <v>3.0250780741770367</v>
      </c>
      <c r="CN70" s="335"/>
      <c r="CO70" s="127"/>
      <c r="CP70" s="127"/>
      <c r="CQ70" s="127"/>
      <c r="CW70" s="127"/>
      <c r="CX70" s="26">
        <f>CY70*$NT70</f>
        <v>0.12190944916932447</v>
      </c>
      <c r="CY70" s="115">
        <f>BR$22*$AN70/$C70</f>
        <v>0.13545494352147164</v>
      </c>
      <c r="CZ70" s="26"/>
      <c r="DA70" s="143">
        <f>CY70/$OD70</f>
        <v>1.3545494352147163</v>
      </c>
      <c r="DB70" s="335"/>
      <c r="DC70" s="127"/>
      <c r="DD70" s="127"/>
      <c r="DE70" s="127"/>
      <c r="DF70" s="115"/>
      <c r="DG70" s="115"/>
      <c r="DH70" s="115"/>
      <c r="DI70" s="115"/>
      <c r="DJ70" s="115"/>
      <c r="DK70" s="127"/>
      <c r="DL70" s="26">
        <f>DM70*$NT70</f>
        <v>0.24118020159712589</v>
      </c>
      <c r="DM70" s="115">
        <f>BS$22*$AN70/$C70</f>
        <v>0.26797800177458431</v>
      </c>
      <c r="DN70" s="26"/>
      <c r="DO70" s="143">
        <f>DM70/$OD70</f>
        <v>2.6797800177458431</v>
      </c>
      <c r="DP70" s="335"/>
      <c r="DQ70" s="127"/>
      <c r="DR70" s="127"/>
      <c r="DS70" s="127"/>
      <c r="DT70" s="37"/>
      <c r="DU70" s="37"/>
      <c r="DV70" s="37"/>
      <c r="DW70" s="37"/>
      <c r="DX70" s="37"/>
      <c r="DY70" s="127"/>
      <c r="DZ70" s="26">
        <f>EA70*$NT70</f>
        <v>0.27556836479078201</v>
      </c>
      <c r="EA70" s="115">
        <f>BT$22*$AN70/$C70</f>
        <v>0.30618707198975775</v>
      </c>
      <c r="EB70" s="26"/>
      <c r="EC70" s="143">
        <f>EA70/$OD70</f>
        <v>3.0618707198975774</v>
      </c>
      <c r="ED70" s="335"/>
      <c r="EE70" s="127"/>
      <c r="EF70" s="127"/>
      <c r="EG70" s="127"/>
      <c r="EM70" s="127"/>
      <c r="EN70" s="26">
        <f>EO70*$NT70</f>
        <v>0.1557939904598469</v>
      </c>
      <c r="EO70" s="115">
        <f>BU$22*$AN70/$C70</f>
        <v>0.17310443384427432</v>
      </c>
      <c r="EP70" s="26"/>
      <c r="EQ70" s="143">
        <f>EO70/$OD70</f>
        <v>1.7310443384427432</v>
      </c>
      <c r="ER70" s="335"/>
      <c r="ES70" s="127"/>
      <c r="ET70" s="127"/>
      <c r="EU70" s="127"/>
      <c r="EV70" s="37"/>
      <c r="EW70" s="37"/>
      <c r="EX70" s="37"/>
      <c r="EY70" s="37"/>
      <c r="EZ70" s="37"/>
      <c r="FA70" s="127"/>
      <c r="FE70" s="26">
        <f>FF70*$NT70</f>
        <v>0.48028796322349226</v>
      </c>
      <c r="FF70" s="115">
        <f>FB$22*$AN70/$C70</f>
        <v>0.53365329247054694</v>
      </c>
      <c r="FG70" s="26"/>
      <c r="FH70" s="115">
        <f>FF70/$OD70</f>
        <v>5.3365329247054687</v>
      </c>
      <c r="FI70" s="335"/>
      <c r="FJ70" s="335"/>
      <c r="FK70" s="127"/>
      <c r="FL70" s="26"/>
      <c r="FR70" s="127"/>
      <c r="FS70" s="26">
        <f>FT70*$NT70</f>
        <v>0.54876879519023603</v>
      </c>
      <c r="FT70" s="115">
        <f>FC$22*$AN70/$C70</f>
        <v>0.60974310576692892</v>
      </c>
      <c r="FU70" s="26"/>
      <c r="FV70" s="115">
        <f>FT70/$OD70</f>
        <v>6.0974310576692892</v>
      </c>
      <c r="FW70" s="335"/>
      <c r="FX70" s="335"/>
      <c r="FY70" s="127"/>
      <c r="FZ70" s="26"/>
      <c r="GF70" s="127"/>
      <c r="GG70" s="26">
        <f>GH70*$NT70</f>
        <v>0.31024925704893247</v>
      </c>
      <c r="GH70" s="115">
        <f>FD$22*$AN70/$C70</f>
        <v>0.34472139672103608</v>
      </c>
      <c r="GI70" s="26"/>
      <c r="GJ70" s="115">
        <f>GH70/$OD70</f>
        <v>3.4472139672103608</v>
      </c>
      <c r="GK70" s="335"/>
      <c r="GL70" s="335"/>
      <c r="GM70" s="127"/>
      <c r="GN70" s="26"/>
      <c r="GT70" s="127"/>
      <c r="GU70" s="127"/>
      <c r="GV70" s="127"/>
      <c r="GW70" s="127"/>
      <c r="GX70" s="127"/>
      <c r="GY70" s="26">
        <f>GZ70*$NT70</f>
        <v>5.3407271853129872E-2</v>
      </c>
      <c r="GZ70" s="330">
        <f>$AN70*GU$22/C70</f>
        <v>5.9341413170144297E-2</v>
      </c>
      <c r="HB70" s="115">
        <f>GZ70/$OD70</f>
        <v>0.59341413170144297</v>
      </c>
      <c r="HD70" s="74"/>
      <c r="HE70" s="127"/>
      <c r="HF70" s="127"/>
      <c r="HG70" s="127"/>
      <c r="HH70" s="127"/>
      <c r="HI70" s="127"/>
      <c r="HJ70" s="127"/>
      <c r="HK70" s="127"/>
      <c r="HL70" s="127"/>
      <c r="HM70" s="115">
        <f>HN70*$NT70</f>
        <v>6.6397536180388725E-2</v>
      </c>
      <c r="HN70" s="127">
        <f>$AN70*GV$22/C70</f>
        <v>7.3775040200431907E-2</v>
      </c>
      <c r="HP70" s="115">
        <f>HN70/$OD70</f>
        <v>0.73775040200431907</v>
      </c>
      <c r="HS70" s="127"/>
      <c r="HT70" s="127"/>
      <c r="HU70" s="127"/>
      <c r="HV70" s="127"/>
      <c r="HW70" s="127"/>
      <c r="HX70" s="127"/>
      <c r="HY70" s="127"/>
      <c r="HZ70" s="127"/>
      <c r="IA70" s="115">
        <f>IB70*$NT70</f>
        <v>2.1152293698873351E-2</v>
      </c>
      <c r="IB70" s="127">
        <f>$AN70*GW$22/C70</f>
        <v>2.3502548554303723E-2</v>
      </c>
      <c r="IC70" s="133"/>
      <c r="ID70" s="115">
        <f>IB70/$OD70</f>
        <v>0.2350254855430372</v>
      </c>
      <c r="IE70" s="133"/>
      <c r="IG70" s="127"/>
      <c r="IH70" s="127"/>
      <c r="II70" s="127"/>
      <c r="IJ70" s="127"/>
      <c r="IK70" s="127"/>
      <c r="IL70" s="127"/>
      <c r="IM70" s="127"/>
      <c r="IN70" s="127"/>
      <c r="IO70" s="431"/>
      <c r="IP70" s="431"/>
      <c r="IQ70" s="431"/>
      <c r="IR70" s="431"/>
      <c r="IS70" s="431"/>
      <c r="IT70" s="431"/>
      <c r="IU70" s="431"/>
      <c r="IV70" s="335">
        <f>IW70*$NT70</f>
        <v>0.25503347533120713</v>
      </c>
      <c r="IW70" s="330">
        <f>$AN70*JK67*$C68/$C70</f>
        <v>0.28337052814578567</v>
      </c>
      <c r="IY70" s="115">
        <f>IW70/$OD70</f>
        <v>2.8337052814578567</v>
      </c>
      <c r="JA70" s="115"/>
      <c r="JB70" s="115">
        <f>$IW70*JM67/$JK67</f>
        <v>0.15211016524914542</v>
      </c>
      <c r="JC70" s="115">
        <f>$IW70*JN67/$JK67</f>
        <v>0.13126036289664025</v>
      </c>
      <c r="JD70" s="115">
        <f>$IW70*JO67/$JK67</f>
        <v>0</v>
      </c>
      <c r="KJ70" s="115">
        <f>BW70*44/12+$IW70+$GZ70</f>
        <v>1.2762557261857919</v>
      </c>
      <c r="KK70" s="74"/>
      <c r="KL70" s="74"/>
      <c r="KM70" s="143">
        <f>KJ70/$OD70</f>
        <v>12.762557261857918</v>
      </c>
      <c r="KN70" s="73"/>
      <c r="KO70" s="74"/>
      <c r="KP70" s="74"/>
      <c r="KQ70" s="74"/>
      <c r="KR70" s="74"/>
      <c r="KS70" s="73"/>
      <c r="KT70" s="115">
        <f>CK70*44/12+$IW70+$HN70</f>
        <v>1.4663408622111311</v>
      </c>
      <c r="KW70" s="143">
        <f>KT70/$OD70</f>
        <v>14.66340862211131</v>
      </c>
      <c r="KX70" s="73"/>
      <c r="LC70" s="73"/>
      <c r="LD70" s="115">
        <f>CY70*44/12+$IW70+$IB70</f>
        <v>0.80354120294548537</v>
      </c>
      <c r="LG70" s="143">
        <f>LD70/$OD70</f>
        <v>8.0354120294548537</v>
      </c>
      <c r="LH70" s="73"/>
      <c r="LM70" s="73"/>
      <c r="LN70" s="115">
        <f>DM70*44/12+$IW70+$GZ70</f>
        <v>1.3252979478227389</v>
      </c>
      <c r="LQ70" s="143">
        <f>LN70/$OD70</f>
        <v>13.252979478227388</v>
      </c>
      <c r="LR70" s="73"/>
      <c r="LW70" s="73"/>
      <c r="LX70" s="115">
        <f>EA70*44/12+$IW70+$HN70</f>
        <v>1.4798314989753294</v>
      </c>
      <c r="MA70" s="143">
        <f>LX70/$OD70</f>
        <v>14.798314989753294</v>
      </c>
      <c r="MB70" s="127"/>
      <c r="MG70" s="127"/>
      <c r="MH70" s="115">
        <f>EO70*44/12+$IW70+$IB70</f>
        <v>0.94158933412909518</v>
      </c>
      <c r="MK70" s="143">
        <f>MH70/$OD70</f>
        <v>9.4158933412909516</v>
      </c>
      <c r="ML70" s="127"/>
      <c r="MM70" s="127"/>
      <c r="MN70" s="127"/>
      <c r="MO70" s="127"/>
      <c r="MP70" s="127"/>
      <c r="MQ70" s="127"/>
      <c r="MW70" s="127"/>
      <c r="MX70" s="127"/>
      <c r="MY70" s="127"/>
      <c r="MZ70" s="127"/>
      <c r="NA70" s="127"/>
      <c r="NB70" s="127"/>
      <c r="NC70" s="127"/>
      <c r="ND70" s="127"/>
      <c r="NE70" s="127"/>
      <c r="NF70" s="127"/>
      <c r="NG70" s="127"/>
      <c r="NH70" s="127"/>
      <c r="NI70" s="127"/>
      <c r="NJ70" s="127"/>
      <c r="NK70" s="127"/>
      <c r="NL70" s="127"/>
      <c r="NM70" s="127"/>
      <c r="NN70" s="127"/>
      <c r="NO70" s="127"/>
      <c r="NP70" s="127"/>
      <c r="NQ70" s="127"/>
      <c r="NT70" s="31">
        <v>0.9</v>
      </c>
      <c r="NU70" s="31"/>
      <c r="NV70" s="32">
        <f t="shared" si="24"/>
        <v>15.75</v>
      </c>
      <c r="NW70" s="43">
        <v>17.5</v>
      </c>
      <c r="NX70" s="43"/>
      <c r="NY70" s="43"/>
      <c r="NZ70" s="43"/>
      <c r="OA70" s="32"/>
      <c r="OB70" s="43"/>
      <c r="OC70" s="38">
        <f t="shared" si="25"/>
        <v>9.0000000000000011E-2</v>
      </c>
      <c r="OD70" s="35">
        <v>0.1</v>
      </c>
      <c r="OE70" s="38">
        <f t="shared" si="26"/>
        <v>4.5000000000000005E-3</v>
      </c>
      <c r="OF70" s="35">
        <v>5.0000000000000001E-3</v>
      </c>
    </row>
    <row r="71" spans="1:494" x14ac:dyDescent="0.25">
      <c r="A71" s="37" t="s">
        <v>218</v>
      </c>
      <c r="B71" s="52"/>
      <c r="C71" s="69">
        <f>1-C68-C69-C70</f>
        <v>0.11499999999999994</v>
      </c>
      <c r="V71" s="55"/>
      <c r="W71" s="26"/>
      <c r="X71" s="115"/>
      <c r="Y71" s="26"/>
      <c r="Z71" s="26"/>
      <c r="AA71" s="26"/>
      <c r="AB71" s="26"/>
      <c r="AE71" s="115"/>
      <c r="AF71" s="115"/>
      <c r="AG71" s="115"/>
      <c r="AH71" s="115"/>
      <c r="AI71" s="115"/>
      <c r="AJ71" s="115"/>
      <c r="AK71" s="40"/>
      <c r="AL71" s="74"/>
      <c r="AN71" s="69">
        <f>1-AN68-AN69-AN70</f>
        <v>0</v>
      </c>
      <c r="AO71" s="115"/>
      <c r="AP71" s="115"/>
      <c r="AQ71" s="115"/>
      <c r="AR71" s="115"/>
      <c r="AS71" s="115"/>
      <c r="AT71" s="115"/>
      <c r="AU71" s="115"/>
      <c r="AV71" s="115"/>
      <c r="AW71" s="115"/>
      <c r="AX71" s="115"/>
      <c r="AY71" s="115"/>
      <c r="AZ71" s="115"/>
      <c r="BA71" s="115"/>
      <c r="BB71" s="115"/>
      <c r="BC71" s="115"/>
      <c r="BD71" s="115"/>
      <c r="BE71" s="115"/>
      <c r="BF71" s="115"/>
      <c r="BG71" s="115"/>
      <c r="BH71" s="115"/>
      <c r="BI71" s="115"/>
      <c r="BJ71" s="115"/>
      <c r="BK71" s="115"/>
      <c r="BL71" s="115"/>
      <c r="BM71" s="115"/>
      <c r="BN71" s="115"/>
      <c r="BO71" s="115"/>
      <c r="BP71" s="115"/>
      <c r="BQ71" s="115"/>
      <c r="BR71" s="115"/>
      <c r="BS71" s="115"/>
      <c r="BT71" s="115"/>
      <c r="BU71" s="115"/>
      <c r="BW71" s="26"/>
      <c r="CA71" s="74"/>
      <c r="CB71" s="74"/>
      <c r="CC71" s="74"/>
      <c r="CD71" s="115"/>
      <c r="CE71" s="115"/>
      <c r="CF71" s="115"/>
      <c r="CG71" s="115"/>
      <c r="CH71" s="115"/>
      <c r="CI71" s="74"/>
      <c r="CK71" s="26"/>
      <c r="CX71" s="37"/>
      <c r="CY71" s="26"/>
      <c r="CZ71" s="37"/>
      <c r="DA71" s="37"/>
      <c r="DB71" s="37"/>
      <c r="DF71" s="115"/>
      <c r="DG71" s="115"/>
      <c r="DH71" s="115"/>
      <c r="DI71" s="115"/>
      <c r="DJ71" s="115"/>
      <c r="DL71" s="37"/>
      <c r="DM71" s="115"/>
      <c r="DN71" s="37"/>
      <c r="DO71" s="37"/>
      <c r="DP71" s="37"/>
      <c r="DT71" s="37"/>
      <c r="DU71" s="37"/>
      <c r="DV71" s="37"/>
      <c r="DW71" s="37"/>
      <c r="DX71" s="37"/>
      <c r="EA71" s="115"/>
      <c r="EN71" s="37"/>
      <c r="EO71" s="115"/>
      <c r="EP71" s="37"/>
      <c r="EQ71" s="37"/>
      <c r="ER71" s="37"/>
      <c r="EV71" s="37"/>
      <c r="EW71" s="37"/>
      <c r="EX71" s="37"/>
      <c r="EY71" s="37"/>
      <c r="EZ71" s="37"/>
      <c r="FF71" s="26"/>
      <c r="FH71" s="74"/>
      <c r="FK71" s="74"/>
      <c r="FR71" s="74"/>
      <c r="FT71" s="26"/>
      <c r="FZ71" s="37"/>
      <c r="GH71" s="26"/>
      <c r="GJ71" s="74"/>
      <c r="GM71" s="74"/>
      <c r="GT71" s="74"/>
      <c r="GU71" s="74"/>
      <c r="GV71" s="74"/>
      <c r="GW71" s="74"/>
      <c r="GX71" s="74"/>
      <c r="HB71" s="74"/>
      <c r="HD71" s="74"/>
      <c r="HE71" s="74"/>
      <c r="HF71" s="74"/>
      <c r="HG71" s="74"/>
      <c r="HH71" s="74"/>
      <c r="HI71" s="74"/>
      <c r="HJ71" s="74"/>
      <c r="HK71" s="74"/>
      <c r="HL71" s="74"/>
      <c r="IA71" s="133"/>
      <c r="IB71" s="133"/>
      <c r="IC71" s="133"/>
      <c r="IE71" s="133"/>
      <c r="IO71" s="97"/>
      <c r="IP71" s="97"/>
      <c r="IQ71" s="97"/>
      <c r="IR71" s="97"/>
      <c r="IS71" s="97"/>
      <c r="IT71" s="97"/>
      <c r="IU71" s="97"/>
      <c r="NT71" s="31"/>
      <c r="NU71" s="31"/>
      <c r="NV71" s="32"/>
      <c r="NW71" s="43"/>
      <c r="NX71" s="43"/>
      <c r="NY71" s="43"/>
      <c r="NZ71" s="43"/>
      <c r="OA71" s="32"/>
      <c r="OB71" s="43"/>
      <c r="OC71" s="38"/>
      <c r="OD71" s="35"/>
      <c r="OE71" s="38"/>
      <c r="OF71" s="35"/>
    </row>
    <row r="72" spans="1:494" x14ac:dyDescent="0.25">
      <c r="AE72" s="115"/>
      <c r="AF72" s="115"/>
      <c r="AG72" s="115"/>
      <c r="AH72" s="115"/>
      <c r="AI72" s="115"/>
      <c r="AJ72" s="115"/>
      <c r="AL72" s="74"/>
      <c r="AO72" s="115"/>
      <c r="AP72" s="115"/>
      <c r="AQ72" s="115"/>
      <c r="AR72" s="115"/>
      <c r="AS72" s="115"/>
      <c r="AT72" s="115"/>
      <c r="AU72" s="115"/>
      <c r="AV72" s="115"/>
      <c r="AW72" s="115"/>
      <c r="AX72" s="115"/>
      <c r="AY72" s="115"/>
      <c r="AZ72" s="115"/>
      <c r="BA72" s="115"/>
      <c r="BB72" s="115"/>
      <c r="BC72" s="115"/>
      <c r="BD72" s="115"/>
      <c r="BE72" s="115"/>
      <c r="BF72" s="115"/>
      <c r="BG72" s="115"/>
      <c r="BH72" s="115"/>
      <c r="BI72" s="115"/>
      <c r="BJ72" s="115"/>
      <c r="BK72" s="115"/>
      <c r="BL72" s="115"/>
      <c r="BM72" s="115"/>
      <c r="BN72" s="115"/>
      <c r="BO72" s="115"/>
      <c r="BP72" s="115"/>
      <c r="BQ72" s="115"/>
      <c r="BR72" s="115"/>
      <c r="BS72" s="115"/>
      <c r="BT72" s="115"/>
      <c r="BU72" s="115"/>
      <c r="BW72" s="26"/>
      <c r="CA72" s="74"/>
      <c r="CB72" s="74"/>
      <c r="CC72" s="74"/>
      <c r="CD72" s="115"/>
      <c r="CE72" s="115"/>
      <c r="CF72" s="115"/>
      <c r="CG72" s="115"/>
      <c r="CH72" s="115"/>
      <c r="CI72" s="74"/>
      <c r="CK72" s="26"/>
      <c r="CX72" s="37"/>
      <c r="CY72" s="26"/>
      <c r="CZ72" s="37"/>
      <c r="DA72" s="37"/>
      <c r="DB72" s="37"/>
      <c r="DF72" s="115"/>
      <c r="DG72" s="115"/>
      <c r="DH72" s="115"/>
      <c r="DI72" s="115"/>
      <c r="DJ72" s="115"/>
      <c r="DL72" s="37"/>
      <c r="DM72" s="115"/>
      <c r="DN72" s="37"/>
      <c r="DO72" s="37"/>
      <c r="DP72" s="37"/>
      <c r="DT72" s="37"/>
      <c r="DU72" s="37"/>
      <c r="DV72" s="37"/>
      <c r="DW72" s="37"/>
      <c r="DX72" s="37"/>
      <c r="EA72" s="115"/>
      <c r="EN72" s="37"/>
      <c r="EO72" s="115"/>
      <c r="EP72" s="37"/>
      <c r="EQ72" s="37"/>
      <c r="ER72" s="37"/>
      <c r="EV72" s="37"/>
      <c r="EW72" s="37"/>
      <c r="EX72" s="37"/>
      <c r="EY72" s="37"/>
      <c r="EZ72" s="37"/>
      <c r="FF72" s="26"/>
      <c r="FH72" s="74"/>
      <c r="FK72" s="74"/>
      <c r="FR72" s="74"/>
      <c r="FT72" s="26"/>
      <c r="FZ72" s="37"/>
      <c r="GH72" s="26"/>
      <c r="GJ72" s="74"/>
      <c r="GM72" s="74"/>
      <c r="GT72" s="74"/>
      <c r="GU72" s="74"/>
      <c r="GV72" s="74"/>
      <c r="GW72" s="74"/>
      <c r="GX72" s="74"/>
      <c r="HB72" s="74"/>
      <c r="HD72" s="74"/>
      <c r="HE72" s="74"/>
      <c r="HF72" s="74"/>
      <c r="HG72" s="74"/>
      <c r="HH72" s="74"/>
      <c r="HI72" s="74"/>
      <c r="HJ72" s="74"/>
      <c r="HK72" s="74"/>
      <c r="HL72" s="74"/>
      <c r="IA72" s="133"/>
      <c r="IB72" s="133"/>
      <c r="IC72" s="133"/>
      <c r="IE72" s="133"/>
      <c r="IO72" s="97"/>
      <c r="IP72" s="97"/>
      <c r="IQ72" s="97"/>
      <c r="IR72" s="97"/>
      <c r="IS72" s="97"/>
      <c r="IT72" s="97"/>
      <c r="IU72" s="97"/>
      <c r="OB72" s="26"/>
    </row>
    <row r="73" spans="1:494" x14ac:dyDescent="0.25">
      <c r="AE73" s="115"/>
      <c r="AF73" s="115"/>
      <c r="AG73" s="115"/>
      <c r="AH73" s="115"/>
      <c r="AI73" s="115"/>
      <c r="AJ73" s="115"/>
      <c r="AL73" s="74"/>
      <c r="AO73" s="115"/>
      <c r="AP73" s="115"/>
      <c r="AQ73" s="115"/>
      <c r="AR73" s="115"/>
      <c r="AS73" s="115"/>
      <c r="AT73" s="115"/>
      <c r="AU73" s="115"/>
      <c r="AV73" s="115"/>
      <c r="AW73" s="115"/>
      <c r="AX73" s="115"/>
      <c r="AY73" s="115"/>
      <c r="AZ73" s="115"/>
      <c r="BA73" s="115"/>
      <c r="BB73" s="115"/>
      <c r="BC73" s="115"/>
      <c r="BD73" s="115"/>
      <c r="BE73" s="115"/>
      <c r="BF73" s="115"/>
      <c r="BG73" s="115"/>
      <c r="BH73" s="115"/>
      <c r="BI73" s="115"/>
      <c r="BJ73" s="115"/>
      <c r="BK73" s="115"/>
      <c r="BL73" s="115"/>
      <c r="BM73" s="115"/>
      <c r="BN73" s="115"/>
      <c r="BO73" s="115"/>
      <c r="BP73" s="115"/>
      <c r="BQ73" s="115"/>
      <c r="BR73" s="115"/>
      <c r="BS73" s="115"/>
      <c r="BT73" s="115"/>
      <c r="BU73" s="115"/>
      <c r="BW73" s="26"/>
      <c r="CA73" s="74"/>
      <c r="CB73" s="74"/>
      <c r="CC73" s="74"/>
      <c r="CD73" s="115"/>
      <c r="CE73" s="115"/>
      <c r="CF73" s="115"/>
      <c r="CG73" s="115"/>
      <c r="CH73" s="115"/>
      <c r="CI73" s="74"/>
      <c r="CK73" s="26"/>
      <c r="CX73" s="37"/>
      <c r="CY73" s="26"/>
      <c r="CZ73" s="37"/>
      <c r="DA73" s="37"/>
      <c r="DB73" s="37"/>
      <c r="DF73" s="115"/>
      <c r="DG73" s="115"/>
      <c r="DH73" s="115"/>
      <c r="DI73" s="115"/>
      <c r="DJ73" s="115"/>
      <c r="DL73" s="37"/>
      <c r="DM73" s="115"/>
      <c r="DN73" s="37"/>
      <c r="DO73" s="37"/>
      <c r="DP73" s="37"/>
      <c r="DT73" s="37"/>
      <c r="DU73" s="37"/>
      <c r="DV73" s="37"/>
      <c r="DW73" s="37"/>
      <c r="DX73" s="37"/>
      <c r="EA73" s="115"/>
      <c r="EN73" s="37"/>
      <c r="EO73" s="115"/>
      <c r="EP73" s="37"/>
      <c r="EQ73" s="37"/>
      <c r="ER73" s="37"/>
      <c r="EV73" s="37"/>
      <c r="EW73" s="37"/>
      <c r="EX73" s="37"/>
      <c r="EY73" s="37"/>
      <c r="EZ73" s="37"/>
      <c r="FF73" s="26"/>
      <c r="FH73" s="74"/>
      <c r="FK73" s="74"/>
      <c r="FR73" s="74"/>
      <c r="FT73" s="26"/>
      <c r="FZ73" s="37"/>
      <c r="GH73" s="26"/>
      <c r="GJ73" s="74"/>
      <c r="GM73" s="74"/>
      <c r="GT73" s="74"/>
      <c r="GU73" s="74"/>
      <c r="GV73" s="74"/>
      <c r="GW73" s="74"/>
      <c r="GX73" s="74"/>
      <c r="HB73" s="74"/>
      <c r="HD73" s="74"/>
      <c r="HE73" s="74"/>
      <c r="HF73" s="74"/>
      <c r="HG73" s="74"/>
      <c r="HH73" s="74"/>
      <c r="HI73" s="74"/>
      <c r="HJ73" s="74"/>
      <c r="HK73" s="74"/>
      <c r="HL73" s="74"/>
      <c r="IA73" s="133"/>
      <c r="IB73" s="133"/>
      <c r="IC73" s="133"/>
      <c r="IE73" s="133"/>
      <c r="IO73" s="97"/>
      <c r="IP73" s="97"/>
      <c r="IQ73" s="97"/>
      <c r="IR73" s="97"/>
      <c r="IS73" s="97"/>
      <c r="IT73" s="97"/>
      <c r="IU73" s="97"/>
      <c r="OB73" s="26"/>
    </row>
    <row r="74" spans="1:494" ht="13.8" x14ac:dyDescent="0.3">
      <c r="A74" s="44" t="s">
        <v>158</v>
      </c>
      <c r="X74" s="37"/>
      <c r="AE74" s="115"/>
      <c r="AF74" s="115"/>
      <c r="AG74" s="115"/>
      <c r="AH74" s="115"/>
      <c r="AI74" s="115"/>
      <c r="AJ74" s="115"/>
      <c r="AL74" s="74"/>
      <c r="AO74" s="115"/>
      <c r="AP74" s="115"/>
      <c r="AQ74" s="115"/>
      <c r="AR74" s="115"/>
      <c r="AS74" s="115"/>
      <c r="AT74" s="115"/>
      <c r="AU74" s="115"/>
      <c r="AV74" s="115"/>
      <c r="AW74" s="115"/>
      <c r="AX74" s="115"/>
      <c r="AY74" s="115"/>
      <c r="AZ74" s="115"/>
      <c r="BA74" s="115"/>
      <c r="BB74" s="115"/>
      <c r="BC74" s="115"/>
      <c r="BD74" s="115"/>
      <c r="BE74" s="115"/>
      <c r="BF74" s="115"/>
      <c r="BG74" s="115"/>
      <c r="BH74" s="115"/>
      <c r="BI74" s="115"/>
      <c r="BJ74" s="115"/>
      <c r="BK74" s="115"/>
      <c r="BL74" s="115"/>
      <c r="BM74" s="115"/>
      <c r="BN74" s="115"/>
      <c r="BO74" s="115"/>
      <c r="BP74" s="115"/>
      <c r="BQ74" s="115"/>
      <c r="BR74" s="115"/>
      <c r="BS74" s="115"/>
      <c r="BT74" s="115"/>
      <c r="BU74" s="115"/>
      <c r="BW74" s="26"/>
      <c r="CA74" s="74"/>
      <c r="CB74" s="74"/>
      <c r="CC74" s="74"/>
      <c r="CD74" s="115"/>
      <c r="CE74" s="115"/>
      <c r="CF74" s="115"/>
      <c r="CG74" s="115"/>
      <c r="CH74" s="115"/>
      <c r="CI74" s="74"/>
      <c r="CK74" s="26"/>
      <c r="CX74" s="37"/>
      <c r="CY74" s="26"/>
      <c r="CZ74" s="37"/>
      <c r="DA74" s="37"/>
      <c r="DB74" s="37"/>
      <c r="DF74" s="115"/>
      <c r="DG74" s="115"/>
      <c r="DH74" s="115"/>
      <c r="DI74" s="115"/>
      <c r="DJ74" s="115"/>
      <c r="DL74" s="37"/>
      <c r="DM74" s="115"/>
      <c r="DN74" s="37"/>
      <c r="DO74" s="37"/>
      <c r="DP74" s="37"/>
      <c r="DT74" s="37"/>
      <c r="DU74" s="37"/>
      <c r="DV74" s="37"/>
      <c r="DW74" s="37"/>
      <c r="DX74" s="37"/>
      <c r="EA74" s="115"/>
      <c r="EN74" s="37"/>
      <c r="EO74" s="115"/>
      <c r="EP74" s="37"/>
      <c r="EQ74" s="37"/>
      <c r="ER74" s="37"/>
      <c r="EV74" s="37"/>
      <c r="EW74" s="37"/>
      <c r="EX74" s="37"/>
      <c r="EY74" s="37"/>
      <c r="EZ74" s="37"/>
      <c r="FF74" s="26"/>
      <c r="FH74" s="74"/>
      <c r="FK74" s="74"/>
      <c r="FR74" s="74"/>
      <c r="FT74" s="26"/>
      <c r="FZ74" s="37"/>
      <c r="GH74" s="26"/>
      <c r="GJ74" s="74"/>
      <c r="GM74" s="74"/>
      <c r="GT74" s="74"/>
      <c r="GU74" s="74"/>
      <c r="GV74" s="74"/>
      <c r="GW74" s="74"/>
      <c r="GX74" s="471">
        <f t="shared" ref="GX74" si="27">GX78+GX82+GX88+GX92+GX96</f>
        <v>154.63788948335855</v>
      </c>
      <c r="HB74" s="74"/>
      <c r="HD74" s="74"/>
      <c r="HE74" s="74"/>
      <c r="HF74" s="74"/>
      <c r="HG74" s="74"/>
      <c r="HH74" s="74"/>
      <c r="HI74" s="74"/>
      <c r="HJ74" s="74"/>
      <c r="HK74" s="74"/>
      <c r="HL74" s="74"/>
      <c r="IA74" s="133"/>
      <c r="IB74" s="133"/>
      <c r="IC74" s="133"/>
      <c r="IE74" s="133"/>
      <c r="IO74" s="471">
        <f>IO78+IO82+IO88+IO92+IO96</f>
        <v>219.19892867426438</v>
      </c>
      <c r="IP74" s="68">
        <f>IP78+IP82+IP88+IP92+IP96</f>
        <v>98.312978468679077</v>
      </c>
      <c r="IQ74" s="68">
        <f t="shared" ref="IQ74:IU74" si="28">IQ78+IQ82+IQ88+IQ92+IQ96</f>
        <v>32.417319405585296</v>
      </c>
      <c r="IR74" s="68">
        <f t="shared" si="28"/>
        <v>1.7571420000000004</v>
      </c>
      <c r="IS74" s="589">
        <f t="shared" si="28"/>
        <v>32.517636000000003</v>
      </c>
      <c r="IT74" s="589">
        <f t="shared" si="28"/>
        <v>0.24752880000000005</v>
      </c>
      <c r="IU74" s="589">
        <f t="shared" si="28"/>
        <v>53.946324000000011</v>
      </c>
      <c r="OB74" s="26"/>
    </row>
    <row r="75" spans="1:494" s="54" customFormat="1" x14ac:dyDescent="0.25">
      <c r="A75" s="54" t="s">
        <v>353</v>
      </c>
      <c r="D75" s="131"/>
      <c r="E75" s="133"/>
      <c r="F75" s="133"/>
      <c r="G75" s="133"/>
      <c r="H75" s="133"/>
      <c r="I75" s="133"/>
      <c r="J75" s="133"/>
      <c r="K75" s="133"/>
      <c r="L75" s="133"/>
      <c r="M75" s="133"/>
      <c r="V75" s="474"/>
      <c r="W75" s="688">
        <f>W79+W83+W84+W89+W93+W97+W46+W154</f>
        <v>111.20227596017068</v>
      </c>
      <c r="X75" s="133"/>
      <c r="Y75" s="179">
        <f>Y79+Y83+Y84+Y89+Y93+Y97+Y46+Y154</f>
        <v>4.370249445234708</v>
      </c>
      <c r="Z75" s="179">
        <f>Z79+Z83+Z84+Z89+Z93+Z97+Z46+Z154</f>
        <v>4.1144842105263155</v>
      </c>
      <c r="AE75" s="179">
        <f>(W79*AE79+W83*AE83+W89*AE89+W93*AE93+W97*AE97+W46*AE46+W84*AE84+W154*AE154)/W75</f>
        <v>7.211406439991662</v>
      </c>
      <c r="AF75" s="179"/>
      <c r="AG75" s="179"/>
      <c r="AH75" s="179"/>
      <c r="AI75" s="179"/>
      <c r="AJ75" s="179"/>
      <c r="AL75" s="133"/>
      <c r="AO75" s="179"/>
      <c r="AP75" s="179"/>
      <c r="AQ75" s="179"/>
      <c r="AR75" s="179"/>
      <c r="AS75" s="179"/>
      <c r="AT75" s="179"/>
      <c r="AU75" s="179"/>
      <c r="AV75" s="179"/>
      <c r="AW75" s="179"/>
      <c r="AX75" s="179"/>
      <c r="AY75" s="179"/>
      <c r="AZ75" s="179"/>
      <c r="BA75" s="179"/>
      <c r="BB75" s="179"/>
      <c r="BC75" s="179"/>
      <c r="BD75" s="179"/>
      <c r="BE75" s="179"/>
      <c r="BF75" s="179"/>
      <c r="BG75" s="179"/>
      <c r="BH75" s="179"/>
      <c r="BI75" s="179"/>
      <c r="BJ75" s="179"/>
      <c r="BK75" s="179"/>
      <c r="BL75" s="179"/>
      <c r="BM75" s="179"/>
      <c r="BN75" s="179"/>
      <c r="BO75" s="179"/>
      <c r="BP75" s="179"/>
      <c r="BQ75" s="179"/>
      <c r="BR75" s="179"/>
      <c r="BS75" s="179"/>
      <c r="BT75" s="179"/>
      <c r="BU75" s="179"/>
      <c r="BV75" s="179">
        <f>(BV79*$W79+BV83*$W83+BV89*$W89+BV93*$W93+BV97*$W97)/($W79+$W83+$W89+$W93+$W97)</f>
        <v>2.563161381675791</v>
      </c>
      <c r="BW75" s="179">
        <f>(BW79*$W79+BW83*$W83+BW89*$W89+BW93*$W93+BW97*$W97)/($W79+$W83+$W89+$W93+$W97)</f>
        <v>2.563161381675791</v>
      </c>
      <c r="BX75" s="54">
        <f>10^3*BW75/(($W79*$OB79+$W83*$OB83+$W89*$OB89+$W93*$OB93+$W97*$OB97)/($W79+$W83+$W89+$W93+$W97))</f>
        <v>69.274631937183543</v>
      </c>
      <c r="CA75" s="133"/>
      <c r="CB75" s="133"/>
      <c r="CC75" s="133"/>
      <c r="CD75" s="179"/>
      <c r="CE75" s="179"/>
      <c r="CF75" s="179"/>
      <c r="CG75" s="179"/>
      <c r="CH75" s="179"/>
      <c r="CI75" s="133"/>
      <c r="CK75" s="693"/>
      <c r="CO75" s="133"/>
      <c r="CP75" s="133"/>
      <c r="CQ75" s="133"/>
      <c r="CR75" s="179"/>
      <c r="CS75" s="179"/>
      <c r="CT75" s="179"/>
      <c r="CU75" s="179"/>
      <c r="CV75" s="179"/>
      <c r="CW75" s="133"/>
      <c r="CY75" s="693"/>
      <c r="DC75" s="133"/>
      <c r="DD75" s="133"/>
      <c r="DE75" s="133"/>
      <c r="DF75" s="179"/>
      <c r="DG75" s="179"/>
      <c r="DH75" s="179"/>
      <c r="DI75" s="179"/>
      <c r="DJ75" s="179"/>
      <c r="DK75" s="133"/>
      <c r="DL75" s="469">
        <f>(DL79*$W79+DL83*$W83+DL89*$W89+DL93*$W93+DL97*$W97)/($W79+$W83+$W89+$W93+$W97)</f>
        <v>2.3134152556565222</v>
      </c>
      <c r="DM75" s="469">
        <f>(DM79*$W79+DM83*$W83+DM89*$W89+DM93*$W93+DM97*$W97)/($W79+$W83+$W89+$W93+$W97)</f>
        <v>2.3134152556565222</v>
      </c>
      <c r="DN75" s="54">
        <f>10^3*DM75/(($W79*$OB79+$W83*$OB83+$W89*$OB89+$W93*$OB93+$W97*$OB97)/($W79+$W83+$W89+$W93+$W97))</f>
        <v>62.524736639365464</v>
      </c>
      <c r="DQ75" s="133"/>
      <c r="DR75" s="133"/>
      <c r="DS75" s="133"/>
      <c r="DY75" s="133"/>
      <c r="EA75" s="179"/>
      <c r="EE75" s="133"/>
      <c r="EF75" s="133"/>
      <c r="EG75" s="133"/>
      <c r="EM75" s="133"/>
      <c r="EO75" s="179"/>
      <c r="ES75" s="133"/>
      <c r="ET75" s="133"/>
      <c r="EU75" s="133"/>
      <c r="FA75" s="133"/>
      <c r="FF75" s="693"/>
      <c r="FH75" s="133"/>
      <c r="FK75" s="133"/>
      <c r="FR75" s="133"/>
      <c r="FT75" s="693"/>
      <c r="FV75" s="133"/>
      <c r="FY75" s="133"/>
      <c r="GF75" s="133"/>
      <c r="GH75" s="693"/>
      <c r="GJ75" s="133"/>
      <c r="GM75" s="133"/>
      <c r="GT75" s="133"/>
      <c r="GU75" s="133"/>
      <c r="GV75" s="133"/>
      <c r="GW75" s="133"/>
      <c r="GX75" s="133"/>
      <c r="GY75" s="179">
        <f>(GY79*$W79+GY83*$W83+GY89*$W89+GY93*$W93+GY97*$W97)/($W79+$W83+$W89+$W93+$W97)</f>
        <v>1.0684117778794353</v>
      </c>
      <c r="GZ75" s="179">
        <f>(GZ79*$W79+GZ83*$W83+GZ89*$W89+GZ93*$W93+GZ97*$W97)/($W79+$W83+$W89+$W93+$W97)</f>
        <v>1.0684117778794353</v>
      </c>
      <c r="HA75" s="662">
        <f>10^3*GZ75/(($W79*$OB79+$W83*$OB83+$W89*$OB89+$W93*$OB93+$W97*$OB97)/($W79+$W83+$W89+$W93+$W97))</f>
        <v>28.875993996741492</v>
      </c>
      <c r="HB75" s="133"/>
      <c r="HC75" s="133"/>
      <c r="HD75" s="133"/>
      <c r="HE75" s="133"/>
      <c r="HF75" s="133"/>
      <c r="HG75" s="133"/>
      <c r="HH75" s="133"/>
      <c r="HI75" s="133"/>
      <c r="HJ75" s="133"/>
      <c r="HK75" s="133"/>
      <c r="HL75" s="133"/>
      <c r="HM75" s="179">
        <f>(HM79*$W79+HM83*$W83+HM89*$W89+HM93*$W93+HM97*$W97)/($W79+$W83+$W89+$W93+$W97)</f>
        <v>1.0972329380184196</v>
      </c>
      <c r="HN75" s="179">
        <f>(HN79*$W79+HN83*$W83+HN89*$W89+HN93*$W93+HN97*$W97)/($W79+$W83+$W89+$W93+$W97)</f>
        <v>1.0972329380184196</v>
      </c>
      <c r="HO75" s="474">
        <f>10^3*HN75/(($W79*$OB79+$W83*$OB83+$W89*$OB89+$W93*$OB93+$W97*$OB97)/($W79+$W83+$W89+$W93+$W97))</f>
        <v>29.654944270768098</v>
      </c>
      <c r="HP75" s="133"/>
      <c r="HQ75" s="133"/>
      <c r="HR75" s="133"/>
      <c r="HS75" s="133"/>
      <c r="HT75" s="133"/>
      <c r="HU75" s="133"/>
      <c r="HV75" s="133"/>
      <c r="HW75" s="133"/>
      <c r="HX75" s="133"/>
      <c r="HY75" s="133"/>
      <c r="HZ75" s="133"/>
      <c r="IA75" s="179">
        <f>(I79*$W79+I83*$W83+I89*$W89+I93*$W93+I97*$W97)/($W79+$W83+$W89+$W93+$W97)</f>
        <v>0</v>
      </c>
      <c r="IB75" s="179">
        <f>(IB79*$W79+IB83*$W83+IB89*$W89+IB93*$W93+IB97*$W97)/($W79+$W83+$W89+$W93+$W97)</f>
        <v>0.1710164800828444</v>
      </c>
      <c r="IC75" s="474">
        <f>10^3*IB75/(($W79*$OB79+$W83*$OB83+$W89*$OB89+$W93*$OB93+$W97*$OB97)/($W79+$W83+$W89+$W93+$W97))</f>
        <v>4.6220670292660646</v>
      </c>
      <c r="ID75" s="133"/>
      <c r="IE75" s="133"/>
      <c r="IF75" s="133"/>
      <c r="IG75" s="133"/>
      <c r="IH75" s="133"/>
      <c r="II75" s="133"/>
      <c r="IJ75" s="133"/>
      <c r="IK75" s="133"/>
      <c r="IL75" s="133"/>
      <c r="IM75" s="133"/>
      <c r="IN75" s="133"/>
      <c r="IO75" s="97"/>
      <c r="IP75" s="97"/>
      <c r="IQ75" s="97"/>
      <c r="IR75" s="97"/>
      <c r="IS75" s="97"/>
      <c r="IT75" s="97"/>
      <c r="IU75" s="97"/>
      <c r="IV75" s="179">
        <f>(IV79*$W79+IV83*$W83+IV89*$W89+IV93*$W93+IV97*$W97)/($W79+$W83+$W89+$W93+$W97)</f>
        <v>1.2960968347280932</v>
      </c>
      <c r="IW75" s="179">
        <f>(IW79*$W79+IW83*$W83+IW89*$W89+IW93*$W93+IW97*$W97)/($W79+$W83+$W89+$W93+$W97)</f>
        <v>1.2960968347280932</v>
      </c>
      <c r="IX75" s="662">
        <f>10^3*IW75/(($W79*$OB79+$W83*$OB83+$W89*$OB89+$W93*$OB93+$W97*$OB97)/($W79+$W83+$W89+$W93+$W97))</f>
        <v>35.029644181840354</v>
      </c>
      <c r="IY75" s="133"/>
      <c r="IZ75" s="133"/>
      <c r="JA75" s="133"/>
      <c r="JB75" s="133"/>
      <c r="JC75" s="133"/>
      <c r="JD75" s="133"/>
      <c r="JE75" s="133"/>
      <c r="JF75" s="133"/>
      <c r="JG75" s="133"/>
      <c r="JH75" s="133"/>
      <c r="JI75" s="133"/>
      <c r="JJ75" s="133"/>
      <c r="JL75" s="133"/>
      <c r="JM75" s="133"/>
      <c r="JN75" s="133"/>
      <c r="JO75" s="133"/>
      <c r="JP75" s="133"/>
      <c r="JQ75" s="133">
        <f>JQ78*C79</f>
        <v>0.28930476109890108</v>
      </c>
      <c r="JR75" s="133"/>
      <c r="JS75" s="133"/>
      <c r="JT75" s="133"/>
      <c r="JU75" s="133"/>
      <c r="JV75" s="133"/>
      <c r="JW75" s="133"/>
      <c r="JX75" s="133"/>
      <c r="JY75" s="133"/>
      <c r="JZ75" s="133"/>
      <c r="KA75" s="133"/>
      <c r="KB75" s="133"/>
      <c r="KC75" s="133"/>
      <c r="KD75" s="133"/>
      <c r="KE75" s="133"/>
      <c r="KF75" s="133"/>
      <c r="KG75" s="133"/>
      <c r="KH75" s="133"/>
      <c r="KI75" s="133"/>
      <c r="KJ75" s="133"/>
      <c r="KK75" s="133"/>
      <c r="KL75" s="133"/>
      <c r="KM75" s="133"/>
      <c r="KN75" s="133"/>
      <c r="KO75" s="133"/>
      <c r="KP75" s="133"/>
      <c r="KQ75" s="133"/>
      <c r="KR75" s="133"/>
      <c r="KS75" s="133"/>
      <c r="KT75" s="133"/>
      <c r="KU75" s="133"/>
      <c r="KV75" s="133"/>
      <c r="KW75" s="133"/>
      <c r="KX75" s="133"/>
      <c r="KY75" s="133"/>
      <c r="KZ75" s="133"/>
      <c r="LA75" s="133"/>
      <c r="LB75" s="133"/>
      <c r="LC75" s="133"/>
      <c r="LD75" s="133"/>
      <c r="LE75" s="133"/>
      <c r="LF75" s="133"/>
      <c r="LG75" s="133"/>
      <c r="LH75" s="133"/>
      <c r="LI75" s="133"/>
      <c r="LJ75" s="133"/>
      <c r="LK75" s="133"/>
      <c r="LL75" s="133"/>
      <c r="LM75" s="133"/>
      <c r="LN75" s="133"/>
      <c r="LO75" s="133"/>
      <c r="LP75" s="133"/>
      <c r="LQ75" s="133"/>
      <c r="LR75" s="133"/>
      <c r="LS75" s="133"/>
      <c r="LT75" s="133"/>
      <c r="LU75" s="133"/>
      <c r="LV75" s="133"/>
      <c r="LW75" s="133"/>
      <c r="LX75" s="133"/>
      <c r="LY75" s="133"/>
      <c r="LZ75" s="133"/>
      <c r="MA75" s="133"/>
      <c r="MB75" s="133"/>
      <c r="MC75" s="133"/>
      <c r="MD75" s="133"/>
      <c r="ME75" s="133"/>
      <c r="MF75" s="133"/>
      <c r="MG75" s="133"/>
      <c r="MH75" s="133"/>
      <c r="MI75" s="133"/>
      <c r="MJ75" s="133"/>
      <c r="MK75" s="133"/>
      <c r="ML75" s="133"/>
      <c r="MM75" s="133"/>
      <c r="MN75" s="133"/>
      <c r="MO75" s="133"/>
      <c r="MP75" s="133"/>
      <c r="MQ75" s="133"/>
      <c r="MR75" s="133"/>
      <c r="MS75" s="133"/>
      <c r="MT75" s="133"/>
      <c r="MU75" s="133"/>
      <c r="MV75" s="133"/>
      <c r="MW75" s="133"/>
      <c r="MX75" s="133"/>
      <c r="MY75" s="133"/>
      <c r="MZ75" s="133"/>
      <c r="NA75" s="133"/>
      <c r="NB75" s="133"/>
      <c r="NC75" s="133"/>
      <c r="ND75" s="133"/>
      <c r="NE75" s="133"/>
      <c r="NF75" s="133"/>
      <c r="NG75" s="133"/>
      <c r="NH75" s="133"/>
      <c r="NI75" s="133"/>
      <c r="NJ75" s="133"/>
      <c r="NK75" s="133"/>
      <c r="NL75" s="133"/>
      <c r="NM75" s="133"/>
      <c r="NN75" s="133"/>
      <c r="NO75" s="133"/>
      <c r="NP75" s="133"/>
      <c r="NQ75" s="133"/>
      <c r="NR75" s="133"/>
      <c r="NS75" s="133"/>
      <c r="OB75" s="693"/>
      <c r="RU75" s="179"/>
      <c r="RV75" s="179"/>
      <c r="RW75" s="179"/>
      <c r="RX75" s="179"/>
      <c r="RY75" s="179"/>
      <c r="RZ75" s="179"/>
    </row>
    <row r="76" spans="1:494" x14ac:dyDescent="0.25">
      <c r="A76" s="54" t="s">
        <v>352</v>
      </c>
      <c r="B76" s="69">
        <f>V76/T25</f>
        <v>0.50882266305337143</v>
      </c>
      <c r="V76" s="688">
        <f>V80+V85+V90+V94+V98+V155</f>
        <v>222.74605051670466</v>
      </c>
      <c r="W76" s="474">
        <f>W80+W85+W90+W94+W98+W155</f>
        <v>204.46510521410704</v>
      </c>
      <c r="X76" s="474"/>
      <c r="Y76" s="179">
        <f>Y80+Y85+Y90+Y94+Y98+Y155</f>
        <v>3.983247863834797</v>
      </c>
      <c r="Z76" s="474"/>
      <c r="AA76" s="474">
        <f>AA80+AA85+AA90+AA94+AA98+AA155</f>
        <v>96.683671323526127</v>
      </c>
      <c r="AB76" s="474"/>
      <c r="AE76" s="115"/>
      <c r="AF76" s="115"/>
      <c r="AG76" s="115"/>
      <c r="AH76" s="115"/>
      <c r="AI76" s="115"/>
      <c r="AJ76" s="115"/>
      <c r="AL76" s="74"/>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c r="BS76" s="115"/>
      <c r="BT76" s="115"/>
      <c r="BU76" s="115"/>
      <c r="BW76" s="26"/>
      <c r="CA76" s="74"/>
      <c r="CB76" s="74"/>
      <c r="CC76" s="74"/>
      <c r="CD76" s="115"/>
      <c r="CE76" s="115"/>
      <c r="CF76" s="115"/>
      <c r="CG76" s="115"/>
      <c r="CH76" s="115"/>
      <c r="CI76" s="74"/>
      <c r="CK76" s="26"/>
      <c r="CX76" s="37"/>
      <c r="CY76" s="26"/>
      <c r="CZ76" s="37"/>
      <c r="DA76" s="37"/>
      <c r="DB76" s="37"/>
      <c r="DF76" s="115"/>
      <c r="DG76" s="115"/>
      <c r="DH76" s="115"/>
      <c r="DI76" s="115"/>
      <c r="DJ76" s="115"/>
      <c r="DL76" s="37"/>
      <c r="DM76" s="115"/>
      <c r="DN76" s="37"/>
      <c r="DO76" s="37"/>
      <c r="DP76" s="37"/>
      <c r="DT76" s="37"/>
      <c r="DU76" s="37"/>
      <c r="DV76" s="37"/>
      <c r="DW76" s="37"/>
      <c r="DX76" s="37"/>
      <c r="EA76" s="115"/>
      <c r="EN76" s="37"/>
      <c r="EO76" s="115"/>
      <c r="EP76" s="37"/>
      <c r="EQ76" s="37"/>
      <c r="ER76" s="37"/>
      <c r="EV76" s="37"/>
      <c r="EW76" s="37"/>
      <c r="EX76" s="37"/>
      <c r="EY76" s="37"/>
      <c r="EZ76" s="37"/>
      <c r="FF76" s="26"/>
      <c r="FH76" s="74"/>
      <c r="FK76" s="74"/>
      <c r="FR76" s="74"/>
      <c r="FT76" s="26"/>
      <c r="FZ76" s="37"/>
      <c r="GH76" s="26"/>
      <c r="GJ76" s="74"/>
      <c r="GM76" s="74"/>
      <c r="GT76" s="74"/>
      <c r="GU76" s="74"/>
      <c r="GV76" s="74"/>
      <c r="GW76" s="74"/>
      <c r="GX76" s="74"/>
      <c r="HB76" s="74"/>
      <c r="HD76" s="74"/>
      <c r="HE76" s="74"/>
      <c r="HF76" s="74"/>
      <c r="HG76" s="74"/>
      <c r="HH76" s="74"/>
      <c r="HI76" s="74"/>
      <c r="HJ76" s="74"/>
      <c r="HK76" s="74"/>
      <c r="HL76" s="74"/>
      <c r="IA76" s="133"/>
      <c r="IB76" s="133"/>
      <c r="IC76" s="133"/>
      <c r="IE76" s="133"/>
      <c r="IO76" s="430"/>
      <c r="IP76" s="430"/>
      <c r="IQ76" s="430"/>
      <c r="IR76" s="430"/>
      <c r="IS76" s="430"/>
      <c r="IT76" s="430"/>
      <c r="IU76" s="430"/>
      <c r="JQ76" s="643"/>
      <c r="OB76" s="26"/>
      <c r="OD76" s="57">
        <f>AA76/W76</f>
        <v>0.47286147542038115</v>
      </c>
    </row>
    <row r="77" spans="1:494" x14ac:dyDescent="0.25">
      <c r="AE77" s="115"/>
      <c r="AF77" s="115"/>
      <c r="AG77" s="115"/>
      <c r="AH77" s="115"/>
      <c r="AI77" s="115"/>
      <c r="AJ77" s="115"/>
      <c r="AL77" s="74"/>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c r="BS77" s="115"/>
      <c r="BT77" s="115"/>
      <c r="BU77" s="115"/>
      <c r="BW77" s="26"/>
      <c r="CA77" s="74"/>
      <c r="CB77" s="74"/>
      <c r="CC77" s="74"/>
      <c r="CD77" s="115"/>
      <c r="CE77" s="115"/>
      <c r="CF77" s="115"/>
      <c r="CG77" s="115"/>
      <c r="CH77" s="115"/>
      <c r="CI77" s="74"/>
      <c r="CK77" s="26"/>
      <c r="CX77" s="37"/>
      <c r="CY77" s="26"/>
      <c r="CZ77" s="37"/>
      <c r="DA77" s="37"/>
      <c r="DB77" s="37"/>
      <c r="DF77" s="115"/>
      <c r="DG77" s="115"/>
      <c r="DH77" s="115"/>
      <c r="DI77" s="115"/>
      <c r="DJ77" s="115"/>
      <c r="DL77" s="37"/>
      <c r="DM77" s="115"/>
      <c r="DN77" s="37"/>
      <c r="DO77" s="37"/>
      <c r="DP77" s="37"/>
      <c r="DT77" s="37"/>
      <c r="DU77" s="37"/>
      <c r="DV77" s="37"/>
      <c r="DW77" s="37"/>
      <c r="DX77" s="37"/>
      <c r="EA77" s="115"/>
      <c r="EN77" s="37"/>
      <c r="EO77" s="115"/>
      <c r="EP77" s="37"/>
      <c r="EQ77" s="37"/>
      <c r="ER77" s="37"/>
      <c r="EV77" s="37"/>
      <c r="EW77" s="37"/>
      <c r="EX77" s="37"/>
      <c r="EY77" s="37"/>
      <c r="EZ77" s="37"/>
      <c r="FF77" s="26"/>
      <c r="FH77" s="74"/>
      <c r="FK77" s="74"/>
      <c r="FR77" s="74"/>
      <c r="FT77" s="26"/>
      <c r="FZ77" s="37"/>
      <c r="GH77" s="26"/>
      <c r="GJ77" s="74"/>
      <c r="GM77" s="74"/>
      <c r="GT77" s="74"/>
      <c r="GU77" s="74"/>
      <c r="GV77" s="74"/>
      <c r="GW77" s="74"/>
      <c r="GX77" s="74"/>
      <c r="GY77" s="74"/>
      <c r="GZ77" s="74"/>
      <c r="HA77" s="74"/>
      <c r="HB77" s="74"/>
      <c r="HC77" s="74"/>
      <c r="HD77" s="74"/>
      <c r="HE77" s="74"/>
      <c r="HF77" s="74"/>
      <c r="HG77" s="74"/>
      <c r="HH77" s="74"/>
      <c r="HI77" s="74"/>
      <c r="HJ77" s="74"/>
      <c r="HK77" s="74"/>
      <c r="HL77" s="74"/>
      <c r="HM77" s="74"/>
      <c r="HN77" s="74"/>
      <c r="HO77" s="74"/>
      <c r="HQ77" s="74"/>
      <c r="IO77" s="149"/>
      <c r="IP77" s="149"/>
      <c r="IQ77" s="149"/>
      <c r="IR77" s="149"/>
      <c r="IS77" s="149"/>
      <c r="IT77" s="149"/>
      <c r="IU77" s="149"/>
      <c r="IW77" s="37"/>
      <c r="IX77" s="37"/>
      <c r="IY77" s="37"/>
      <c r="IZ77" s="37"/>
      <c r="JA77" s="37"/>
      <c r="JB77" s="37"/>
      <c r="JC77" s="37"/>
      <c r="JD77" s="37"/>
      <c r="JE77" s="37"/>
      <c r="JF77" s="37"/>
      <c r="JI77" s="37"/>
      <c r="JM77" s="74"/>
      <c r="JN77" s="74"/>
      <c r="JO77" s="74"/>
      <c r="JQ77" s="179"/>
      <c r="JR77" s="133"/>
      <c r="JS77" s="723"/>
      <c r="JT77" s="133"/>
      <c r="JU77" s="723"/>
      <c r="KD77" s="74"/>
      <c r="KE77" s="74"/>
      <c r="KF77" s="74"/>
      <c r="KG77" s="74"/>
      <c r="KH77" s="74"/>
      <c r="KI77" s="74"/>
      <c r="KJ77" s="74"/>
      <c r="KK77" s="74"/>
      <c r="KL77" s="74"/>
      <c r="KM77" s="74"/>
      <c r="KN77" s="74"/>
      <c r="KO77" s="74"/>
      <c r="KP77" s="74"/>
      <c r="KQ77" s="74"/>
      <c r="KR77" s="74"/>
      <c r="KS77" s="74"/>
      <c r="OB77" s="26"/>
      <c r="RK77" s="37"/>
      <c r="RL77" s="37"/>
      <c r="RU77" s="115"/>
      <c r="RV77" s="115"/>
      <c r="RW77" s="115"/>
      <c r="RX77" s="115"/>
      <c r="RY77" s="115"/>
      <c r="RZ77" s="115"/>
    </row>
    <row r="78" spans="1:494" x14ac:dyDescent="0.25">
      <c r="A78" s="9" t="s">
        <v>126</v>
      </c>
      <c r="AE78" s="115"/>
      <c r="AF78" s="115"/>
      <c r="AG78" s="115"/>
      <c r="AH78" s="115"/>
      <c r="AI78" s="115"/>
      <c r="AJ78" s="115"/>
      <c r="AL78" s="74"/>
      <c r="AO78" s="115"/>
      <c r="AP78" s="115"/>
      <c r="AQ78" s="115"/>
      <c r="AR78" s="115"/>
      <c r="AS78" s="115"/>
      <c r="AT78" s="115"/>
      <c r="AU78" s="115"/>
      <c r="AV78" s="115"/>
      <c r="AW78" s="115"/>
      <c r="AX78" s="115"/>
      <c r="AY78" s="115"/>
      <c r="AZ78" s="115"/>
      <c r="BA78" s="115"/>
      <c r="BB78" s="115"/>
      <c r="BC78" s="115"/>
      <c r="BD78" s="115"/>
      <c r="BE78" s="115"/>
      <c r="BF78" s="115"/>
      <c r="BG78" s="115"/>
      <c r="BH78" s="115"/>
      <c r="BI78" s="115"/>
      <c r="BJ78" s="115"/>
      <c r="BK78" s="115"/>
      <c r="BL78" s="115"/>
      <c r="BM78" s="115"/>
      <c r="BN78" s="115"/>
      <c r="BO78" s="115"/>
      <c r="BP78" s="115"/>
      <c r="BQ78" s="115"/>
      <c r="BR78" s="115"/>
      <c r="BS78" s="115"/>
      <c r="BT78" s="115"/>
      <c r="BU78" s="115"/>
      <c r="BW78" s="26"/>
      <c r="CA78" s="74"/>
      <c r="CB78" s="74"/>
      <c r="CC78" s="74"/>
      <c r="CD78" s="115"/>
      <c r="CE78" s="115"/>
      <c r="CF78" s="115"/>
      <c r="CG78" s="115"/>
      <c r="CH78" s="115"/>
      <c r="CI78" s="74"/>
      <c r="CK78" s="26"/>
      <c r="CX78" s="37"/>
      <c r="CY78" s="26"/>
      <c r="CZ78" s="37"/>
      <c r="DA78" s="37"/>
      <c r="DB78" s="37"/>
      <c r="DF78" s="115"/>
      <c r="DG78" s="115"/>
      <c r="DH78" s="115"/>
      <c r="DI78" s="115"/>
      <c r="DJ78" s="115"/>
      <c r="DL78" s="37"/>
      <c r="DM78" s="115"/>
      <c r="DN78" s="37"/>
      <c r="DO78" s="37"/>
      <c r="DP78" s="37"/>
      <c r="DT78" s="37"/>
      <c r="DU78" s="37"/>
      <c r="DV78" s="37"/>
      <c r="DW78" s="37"/>
      <c r="DX78" s="37"/>
      <c r="EA78" s="115"/>
      <c r="EN78" s="37"/>
      <c r="EO78" s="115"/>
      <c r="EP78" s="37"/>
      <c r="EQ78" s="37"/>
      <c r="ER78" s="37"/>
      <c r="EV78" s="37"/>
      <c r="EW78" s="37"/>
      <c r="EX78" s="37"/>
      <c r="EY78" s="37"/>
      <c r="EZ78" s="37"/>
      <c r="FF78" s="26"/>
      <c r="FH78" s="74"/>
      <c r="FK78" s="74"/>
      <c r="FR78" s="74"/>
      <c r="FT78" s="26"/>
      <c r="FZ78" s="37"/>
      <c r="GH78" s="26"/>
      <c r="GJ78" s="74"/>
      <c r="GM78" s="74"/>
      <c r="GT78" s="74"/>
      <c r="GU78" s="74"/>
      <c r="GV78" s="74"/>
      <c r="GW78" s="74"/>
      <c r="GX78" s="55">
        <f>GX79+GX80</f>
        <v>31.175873242358854</v>
      </c>
      <c r="HB78" s="74"/>
      <c r="HD78" s="74"/>
      <c r="HE78" s="74"/>
      <c r="HF78" s="74"/>
      <c r="HG78" s="74"/>
      <c r="HH78" s="74"/>
      <c r="HI78" s="74"/>
      <c r="HJ78" s="74"/>
      <c r="HK78" s="74"/>
      <c r="HL78" s="74"/>
      <c r="IA78" s="133"/>
      <c r="IB78" s="133"/>
      <c r="IC78" s="133"/>
      <c r="IE78" s="133"/>
      <c r="IO78" s="68">
        <f>IP78+IQ78+IR78+IS78+IT78+IU78</f>
        <v>77.040554947912085</v>
      </c>
      <c r="IP78" s="97">
        <f>JS78*$W79</f>
        <v>47.103193027186812</v>
      </c>
      <c r="IQ78" s="97">
        <f>JU78*$W79</f>
        <v>1.8971923207252759</v>
      </c>
      <c r="IR78" s="97">
        <f>JX78*$W79</f>
        <v>0.47072880000000011</v>
      </c>
      <c r="IS78" s="97">
        <f>KB78*$W79</f>
        <v>25.826472000000003</v>
      </c>
      <c r="IT78" s="97">
        <f>KF78*$W79</f>
        <v>0.21628080000000005</v>
      </c>
      <c r="IU78" s="97">
        <f>KH78*$W79</f>
        <v>1.526688</v>
      </c>
      <c r="JK78" s="115">
        <f>JM78+JN78+JO78</f>
        <v>2.2526478054945054</v>
      </c>
      <c r="JL78" s="679">
        <f>10^3*JK78/NY79</f>
        <v>60.55504853479853</v>
      </c>
      <c r="JM78" s="179">
        <f>JS78+KB78</f>
        <v>2.1324463458241758</v>
      </c>
      <c r="JN78" s="179">
        <f>JU78+KF78</f>
        <v>6.17974596703297E-2</v>
      </c>
      <c r="JO78" s="179">
        <f>JX78+KH78</f>
        <v>5.8403999999999998E-2</v>
      </c>
      <c r="JP78" s="469">
        <f>JK78*C79</f>
        <v>0.45052956109890108</v>
      </c>
      <c r="JQ78" s="115">
        <f>JR78*$NY79/10^3</f>
        <v>1.4465238054945053</v>
      </c>
      <c r="JR78" s="115">
        <f>JT78+JV78+JY78</f>
        <v>38.885048534798528</v>
      </c>
      <c r="JS78" s="680">
        <f>'Crops; pasture AMORTIZED'!FY38/C79</f>
        <v>1.3772863458241758</v>
      </c>
      <c r="JT78" s="73">
        <f>10^3*JS78/$NY79</f>
        <v>37.023826500649882</v>
      </c>
      <c r="JU78" s="724">
        <f>'Crops; pasture AMORTIZED'!FW38/C79</f>
        <v>5.5473459670329697E-2</v>
      </c>
      <c r="JV78" s="115">
        <f>10^3*JU78/$NY79</f>
        <v>1.4912220341486475</v>
      </c>
      <c r="JW78" s="115">
        <f>10^3*JU78/'Amortization metrics'!$B$6</f>
        <v>0.18615254922929428</v>
      </c>
      <c r="JX78" s="127">
        <f>JY78*$NY79/10^3</f>
        <v>1.3764000000000002E-2</v>
      </c>
      <c r="JY78" s="84">
        <v>0.37</v>
      </c>
      <c r="JZ78" s="127">
        <f>KB78+KF78+KH78</f>
        <v>0.80612400000000006</v>
      </c>
      <c r="KA78" s="73">
        <f>KC78+KG78+KI78</f>
        <v>21.67</v>
      </c>
      <c r="KB78" s="115">
        <f>KC78*$NY79/10^3</f>
        <v>0.75516000000000005</v>
      </c>
      <c r="KC78" s="80">
        <v>20.3</v>
      </c>
      <c r="KD78" s="725">
        <v>2</v>
      </c>
      <c r="KE78" s="474">
        <f>KC78/KD78</f>
        <v>10.15</v>
      </c>
      <c r="KF78" s="127">
        <f>KG78*$NY79/10^3</f>
        <v>6.3240000000000006E-3</v>
      </c>
      <c r="KG78" s="84">
        <v>0.17</v>
      </c>
      <c r="KH78" s="127">
        <f>KI78*$NY79/10^3</f>
        <v>4.4639999999999999E-2</v>
      </c>
      <c r="KI78" s="84">
        <v>1.2</v>
      </c>
      <c r="OB78" s="26"/>
    </row>
    <row r="79" spans="1:494" x14ac:dyDescent="0.25">
      <c r="A79" s="37" t="s">
        <v>124</v>
      </c>
      <c r="B79" s="53">
        <f>C79*NT26/NT79</f>
        <v>0.18200000000000002</v>
      </c>
      <c r="C79" s="90">
        <v>0.2</v>
      </c>
      <c r="D79" s="722">
        <f>C79*NW79/NW26</f>
        <v>0.33446808510638293</v>
      </c>
      <c r="E79" s="104"/>
      <c r="F79" s="104"/>
      <c r="G79" s="104"/>
      <c r="H79" s="104"/>
      <c r="I79" s="104"/>
      <c r="J79" s="104"/>
      <c r="K79" s="104"/>
      <c r="L79" s="104"/>
      <c r="M79" s="104"/>
      <c r="N79" s="69"/>
      <c r="V79" s="55">
        <f>W79/NT79</f>
        <v>34.200000000000003</v>
      </c>
      <c r="W79" s="726">
        <v>34.200000000000003</v>
      </c>
      <c r="X79" s="66"/>
      <c r="Y79" s="37">
        <f>W79*NW79/10^3</f>
        <v>1.34406</v>
      </c>
      <c r="Z79" s="26">
        <f>W79*OB79/10^3</f>
        <v>1.2654000000000001</v>
      </c>
      <c r="AE79" s="115">
        <f>AB$26*$AN79/$C79</f>
        <v>7.694319013603887</v>
      </c>
      <c r="AF79" s="115"/>
      <c r="AG79" s="115">
        <f>AC$26*$AN79/$C79</f>
        <v>7.7347484340972272</v>
      </c>
      <c r="AH79" s="115"/>
      <c r="AI79" s="115">
        <f>AD$26*$AN79/$C79</f>
        <v>6.9729929064967422</v>
      </c>
      <c r="AJ79" s="115"/>
      <c r="AK79" s="722">
        <f>Y79/(Y79+Y80)</f>
        <v>0.33503836317135549</v>
      </c>
      <c r="AL79" s="164">
        <v>0.96699999999999997</v>
      </c>
      <c r="AM79" s="69">
        <f>V79*AL79/(V79*AL79+V80*AL80)</f>
        <v>0.35791184564136397</v>
      </c>
      <c r="AN79" s="40">
        <f t="shared" ref="AN79:AN80" si="29">AK79</f>
        <v>0.33503836317135549</v>
      </c>
      <c r="AO79" s="115"/>
      <c r="AP79" s="115"/>
      <c r="AQ79" s="115"/>
      <c r="AR79" s="115"/>
      <c r="AS79" s="115"/>
      <c r="AT79" s="115"/>
      <c r="AU79" s="115"/>
      <c r="AV79" s="115"/>
      <c r="AW79" s="115"/>
      <c r="AX79" s="115"/>
      <c r="AY79" s="115"/>
      <c r="AZ79" s="115"/>
      <c r="BA79" s="115"/>
      <c r="BB79" s="115"/>
      <c r="BC79" s="115"/>
      <c r="BD79" s="115"/>
      <c r="BE79" s="115"/>
      <c r="BF79" s="115"/>
      <c r="BG79" s="115"/>
      <c r="BH79" s="115"/>
      <c r="BI79" s="115"/>
      <c r="BJ79" s="115"/>
      <c r="BK79" s="115"/>
      <c r="BL79" s="115"/>
      <c r="BM79" s="115"/>
      <c r="BN79" s="115"/>
      <c r="BO79" s="115"/>
      <c r="BP79" s="115"/>
      <c r="BQ79" s="115"/>
      <c r="BR79" s="115"/>
      <c r="BS79" s="115"/>
      <c r="BT79" s="115"/>
      <c r="BU79" s="115"/>
      <c r="BV79" s="26">
        <f>BW79*$NT79</f>
        <v>3.1806003784085566</v>
      </c>
      <c r="BW79" s="115">
        <f>BP$26*$AN79/$C79</f>
        <v>3.1806003784085566</v>
      </c>
      <c r="BX79" s="677">
        <f>10^3*BW79/$OB79</f>
        <v>85.962172389420445</v>
      </c>
      <c r="BZ79" s="73">
        <f>10^3*BW79/$NW79</f>
        <v>80.931307338640124</v>
      </c>
      <c r="CA79" s="73"/>
      <c r="CB79" s="73"/>
      <c r="CC79" s="73"/>
      <c r="CD79" s="115"/>
      <c r="CE79" s="115"/>
      <c r="CF79" s="115"/>
      <c r="CG79" s="115"/>
      <c r="CH79" s="115"/>
      <c r="CI79" s="73"/>
      <c r="CJ79" s="26">
        <f>CK79*$NT79</f>
        <v>3.2245873981938082</v>
      </c>
      <c r="CK79" s="115">
        <f>BQ$26*$AN79/$C79</f>
        <v>3.2245873981938082</v>
      </c>
      <c r="CL79" s="677">
        <f>10^3*CK79/$OB79</f>
        <v>87.151010761994826</v>
      </c>
      <c r="CN79" s="73">
        <f>10^3*CK79/$NW79</f>
        <v>82.050569928595635</v>
      </c>
      <c r="CO79" s="73"/>
      <c r="CP79" s="73"/>
      <c r="CQ79" s="73"/>
      <c r="CW79" s="73"/>
      <c r="CX79" s="26">
        <f>CY79*$NT79</f>
        <v>2.3958408914986729</v>
      </c>
      <c r="CY79" s="115">
        <f>BR$26*$AN79/$C79</f>
        <v>2.3958408914986729</v>
      </c>
      <c r="CZ79" s="677">
        <f>10^3*CY79/$OB79</f>
        <v>64.752456526991168</v>
      </c>
      <c r="DA79" s="37"/>
      <c r="DB79" s="73">
        <f>10^3*CY79/$NW79</f>
        <v>60.962872557218148</v>
      </c>
      <c r="DC79" s="73"/>
      <c r="DD79" s="73"/>
      <c r="DE79" s="73"/>
      <c r="DF79" s="115"/>
      <c r="DG79" s="115"/>
      <c r="DH79" s="115"/>
      <c r="DI79" s="115"/>
      <c r="DJ79" s="115"/>
      <c r="DK79" s="73"/>
      <c r="DL79" s="26">
        <f>DM79*$NT79</f>
        <v>2.6787309636514278</v>
      </c>
      <c r="DM79" s="115">
        <f>BS$26*$AN79/$C79</f>
        <v>2.6787309636514278</v>
      </c>
      <c r="DN79" s="677">
        <f>10^3*DM79/$OB79</f>
        <v>72.398134152741292</v>
      </c>
      <c r="DO79" s="37"/>
      <c r="DP79" s="73">
        <f>10^3*DM79/$NW79</f>
        <v>68.161093222682652</v>
      </c>
      <c r="DQ79" s="73"/>
      <c r="DR79" s="73"/>
      <c r="DS79" s="73"/>
      <c r="DT79" s="37"/>
      <c r="DU79" s="37"/>
      <c r="DV79" s="37"/>
      <c r="DW79" s="37"/>
      <c r="DX79" s="37"/>
      <c r="DY79" s="73"/>
      <c r="DZ79" s="26">
        <f>EA79*$NT79</f>
        <v>2.7071911554070813</v>
      </c>
      <c r="EA79" s="115">
        <f>BT$26*$AN79/$C79</f>
        <v>2.7071911554070813</v>
      </c>
      <c r="EB79" s="677">
        <f>10^3*EA79/$OB79</f>
        <v>73.16732852451571</v>
      </c>
      <c r="ED79" s="73">
        <f>10^3*EA79/$NW79</f>
        <v>68.885271129951178</v>
      </c>
      <c r="EE79" s="73"/>
      <c r="EF79" s="73"/>
      <c r="EG79" s="73"/>
      <c r="EM79" s="73"/>
      <c r="EN79" s="26">
        <f>EO79*$NT79</f>
        <v>2.1709552133161001</v>
      </c>
      <c r="EO79" s="115">
        <f>BU$26*$AN79/$C79</f>
        <v>2.1709552133161001</v>
      </c>
      <c r="EP79" s="677">
        <f>10^3*EO79/$OB79</f>
        <v>58.674465224759459</v>
      </c>
      <c r="EQ79" s="37"/>
      <c r="ER79" s="73">
        <f>10^3*EO79/$NW79</f>
        <v>55.240590669620872</v>
      </c>
      <c r="ES79" s="73"/>
      <c r="ET79" s="73"/>
      <c r="EU79" s="73"/>
      <c r="EV79" s="37"/>
      <c r="EW79" s="37"/>
      <c r="EX79" s="37"/>
      <c r="EY79" s="37"/>
      <c r="EZ79" s="37"/>
      <c r="FA79" s="73"/>
      <c r="FE79" s="26">
        <f>FF79*$NT79</f>
        <v>5.3344438309449478</v>
      </c>
      <c r="FF79" s="115">
        <f>FB$26*$AN79/$C79</f>
        <v>5.3344438309449478</v>
      </c>
      <c r="FG79" s="562">
        <f>10^3*FF79/$OB79</f>
        <v>144.17415759310671</v>
      </c>
      <c r="FH79" s="73"/>
      <c r="FI79" s="73">
        <f>10^3*FF79/$NW79</f>
        <v>135.73648424796306</v>
      </c>
      <c r="FJ79" s="73"/>
      <c r="FK79" s="73"/>
      <c r="FL79" s="26"/>
      <c r="FR79" s="73"/>
      <c r="FS79" s="26">
        <f>FT79*$NT79</f>
        <v>5.391119658565767</v>
      </c>
      <c r="FT79" s="115">
        <f>FC$26*$AN79/$C79</f>
        <v>5.391119658565767</v>
      </c>
      <c r="FU79" s="562">
        <f>10^3*FT79/$OB79</f>
        <v>145.70593671799369</v>
      </c>
      <c r="FV79" s="73"/>
      <c r="FW79" s="73">
        <f>10^3*FT79/$NW79</f>
        <v>137.17861726630451</v>
      </c>
      <c r="FX79" s="73"/>
      <c r="FY79" s="73"/>
      <c r="FZ79" s="26"/>
      <c r="GF79" s="73"/>
      <c r="GG79" s="26">
        <f>GH79*$NT79</f>
        <v>4.32325560202798</v>
      </c>
      <c r="GH79" s="115">
        <f>FD$26*$AN79/$C79</f>
        <v>4.32325560202798</v>
      </c>
      <c r="GI79" s="562">
        <f>10^3*GH79/$OB79</f>
        <v>116.84474600075622</v>
      </c>
      <c r="GJ79" s="73"/>
      <c r="GK79" s="73">
        <f>10^3*GH79/$NW79</f>
        <v>110.00650386839644</v>
      </c>
      <c r="GL79" s="73"/>
      <c r="GM79" s="73"/>
      <c r="GN79" s="26"/>
      <c r="GT79" s="73"/>
      <c r="GU79" s="73"/>
      <c r="GV79" s="73"/>
      <c r="GW79" s="73"/>
      <c r="GX79" s="68">
        <f>GZ79*$W79</f>
        <v>10.44511354155757</v>
      </c>
      <c r="GY79" s="26">
        <f>GZ79*$NT79</f>
        <v>0.30541267665373006</v>
      </c>
      <c r="GZ79" s="127">
        <f>$AN79*GU$26/C79</f>
        <v>0.30541267665373006</v>
      </c>
      <c r="HA79" s="673">
        <f>10^3*GZ79/$OB79</f>
        <v>8.2543966663170281</v>
      </c>
      <c r="HB79" s="74"/>
      <c r="HC79" s="73">
        <f>10^3*GZ79/$NW79</f>
        <v>7.7713149275758289</v>
      </c>
      <c r="HD79" s="73"/>
      <c r="HE79" s="73"/>
      <c r="HF79" s="73"/>
      <c r="HG79" s="73"/>
      <c r="HH79" s="73"/>
      <c r="HI79" s="73"/>
      <c r="HJ79" s="73"/>
      <c r="HK79" s="73"/>
      <c r="HL79" s="73"/>
      <c r="HM79" s="115">
        <f>HN79*$NT79</f>
        <v>0.30270050091907696</v>
      </c>
      <c r="HN79" s="127">
        <f>$AN79*GV$26/C79</f>
        <v>0.30270050091907696</v>
      </c>
      <c r="HO79" s="73">
        <f>10^3*HN79/$OB79</f>
        <v>8.1810946194345124</v>
      </c>
      <c r="HQ79" s="73">
        <f>10^3*HN79/$NW79</f>
        <v>7.7023028223683703</v>
      </c>
      <c r="HR79" s="73"/>
      <c r="HS79" s="73"/>
      <c r="HT79" s="73"/>
      <c r="HU79" s="73"/>
      <c r="HV79" s="73"/>
      <c r="HW79" s="73"/>
      <c r="HX79" s="73"/>
      <c r="HY79" s="73"/>
      <c r="HZ79" s="73"/>
      <c r="IA79" s="115">
        <f>IB79*$NT79</f>
        <v>0.35380226870316378</v>
      </c>
      <c r="IB79" s="127">
        <f>$AN79*GW$26/C79</f>
        <v>0.35380226870316378</v>
      </c>
      <c r="IC79" s="73">
        <f>10^3*IB79/$OB79</f>
        <v>9.5622234784638867</v>
      </c>
      <c r="IE79" s="73">
        <f>10^3*IB79/$NW79</f>
        <v>9.0026022570779602</v>
      </c>
      <c r="IF79" s="73"/>
      <c r="IG79" s="73"/>
      <c r="IH79" s="73"/>
      <c r="II79" s="73"/>
      <c r="IJ79" s="73"/>
      <c r="IK79" s="73"/>
      <c r="IL79" s="73"/>
      <c r="IM79" s="73"/>
      <c r="IN79" s="73"/>
      <c r="IO79" s="149"/>
      <c r="IP79" s="149"/>
      <c r="IQ79" s="149"/>
      <c r="IR79" s="149"/>
      <c r="IS79" s="149"/>
      <c r="IT79" s="149"/>
      <c r="IU79" s="149"/>
      <c r="IV79" s="335">
        <f>IW79*$NT79</f>
        <v>0.75472343355442506</v>
      </c>
      <c r="IW79" s="127">
        <f>AN79*JK78</f>
        <v>0.75472343355442506</v>
      </c>
      <c r="IX79" s="673">
        <f>10^3*IW79/$OB79</f>
        <v>20.39793063660608</v>
      </c>
      <c r="IY79" s="73"/>
      <c r="IZ79" s="73">
        <f>AN79*JL78</f>
        <v>20.288264342860888</v>
      </c>
      <c r="JA79" s="115"/>
      <c r="JB79" s="115">
        <f>$IW79*JM78/$JK78</f>
        <v>0.71445133325567012</v>
      </c>
      <c r="JC79" s="115">
        <f>$IW79*JN78/$JK78</f>
        <v>2.0704519736095117E-2</v>
      </c>
      <c r="JD79" s="115">
        <f>$IW79*JO78/$JK78</f>
        <v>1.9567580562659847E-2</v>
      </c>
      <c r="JE79" s="115"/>
      <c r="JF79" s="115"/>
      <c r="JG79" s="73"/>
      <c r="JH79" s="73"/>
      <c r="JI79" s="115"/>
      <c r="JJ79" s="73"/>
      <c r="JT79" s="115"/>
      <c r="JW79" s="115"/>
      <c r="KJ79" s="115">
        <f>BW79*44/12+$IW79+$GZ79</f>
        <v>12.722337497706198</v>
      </c>
      <c r="KK79" s="74"/>
      <c r="KL79" s="677">
        <f>10^3*KJ79/$OB79</f>
        <v>343.84695939746479</v>
      </c>
      <c r="KM79" s="74"/>
      <c r="KN79" s="73"/>
      <c r="KO79" s="115"/>
      <c r="KP79" s="115"/>
      <c r="KQ79" s="115"/>
      <c r="KR79" s="115"/>
      <c r="KS79" s="73"/>
      <c r="KT79" s="115">
        <f>CK79*44/12+$IW79+$HN79</f>
        <v>12.880911061184133</v>
      </c>
      <c r="KV79" s="677">
        <f>10^3*KT79/$OB79</f>
        <v>348.13273138335495</v>
      </c>
      <c r="KX79" s="73"/>
      <c r="KY79" s="115"/>
      <c r="KZ79" s="115"/>
      <c r="LA79" s="115"/>
      <c r="LB79" s="115"/>
      <c r="LC79" s="73"/>
      <c r="LD79" s="115">
        <f>CY79*44/12+$IW79+$IB79</f>
        <v>9.8932756377527227</v>
      </c>
      <c r="LF79" s="677">
        <f>10^3*LD79/$OB79</f>
        <v>267.38582804737086</v>
      </c>
      <c r="LH79" s="73"/>
      <c r="LI79" s="115"/>
      <c r="LJ79" s="115"/>
      <c r="LK79" s="115"/>
      <c r="LL79" s="115"/>
      <c r="LM79" s="73"/>
      <c r="LN79" s="115">
        <f>DM79*44/12+$IW79+$GZ79</f>
        <v>10.882149643596724</v>
      </c>
      <c r="LP79" s="677">
        <f>10^3*LN79/$OB79</f>
        <v>294.11215252964121</v>
      </c>
      <c r="LR79" s="73"/>
      <c r="LW79" s="73"/>
      <c r="LX79" s="115">
        <f>EA79*44/12+$IW79+$HN79</f>
        <v>10.983791504299466</v>
      </c>
      <c r="LZ79" s="677">
        <f>10^3*LX79/$OB79</f>
        <v>296.85922984593151</v>
      </c>
      <c r="MB79" s="73"/>
      <c r="MG79" s="73"/>
      <c r="MH79" s="115">
        <f>EO79*44/12+$IW79+$IB79</f>
        <v>9.0686948177499573</v>
      </c>
      <c r="MJ79" s="677">
        <f>10^3*MH79/$OB79</f>
        <v>245.09985993918806</v>
      </c>
      <c r="ML79" s="73"/>
      <c r="MQ79" s="73"/>
      <c r="MW79" s="73"/>
      <c r="MX79" s="73"/>
      <c r="MY79" s="73"/>
      <c r="MZ79" s="73"/>
      <c r="NA79" s="73"/>
      <c r="NB79" s="73"/>
      <c r="NC79" s="73"/>
      <c r="ND79" s="73"/>
      <c r="NE79" s="73"/>
      <c r="NF79" s="73"/>
      <c r="NG79" s="73"/>
      <c r="NH79" s="73"/>
      <c r="NI79" s="73"/>
      <c r="NJ79" s="73"/>
      <c r="NK79" s="73"/>
      <c r="NL79" s="73"/>
      <c r="NM79" s="73"/>
      <c r="NN79" s="73"/>
      <c r="NO79" s="73"/>
      <c r="NP79" s="73"/>
      <c r="NQ79" s="73"/>
      <c r="NT79" s="31">
        <v>1</v>
      </c>
      <c r="NU79" s="31"/>
      <c r="NV79" s="32">
        <f>$NT79*NW79</f>
        <v>39.299999999999997</v>
      </c>
      <c r="NW79" s="9">
        <v>39.299999999999997</v>
      </c>
      <c r="NX79" s="9"/>
      <c r="NY79" s="9">
        <v>37.200000000000003</v>
      </c>
      <c r="NZ79" s="9"/>
      <c r="OA79" s="32">
        <f>$NT79*OB79</f>
        <v>37</v>
      </c>
      <c r="OB79" s="43">
        <v>37</v>
      </c>
      <c r="OC79" s="38">
        <f>$NT79*OD79</f>
        <v>0</v>
      </c>
      <c r="OD79" s="31">
        <v>0</v>
      </c>
      <c r="OE79" s="38">
        <f>$NT79*OF79</f>
        <v>1</v>
      </c>
      <c r="OF79" s="31">
        <v>1</v>
      </c>
    </row>
    <row r="80" spans="1:494" x14ac:dyDescent="0.25">
      <c r="A80" s="37" t="s">
        <v>90</v>
      </c>
      <c r="B80" s="468">
        <f>C80*NT26/NT80</f>
        <v>0.79130434782608705</v>
      </c>
      <c r="C80" s="40">
        <f>1-C79</f>
        <v>0.8</v>
      </c>
      <c r="D80" s="722">
        <f>C80*NW80/NW26</f>
        <v>0.66382978723404262</v>
      </c>
      <c r="E80" s="104"/>
      <c r="F80" s="104"/>
      <c r="G80" s="104"/>
      <c r="H80" s="104"/>
      <c r="I80" s="104"/>
      <c r="J80" s="104"/>
      <c r="K80" s="104"/>
      <c r="L80" s="104"/>
      <c r="M80" s="104"/>
      <c r="N80" s="69"/>
      <c r="V80" s="37">
        <f>W80/NT80</f>
        <v>148.69565217391306</v>
      </c>
      <c r="W80" s="37">
        <f>C80/C79*W79</f>
        <v>136.80000000000001</v>
      </c>
      <c r="Y80" s="26">
        <f>W80*NW80/10^3</f>
        <v>2.6676000000000002</v>
      </c>
      <c r="Z80" s="26"/>
      <c r="AA80" s="55">
        <f>W80*OD80</f>
        <v>68.400000000000006</v>
      </c>
      <c r="AB80" s="55"/>
      <c r="AE80" s="115">
        <f>AB$26*$AN80/$C80</f>
        <v>3.8177918769790278</v>
      </c>
      <c r="AF80" s="115"/>
      <c r="AG80" s="115">
        <f>AC$26*$AN80/$C80</f>
        <v>3.8378522764604561</v>
      </c>
      <c r="AH80" s="115"/>
      <c r="AI80" s="115">
        <f>AD$26*$AN80/$C80</f>
        <v>3.4598819765060171</v>
      </c>
      <c r="AJ80" s="115"/>
      <c r="AK80" s="722">
        <f>1-AK79</f>
        <v>0.66496163682864451</v>
      </c>
      <c r="AL80" s="164">
        <v>0.39900000000000002</v>
      </c>
      <c r="AM80" s="69">
        <f>V80*AL80/(V79*AL79+V80*AL80)</f>
        <v>0.64208815435863598</v>
      </c>
      <c r="AN80" s="40">
        <f t="shared" si="29"/>
        <v>0.66496163682864451</v>
      </c>
      <c r="AO80" s="115"/>
      <c r="AP80" s="115"/>
      <c r="AQ80" s="115"/>
      <c r="AR80" s="115"/>
      <c r="AS80" s="115"/>
      <c r="AT80" s="115"/>
      <c r="AU80" s="115"/>
      <c r="AV80" s="115"/>
      <c r="AW80" s="115"/>
      <c r="AX80" s="115"/>
      <c r="AY80" s="115"/>
      <c r="AZ80" s="115"/>
      <c r="BA80" s="115"/>
      <c r="BB80" s="115"/>
      <c r="BC80" s="115"/>
      <c r="BD80" s="115"/>
      <c r="BE80" s="115"/>
      <c r="BF80" s="115"/>
      <c r="BG80" s="115"/>
      <c r="BH80" s="115"/>
      <c r="BI80" s="115"/>
      <c r="BJ80" s="115"/>
      <c r="BK80" s="115"/>
      <c r="BL80" s="115"/>
      <c r="BM80" s="115"/>
      <c r="BN80" s="115"/>
      <c r="BO80" s="115"/>
      <c r="BP80" s="115"/>
      <c r="BQ80" s="115"/>
      <c r="BR80" s="115"/>
      <c r="BS80" s="115"/>
      <c r="BT80" s="115"/>
      <c r="BU80" s="115"/>
      <c r="BV80" s="26">
        <f>BW80*$NT80</f>
        <v>1.451907653655204</v>
      </c>
      <c r="BW80" s="115">
        <f>BP$26*$AN80/$C80</f>
        <v>1.5781604931034825</v>
      </c>
      <c r="BX80" s="443"/>
      <c r="BY80" s="143">
        <f>BW80/$OD80</f>
        <v>3.156320986206965</v>
      </c>
      <c r="BZ80" s="73"/>
      <c r="CA80" s="73"/>
      <c r="CB80" s="73"/>
      <c r="CC80" s="73"/>
      <c r="CD80" s="115"/>
      <c r="CE80" s="115"/>
      <c r="CF80" s="115"/>
      <c r="CG80" s="115"/>
      <c r="CH80" s="115"/>
      <c r="CI80" s="73"/>
      <c r="CJ80" s="26">
        <f>CK80*$NT80</f>
        <v>1.4719872245190058</v>
      </c>
      <c r="CK80" s="115">
        <f>BQ$26*$AN80/$C80</f>
        <v>1.5999861136076148</v>
      </c>
      <c r="CL80" s="443"/>
      <c r="CM80" s="143">
        <f>CK80/$OD80</f>
        <v>3.1999722272152296</v>
      </c>
      <c r="CN80" s="73"/>
      <c r="CO80" s="73"/>
      <c r="CP80" s="73"/>
      <c r="CQ80" s="73"/>
      <c r="CW80" s="73"/>
      <c r="CX80" s="26">
        <f>CY80*$NT80</f>
        <v>1.0936739336764936</v>
      </c>
      <c r="CY80" s="115">
        <f>BR$26*$AN80/$C80</f>
        <v>1.1887760148657538</v>
      </c>
      <c r="CZ80" s="443"/>
      <c r="DA80" s="143">
        <f>CY80/$OD80</f>
        <v>2.3775520297315076</v>
      </c>
      <c r="DB80" s="73"/>
      <c r="DC80" s="73"/>
      <c r="DD80" s="73"/>
      <c r="DE80" s="73"/>
      <c r="DF80" s="115"/>
      <c r="DG80" s="115"/>
      <c r="DH80" s="115"/>
      <c r="DI80" s="115"/>
      <c r="DJ80" s="115"/>
      <c r="DK80" s="73"/>
      <c r="DL80" s="26">
        <f>DM80*$NT80</f>
        <v>1.2228100124149268</v>
      </c>
      <c r="DM80" s="115">
        <f>BS$26*$AN80/$C80</f>
        <v>1.3291413178423117</v>
      </c>
      <c r="DN80" s="443"/>
      <c r="DO80" s="143">
        <f>DM80/$OD80</f>
        <v>2.6582826356846234</v>
      </c>
      <c r="DP80" s="73"/>
      <c r="DQ80" s="73"/>
      <c r="DR80" s="73"/>
      <c r="DS80" s="73"/>
      <c r="DT80" s="37"/>
      <c r="DU80" s="37"/>
      <c r="DV80" s="37"/>
      <c r="DW80" s="37"/>
      <c r="DX80" s="37"/>
      <c r="DY80" s="73"/>
      <c r="DZ80" s="26">
        <f>EA80*$NT80</f>
        <v>1.2358017640713244</v>
      </c>
      <c r="EA80" s="115">
        <f>BT$26*$AN80/$C80</f>
        <v>1.3432627870340481</v>
      </c>
      <c r="EB80" s="443"/>
      <c r="EC80" s="143">
        <f>EA80/$OD80</f>
        <v>2.6865255740680962</v>
      </c>
      <c r="ED80" s="73"/>
      <c r="EE80" s="73"/>
      <c r="EF80" s="73"/>
      <c r="EG80" s="73"/>
      <c r="EM80" s="73"/>
      <c r="EN80" s="26">
        <f>EO80*$NT80</f>
        <v>0.99101619661299833</v>
      </c>
      <c r="EO80" s="115">
        <f>BU$26*$AN80/$C80</f>
        <v>1.0771915180576068</v>
      </c>
      <c r="EP80" s="443"/>
      <c r="EQ80" s="143">
        <f>EO80/$OD80</f>
        <v>2.1543830361152136</v>
      </c>
      <c r="ER80" s="73"/>
      <c r="ES80" s="73"/>
      <c r="ET80" s="73"/>
      <c r="EU80" s="73"/>
      <c r="EV80" s="37"/>
      <c r="EW80" s="37"/>
      <c r="EX80" s="37"/>
      <c r="EY80" s="37"/>
      <c r="EZ80" s="37"/>
      <c r="FA80" s="73"/>
      <c r="FE80" s="26">
        <f>FF80*$NT80</f>
        <v>2.4351125274084575</v>
      </c>
      <c r="FF80" s="115">
        <f>FB$26*$AN80/$C80</f>
        <v>2.6468614428352799</v>
      </c>
      <c r="FG80" s="443"/>
      <c r="FH80" s="115">
        <f>FF80/$OD80</f>
        <v>5.2937228856705598</v>
      </c>
      <c r="FI80" s="73"/>
      <c r="FJ80" s="73"/>
      <c r="FK80" s="73"/>
      <c r="FL80" s="26"/>
      <c r="FR80" s="73"/>
      <c r="FS80" s="26">
        <f>FT80*$NT80</f>
        <v>2.4609843937575029</v>
      </c>
      <c r="FT80" s="115">
        <f>FC$26*$AN80/$C80</f>
        <v>2.6749830366929377</v>
      </c>
      <c r="FU80" s="443"/>
      <c r="FV80" s="115">
        <f>FT80/$OD80</f>
        <v>5.3499660733858754</v>
      </c>
      <c r="FW80" s="73"/>
      <c r="FX80" s="73"/>
      <c r="FY80" s="73"/>
      <c r="FZ80" s="26"/>
      <c r="GF80" s="73"/>
      <c r="GG80" s="26">
        <f>GH80*$NT80</f>
        <v>1.9735166793990322</v>
      </c>
      <c r="GH80" s="115">
        <f>FD$26*$AN80/$C80</f>
        <v>2.1451268254337306</v>
      </c>
      <c r="GI80" s="443"/>
      <c r="GJ80" s="115">
        <f>GH80/$OD80</f>
        <v>4.2902536508674611</v>
      </c>
      <c r="GK80" s="73"/>
      <c r="GL80" s="73"/>
      <c r="GM80" s="73"/>
      <c r="GN80" s="26"/>
      <c r="GT80" s="73"/>
      <c r="GU80" s="73"/>
      <c r="GV80" s="73"/>
      <c r="GW80" s="73"/>
      <c r="GX80" s="68">
        <f>GZ80*$W80</f>
        <v>20.730759700801286</v>
      </c>
      <c r="GY80" s="26">
        <f>GZ80*$NT80</f>
        <v>0.13941738980071039</v>
      </c>
      <c r="GZ80" s="127">
        <f>$AN80*GU$26/C80</f>
        <v>0.15154064108772869</v>
      </c>
      <c r="HA80" s="73"/>
      <c r="HB80" s="115">
        <f>GZ80/$OD80</f>
        <v>0.30308128217545738</v>
      </c>
      <c r="HD80" s="115"/>
      <c r="HE80" s="73"/>
      <c r="HF80" s="73"/>
      <c r="HG80" s="73"/>
      <c r="HH80" s="73"/>
      <c r="HI80" s="73"/>
      <c r="HJ80" s="73"/>
      <c r="HK80" s="73"/>
      <c r="HL80" s="73"/>
      <c r="HM80" s="115">
        <f>HN80*$NT80</f>
        <v>0.13817931263328859</v>
      </c>
      <c r="HN80" s="127">
        <f>$AN80*GV$26/C80</f>
        <v>0.15019490503618324</v>
      </c>
      <c r="HO80" s="73"/>
      <c r="HP80" s="115">
        <f>HN80/$OD80</f>
        <v>0.30038981007236648</v>
      </c>
      <c r="HR80" s="115"/>
      <c r="HS80" s="73"/>
      <c r="HT80" s="73"/>
      <c r="HU80" s="73"/>
      <c r="HV80" s="73"/>
      <c r="HW80" s="73"/>
      <c r="HX80" s="73"/>
      <c r="HY80" s="73"/>
      <c r="HZ80" s="73"/>
      <c r="IA80" s="115">
        <f>IB80*$NT80</f>
        <v>0.16150668449197861</v>
      </c>
      <c r="IB80" s="127">
        <f>$AN80*GW$26/C80</f>
        <v>0.17555074401302023</v>
      </c>
      <c r="IC80" s="73"/>
      <c r="ID80" s="115">
        <f>IB80/$OD80</f>
        <v>0.35110148802604046</v>
      </c>
      <c r="IE80" s="133"/>
      <c r="IF80" s="115"/>
      <c r="IG80" s="73"/>
      <c r="IH80" s="73"/>
      <c r="II80" s="73"/>
      <c r="IJ80" s="73"/>
      <c r="IK80" s="73"/>
      <c r="IL80" s="73"/>
      <c r="IM80" s="73"/>
      <c r="IN80" s="73"/>
      <c r="IO80" s="149"/>
      <c r="IP80" s="149"/>
      <c r="IQ80" s="149"/>
      <c r="IR80" s="149"/>
      <c r="IS80" s="149"/>
      <c r="IT80" s="149"/>
      <c r="IU80" s="149"/>
      <c r="IV80" s="335">
        <f>IW80*$NT80</f>
        <v>0.3445226055462185</v>
      </c>
      <c r="IW80" s="330">
        <f>AN80*JK78*C79/C80</f>
        <v>0.37448109298502008</v>
      </c>
      <c r="IX80" s="73"/>
      <c r="IY80" s="115">
        <f>IW80/$OD80</f>
        <v>0.74896218597004016</v>
      </c>
      <c r="IZ80" s="73"/>
      <c r="JA80" s="115"/>
      <c r="JB80" s="115">
        <f>$IW80*JM78/$JK78</f>
        <v>0.35449875314212642</v>
      </c>
      <c r="JC80" s="115">
        <f>$IW80*JN78/$JK78</f>
        <v>1.0273234983558647E-2</v>
      </c>
      <c r="JD80" s="115">
        <f>$IW80*JO78/$JK78</f>
        <v>9.7091048593350368E-3</v>
      </c>
      <c r="JE80" s="115"/>
      <c r="JF80" s="73"/>
      <c r="JG80" s="73"/>
      <c r="JH80" s="73"/>
      <c r="JI80" s="73"/>
      <c r="JJ80" s="73"/>
      <c r="JQ80" s="643"/>
      <c r="JS80" s="643"/>
      <c r="JU80" s="643"/>
      <c r="JW80" s="115"/>
      <c r="KJ80" s="115">
        <f>BW80*44/12+$IW80+$GZ80</f>
        <v>6.3126102087855172</v>
      </c>
      <c r="KK80" s="74"/>
      <c r="KL80" s="74"/>
      <c r="KM80" s="143">
        <f>KJ80/$OD80</f>
        <v>12.625220417571034</v>
      </c>
      <c r="KN80" s="73"/>
      <c r="KO80" s="74"/>
      <c r="KP80" s="74"/>
      <c r="KQ80" s="74"/>
      <c r="KR80" s="74"/>
      <c r="KS80" s="73"/>
      <c r="KT80" s="115">
        <f>CK80*44/12+$IW80+$HN80</f>
        <v>6.3912917479157905</v>
      </c>
      <c r="KW80" s="143">
        <f>KT80/$OD80</f>
        <v>12.782583495831581</v>
      </c>
      <c r="KX80" s="73"/>
      <c r="LC80" s="73"/>
      <c r="LD80" s="115">
        <f>CY80*44/12+$IW80+$IB80</f>
        <v>4.9088772248391379</v>
      </c>
      <c r="LG80" s="143">
        <f>LD80/$OD80</f>
        <v>9.8177544496782758</v>
      </c>
      <c r="LH80" s="73"/>
      <c r="LM80" s="73"/>
      <c r="LN80" s="115">
        <f>DM80*44/12+$IW80+$GZ80</f>
        <v>5.3995398994945578</v>
      </c>
      <c r="LQ80" s="143">
        <f>LN80/$OD80</f>
        <v>10.799079798989116</v>
      </c>
      <c r="LR80" s="73"/>
      <c r="LW80" s="73"/>
      <c r="LX80" s="115">
        <f>EA80*44/12+$IW80+$HN80</f>
        <v>5.4499728838127126</v>
      </c>
      <c r="MA80" s="143">
        <f>LX80/$OD80</f>
        <v>10.899945767625425</v>
      </c>
      <c r="MB80" s="73"/>
      <c r="MG80" s="73"/>
      <c r="MH80" s="115">
        <f>EO80*44/12+$IW80+$IB80</f>
        <v>4.4997340698759318</v>
      </c>
      <c r="MK80" s="143">
        <f>MH80/$OD80</f>
        <v>8.9994681397518637</v>
      </c>
      <c r="ML80" s="73"/>
      <c r="MQ80" s="73"/>
      <c r="MW80" s="73"/>
      <c r="MX80" s="73"/>
      <c r="MY80" s="73"/>
      <c r="MZ80" s="73"/>
      <c r="NA80" s="73"/>
      <c r="NB80" s="73"/>
      <c r="NC80" s="73"/>
      <c r="ND80" s="73"/>
      <c r="NE80" s="73"/>
      <c r="NF80" s="73"/>
      <c r="NG80" s="73"/>
      <c r="NH80" s="73"/>
      <c r="NI80" s="73"/>
      <c r="NJ80" s="73"/>
      <c r="NK80" s="73"/>
      <c r="NL80" s="73"/>
      <c r="NM80" s="73"/>
      <c r="NN80" s="73"/>
      <c r="NO80" s="73"/>
      <c r="NP80" s="73"/>
      <c r="NQ80" s="73"/>
      <c r="NT80" s="31">
        <v>0.92</v>
      </c>
      <c r="NU80" s="31"/>
      <c r="NV80" s="32">
        <f>$NT80*NW80</f>
        <v>17.940000000000001</v>
      </c>
      <c r="NW80" s="9">
        <v>19.5</v>
      </c>
      <c r="NX80" s="9"/>
      <c r="NY80" s="9"/>
      <c r="NZ80" s="9"/>
      <c r="OA80" s="32"/>
      <c r="OB80" s="26"/>
      <c r="OC80" s="38">
        <f>$NT80*OD80</f>
        <v>0.46</v>
      </c>
      <c r="OD80" s="40">
        <f>OD26/C80</f>
        <v>0.5</v>
      </c>
      <c r="OE80" s="38"/>
      <c r="OF80" s="683"/>
    </row>
    <row r="81" spans="1:494" s="4" customFormat="1" x14ac:dyDescent="0.25">
      <c r="B81" s="727"/>
      <c r="C81" s="14"/>
      <c r="D81" s="708"/>
      <c r="E81" s="102"/>
      <c r="F81" s="102"/>
      <c r="G81" s="102"/>
      <c r="H81" s="102"/>
      <c r="I81" s="102"/>
      <c r="J81" s="102"/>
      <c r="K81" s="102"/>
      <c r="L81" s="102"/>
      <c r="M81" s="102"/>
      <c r="N81" s="14"/>
      <c r="O81" s="14"/>
      <c r="P81" s="14"/>
      <c r="Q81" s="14"/>
      <c r="R81" s="14"/>
      <c r="S81" s="14"/>
      <c r="T81" s="14"/>
      <c r="U81" s="14"/>
      <c r="X81" s="60"/>
      <c r="Z81" s="32"/>
      <c r="AE81" s="97"/>
      <c r="AF81" s="97"/>
      <c r="AG81" s="97"/>
      <c r="AH81" s="97"/>
      <c r="AI81" s="97"/>
      <c r="AJ81" s="97"/>
      <c r="AL81" s="60"/>
      <c r="AO81" s="97"/>
      <c r="AP81" s="97"/>
      <c r="AQ81" s="97"/>
      <c r="AR81" s="97"/>
      <c r="AS81" s="97"/>
      <c r="AT81" s="97"/>
      <c r="AU81" s="97"/>
      <c r="AV81" s="97"/>
      <c r="AW81" s="97"/>
      <c r="AX81" s="97"/>
      <c r="AY81" s="97"/>
      <c r="AZ81" s="97"/>
      <c r="BA81" s="97"/>
      <c r="BB81" s="97"/>
      <c r="BC81" s="97"/>
      <c r="BD81" s="97"/>
      <c r="BE81" s="97"/>
      <c r="BF81" s="97"/>
      <c r="BG81" s="97"/>
      <c r="BH81" s="97"/>
      <c r="BI81" s="97"/>
      <c r="BJ81" s="97"/>
      <c r="BK81" s="97"/>
      <c r="BL81" s="97"/>
      <c r="BM81" s="97"/>
      <c r="BN81" s="97"/>
      <c r="BO81" s="97"/>
      <c r="BP81" s="97"/>
      <c r="BQ81" s="97"/>
      <c r="BR81" s="97"/>
      <c r="BS81" s="97"/>
      <c r="BT81" s="97"/>
      <c r="BU81" s="97"/>
      <c r="BW81" s="32"/>
      <c r="CA81" s="60"/>
      <c r="CB81" s="60"/>
      <c r="CC81" s="60"/>
      <c r="CD81" s="97"/>
      <c r="CE81" s="97"/>
      <c r="CF81" s="97"/>
      <c r="CG81" s="97"/>
      <c r="CH81" s="97"/>
      <c r="CI81" s="60"/>
      <c r="CK81" s="32"/>
      <c r="CO81" s="60"/>
      <c r="CP81" s="60"/>
      <c r="CQ81" s="60"/>
      <c r="CR81" s="97"/>
      <c r="CS81" s="97"/>
      <c r="CT81" s="97"/>
      <c r="CU81" s="97"/>
      <c r="CV81" s="97"/>
      <c r="CW81" s="60"/>
      <c r="CY81" s="32"/>
      <c r="DC81" s="60"/>
      <c r="DD81" s="60"/>
      <c r="DE81" s="60"/>
      <c r="DF81" s="97"/>
      <c r="DG81" s="97"/>
      <c r="DH81" s="97"/>
      <c r="DI81" s="97"/>
      <c r="DJ81" s="97"/>
      <c r="DK81" s="60"/>
      <c r="DM81" s="97"/>
      <c r="DQ81" s="60"/>
      <c r="DR81" s="60"/>
      <c r="DS81" s="60"/>
      <c r="DY81" s="60"/>
      <c r="EA81" s="97"/>
      <c r="EE81" s="60"/>
      <c r="EF81" s="60"/>
      <c r="EG81" s="60"/>
      <c r="EM81" s="60"/>
      <c r="EO81" s="97"/>
      <c r="ES81" s="60"/>
      <c r="ET81" s="60"/>
      <c r="EU81" s="60"/>
      <c r="FA81" s="60"/>
      <c r="FF81" s="32"/>
      <c r="FH81" s="60"/>
      <c r="FK81" s="60"/>
      <c r="FR81" s="60"/>
      <c r="FT81" s="32"/>
      <c r="FV81" s="60"/>
      <c r="FY81" s="60"/>
      <c r="GF81" s="60"/>
      <c r="GH81" s="32"/>
      <c r="GJ81" s="60"/>
      <c r="GM81" s="60"/>
      <c r="GT81" s="60"/>
      <c r="GU81" s="60"/>
      <c r="GV81" s="60"/>
      <c r="GW81" s="60"/>
      <c r="GX81" s="60"/>
      <c r="GY81" s="123"/>
      <c r="GZ81" s="123"/>
      <c r="HA81" s="123"/>
      <c r="HB81" s="60"/>
      <c r="HC81" s="123"/>
      <c r="HD81" s="60"/>
      <c r="HE81" s="60"/>
      <c r="HF81" s="60"/>
      <c r="HG81" s="60"/>
      <c r="HH81" s="60"/>
      <c r="HI81" s="60"/>
      <c r="HJ81" s="60"/>
      <c r="HK81" s="60"/>
      <c r="HL81" s="60"/>
      <c r="HM81" s="123"/>
      <c r="HN81" s="123"/>
      <c r="HO81" s="123"/>
      <c r="HP81" s="60"/>
      <c r="HQ81" s="123"/>
      <c r="HR81" s="60"/>
      <c r="HS81" s="60"/>
      <c r="HT81" s="60"/>
      <c r="HU81" s="60"/>
      <c r="HV81" s="60"/>
      <c r="HW81" s="60"/>
      <c r="HX81" s="60"/>
      <c r="HY81" s="60"/>
      <c r="HZ81" s="60"/>
      <c r="IA81" s="123"/>
      <c r="IB81" s="123"/>
      <c r="IC81" s="123"/>
      <c r="ID81" s="60"/>
      <c r="IE81" s="123"/>
      <c r="IF81" s="60"/>
      <c r="IG81" s="60"/>
      <c r="IH81" s="60"/>
      <c r="II81" s="60"/>
      <c r="IJ81" s="60"/>
      <c r="IK81" s="60"/>
      <c r="IL81" s="60"/>
      <c r="IM81" s="60"/>
      <c r="IN81" s="60"/>
      <c r="IO81" s="149"/>
      <c r="IP81" s="149"/>
      <c r="IQ81" s="149"/>
      <c r="IR81" s="149"/>
      <c r="IS81" s="149"/>
      <c r="IT81" s="149"/>
      <c r="IU81" s="149"/>
      <c r="IW81" s="60"/>
      <c r="IX81" s="60"/>
      <c r="IY81" s="60"/>
      <c r="IZ81" s="60"/>
      <c r="JA81" s="60"/>
      <c r="JB81" s="60"/>
      <c r="JC81" s="60"/>
      <c r="JD81" s="60"/>
      <c r="JE81" s="60"/>
      <c r="JF81" s="60"/>
      <c r="JG81" s="60"/>
      <c r="JH81" s="60"/>
      <c r="JI81" s="60"/>
      <c r="JJ81" s="60"/>
      <c r="JK81" s="60"/>
      <c r="JL81" s="60"/>
      <c r="JM81" s="123"/>
      <c r="JN81" s="123"/>
      <c r="JO81" s="123"/>
      <c r="JP81" s="123"/>
      <c r="JQ81" s="179"/>
      <c r="JR81" s="74"/>
      <c r="JS81" s="723"/>
      <c r="JT81" s="74"/>
      <c r="JU81" s="723"/>
      <c r="JV81" s="60"/>
      <c r="JW81" s="97"/>
      <c r="JX81" s="60"/>
      <c r="JY81" s="60"/>
      <c r="JZ81" s="60"/>
      <c r="KA81" s="60"/>
      <c r="KB81" s="60"/>
      <c r="KC81" s="60"/>
      <c r="KD81" s="123"/>
      <c r="KE81" s="123"/>
      <c r="KF81" s="123"/>
      <c r="KG81" s="123"/>
      <c r="KH81" s="123"/>
      <c r="KI81" s="123"/>
      <c r="KJ81" s="60"/>
      <c r="KK81" s="60"/>
      <c r="KL81" s="60"/>
      <c r="KM81" s="60"/>
      <c r="KN81" s="60"/>
      <c r="KO81" s="60"/>
      <c r="KP81" s="60"/>
      <c r="KQ81" s="60"/>
      <c r="KR81" s="60"/>
      <c r="KS81" s="60"/>
      <c r="KT81" s="60"/>
      <c r="KU81" s="60"/>
      <c r="KV81" s="60"/>
      <c r="KW81" s="60"/>
      <c r="KX81" s="60"/>
      <c r="KY81" s="60"/>
      <c r="KZ81" s="60"/>
      <c r="LA81" s="60"/>
      <c r="LB81" s="60"/>
      <c r="LC81" s="60"/>
      <c r="LD81" s="60"/>
      <c r="LE81" s="60"/>
      <c r="LF81" s="60"/>
      <c r="LG81" s="60"/>
      <c r="LH81" s="60"/>
      <c r="LI81" s="60"/>
      <c r="LJ81" s="60"/>
      <c r="LK81" s="60"/>
      <c r="LL81" s="60"/>
      <c r="LM81" s="60"/>
      <c r="LN81" s="60"/>
      <c r="LO81" s="60"/>
      <c r="LP81" s="60"/>
      <c r="LQ81" s="60"/>
      <c r="LR81" s="60"/>
      <c r="LS81" s="60"/>
      <c r="LT81" s="60"/>
      <c r="LU81" s="60"/>
      <c r="LV81" s="60"/>
      <c r="LW81" s="60"/>
      <c r="LX81" s="60"/>
      <c r="LY81" s="60"/>
      <c r="LZ81" s="60"/>
      <c r="MA81" s="60"/>
      <c r="MB81" s="60"/>
      <c r="MC81" s="60"/>
      <c r="MD81" s="60"/>
      <c r="ME81" s="60"/>
      <c r="MF81" s="60"/>
      <c r="MG81" s="60"/>
      <c r="MH81" s="60"/>
      <c r="MI81" s="60"/>
      <c r="MJ81" s="60"/>
      <c r="MK81" s="60"/>
      <c r="ML81" s="60"/>
      <c r="MM81" s="60"/>
      <c r="MN81" s="60"/>
      <c r="MO81" s="60"/>
      <c r="MP81" s="60"/>
      <c r="MQ81" s="60"/>
      <c r="MR81" s="60"/>
      <c r="MS81" s="60"/>
      <c r="MT81" s="60"/>
      <c r="MU81" s="60"/>
      <c r="MV81" s="60"/>
      <c r="MW81" s="60"/>
      <c r="MX81" s="60"/>
      <c r="MY81" s="60"/>
      <c r="MZ81" s="60"/>
      <c r="NA81" s="60"/>
      <c r="NB81" s="60"/>
      <c r="NC81" s="60"/>
      <c r="ND81" s="60"/>
      <c r="NE81" s="60"/>
      <c r="NF81" s="60"/>
      <c r="NG81" s="60"/>
      <c r="NH81" s="60"/>
      <c r="NI81" s="60"/>
      <c r="NJ81" s="60"/>
      <c r="NK81" s="60"/>
      <c r="NL81" s="60"/>
      <c r="NM81" s="60"/>
      <c r="NN81" s="60"/>
      <c r="NO81" s="60"/>
      <c r="NP81" s="60"/>
      <c r="NQ81" s="60"/>
      <c r="NR81" s="60"/>
      <c r="NS81" s="60"/>
      <c r="OB81" s="32"/>
      <c r="RU81" s="97"/>
      <c r="RV81" s="97"/>
      <c r="RW81" s="97"/>
      <c r="RX81" s="97"/>
      <c r="RY81" s="97"/>
      <c r="RZ81" s="97"/>
    </row>
    <row r="82" spans="1:494" x14ac:dyDescent="0.25">
      <c r="A82" s="9" t="s">
        <v>137</v>
      </c>
      <c r="B82" s="74"/>
      <c r="Z82" s="26"/>
      <c r="AE82" s="115"/>
      <c r="AF82" s="115"/>
      <c r="AG82" s="115"/>
      <c r="AH82" s="115"/>
      <c r="AI82" s="115"/>
      <c r="AJ82" s="115"/>
      <c r="AL82" s="74"/>
      <c r="AO82" s="115"/>
      <c r="AP82" s="115"/>
      <c r="AQ82" s="115"/>
      <c r="AR82" s="115"/>
      <c r="AS82" s="115"/>
      <c r="AT82" s="115"/>
      <c r="AU82" s="115"/>
      <c r="AV82" s="115"/>
      <c r="AW82" s="115"/>
      <c r="AX82" s="115"/>
      <c r="AY82" s="115"/>
      <c r="AZ82" s="115"/>
      <c r="BA82" s="115"/>
      <c r="BB82" s="115"/>
      <c r="BC82" s="115"/>
      <c r="BD82" s="115"/>
      <c r="BE82" s="115"/>
      <c r="BF82" s="115"/>
      <c r="BG82" s="115"/>
      <c r="BH82" s="115"/>
      <c r="BI82" s="115"/>
      <c r="BJ82" s="115"/>
      <c r="BK82" s="115"/>
      <c r="BL82" s="115"/>
      <c r="BM82" s="115"/>
      <c r="BN82" s="115"/>
      <c r="BO82" s="115"/>
      <c r="BP82" s="115"/>
      <c r="BQ82" s="115"/>
      <c r="BR82" s="115"/>
      <c r="BS82" s="115"/>
      <c r="BT82" s="115"/>
      <c r="BU82" s="115"/>
      <c r="BW82" s="26"/>
      <c r="CA82" s="74"/>
      <c r="CB82" s="74"/>
      <c r="CC82" s="74"/>
      <c r="CD82" s="115"/>
      <c r="CE82" s="115"/>
      <c r="CF82" s="115"/>
      <c r="CG82" s="115"/>
      <c r="CH82" s="115"/>
      <c r="CI82" s="74"/>
      <c r="CK82" s="26"/>
      <c r="CX82" s="37"/>
      <c r="CY82" s="26"/>
      <c r="CZ82" s="37"/>
      <c r="DA82" s="37"/>
      <c r="DB82" s="37"/>
      <c r="DF82" s="115"/>
      <c r="DG82" s="115"/>
      <c r="DH82" s="115"/>
      <c r="DI82" s="115"/>
      <c r="DJ82" s="115"/>
      <c r="DL82" s="37"/>
      <c r="DM82" s="115"/>
      <c r="DN82" s="37"/>
      <c r="DO82" s="37"/>
      <c r="DP82" s="37"/>
      <c r="DT82" s="37"/>
      <c r="DU82" s="37"/>
      <c r="DV82" s="37"/>
      <c r="DW82" s="37"/>
      <c r="DX82" s="37"/>
      <c r="EA82" s="115"/>
      <c r="EN82" s="37"/>
      <c r="EO82" s="115"/>
      <c r="EP82" s="37"/>
      <c r="EQ82" s="37"/>
      <c r="ER82" s="37"/>
      <c r="EV82" s="37"/>
      <c r="EW82" s="37"/>
      <c r="EX82" s="37"/>
      <c r="EY82" s="37"/>
      <c r="EZ82" s="37"/>
      <c r="FF82" s="26"/>
      <c r="FH82" s="74"/>
      <c r="FK82" s="74"/>
      <c r="FR82" s="74"/>
      <c r="FT82" s="26"/>
      <c r="FZ82" s="37"/>
      <c r="GH82" s="26"/>
      <c r="GJ82" s="74"/>
      <c r="GM82" s="74"/>
      <c r="GT82" s="74"/>
      <c r="GU82" s="74"/>
      <c r="GV82" s="74"/>
      <c r="GW82" s="74"/>
      <c r="GX82" s="55">
        <f>GX83+GX84+GX85</f>
        <v>86.167516987410551</v>
      </c>
      <c r="GY82" s="295"/>
      <c r="GZ82" s="60"/>
      <c r="HA82" s="60"/>
      <c r="HB82" s="74"/>
      <c r="HC82" s="60"/>
      <c r="HD82" s="74"/>
      <c r="HE82" s="74"/>
      <c r="HF82" s="74"/>
      <c r="HG82" s="74"/>
      <c r="HH82" s="74"/>
      <c r="HI82" s="74"/>
      <c r="HJ82" s="74"/>
      <c r="HK82" s="74"/>
      <c r="HL82" s="74"/>
      <c r="HM82" s="295"/>
      <c r="HN82" s="60"/>
      <c r="HO82" s="60"/>
      <c r="HQ82" s="60"/>
      <c r="IA82" s="295"/>
      <c r="IB82" s="60"/>
      <c r="IC82" s="60"/>
      <c r="IE82" s="60"/>
      <c r="IO82" s="68">
        <f>IP82+IQ82+IR82+IS82+IT82+IU82</f>
        <v>66.615976945384944</v>
      </c>
      <c r="IP82" s="97">
        <f>JS82*$W83</f>
        <v>7.0308159371052641</v>
      </c>
      <c r="IQ82" s="97">
        <f>JU82*$W83</f>
        <v>6.4702570082796749</v>
      </c>
      <c r="IR82" s="97">
        <f>JX82*$W83</f>
        <v>0.4731840000000001</v>
      </c>
      <c r="IS82" s="97">
        <f>KB82*$W83</f>
        <v>0.59148000000000012</v>
      </c>
      <c r="IT82" s="97">
        <f>KF82*$W83</f>
        <v>0</v>
      </c>
      <c r="IU82" s="97">
        <f>KH82*$W83</f>
        <v>52.050240000000009</v>
      </c>
      <c r="JK82" s="115">
        <f>JM82+JN82+JO82</f>
        <v>2.0948420423077025</v>
      </c>
      <c r="JL82" s="679">
        <f>10^3*JK82/NY83</f>
        <v>56.312958126551145</v>
      </c>
      <c r="JM82" s="469">
        <f>JS82+KB82</f>
        <v>0.2396948407894737</v>
      </c>
      <c r="JN82" s="469">
        <f>JU82+KF82</f>
        <v>0.20346720151822875</v>
      </c>
      <c r="JO82" s="179">
        <f>JX82+KH82</f>
        <v>1.6516800000000003</v>
      </c>
      <c r="JP82" s="469">
        <f>JK82*C83</f>
        <v>0.796039976076927</v>
      </c>
      <c r="JQ82" s="115">
        <f>JR82*$NY83/10^3</f>
        <v>0.43944204230770245</v>
      </c>
      <c r="JR82" s="73">
        <f>JT82+JV82+JY82</f>
        <v>11.812958126551141</v>
      </c>
      <c r="JS82" s="724">
        <f>'Crops; pasture AMORTIZED'!FY39/C83</f>
        <v>0.2210948407894737</v>
      </c>
      <c r="JT82" s="73">
        <f>10^3*JS82/$NY83</f>
        <v>5.9434096986417657</v>
      </c>
      <c r="JU82" s="724">
        <f>'Crops; pasture AMORTIZED'!FW39/C83</f>
        <v>0.20346720151822875</v>
      </c>
      <c r="JV82" s="115">
        <f>10^3*JU82/$NY83</f>
        <v>5.4695484279093751</v>
      </c>
      <c r="JW82" s="115">
        <f>10^3*JU82/'Amortization metrics'!$B$6</f>
        <v>0.68277584402090186</v>
      </c>
      <c r="JX82" s="127">
        <f>JY82*$NY83/10^3</f>
        <v>1.4880000000000003E-2</v>
      </c>
      <c r="JY82" s="84">
        <v>0.4</v>
      </c>
      <c r="JZ82" s="127">
        <f>KB82+KF82+KH82</f>
        <v>1.6554000000000002</v>
      </c>
      <c r="KA82" s="73">
        <f>KC82+KG82+KI82</f>
        <v>44.5</v>
      </c>
      <c r="KB82" s="115">
        <f>KC82*$NY83/10^3</f>
        <v>1.8600000000000002E-2</v>
      </c>
      <c r="KC82" s="80">
        <v>0.5</v>
      </c>
      <c r="KD82" s="252">
        <v>0.77</v>
      </c>
      <c r="KE82" s="115">
        <f>KC82/KD82</f>
        <v>0.64935064935064934</v>
      </c>
      <c r="KF82" s="127">
        <f>KG82*$NY83/10^3</f>
        <v>0</v>
      </c>
      <c r="KG82" s="84">
        <v>0</v>
      </c>
      <c r="KH82" s="127">
        <f>KI82*$NY83/10^3</f>
        <v>1.6368000000000003</v>
      </c>
      <c r="KI82" s="728">
        <v>44</v>
      </c>
      <c r="KJ82" s="74"/>
      <c r="KK82" s="74"/>
      <c r="KL82" s="74"/>
      <c r="KM82" s="74"/>
      <c r="KN82" s="74"/>
      <c r="KO82" s="74"/>
      <c r="KP82" s="74"/>
      <c r="KQ82" s="74"/>
      <c r="KR82" s="74"/>
      <c r="KS82" s="74"/>
      <c r="OB82" s="26"/>
      <c r="RK82" s="37"/>
      <c r="RL82" s="37"/>
      <c r="RU82" s="115"/>
      <c r="RV82" s="115"/>
      <c r="RW82" s="115"/>
      <c r="RX82" s="115"/>
      <c r="RY82" s="115"/>
      <c r="RZ82" s="115"/>
    </row>
    <row r="83" spans="1:494" x14ac:dyDescent="0.25">
      <c r="A83" s="37" t="s">
        <v>138</v>
      </c>
      <c r="B83" s="53">
        <f>C83*NT27/NT83</f>
        <v>0.1976</v>
      </c>
      <c r="C83" s="90">
        <v>0.38</v>
      </c>
      <c r="D83" s="722">
        <f>C83*NW83/NW27</f>
        <v>0.54305454545454546</v>
      </c>
      <c r="E83" s="104"/>
      <c r="F83" s="104"/>
      <c r="G83" s="104"/>
      <c r="H83" s="104"/>
      <c r="I83" s="104"/>
      <c r="J83" s="104"/>
      <c r="K83" s="104"/>
      <c r="L83" s="104"/>
      <c r="M83" s="104"/>
      <c r="N83" s="69"/>
      <c r="V83" s="55">
        <f>W83/NT83</f>
        <v>31.8</v>
      </c>
      <c r="W83" s="72">
        <v>31.8</v>
      </c>
      <c r="X83" s="252"/>
      <c r="Y83" s="26">
        <f>W83*NW83/10^3</f>
        <v>1.2497400000000001</v>
      </c>
      <c r="Z83" s="26">
        <f>W83*OB83/10^3</f>
        <v>1.1766000000000001</v>
      </c>
      <c r="AE83" s="115">
        <f>AB$27*$AN83/$C83</f>
        <v>2.9241641466522639</v>
      </c>
      <c r="AF83" s="115"/>
      <c r="AG83" s="115">
        <f>AC$27*$AN83/$C83</f>
        <v>2.9241641466522639</v>
      </c>
      <c r="AH83" s="115"/>
      <c r="AI83" s="115">
        <f>AD$27*$AN83/$C83</f>
        <v>3.7449821527300915</v>
      </c>
      <c r="AJ83" s="683"/>
      <c r="AK83" s="722">
        <f>Y83/(Y83+Y84+Y85)</f>
        <v>0.84360965965259138</v>
      </c>
      <c r="AL83" s="164">
        <v>0.995</v>
      </c>
      <c r="AM83" s="104">
        <f>V83*AL83/(V83*AL83+V84*AL84+V85*AL85)</f>
        <v>0.83367365524910597</v>
      </c>
      <c r="AN83" s="40">
        <f t="shared" ref="AN83:AN85" si="30">AK83</f>
        <v>0.84360965965259138</v>
      </c>
      <c r="AO83" s="115"/>
      <c r="AP83" s="115"/>
      <c r="AQ83" s="115"/>
      <c r="AR83" s="115"/>
      <c r="AS83" s="115"/>
      <c r="AT83" s="115"/>
      <c r="AU83" s="115"/>
      <c r="AV83" s="115"/>
      <c r="AW83" s="115"/>
      <c r="AX83" s="115"/>
      <c r="AY83" s="115"/>
      <c r="AZ83" s="115"/>
      <c r="BA83" s="115"/>
      <c r="BB83" s="115"/>
      <c r="BC83" s="115"/>
      <c r="BD83" s="115"/>
      <c r="BE83" s="115"/>
      <c r="BF83" s="115"/>
      <c r="BG83" s="115"/>
      <c r="BH83" s="115"/>
      <c r="BI83" s="115"/>
      <c r="BJ83" s="115"/>
      <c r="BK83" s="115"/>
      <c r="BL83" s="115"/>
      <c r="BM83" s="115"/>
      <c r="BN83" s="115"/>
      <c r="BO83" s="115"/>
      <c r="BP83" s="115"/>
      <c r="BQ83" s="115"/>
      <c r="BR83" s="115"/>
      <c r="BS83" s="115"/>
      <c r="BT83" s="115"/>
      <c r="BU83" s="115"/>
      <c r="BV83" s="26">
        <f>BW83*$NT83</f>
        <v>1.9431868737111864</v>
      </c>
      <c r="BW83" s="115">
        <f>BP$27*$AN83/$C83</f>
        <v>1.9431868737111864</v>
      </c>
      <c r="BX83" s="677">
        <f>10^3*BW83/$OB83</f>
        <v>52.518564154356383</v>
      </c>
      <c r="BZ83" s="73">
        <f>10^3*BW83/$NW83</f>
        <v>49.444958618605256</v>
      </c>
      <c r="CA83" s="73"/>
      <c r="CB83" s="73"/>
      <c r="CC83" s="73"/>
      <c r="CD83" s="115"/>
      <c r="CE83" s="115"/>
      <c r="CF83" s="115"/>
      <c r="CG83" s="115"/>
      <c r="CH83" s="115"/>
      <c r="CI83" s="73"/>
      <c r="CJ83" s="26">
        <f>CK83*$NT83</f>
        <v>1.943186873711187</v>
      </c>
      <c r="CK83" s="115">
        <f>BQ$27*$AN83/$C83</f>
        <v>1.943186873711187</v>
      </c>
      <c r="CL83" s="677">
        <f>10^3*CK83/$OB83</f>
        <v>52.518564154356405</v>
      </c>
      <c r="CN83" s="73">
        <f>10^3*CK83/$NW83</f>
        <v>49.44495861860527</v>
      </c>
      <c r="CO83" s="73"/>
      <c r="CP83" s="73"/>
      <c r="CQ83" s="73"/>
      <c r="CW83" s="73"/>
      <c r="CX83" s="26">
        <f>CY83*$NT83</f>
        <v>1.0020968367051768</v>
      </c>
      <c r="CY83" s="115">
        <f>BR$27*$AN83/$C83</f>
        <v>1.0020968367051768</v>
      </c>
      <c r="CZ83" s="677">
        <f>10^3*CY83/$OB83</f>
        <v>27.083698289329103</v>
      </c>
      <c r="DA83" s="37"/>
      <c r="DB83" s="73">
        <f>10^3*CY83/$NW83</f>
        <v>25.498647244406534</v>
      </c>
      <c r="DC83" s="73"/>
      <c r="DD83" s="73"/>
      <c r="DE83" s="73"/>
      <c r="DF83" s="115"/>
      <c r="DG83" s="115"/>
      <c r="DH83" s="115"/>
      <c r="DI83" s="115"/>
      <c r="DJ83" s="115"/>
      <c r="DK83" s="73"/>
      <c r="DL83" s="26">
        <f>DM83*$NT83</f>
        <v>1.4977587685781675</v>
      </c>
      <c r="DM83" s="115">
        <f>BS$27*$AN83/$C83</f>
        <v>1.4977587685781675</v>
      </c>
      <c r="DN83" s="677">
        <f>10^3*DM83/$OB83</f>
        <v>40.479966718328853</v>
      </c>
      <c r="DO83" s="37"/>
      <c r="DP83" s="73">
        <f>10^3*DM83/$NW83</f>
        <v>38.110910141938106</v>
      </c>
      <c r="DQ83" s="73"/>
      <c r="DR83" s="73"/>
      <c r="DS83" s="73"/>
      <c r="DT83" s="37"/>
      <c r="DU83" s="37"/>
      <c r="DV83" s="37"/>
      <c r="DW83" s="37"/>
      <c r="DX83" s="37"/>
      <c r="DY83" s="73"/>
      <c r="DZ83" s="26">
        <f>EA83*$NT83</f>
        <v>1.4977587685781675</v>
      </c>
      <c r="EA83" s="115">
        <f>BT$27*$AN83/$C83</f>
        <v>1.4977587685781675</v>
      </c>
      <c r="EB83" s="677">
        <f>10^3*EA83/$OB83</f>
        <v>40.479966718328853</v>
      </c>
      <c r="ED83" s="73">
        <f>10^3*EA83/$NW83</f>
        <v>38.110910141938106</v>
      </c>
      <c r="EE83" s="73"/>
      <c r="EF83" s="73"/>
      <c r="EG83" s="73"/>
      <c r="EM83" s="73"/>
      <c r="EN83" s="26">
        <f>EO83*$NT83</f>
        <v>1.4668452749026635</v>
      </c>
      <c r="EO83" s="115">
        <f>BU$27*$AN83/$C83</f>
        <v>1.4668452749026635</v>
      </c>
      <c r="EP83" s="677">
        <f>10^3*EO83/$OB83</f>
        <v>39.644466889261174</v>
      </c>
      <c r="EQ83" s="37"/>
      <c r="ER83" s="73">
        <f>10^3*EO83/$NW83</f>
        <v>37.324307249431641</v>
      </c>
      <c r="ES83" s="73"/>
      <c r="ET83" s="73"/>
      <c r="EU83" s="73"/>
      <c r="EV83" s="37"/>
      <c r="EW83" s="37"/>
      <c r="EX83" s="37"/>
      <c r="EY83" s="37"/>
      <c r="EZ83" s="37"/>
      <c r="FA83" s="73"/>
      <c r="FE83" s="26">
        <f>FF83*$NT83</f>
        <v>2.9826474295853087</v>
      </c>
      <c r="FF83" s="115">
        <f>FB$27*$AN83/$C83</f>
        <v>2.9826474295853087</v>
      </c>
      <c r="FG83" s="562">
        <f>10^3*FF83/$OB83</f>
        <v>80.612092691494823</v>
      </c>
      <c r="FH83" s="73"/>
      <c r="FI83" s="73">
        <f>10^3*FF83/$NW83</f>
        <v>75.894336630669429</v>
      </c>
      <c r="FJ83" s="73"/>
      <c r="FK83" s="73"/>
      <c r="FL83" s="26"/>
      <c r="FR83" s="73"/>
      <c r="FS83" s="26">
        <f>FT83*$NT83</f>
        <v>2.9826474295853087</v>
      </c>
      <c r="FT83" s="115">
        <f>FC$27*$AN83/$C83</f>
        <v>2.9826474295853087</v>
      </c>
      <c r="FU83" s="562">
        <f>10^3*FT83/$OB83</f>
        <v>80.612092691494823</v>
      </c>
      <c r="FV83" s="73"/>
      <c r="FW83" s="73">
        <f>10^3*FT83/$NW83</f>
        <v>75.894336630669429</v>
      </c>
      <c r="FX83" s="73"/>
      <c r="FY83" s="73"/>
      <c r="FZ83" s="26"/>
      <c r="GF83" s="73"/>
      <c r="GG83" s="26">
        <f>GH83*$NT83</f>
        <v>2.9210860791294708</v>
      </c>
      <c r="GH83" s="115">
        <f>FD$27*$AN83/$C83</f>
        <v>2.9210860791294708</v>
      </c>
      <c r="GI83" s="562">
        <f>10^3*GH83/$OB83</f>
        <v>78.948272408904614</v>
      </c>
      <c r="GJ83" s="73"/>
      <c r="GK83" s="73">
        <f>10^3*GH83/$NW83</f>
        <v>74.327890054185019</v>
      </c>
      <c r="GL83" s="73"/>
      <c r="GM83" s="73"/>
      <c r="GN83" s="26"/>
      <c r="GT83" s="73"/>
      <c r="GU83" s="73"/>
      <c r="GV83" s="73"/>
      <c r="GW83" s="73"/>
      <c r="GX83" s="68">
        <f>GZ83*$W83</f>
        <v>72.691749678858301</v>
      </c>
      <c r="GY83" s="26">
        <f>GZ83*$NT83</f>
        <v>2.285904077951519</v>
      </c>
      <c r="GZ83" s="127">
        <f>$AN83*GU$27/C83</f>
        <v>2.285904077951519</v>
      </c>
      <c r="HA83" s="673">
        <f>10^3*GZ83/$OB83</f>
        <v>61.781191295987</v>
      </c>
      <c r="HB83" s="74"/>
      <c r="HC83" s="73">
        <f>10^3*GZ83/$NW83</f>
        <v>58.165498166705319</v>
      </c>
      <c r="HD83" s="73"/>
      <c r="HE83" s="73"/>
      <c r="HF83" s="73"/>
      <c r="HG83" s="73"/>
      <c r="HH83" s="73"/>
      <c r="HI83" s="73"/>
      <c r="HJ83" s="73"/>
      <c r="HK83" s="73"/>
      <c r="HL83" s="73"/>
      <c r="HM83" s="115">
        <f>HN83*$NT83</f>
        <v>2.285904077951519</v>
      </c>
      <c r="HN83" s="127">
        <f>$AN83*GV$27/C83</f>
        <v>2.285904077951519</v>
      </c>
      <c r="HO83" s="73">
        <f>10^3*HN83/$OB83</f>
        <v>61.781191295987</v>
      </c>
      <c r="HQ83" s="73">
        <f>10^3*HN83/$NW83</f>
        <v>58.165498166705319</v>
      </c>
      <c r="HR83" s="73"/>
      <c r="HS83" s="73"/>
      <c r="HT83" s="73"/>
      <c r="HU83" s="73"/>
      <c r="HV83" s="73"/>
      <c r="HW83" s="73"/>
      <c r="HX83" s="73"/>
      <c r="HY83" s="73"/>
      <c r="HZ83" s="73"/>
      <c r="IA83" s="115">
        <f>IB83*$NT83</f>
        <v>0</v>
      </c>
      <c r="IB83" s="127">
        <f>$AN83*GW$27/C83</f>
        <v>0</v>
      </c>
      <c r="IC83" s="73">
        <f>10^3*IB83/$OB83</f>
        <v>0</v>
      </c>
      <c r="IE83" s="73">
        <f>10^3*IB83/$NW83</f>
        <v>0</v>
      </c>
      <c r="IF83" s="73"/>
      <c r="IG83" s="73"/>
      <c r="IH83" s="73"/>
      <c r="II83" s="73"/>
      <c r="IJ83" s="73"/>
      <c r="IK83" s="73"/>
      <c r="IL83" s="73"/>
      <c r="IM83" s="73"/>
      <c r="IN83" s="73"/>
      <c r="IO83" s="97"/>
      <c r="IP83" s="97"/>
      <c r="IQ83" s="97"/>
      <c r="IR83" s="97"/>
      <c r="IS83" s="97"/>
      <c r="IT83" s="97"/>
      <c r="IU83" s="97"/>
      <c r="IV83" s="335">
        <f>IW83*$NT83</f>
        <v>1.7672289823371403</v>
      </c>
      <c r="IW83" s="115">
        <f>AN83*JK82</f>
        <v>1.7672289823371403</v>
      </c>
      <c r="IX83" s="673">
        <f>10^3*IW83/OB83</f>
        <v>47.76294546857136</v>
      </c>
      <c r="IZ83" s="73">
        <f>AN83*JL82</f>
        <v>47.506155439170442</v>
      </c>
      <c r="JA83" s="115"/>
      <c r="JB83" s="115">
        <f>$IW83*JM82/$JK82</f>
        <v>0.20220888305888998</v>
      </c>
      <c r="JC83" s="127">
        <f>$IW83*JN82/$JK82</f>
        <v>0.17164689662325819</v>
      </c>
      <c r="JD83" s="127">
        <f>$IW83*JO82/$JK82</f>
        <v>1.3933732026549923</v>
      </c>
      <c r="JE83" s="115"/>
      <c r="JF83" s="73"/>
      <c r="JG83" s="73"/>
      <c r="JH83" s="73"/>
      <c r="JI83" s="73"/>
      <c r="JJ83" s="73"/>
      <c r="JW83" s="115"/>
      <c r="KJ83" s="115">
        <f>BW83*44/12+$IW83+$GZ83</f>
        <v>11.178151597229677</v>
      </c>
      <c r="KK83" s="74"/>
      <c r="KL83" s="677">
        <f>10^3*KJ83/$OB83</f>
        <v>302.11220533053182</v>
      </c>
      <c r="KM83" s="74"/>
      <c r="KN83" s="73"/>
      <c r="KO83" s="115"/>
      <c r="KP83" s="115"/>
      <c r="KQ83" s="115"/>
      <c r="KR83" s="115"/>
      <c r="KS83" s="73"/>
      <c r="KT83" s="115">
        <f>CK83*44/12+$IW83+$HN83</f>
        <v>11.178151597229679</v>
      </c>
      <c r="KV83" s="677">
        <f>10^3*KT83/$OB83</f>
        <v>302.11220533053182</v>
      </c>
      <c r="KX83" s="73"/>
      <c r="KY83" s="115"/>
      <c r="KZ83" s="115"/>
      <c r="LA83" s="115"/>
      <c r="LB83" s="115"/>
      <c r="LC83" s="73"/>
      <c r="LD83" s="115">
        <f>CY83*44/12+$IW83+$IB83</f>
        <v>5.4415840502561217</v>
      </c>
      <c r="LF83" s="677">
        <f>10^3*LD83/$OB83</f>
        <v>147.06983919611139</v>
      </c>
      <c r="LH83" s="73"/>
      <c r="LI83" s="115"/>
      <c r="LJ83" s="115"/>
      <c r="LK83" s="115"/>
      <c r="LL83" s="115"/>
      <c r="LM83" s="73"/>
      <c r="LN83" s="115">
        <f>DM83*44/12+$IW83+$GZ83</f>
        <v>9.5449152117419409</v>
      </c>
      <c r="LP83" s="677">
        <f>10^3*LN83/$OB83</f>
        <v>257.97068139843088</v>
      </c>
      <c r="LR83" s="73"/>
      <c r="LW83" s="73"/>
      <c r="LX83" s="115">
        <f>EA83*44/12+$IW83+$HN83</f>
        <v>9.5449152117419409</v>
      </c>
      <c r="LZ83" s="677">
        <f>10^3*LX83/$OB83</f>
        <v>257.97068139843088</v>
      </c>
      <c r="MB83" s="73"/>
      <c r="MG83" s="73"/>
      <c r="MH83" s="115">
        <f>EO83*44/12+$IW83+$IB83</f>
        <v>7.1456616569802396</v>
      </c>
      <c r="MJ83" s="677">
        <f>10^3*MH83/$OB83</f>
        <v>193.12599072919568</v>
      </c>
      <c r="ML83" s="73"/>
      <c r="MQ83" s="73"/>
      <c r="MW83" s="73"/>
      <c r="MX83" s="73"/>
      <c r="MY83" s="73"/>
      <c r="MZ83" s="73"/>
      <c r="NA83" s="73"/>
      <c r="NB83" s="73"/>
      <c r="NC83" s="73"/>
      <c r="ND83" s="73"/>
      <c r="NE83" s="73"/>
      <c r="NF83" s="73"/>
      <c r="NG83" s="73"/>
      <c r="NH83" s="73"/>
      <c r="NI83" s="73"/>
      <c r="NJ83" s="73"/>
      <c r="NK83" s="73"/>
      <c r="NL83" s="73"/>
      <c r="NM83" s="73"/>
      <c r="NN83" s="73"/>
      <c r="NO83" s="73"/>
      <c r="NP83" s="73"/>
      <c r="NQ83" s="73"/>
      <c r="NT83" s="31">
        <v>1</v>
      </c>
      <c r="NU83" s="31"/>
      <c r="NV83" s="32">
        <f>$NT83*NW83</f>
        <v>39.299999999999997</v>
      </c>
      <c r="NW83" s="9">
        <v>39.299999999999997</v>
      </c>
      <c r="NX83" s="9"/>
      <c r="NY83" s="9">
        <v>37.200000000000003</v>
      </c>
      <c r="NZ83" s="9"/>
      <c r="OA83" s="32">
        <f>$NT83*OB83</f>
        <v>37</v>
      </c>
      <c r="OB83" s="43">
        <v>37</v>
      </c>
      <c r="OC83" s="38">
        <f>$NT83*OD83</f>
        <v>0</v>
      </c>
      <c r="OD83" s="31">
        <v>0</v>
      </c>
      <c r="OE83" s="38">
        <f>$NT83*OF83</f>
        <v>1</v>
      </c>
      <c r="OF83" s="31">
        <v>1</v>
      </c>
    </row>
    <row r="84" spans="1:494" x14ac:dyDescent="0.25">
      <c r="A84" s="37" t="s">
        <v>139</v>
      </c>
      <c r="B84" s="468">
        <f>C84*NT27/NT84</f>
        <v>2.3400000000000001E-2</v>
      </c>
      <c r="C84" s="45">
        <v>4.4999999999999998E-2</v>
      </c>
      <c r="D84" s="722">
        <f>C84*NW84/NW27</f>
        <v>6.4309090909090899E-2</v>
      </c>
      <c r="E84" s="122"/>
      <c r="F84" s="122"/>
      <c r="G84" s="122"/>
      <c r="H84" s="122"/>
      <c r="I84" s="122"/>
      <c r="J84" s="122"/>
      <c r="K84" s="122"/>
      <c r="L84" s="122"/>
      <c r="M84" s="122"/>
      <c r="N84" s="683"/>
      <c r="V84" s="26">
        <f>W84/NT84</f>
        <v>3.7657894736842104</v>
      </c>
      <c r="W84" s="26">
        <f>C84/C83*W83</f>
        <v>3.7657894736842104</v>
      </c>
      <c r="X84" s="115"/>
      <c r="Y84" s="26">
        <f>W84*NW84/10^3</f>
        <v>0.14799552631578944</v>
      </c>
      <c r="Z84" s="26">
        <f>W84*OB84/10^3</f>
        <v>0.13933421052631578</v>
      </c>
      <c r="AE84" s="115">
        <f>AB$27*$AN84/$C84</f>
        <v>2.9241641466522625</v>
      </c>
      <c r="AF84" s="115"/>
      <c r="AG84" s="115">
        <f>AC$27*$AN84/$C84</f>
        <v>2.9241641466522625</v>
      </c>
      <c r="AH84" s="115"/>
      <c r="AI84" s="115">
        <f>AD$27*$AN84/$C84</f>
        <v>3.7449821527300902</v>
      </c>
      <c r="AJ84" s="683"/>
      <c r="AK84" s="722">
        <f>Y84/(Y83+Y84+Y85)</f>
        <v>9.9901143906227896E-2</v>
      </c>
      <c r="AL84" s="164">
        <v>1.25</v>
      </c>
      <c r="AM84" s="104">
        <f>V84*AL84/(V83*AL83+V84*AL84+V85*AL85)</f>
        <v>0.12402576860027031</v>
      </c>
      <c r="AN84" s="40">
        <f t="shared" si="30"/>
        <v>9.9901143906227896E-2</v>
      </c>
      <c r="AO84" s="115"/>
      <c r="AP84" s="115"/>
      <c r="AQ84" s="115"/>
      <c r="AR84" s="115"/>
      <c r="AS84" s="115"/>
      <c r="AT84" s="115"/>
      <c r="AU84" s="115"/>
      <c r="AV84" s="115"/>
      <c r="AW84" s="115"/>
      <c r="AX84" s="115"/>
      <c r="AY84" s="115"/>
      <c r="AZ84" s="115"/>
      <c r="BA84" s="115"/>
      <c r="BB84" s="115"/>
      <c r="BC84" s="115"/>
      <c r="BD84" s="115"/>
      <c r="BE84" s="115"/>
      <c r="BF84" s="115"/>
      <c r="BG84" s="115"/>
      <c r="BH84" s="115"/>
      <c r="BI84" s="115"/>
      <c r="BJ84" s="115"/>
      <c r="BK84" s="115"/>
      <c r="BL84" s="115"/>
      <c r="BM84" s="115"/>
      <c r="BN84" s="115"/>
      <c r="BO84" s="115"/>
      <c r="BP84" s="115"/>
      <c r="BQ84" s="115"/>
      <c r="BR84" s="115"/>
      <c r="BS84" s="115"/>
      <c r="BT84" s="115"/>
      <c r="BU84" s="115"/>
      <c r="BV84" s="26">
        <f>BW84*$NT84</f>
        <v>1.9431868737111857</v>
      </c>
      <c r="BW84" s="115">
        <f>BP$27*$AN84/$C84</f>
        <v>1.9431868737111857</v>
      </c>
      <c r="BX84" s="26">
        <f>10^3*BW84/$OB84</f>
        <v>52.518564154356369</v>
      </c>
      <c r="BY84" s="26"/>
      <c r="BZ84" s="335"/>
      <c r="CA84" s="127"/>
      <c r="CB84" s="127"/>
      <c r="CC84" s="127"/>
      <c r="CD84" s="115"/>
      <c r="CE84" s="115"/>
      <c r="CF84" s="115"/>
      <c r="CG84" s="115"/>
      <c r="CH84" s="115"/>
      <c r="CI84" s="127"/>
      <c r="CJ84" s="26">
        <f>CK84*$NT84</f>
        <v>1.9431868737111866</v>
      </c>
      <c r="CK84" s="115">
        <f>BQ$27*$AN84/$C84</f>
        <v>1.9431868737111866</v>
      </c>
      <c r="CL84" s="26">
        <f>10^3*CK84/$OB84</f>
        <v>52.51856415435639</v>
      </c>
      <c r="CM84" s="26"/>
      <c r="CN84" s="335"/>
      <c r="CO84" s="127"/>
      <c r="CP84" s="127"/>
      <c r="CQ84" s="127"/>
      <c r="CW84" s="127"/>
      <c r="CX84" s="26">
        <f>CY84*$NT84</f>
        <v>1.0020968367051766</v>
      </c>
      <c r="CY84" s="115">
        <f>BR$27*$AN84/$C84</f>
        <v>1.0020968367051766</v>
      </c>
      <c r="CZ84" s="26">
        <f>10^3*CY84/$OB84</f>
        <v>27.083698289329096</v>
      </c>
      <c r="DA84" s="26"/>
      <c r="DB84" s="335"/>
      <c r="DC84" s="127"/>
      <c r="DD84" s="127"/>
      <c r="DE84" s="127"/>
      <c r="DF84" s="115"/>
      <c r="DG84" s="115"/>
      <c r="DH84" s="115"/>
      <c r="DI84" s="115"/>
      <c r="DJ84" s="115"/>
      <c r="DK84" s="127"/>
      <c r="DL84" s="26">
        <f>DM84*$NT84</f>
        <v>1.4977587685781673</v>
      </c>
      <c r="DM84" s="115">
        <f>BS$27*$AN84/$C84</f>
        <v>1.4977587685781673</v>
      </c>
      <c r="DN84" s="26">
        <f>10^3*DM84/$OB84</f>
        <v>40.479966718328846</v>
      </c>
      <c r="DO84" s="26"/>
      <c r="DP84" s="335"/>
      <c r="DQ84" s="127"/>
      <c r="DR84" s="127"/>
      <c r="DS84" s="127"/>
      <c r="DT84" s="37"/>
      <c r="DU84" s="37"/>
      <c r="DV84" s="37"/>
      <c r="DW84" s="37"/>
      <c r="DX84" s="37"/>
      <c r="DY84" s="127"/>
      <c r="DZ84" s="26">
        <f>EA84*$NT84</f>
        <v>1.4977587685781673</v>
      </c>
      <c r="EA84" s="115">
        <f>BT$27*$AN84/$C84</f>
        <v>1.4977587685781673</v>
      </c>
      <c r="EB84" s="26">
        <f>10^3*EA84/$OB84</f>
        <v>40.479966718328846</v>
      </c>
      <c r="EC84" s="26"/>
      <c r="ED84" s="335"/>
      <c r="EE84" s="127"/>
      <c r="EF84" s="127"/>
      <c r="EG84" s="127"/>
      <c r="EM84" s="127"/>
      <c r="EN84" s="26">
        <f>EO84*$NT84</f>
        <v>1.4668452749026633</v>
      </c>
      <c r="EO84" s="115">
        <f>BU$27*$AN84/$C84</f>
        <v>1.4668452749026633</v>
      </c>
      <c r="EP84" s="26">
        <f>10^3*EO84/$OB84</f>
        <v>39.644466889261167</v>
      </c>
      <c r="EQ84" s="26"/>
      <c r="ER84" s="335"/>
      <c r="ES84" s="127"/>
      <c r="ET84" s="127"/>
      <c r="EU84" s="127"/>
      <c r="EV84" s="37"/>
      <c r="EW84" s="37"/>
      <c r="EX84" s="37"/>
      <c r="EY84" s="37"/>
      <c r="EZ84" s="37"/>
      <c r="FA84" s="127"/>
      <c r="FE84" s="26">
        <f>FF84*$NT84</f>
        <v>2.9826474295853083</v>
      </c>
      <c r="FF84" s="115">
        <f>FB$27*$AN84/$C84</f>
        <v>2.9826474295853083</v>
      </c>
      <c r="FG84" s="562">
        <f>10^3*FF84/$OB84</f>
        <v>80.612092691494809</v>
      </c>
      <c r="FH84" s="73"/>
      <c r="FI84" s="335"/>
      <c r="FJ84" s="335"/>
      <c r="FK84" s="127"/>
      <c r="FL84" s="26"/>
      <c r="FR84" s="127"/>
      <c r="FS84" s="26">
        <f>FT84*$NT84</f>
        <v>2.9826474295853083</v>
      </c>
      <c r="FT84" s="115">
        <f>FC$27*$AN84/$C84</f>
        <v>2.9826474295853083</v>
      </c>
      <c r="FU84" s="562">
        <f>10^3*FT84/$OB84</f>
        <v>80.612092691494809</v>
      </c>
      <c r="FV84" s="73"/>
      <c r="FW84" s="335"/>
      <c r="FX84" s="335"/>
      <c r="FY84" s="127"/>
      <c r="FZ84" s="26"/>
      <c r="GF84" s="127"/>
      <c r="GG84" s="26">
        <f>GH84*$NT84</f>
        <v>2.9210860791294704</v>
      </c>
      <c r="GH84" s="115">
        <f>FD$27*$AN84/$C84</f>
        <v>2.9210860791294704</v>
      </c>
      <c r="GI84" s="562">
        <f>10^3*GH84/$OB84</f>
        <v>78.9482724089046</v>
      </c>
      <c r="GJ84" s="73"/>
      <c r="GK84" s="335"/>
      <c r="GL84" s="335"/>
      <c r="GM84" s="127"/>
      <c r="GN84" s="26"/>
      <c r="GT84" s="127"/>
      <c r="GU84" s="127"/>
      <c r="GV84" s="127"/>
      <c r="GW84" s="127"/>
      <c r="GX84" s="68">
        <f>GZ84*$W84</f>
        <v>8.6082335146016398</v>
      </c>
      <c r="GY84" s="26">
        <f>GZ84*$NT84</f>
        <v>2.2859040779515185</v>
      </c>
      <c r="GZ84" s="127">
        <f>$AN84*GU$27/C84</f>
        <v>2.2859040779515185</v>
      </c>
      <c r="HA84" s="673">
        <f>10^3*GZ84/$OB84</f>
        <v>61.781191295986986</v>
      </c>
      <c r="HB84" s="115"/>
      <c r="HD84" s="115"/>
      <c r="HE84" s="127"/>
      <c r="HF84" s="127"/>
      <c r="HG84" s="127"/>
      <c r="HH84" s="127"/>
      <c r="HI84" s="127"/>
      <c r="HJ84" s="127"/>
      <c r="HK84" s="127"/>
      <c r="HL84" s="127"/>
      <c r="HM84" s="115">
        <f>HN84*$NT84</f>
        <v>2.2859040779515185</v>
      </c>
      <c r="HN84" s="127">
        <f>$AN84*GV$27/C84</f>
        <v>2.2859040779515185</v>
      </c>
      <c r="HO84" s="73">
        <f>10^3*HN84/$OB84</f>
        <v>61.781191295986986</v>
      </c>
      <c r="HP84" s="115"/>
      <c r="HR84" s="115"/>
      <c r="HS84" s="127"/>
      <c r="HT84" s="127"/>
      <c r="HU84" s="127"/>
      <c r="HV84" s="127"/>
      <c r="HW84" s="127"/>
      <c r="HX84" s="127"/>
      <c r="HY84" s="127"/>
      <c r="HZ84" s="127"/>
      <c r="IA84" s="115">
        <f>IB84*$NT84</f>
        <v>0</v>
      </c>
      <c r="IB84" s="127">
        <f>$AN84*GW$27/C84</f>
        <v>0</v>
      </c>
      <c r="IC84" s="73">
        <f>10^3*IB84/$OB84</f>
        <v>0</v>
      </c>
      <c r="ID84" s="115"/>
      <c r="IE84" s="133"/>
      <c r="IF84" s="115"/>
      <c r="IG84" s="127"/>
      <c r="IH84" s="127"/>
      <c r="II84" s="127"/>
      <c r="IJ84" s="127"/>
      <c r="IK84" s="127"/>
      <c r="IL84" s="127"/>
      <c r="IM84" s="127"/>
      <c r="IN84" s="127"/>
      <c r="IO84" s="97"/>
      <c r="IP84" s="97"/>
      <c r="IQ84" s="97"/>
      <c r="IR84" s="97"/>
      <c r="IS84" s="97"/>
      <c r="IT84" s="97"/>
      <c r="IU84" s="97"/>
      <c r="IV84" s="26">
        <f>IW84*$NT84</f>
        <v>1.7672289823371399</v>
      </c>
      <c r="IW84" s="91">
        <f>$AN84*JK82*$C83/$C84</f>
        <v>1.7672289823371399</v>
      </c>
      <c r="IX84" s="673">
        <f>10^3*IW84/OB84</f>
        <v>47.762945468571345</v>
      </c>
      <c r="IY84" s="115"/>
      <c r="IZ84" s="73"/>
      <c r="JA84" s="115"/>
      <c r="JB84" s="115">
        <f>$IW84*JM82/$JK82</f>
        <v>0.20220888305888995</v>
      </c>
      <c r="JC84" s="115">
        <f>$IW84*JN82/$JK82</f>
        <v>0.17164689662325813</v>
      </c>
      <c r="JD84" s="115">
        <f>$IW84*JO82/$JK82</f>
        <v>1.3933732026549919</v>
      </c>
      <c r="JE84" s="115"/>
      <c r="JF84" s="73"/>
      <c r="JG84" s="73"/>
      <c r="JH84" s="73"/>
      <c r="JI84" s="73"/>
      <c r="JJ84" s="73"/>
      <c r="JW84" s="115"/>
      <c r="KJ84" s="115">
        <f>BW84*44/12+$IW84+$GZ84</f>
        <v>11.178151597229672</v>
      </c>
      <c r="KK84" s="74"/>
      <c r="KL84" s="74"/>
      <c r="KM84" s="74"/>
      <c r="KN84" s="127"/>
      <c r="KO84" s="115"/>
      <c r="KP84" s="115"/>
      <c r="KQ84" s="115"/>
      <c r="KR84" s="115"/>
      <c r="KS84" s="127"/>
      <c r="KT84" s="115">
        <f>CK84*44/12+$IW84+$HN84</f>
        <v>11.178151597229675</v>
      </c>
      <c r="KX84" s="127"/>
      <c r="KY84" s="115"/>
      <c r="KZ84" s="115"/>
      <c r="LA84" s="115"/>
      <c r="LB84" s="115"/>
      <c r="LC84" s="127"/>
      <c r="LD84" s="115">
        <f>CY84*44/12+$IW84+$IB84</f>
        <v>5.4415840502561208</v>
      </c>
      <c r="LH84" s="127"/>
      <c r="LI84" s="115"/>
      <c r="LJ84" s="115"/>
      <c r="LK84" s="115"/>
      <c r="LL84" s="115"/>
      <c r="LM84" s="127"/>
      <c r="LN84" s="115">
        <f>DM84*44/12+$IW84+$GZ84</f>
        <v>9.5449152117419374</v>
      </c>
      <c r="LR84" s="127"/>
      <c r="LW84" s="127"/>
      <c r="LX84" s="115">
        <f>EA84*44/12+$IW84+$HN84</f>
        <v>9.5449152117419374</v>
      </c>
      <c r="MB84" s="127"/>
      <c r="MG84" s="127"/>
      <c r="MH84" s="115">
        <f>EO84*44/12+$IW84+$IB84</f>
        <v>7.1456616569802378</v>
      </c>
      <c r="ML84" s="127"/>
      <c r="MQ84" s="127"/>
      <c r="MW84" s="127"/>
      <c r="MX84" s="127"/>
      <c r="MY84" s="127"/>
      <c r="MZ84" s="127"/>
      <c r="NA84" s="127"/>
      <c r="NB84" s="127"/>
      <c r="NC84" s="127"/>
      <c r="ND84" s="127"/>
      <c r="NE84" s="127"/>
      <c r="NF84" s="127"/>
      <c r="NG84" s="127"/>
      <c r="NH84" s="127"/>
      <c r="NI84" s="127"/>
      <c r="NJ84" s="127"/>
      <c r="NK84" s="127"/>
      <c r="NL84" s="127"/>
      <c r="NM84" s="127"/>
      <c r="NN84" s="127"/>
      <c r="NO84" s="127"/>
      <c r="NP84" s="127"/>
      <c r="NQ84" s="127"/>
      <c r="NT84" s="31">
        <v>1</v>
      </c>
      <c r="NU84" s="31"/>
      <c r="NV84" s="32">
        <f>$NT84*NW84</f>
        <v>39.299999999999997</v>
      </c>
      <c r="NW84" s="9">
        <v>39.299999999999997</v>
      </c>
      <c r="NX84" s="9"/>
      <c r="NY84" s="9"/>
      <c r="NZ84" s="9"/>
      <c r="OA84" s="32">
        <f>$NT84*OB84</f>
        <v>37</v>
      </c>
      <c r="OB84" s="43">
        <v>37</v>
      </c>
      <c r="OC84" s="38">
        <f>$NT84*OD84</f>
        <v>0</v>
      </c>
      <c r="OD84" s="31">
        <v>0</v>
      </c>
      <c r="OE84" s="38">
        <f>$NT84*OF84</f>
        <v>1</v>
      </c>
      <c r="OF84" s="31">
        <v>1</v>
      </c>
    </row>
    <row r="85" spans="1:494" x14ac:dyDescent="0.25">
      <c r="A85" s="37" t="s">
        <v>142</v>
      </c>
      <c r="B85" s="468">
        <f>C85*NT27/NT85</f>
        <v>2.8260869565217391E-2</v>
      </c>
      <c r="C85" s="45">
        <v>0.05</v>
      </c>
      <c r="D85" s="722">
        <f>C85*NW85/NW27</f>
        <v>3.6363636363636362E-2</v>
      </c>
      <c r="E85" s="122"/>
      <c r="F85" s="122"/>
      <c r="G85" s="122"/>
      <c r="H85" s="122"/>
      <c r="I85" s="122"/>
      <c r="J85" s="122"/>
      <c r="K85" s="122"/>
      <c r="L85" s="122"/>
      <c r="M85" s="122"/>
      <c r="N85" s="683"/>
      <c r="V85" s="26">
        <f>W85/NT85</f>
        <v>4.5480549199084663</v>
      </c>
      <c r="W85" s="26">
        <f>C85/C83*W83</f>
        <v>4.1842105263157894</v>
      </c>
      <c r="X85" s="115"/>
      <c r="Y85" s="26">
        <f>W85*NW85/10^3</f>
        <v>8.3684210526315778E-2</v>
      </c>
      <c r="Z85" s="26"/>
      <c r="AA85" s="26">
        <f>W85*OD85</f>
        <v>0.75315789473684203</v>
      </c>
      <c r="AB85" s="26"/>
      <c r="AE85" s="115">
        <f>AB$27*$AN85/$C85</f>
        <v>1.4881242476601877</v>
      </c>
      <c r="AF85" s="115"/>
      <c r="AG85" s="115">
        <f>AC$27*$AN85/$C85</f>
        <v>1.4881242476601877</v>
      </c>
      <c r="AH85" s="115"/>
      <c r="AI85" s="115">
        <f>AD$27*$AN85/$C85</f>
        <v>1.905843334722696</v>
      </c>
      <c r="AJ85" s="52"/>
      <c r="AK85" s="52">
        <f>1-AK83-AK84</f>
        <v>5.6489196441180722E-2</v>
      </c>
      <c r="AL85" s="164">
        <v>0.35299999999999998</v>
      </c>
      <c r="AM85" s="683">
        <f>V85*AL85/(V83*AL83+V84*AL84+V85*AL85)</f>
        <v>4.2300576150623596E-2</v>
      </c>
      <c r="AN85" s="40">
        <f t="shared" si="30"/>
        <v>5.6489196441180722E-2</v>
      </c>
      <c r="AO85" s="115"/>
      <c r="AP85" s="115"/>
      <c r="AQ85" s="115"/>
      <c r="AR85" s="115"/>
      <c r="AS85" s="115"/>
      <c r="AT85" s="115"/>
      <c r="AU85" s="115"/>
      <c r="AV85" s="115"/>
      <c r="AW85" s="115"/>
      <c r="AX85" s="115"/>
      <c r="AY85" s="115"/>
      <c r="AZ85" s="115"/>
      <c r="BA85" s="115"/>
      <c r="BB85" s="115"/>
      <c r="BC85" s="115"/>
      <c r="BD85" s="115"/>
      <c r="BE85" s="115"/>
      <c r="BF85" s="115"/>
      <c r="BG85" s="115"/>
      <c r="BH85" s="115"/>
      <c r="BI85" s="115"/>
      <c r="BJ85" s="115"/>
      <c r="BK85" s="115"/>
      <c r="BL85" s="115"/>
      <c r="BM85" s="115"/>
      <c r="BN85" s="115"/>
      <c r="BO85" s="115"/>
      <c r="BP85" s="115"/>
      <c r="BQ85" s="115"/>
      <c r="BR85" s="115"/>
      <c r="BS85" s="115"/>
      <c r="BT85" s="115"/>
      <c r="BU85" s="115"/>
      <c r="BV85" s="26">
        <f>BW85*$NT85</f>
        <v>0.90978723858233823</v>
      </c>
      <c r="BW85" s="115">
        <f>BP$27*$AN85/$C85</f>
        <v>0.98889917237210667</v>
      </c>
      <c r="BY85" s="143">
        <f>BW85/$OD85</f>
        <v>5.4938842909561485</v>
      </c>
      <c r="BZ85" s="335"/>
      <c r="CA85" s="127"/>
      <c r="CB85" s="127"/>
      <c r="CC85" s="127"/>
      <c r="CD85" s="115"/>
      <c r="CE85" s="115"/>
      <c r="CF85" s="115"/>
      <c r="CG85" s="115"/>
      <c r="CH85" s="115"/>
      <c r="CI85" s="127"/>
      <c r="CJ85" s="26">
        <f>CK85*$NT85</f>
        <v>0.90978723858233856</v>
      </c>
      <c r="CK85" s="115">
        <f>BQ$27*$AN85/$C85</f>
        <v>0.98889917237210712</v>
      </c>
      <c r="CM85" s="143">
        <f>CK85/$OD85</f>
        <v>5.4938842909561512</v>
      </c>
      <c r="CN85" s="335"/>
      <c r="CO85" s="127"/>
      <c r="CP85" s="127"/>
      <c r="CQ85" s="127"/>
      <c r="CW85" s="127"/>
      <c r="CX85" s="26">
        <f>CY85*$NT85</f>
        <v>0.46917510929708112</v>
      </c>
      <c r="CY85" s="115">
        <f>BR$27*$AN85/$C85</f>
        <v>0.50997294488813161</v>
      </c>
      <c r="CZ85" s="37"/>
      <c r="DA85" s="143">
        <f>CY85/$OD85</f>
        <v>2.833183027156287</v>
      </c>
      <c r="DB85" s="335"/>
      <c r="DC85" s="127"/>
      <c r="DD85" s="127"/>
      <c r="DE85" s="127"/>
      <c r="DF85" s="115"/>
      <c r="DG85" s="115"/>
      <c r="DH85" s="115"/>
      <c r="DI85" s="115"/>
      <c r="DJ85" s="115"/>
      <c r="DK85" s="127"/>
      <c r="DL85" s="26">
        <f>DM85*$NT85</f>
        <v>0.70124074661166236</v>
      </c>
      <c r="DM85" s="115">
        <f>BS$27*$AN85/$C85</f>
        <v>0.7622182028387634</v>
      </c>
      <c r="DN85" s="37"/>
      <c r="DO85" s="143">
        <f>DM85/$OD85</f>
        <v>4.2345455713264633</v>
      </c>
      <c r="DP85" s="335"/>
      <c r="DQ85" s="127"/>
      <c r="DR85" s="127"/>
      <c r="DS85" s="127"/>
      <c r="DT85" s="37"/>
      <c r="DU85" s="37"/>
      <c r="DV85" s="37"/>
      <c r="DW85" s="37"/>
      <c r="DX85" s="37"/>
      <c r="DY85" s="127"/>
      <c r="DZ85" s="26">
        <f>EA85*$NT85</f>
        <v>0.70124074661166236</v>
      </c>
      <c r="EA85" s="115">
        <f>BT$27*$AN85/$C85</f>
        <v>0.7622182028387634</v>
      </c>
      <c r="EC85" s="143">
        <f>EA85/$OD85</f>
        <v>4.2345455713264633</v>
      </c>
      <c r="ED85" s="335"/>
      <c r="EE85" s="127"/>
      <c r="EF85" s="127"/>
      <c r="EG85" s="127"/>
      <c r="EM85" s="127"/>
      <c r="EN85" s="26">
        <f>EO85*$NT85</f>
        <v>0.68676725338954347</v>
      </c>
      <c r="EO85" s="115">
        <f>BU$27*$AN85/$C85</f>
        <v>0.74648614498863419</v>
      </c>
      <c r="EP85" s="37"/>
      <c r="EQ85" s="143">
        <f>EO85/$OD85</f>
        <v>4.1471452499368571</v>
      </c>
      <c r="ER85" s="335"/>
      <c r="ES85" s="127"/>
      <c r="ET85" s="127"/>
      <c r="EU85" s="127"/>
      <c r="EV85" s="37"/>
      <c r="EW85" s="37"/>
      <c r="EX85" s="37"/>
      <c r="EY85" s="37"/>
      <c r="EZ85" s="37"/>
      <c r="FA85" s="127"/>
      <c r="FE85" s="26">
        <f>FF85*$NT85</f>
        <v>1.3964557940043199</v>
      </c>
      <c r="FF85" s="115">
        <f>FB$27*$AN85/$C85</f>
        <v>1.5178867326133911</v>
      </c>
      <c r="FH85" s="115">
        <f>FF85/$OD85</f>
        <v>8.4327040700743954</v>
      </c>
      <c r="FI85" s="335"/>
      <c r="FJ85" s="335"/>
      <c r="FK85" s="127"/>
      <c r="FL85" s="26"/>
      <c r="FR85" s="127"/>
      <c r="FS85" s="26">
        <f>FT85*$NT85</f>
        <v>1.3964557940043199</v>
      </c>
      <c r="FT85" s="115">
        <f>FC$27*$AN85/$C85</f>
        <v>1.5178867326133911</v>
      </c>
      <c r="FV85" s="115">
        <f>FT85/$OD85</f>
        <v>8.4327040700743954</v>
      </c>
      <c r="FW85" s="335"/>
      <c r="FX85" s="335"/>
      <c r="FY85" s="127"/>
      <c r="FZ85" s="26"/>
      <c r="GF85" s="127"/>
      <c r="GG85" s="26">
        <f>GH85*$NT85</f>
        <v>1.3676331769970067</v>
      </c>
      <c r="GH85" s="115">
        <f>FD$27*$AN85/$C85</f>
        <v>1.4865578010837028</v>
      </c>
      <c r="GJ85" s="115">
        <f>GH85/$OD85</f>
        <v>8.2586544504650163</v>
      </c>
      <c r="GK85" s="335"/>
      <c r="GL85" s="335"/>
      <c r="GM85" s="127"/>
      <c r="GN85" s="26"/>
      <c r="GT85" s="127"/>
      <c r="GU85" s="127"/>
      <c r="GV85" s="127"/>
      <c r="GW85" s="127"/>
      <c r="GX85" s="68">
        <f>GZ85*$W85</f>
        <v>4.8675337939506118</v>
      </c>
      <c r="GY85" s="26">
        <f>GZ85*$NT85</f>
        <v>1.0702451662673798</v>
      </c>
      <c r="GZ85" s="330">
        <f>$AN85*GU$27/C85</f>
        <v>1.1633099633341084</v>
      </c>
      <c r="HB85" s="115">
        <f>GZ85/$OD85</f>
        <v>6.4628331296339354</v>
      </c>
      <c r="HD85" s="115"/>
      <c r="HE85" s="127"/>
      <c r="HF85" s="127"/>
      <c r="HG85" s="127"/>
      <c r="HH85" s="127"/>
      <c r="HI85" s="127"/>
      <c r="HJ85" s="127"/>
      <c r="HK85" s="127"/>
      <c r="HL85" s="127"/>
      <c r="HM85" s="115">
        <f>HN85*$NT85</f>
        <v>1.0702451662673798</v>
      </c>
      <c r="HN85" s="127">
        <f>$AN85*GV$27/C85</f>
        <v>1.1633099633341084</v>
      </c>
      <c r="HP85" s="115">
        <f>HN85/$OD85</f>
        <v>6.4628331296339354</v>
      </c>
      <c r="HR85" s="115"/>
      <c r="HS85" s="127"/>
      <c r="HT85" s="127"/>
      <c r="HU85" s="127"/>
      <c r="HV85" s="127"/>
      <c r="HW85" s="127"/>
      <c r="HX85" s="127"/>
      <c r="HY85" s="127"/>
      <c r="HZ85" s="127"/>
      <c r="IA85" s="115">
        <f>IB85*$NT85</f>
        <v>0</v>
      </c>
      <c r="IB85" s="127">
        <f>$AN85*GW$27/C85</f>
        <v>0</v>
      </c>
      <c r="IC85" s="133"/>
      <c r="ID85" s="115">
        <f>IB85/$OD85</f>
        <v>0</v>
      </c>
      <c r="IE85" s="133"/>
      <c r="IF85" s="115"/>
      <c r="IG85" s="127"/>
      <c r="IH85" s="127"/>
      <c r="II85" s="127"/>
      <c r="IJ85" s="127"/>
      <c r="IK85" s="127"/>
      <c r="IL85" s="127"/>
      <c r="IM85" s="127"/>
      <c r="IN85" s="127"/>
      <c r="IO85" s="97"/>
      <c r="IP85" s="97"/>
      <c r="IQ85" s="97"/>
      <c r="IR85" s="97"/>
      <c r="IS85" s="97"/>
      <c r="IT85" s="97"/>
      <c r="IU85" s="97"/>
      <c r="IV85" s="26">
        <f>IW85*$NT85</f>
        <v>0.82740491793901882</v>
      </c>
      <c r="IW85" s="91">
        <f>$AN85*JK82*$C83/$C85</f>
        <v>0.89935317167284656</v>
      </c>
      <c r="IY85" s="115">
        <f>IW85/$OD85</f>
        <v>4.9964065092935925</v>
      </c>
      <c r="JA85" s="115"/>
      <c r="JB85" s="115">
        <f>$IW85*JM82/$JK82</f>
        <v>0.10290528399943528</v>
      </c>
      <c r="JC85" s="115">
        <f>$IW85*JN82/$JK82</f>
        <v>8.7352110240844008E-2</v>
      </c>
      <c r="JD85" s="115">
        <f>$IW85*JO82/$JK82</f>
        <v>0.70909577743256735</v>
      </c>
      <c r="JE85" s="115"/>
      <c r="JW85" s="115"/>
      <c r="KJ85" s="115">
        <f>BW85*44/12+$IW85+$GZ85</f>
        <v>5.6886267670380128</v>
      </c>
      <c r="KK85" s="74"/>
      <c r="KL85" s="74"/>
      <c r="KM85" s="143">
        <f>KJ85/$OD85</f>
        <v>31.603482039100072</v>
      </c>
      <c r="KN85" s="127"/>
      <c r="KO85" s="74"/>
      <c r="KP85" s="74"/>
      <c r="KQ85" s="74"/>
      <c r="KR85" s="74"/>
      <c r="KS85" s="127"/>
      <c r="KT85" s="115">
        <f>CK85*44/12+$IW85+$HN85</f>
        <v>5.6886267670380146</v>
      </c>
      <c r="KW85" s="143">
        <f>KT85/$OD85</f>
        <v>31.603482039100083</v>
      </c>
      <c r="KX85" s="127"/>
      <c r="LC85" s="127"/>
      <c r="LD85" s="115">
        <f>CY85*44/12+$IW85+$IB85</f>
        <v>2.7692539695959959</v>
      </c>
      <c r="LG85" s="143">
        <f>LD85/$OD85</f>
        <v>15.384744275533311</v>
      </c>
      <c r="LH85" s="127"/>
      <c r="LM85" s="127"/>
      <c r="LN85" s="115">
        <f>DM85*44/12+$IW85+$GZ85</f>
        <v>4.857463212082421</v>
      </c>
      <c r="LQ85" s="143">
        <f>LN85/$OD85</f>
        <v>26.985906733791229</v>
      </c>
      <c r="LR85" s="127"/>
      <c r="LW85" s="127"/>
      <c r="LX85" s="115">
        <f>EA85*44/12+$IW85+$HN85</f>
        <v>4.857463212082421</v>
      </c>
      <c r="MA85" s="143">
        <f>LX85/$OD85</f>
        <v>26.985906733791229</v>
      </c>
      <c r="MB85" s="127"/>
      <c r="MG85" s="127"/>
      <c r="MH85" s="115">
        <f>EO85*44/12+$IW85+$IB85</f>
        <v>3.6364690366311718</v>
      </c>
      <c r="MK85" s="143">
        <f>MH85/$OD85</f>
        <v>20.202605759062067</v>
      </c>
      <c r="ML85" s="127"/>
      <c r="MQ85" s="127"/>
      <c r="MW85" s="127"/>
      <c r="MX85" s="127"/>
      <c r="MY85" s="127"/>
      <c r="MZ85" s="127"/>
      <c r="NA85" s="127"/>
      <c r="NB85" s="127"/>
      <c r="NC85" s="127"/>
      <c r="ND85" s="127"/>
      <c r="NE85" s="127"/>
      <c r="NF85" s="127"/>
      <c r="NG85" s="127"/>
      <c r="NH85" s="127"/>
      <c r="NI85" s="127"/>
      <c r="NJ85" s="127"/>
      <c r="NK85" s="127"/>
      <c r="NL85" s="127"/>
      <c r="NM85" s="127"/>
      <c r="NN85" s="127"/>
      <c r="NO85" s="127"/>
      <c r="NP85" s="127"/>
      <c r="NQ85" s="127"/>
      <c r="NT85" s="31">
        <v>0.92</v>
      </c>
      <c r="NU85" s="31"/>
      <c r="NV85" s="32">
        <f>$NT85*NW85</f>
        <v>18.400000000000002</v>
      </c>
      <c r="NW85" s="9">
        <v>20</v>
      </c>
      <c r="NX85" s="9"/>
      <c r="NY85" s="9"/>
      <c r="NZ85" s="9"/>
      <c r="OA85" s="32"/>
      <c r="OB85" s="26"/>
      <c r="OC85" s="729">
        <f>$NT85*OD85</f>
        <v>0.1656</v>
      </c>
      <c r="OD85" s="730">
        <v>0.18</v>
      </c>
    </row>
    <row r="86" spans="1:494" x14ac:dyDescent="0.25">
      <c r="A86" s="37" t="s">
        <v>221</v>
      </c>
      <c r="B86" s="727"/>
      <c r="C86" s="69">
        <f>1-C83-C84-C85</f>
        <v>0.52499999999999991</v>
      </c>
      <c r="D86" s="722"/>
      <c r="E86" s="122"/>
      <c r="F86" s="122"/>
      <c r="G86" s="122"/>
      <c r="H86" s="122"/>
      <c r="I86" s="122"/>
      <c r="J86" s="122"/>
      <c r="K86" s="122"/>
      <c r="L86" s="122"/>
      <c r="M86" s="122"/>
      <c r="N86" s="683"/>
      <c r="V86" s="26"/>
      <c r="W86" s="26"/>
      <c r="X86" s="115"/>
      <c r="Y86" s="26"/>
      <c r="Z86" s="26"/>
      <c r="AA86" s="26"/>
      <c r="AB86" s="26"/>
      <c r="AE86" s="115"/>
      <c r="AF86" s="115"/>
      <c r="AG86" s="115"/>
      <c r="AH86" s="115"/>
      <c r="AI86" s="115"/>
      <c r="AJ86" s="115"/>
      <c r="AK86" s="40"/>
      <c r="AL86" s="74"/>
      <c r="AN86" s="69">
        <f>1-AN83-AN84-AN85</f>
        <v>0</v>
      </c>
      <c r="AO86" s="115"/>
      <c r="AP86" s="115"/>
      <c r="AQ86" s="115"/>
      <c r="AR86" s="115"/>
      <c r="AS86" s="115"/>
      <c r="AT86" s="115"/>
      <c r="AU86" s="115"/>
      <c r="AV86" s="115"/>
      <c r="AW86" s="115"/>
      <c r="AX86" s="115"/>
      <c r="AY86" s="115"/>
      <c r="AZ86" s="115"/>
      <c r="BA86" s="115"/>
      <c r="BB86" s="115"/>
      <c r="BC86" s="115"/>
      <c r="BD86" s="115"/>
      <c r="BE86" s="115"/>
      <c r="BF86" s="115"/>
      <c r="BG86" s="115"/>
      <c r="BH86" s="115"/>
      <c r="BI86" s="115"/>
      <c r="BJ86" s="115"/>
      <c r="BK86" s="115"/>
      <c r="BL86" s="115"/>
      <c r="BM86" s="115"/>
      <c r="BN86" s="115"/>
      <c r="BO86" s="115"/>
      <c r="BP86" s="115"/>
      <c r="BQ86" s="115"/>
      <c r="BR86" s="115"/>
      <c r="BS86" s="115"/>
      <c r="BT86" s="115"/>
      <c r="BU86" s="115"/>
      <c r="BW86" s="26"/>
      <c r="CA86" s="74"/>
      <c r="CB86" s="74"/>
      <c r="CC86" s="74"/>
      <c r="CD86" s="115"/>
      <c r="CE86" s="115"/>
      <c r="CF86" s="115"/>
      <c r="CG86" s="115"/>
      <c r="CH86" s="115"/>
      <c r="CI86" s="74"/>
      <c r="CK86" s="26"/>
      <c r="CX86" s="37"/>
      <c r="CY86" s="26"/>
      <c r="CZ86" s="37"/>
      <c r="DA86" s="37"/>
      <c r="DB86" s="37"/>
      <c r="DF86" s="115"/>
      <c r="DG86" s="115"/>
      <c r="DH86" s="115"/>
      <c r="DI86" s="115"/>
      <c r="DJ86" s="115"/>
      <c r="DL86" s="37"/>
      <c r="DM86" s="115"/>
      <c r="DN86" s="37"/>
      <c r="DO86" s="37"/>
      <c r="DP86" s="37"/>
      <c r="DT86" s="37"/>
      <c r="DU86" s="37"/>
      <c r="DV86" s="37"/>
      <c r="DW86" s="37"/>
      <c r="DX86" s="37"/>
      <c r="EA86" s="115"/>
      <c r="EN86" s="37"/>
      <c r="EO86" s="115"/>
      <c r="EP86" s="37"/>
      <c r="EQ86" s="37"/>
      <c r="ER86" s="37"/>
      <c r="EV86" s="37"/>
      <c r="EW86" s="37"/>
      <c r="EX86" s="37"/>
      <c r="EY86" s="37"/>
      <c r="EZ86" s="37"/>
      <c r="FF86" s="26"/>
      <c r="FH86" s="74"/>
      <c r="FK86" s="74"/>
      <c r="FR86" s="74"/>
      <c r="FT86" s="26"/>
      <c r="FZ86" s="37"/>
      <c r="GH86" s="26"/>
      <c r="GJ86" s="74"/>
      <c r="GM86" s="74"/>
      <c r="GT86" s="74"/>
      <c r="GU86" s="74"/>
      <c r="GV86" s="74"/>
      <c r="GW86" s="74"/>
      <c r="GX86" s="74"/>
      <c r="HB86" s="74"/>
      <c r="HD86" s="74"/>
      <c r="HE86" s="74"/>
      <c r="HF86" s="74"/>
      <c r="HG86" s="74"/>
      <c r="HH86" s="74"/>
      <c r="HI86" s="74"/>
      <c r="HJ86" s="74"/>
      <c r="HK86" s="74"/>
      <c r="HL86" s="74"/>
      <c r="IA86" s="133"/>
      <c r="IB86" s="133"/>
      <c r="IC86" s="133"/>
      <c r="IE86" s="133"/>
      <c r="JQ86" s="643"/>
      <c r="JW86" s="115"/>
      <c r="KJ86" s="74"/>
      <c r="KK86" s="74"/>
      <c r="KL86" s="74"/>
      <c r="KM86" s="74"/>
      <c r="KN86" s="74"/>
      <c r="KO86" s="74"/>
      <c r="KP86" s="74"/>
      <c r="KQ86" s="74"/>
      <c r="KR86" s="74"/>
      <c r="KS86" s="74"/>
      <c r="NT86" s="31"/>
      <c r="NU86" s="31"/>
      <c r="NV86" s="32"/>
      <c r="NW86" s="9"/>
      <c r="NX86" s="9"/>
      <c r="NY86" s="9"/>
      <c r="NZ86" s="9"/>
      <c r="OA86" s="32"/>
      <c r="OB86" s="26"/>
      <c r="OC86" s="729"/>
      <c r="OD86" s="730"/>
    </row>
    <row r="87" spans="1:494" x14ac:dyDescent="0.25">
      <c r="B87" s="727"/>
      <c r="Z87" s="26"/>
      <c r="AA87" s="26"/>
      <c r="AB87" s="26"/>
      <c r="AE87" s="115"/>
      <c r="AF87" s="115"/>
      <c r="AG87" s="115"/>
      <c r="AH87" s="115"/>
      <c r="AI87" s="115"/>
      <c r="AJ87" s="115"/>
      <c r="AL87" s="74"/>
      <c r="AO87" s="115"/>
      <c r="AP87" s="115"/>
      <c r="AQ87" s="115"/>
      <c r="AR87" s="115"/>
      <c r="AS87" s="115"/>
      <c r="AT87" s="115"/>
      <c r="AU87" s="115"/>
      <c r="AV87" s="115"/>
      <c r="AW87" s="115"/>
      <c r="AX87" s="115"/>
      <c r="AY87" s="115"/>
      <c r="AZ87" s="115"/>
      <c r="BA87" s="115"/>
      <c r="BB87" s="115"/>
      <c r="BC87" s="115"/>
      <c r="BD87" s="115"/>
      <c r="BE87" s="115"/>
      <c r="BF87" s="115"/>
      <c r="BG87" s="115"/>
      <c r="BH87" s="115"/>
      <c r="BI87" s="115"/>
      <c r="BJ87" s="115"/>
      <c r="BK87" s="115"/>
      <c r="BL87" s="115"/>
      <c r="BM87" s="115"/>
      <c r="BN87" s="115"/>
      <c r="BO87" s="115"/>
      <c r="BP87" s="115"/>
      <c r="BQ87" s="115"/>
      <c r="BR87" s="115"/>
      <c r="BS87" s="115"/>
      <c r="BT87" s="115"/>
      <c r="BU87" s="115"/>
      <c r="BW87" s="26"/>
      <c r="CA87" s="74"/>
      <c r="CB87" s="74"/>
      <c r="CC87" s="74"/>
      <c r="CD87" s="115"/>
      <c r="CE87" s="115"/>
      <c r="CF87" s="115"/>
      <c r="CG87" s="115"/>
      <c r="CH87" s="115"/>
      <c r="CI87" s="74"/>
      <c r="CK87" s="26"/>
      <c r="CX87" s="37"/>
      <c r="CY87" s="26"/>
      <c r="CZ87" s="37"/>
      <c r="DA87" s="37"/>
      <c r="DB87" s="37"/>
      <c r="DF87" s="115"/>
      <c r="DG87" s="115"/>
      <c r="DH87" s="115"/>
      <c r="DI87" s="115"/>
      <c r="DJ87" s="115"/>
      <c r="DL87" s="37"/>
      <c r="DM87" s="115"/>
      <c r="DN87" s="37"/>
      <c r="DO87" s="37"/>
      <c r="DP87" s="37"/>
      <c r="DT87" s="37"/>
      <c r="DU87" s="37"/>
      <c r="DV87" s="37"/>
      <c r="DW87" s="37"/>
      <c r="DX87" s="37"/>
      <c r="EA87" s="115"/>
      <c r="EN87" s="37"/>
      <c r="EO87" s="115"/>
      <c r="EP87" s="37"/>
      <c r="EQ87" s="37"/>
      <c r="ER87" s="37"/>
      <c r="EV87" s="37"/>
      <c r="EW87" s="37"/>
      <c r="EX87" s="37"/>
      <c r="EY87" s="37"/>
      <c r="EZ87" s="37"/>
      <c r="FF87" s="26"/>
      <c r="FH87" s="74"/>
      <c r="FK87" s="74"/>
      <c r="FR87" s="74"/>
      <c r="FT87" s="26"/>
      <c r="FZ87" s="37"/>
      <c r="GH87" s="26"/>
      <c r="GJ87" s="74"/>
      <c r="GM87" s="74"/>
      <c r="GT87" s="74"/>
      <c r="GU87" s="74"/>
      <c r="GV87" s="74"/>
      <c r="GW87" s="74"/>
      <c r="GX87" s="74"/>
      <c r="HB87" s="74"/>
      <c r="HD87" s="74"/>
      <c r="HE87" s="74"/>
      <c r="HF87" s="74"/>
      <c r="HG87" s="74"/>
      <c r="HH87" s="74"/>
      <c r="HI87" s="74"/>
      <c r="HJ87" s="74"/>
      <c r="HK87" s="74"/>
      <c r="HL87" s="74"/>
      <c r="IA87" s="133"/>
      <c r="IB87" s="133"/>
      <c r="IC87" s="133"/>
      <c r="IE87" s="133"/>
      <c r="JQ87" s="179"/>
      <c r="JS87" s="723"/>
      <c r="JU87" s="723"/>
      <c r="JW87" s="115"/>
      <c r="KJ87" s="74"/>
      <c r="KK87" s="74"/>
      <c r="KL87" s="74"/>
      <c r="KM87" s="74"/>
      <c r="KN87" s="74"/>
      <c r="KO87" s="74"/>
      <c r="KP87" s="74"/>
      <c r="KQ87" s="74"/>
      <c r="KR87" s="74"/>
      <c r="KS87" s="74"/>
      <c r="OB87" s="26"/>
    </row>
    <row r="88" spans="1:494" x14ac:dyDescent="0.25">
      <c r="A88" s="9" t="s">
        <v>140</v>
      </c>
      <c r="B88" s="74"/>
      <c r="Z88" s="26"/>
      <c r="AA88" s="26"/>
      <c r="AB88" s="26"/>
      <c r="AE88" s="115"/>
      <c r="AF88" s="115"/>
      <c r="AG88" s="115"/>
      <c r="AH88" s="115"/>
      <c r="AI88" s="115"/>
      <c r="AJ88" s="115"/>
      <c r="AL88" s="74"/>
      <c r="AO88" s="115"/>
      <c r="AP88" s="115"/>
      <c r="AQ88" s="115"/>
      <c r="AR88" s="115"/>
      <c r="AS88" s="115"/>
      <c r="AT88" s="115"/>
      <c r="AU88" s="115"/>
      <c r="AV88" s="115"/>
      <c r="AW88" s="115"/>
      <c r="AX88" s="115"/>
      <c r="AY88" s="115"/>
      <c r="AZ88" s="115"/>
      <c r="BA88" s="115"/>
      <c r="BB88" s="115"/>
      <c r="BC88" s="115"/>
      <c r="BD88" s="115"/>
      <c r="BE88" s="115"/>
      <c r="BF88" s="115"/>
      <c r="BG88" s="115"/>
      <c r="BH88" s="115"/>
      <c r="BI88" s="115"/>
      <c r="BJ88" s="115"/>
      <c r="BK88" s="115"/>
      <c r="BL88" s="115"/>
      <c r="BM88" s="115"/>
      <c r="BN88" s="115"/>
      <c r="BO88" s="115"/>
      <c r="BP88" s="115"/>
      <c r="BQ88" s="115"/>
      <c r="BR88" s="115"/>
      <c r="BS88" s="115"/>
      <c r="BT88" s="115"/>
      <c r="BU88" s="115"/>
      <c r="BW88" s="26"/>
      <c r="CA88" s="74"/>
      <c r="CB88" s="74"/>
      <c r="CC88" s="74"/>
      <c r="CD88" s="115"/>
      <c r="CE88" s="115"/>
      <c r="CF88" s="115"/>
      <c r="CG88" s="115"/>
      <c r="CH88" s="115"/>
      <c r="CI88" s="74"/>
      <c r="CK88" s="26"/>
      <c r="CX88" s="37"/>
      <c r="CY88" s="26"/>
      <c r="CZ88" s="37"/>
      <c r="DA88" s="37"/>
      <c r="DB88" s="37"/>
      <c r="DF88" s="115"/>
      <c r="DG88" s="115"/>
      <c r="DH88" s="115"/>
      <c r="DI88" s="115"/>
      <c r="DJ88" s="115"/>
      <c r="DL88" s="37"/>
      <c r="DM88" s="115"/>
      <c r="DN88" s="37"/>
      <c r="DO88" s="37"/>
      <c r="DP88" s="37"/>
      <c r="DT88" s="37"/>
      <c r="DU88" s="37"/>
      <c r="DV88" s="37"/>
      <c r="DW88" s="37"/>
      <c r="DX88" s="37"/>
      <c r="EA88" s="115"/>
      <c r="EN88" s="37"/>
      <c r="EO88" s="115"/>
      <c r="EP88" s="37"/>
      <c r="EQ88" s="37"/>
      <c r="ER88" s="37"/>
      <c r="EV88" s="37"/>
      <c r="EW88" s="37"/>
      <c r="EX88" s="37"/>
      <c r="EY88" s="37"/>
      <c r="EZ88" s="37"/>
      <c r="FF88" s="26"/>
      <c r="FH88" s="74"/>
      <c r="FK88" s="74"/>
      <c r="FR88" s="74"/>
      <c r="FT88" s="26"/>
      <c r="FZ88" s="37"/>
      <c r="GH88" s="26"/>
      <c r="GJ88" s="74"/>
      <c r="GM88" s="74"/>
      <c r="GT88" s="74"/>
      <c r="GU88" s="74"/>
      <c r="GV88" s="74"/>
      <c r="GW88" s="74"/>
      <c r="GX88" s="55">
        <f>GX89+GX90</f>
        <v>25.333626494179217</v>
      </c>
      <c r="GY88" s="474"/>
      <c r="GZ88" s="474"/>
      <c r="HA88" s="474"/>
      <c r="HB88" s="74"/>
      <c r="HC88" s="474"/>
      <c r="HD88" s="74"/>
      <c r="HE88" s="74"/>
      <c r="HF88" s="74"/>
      <c r="HG88" s="74"/>
      <c r="HH88" s="74"/>
      <c r="HI88" s="74"/>
      <c r="HJ88" s="74"/>
      <c r="HK88" s="74"/>
      <c r="HL88" s="74"/>
      <c r="HM88" s="474"/>
      <c r="HN88" s="474"/>
      <c r="HO88" s="474"/>
      <c r="HQ88" s="474"/>
      <c r="IA88" s="474"/>
      <c r="IB88" s="474"/>
      <c r="IC88" s="474"/>
      <c r="IE88" s="474"/>
      <c r="IO88" s="68">
        <f>IP88+IQ88+IR88+IS88+IT88+IU88</f>
        <v>45.715900546245052</v>
      </c>
      <c r="IP88" s="97">
        <f>JS88*$W89</f>
        <v>24.793220363241105</v>
      </c>
      <c r="IQ88" s="97">
        <f>JU88*$W89</f>
        <v>16.891688183003954</v>
      </c>
      <c r="IR88" s="97">
        <f>JX88*$W89</f>
        <v>0.56246400000000008</v>
      </c>
      <c r="IS88" s="97">
        <f>KB88*$W89</f>
        <v>3.2497920000000007</v>
      </c>
      <c r="IT88" s="97">
        <f>KF88*$W89</f>
        <v>3.1248000000000008E-2</v>
      </c>
      <c r="IU88" s="97">
        <f>KH88*$W89</f>
        <v>0.18748800000000002</v>
      </c>
      <c r="JK88" s="115">
        <f>JM88+JN88+JO88</f>
        <v>2.7211845563241099</v>
      </c>
      <c r="JL88" s="679">
        <f>10^3*JK88/NY89</f>
        <v>73.150122481830905</v>
      </c>
      <c r="JM88" s="179">
        <f>JS88+KB88</f>
        <v>1.669226926383399</v>
      </c>
      <c r="JN88" s="179">
        <f>JU88+KF88</f>
        <v>1.0073176299407114</v>
      </c>
      <c r="JO88" s="179">
        <f>JX88+KH88</f>
        <v>4.4639999999999999E-2</v>
      </c>
      <c r="JP88" s="469">
        <f>JK88*C89</f>
        <v>1.1973212047826083</v>
      </c>
      <c r="JQ88" s="115">
        <f>JR88*$NY89/10^3</f>
        <v>2.5147245563241105</v>
      </c>
      <c r="JR88" s="73">
        <f>JT88+JV88+JY88</f>
        <v>67.600122481830923</v>
      </c>
      <c r="JS88" s="680">
        <f>'Crops; pasture AMORTIZED'!FY40/C89</f>
        <v>1.4757869263833989</v>
      </c>
      <c r="JT88" s="73">
        <f>10^3*JS88/$NY89</f>
        <v>39.671691569446203</v>
      </c>
      <c r="JU88" s="680">
        <f>'Crops; pasture AMORTIZED'!FW40/C89</f>
        <v>1.0054576299407114</v>
      </c>
      <c r="JV88" s="115">
        <f>10^3*JU88/$NY89</f>
        <v>27.028430912384714</v>
      </c>
      <c r="JW88" s="115">
        <f>10^3*JU88/'Amortization metrics'!$B$6</f>
        <v>3.3740188924184946</v>
      </c>
      <c r="JX88" s="127">
        <f>JY88*$NY89/10^3</f>
        <v>3.3480000000000003E-2</v>
      </c>
      <c r="JY88" s="84">
        <v>0.9</v>
      </c>
      <c r="JZ88" s="127">
        <f>KB88+KF88+KH88</f>
        <v>0.20646000000000003</v>
      </c>
      <c r="KA88" s="115">
        <f>KC88+KG88+KI88</f>
        <v>5.55</v>
      </c>
      <c r="KB88" s="115">
        <f>KC88*$NY89/10^3</f>
        <v>0.19344000000000003</v>
      </c>
      <c r="KC88" s="80">
        <v>5.2</v>
      </c>
      <c r="KD88" s="725">
        <v>0.68</v>
      </c>
      <c r="KE88" s="474">
        <f>KC88/KD88</f>
        <v>7.6470588235294112</v>
      </c>
      <c r="KF88" s="127">
        <f>KG88*$NY89/10^3</f>
        <v>1.8600000000000003E-3</v>
      </c>
      <c r="KG88" s="84">
        <v>0.05</v>
      </c>
      <c r="KH88" s="127">
        <f>KI88*$NY89/10^3</f>
        <v>1.116E-2</v>
      </c>
      <c r="KI88" s="84">
        <v>0.3</v>
      </c>
      <c r="KJ88" s="74"/>
      <c r="KK88" s="74"/>
      <c r="KL88" s="74"/>
      <c r="KM88" s="74"/>
      <c r="KN88" s="74"/>
      <c r="KO88" s="74"/>
      <c r="KP88" s="74"/>
      <c r="KQ88" s="74"/>
      <c r="KR88" s="74"/>
      <c r="KS88" s="74"/>
      <c r="OB88" s="26"/>
    </row>
    <row r="89" spans="1:494" x14ac:dyDescent="0.25">
      <c r="A89" s="37" t="s">
        <v>141</v>
      </c>
      <c r="B89" s="53">
        <f>C89*NT28/NT89</f>
        <v>0.40479999999999999</v>
      </c>
      <c r="C89" s="90">
        <v>0.44</v>
      </c>
      <c r="D89" s="722">
        <f>C89*NW89/NW28</f>
        <v>0.62201438848920854</v>
      </c>
      <c r="E89" s="731"/>
      <c r="F89" s="731"/>
      <c r="G89" s="731"/>
      <c r="H89" s="731"/>
      <c r="I89" s="731"/>
      <c r="J89" s="731"/>
      <c r="K89" s="731"/>
      <c r="L89" s="731"/>
      <c r="M89" s="731"/>
      <c r="N89" s="69"/>
      <c r="V89" s="55">
        <f>W89/NT89</f>
        <v>16.8</v>
      </c>
      <c r="W89" s="72">
        <v>16.8</v>
      </c>
      <c r="X89" s="252"/>
      <c r="Y89" s="26">
        <f>W89*NW89/10^3</f>
        <v>0.66024000000000005</v>
      </c>
      <c r="Z89" s="26">
        <f>W89*OB89/10^3</f>
        <v>0.62160000000000004</v>
      </c>
      <c r="AA89" s="26"/>
      <c r="AB89" s="26"/>
      <c r="AE89" s="115">
        <f>AB$28*$AN89/$C89</f>
        <v>8.5630476540150262</v>
      </c>
      <c r="AF89" s="115"/>
      <c r="AG89" s="115">
        <f>AC$28*$AN89/$C89</f>
        <v>8.4493658443488684</v>
      </c>
      <c r="AH89" s="115"/>
      <c r="AI89" s="115">
        <f>AD$28*$AN89/$C89</f>
        <v>9.2686982898614865</v>
      </c>
      <c r="AJ89" s="115"/>
      <c r="AK89" s="722">
        <f>Y89/(Y89+Y90)</f>
        <v>0.61907489617642841</v>
      </c>
      <c r="AL89" s="164">
        <v>0.93500000000000005</v>
      </c>
      <c r="AM89" s="69">
        <f>V89*AL89/(V89*AL89+V90*AL90)</f>
        <v>0.74692537219178723</v>
      </c>
      <c r="AN89" s="40">
        <f t="shared" ref="AN89:AN90" si="31">AK89</f>
        <v>0.61907489617642841</v>
      </c>
      <c r="AO89" s="115"/>
      <c r="AP89" s="115"/>
      <c r="AQ89" s="115"/>
      <c r="AR89" s="115"/>
      <c r="AS89" s="115"/>
      <c r="AT89" s="115"/>
      <c r="AU89" s="115"/>
      <c r="AV89" s="115"/>
      <c r="AW89" s="115"/>
      <c r="AX89" s="115"/>
      <c r="AY89" s="115"/>
      <c r="AZ89" s="115"/>
      <c r="BA89" s="115"/>
      <c r="BB89" s="115"/>
      <c r="BC89" s="115"/>
      <c r="BD89" s="115"/>
      <c r="BE89" s="115"/>
      <c r="BF89" s="115"/>
      <c r="BG89" s="115"/>
      <c r="BH89" s="115"/>
      <c r="BI89" s="115"/>
      <c r="BJ89" s="115"/>
      <c r="BK89" s="115"/>
      <c r="BL89" s="115"/>
      <c r="BM89" s="115"/>
      <c r="BN89" s="115"/>
      <c r="BO89" s="115"/>
      <c r="BP89" s="115"/>
      <c r="BQ89" s="115"/>
      <c r="BR89" s="115"/>
      <c r="BS89" s="115"/>
      <c r="BT89" s="115"/>
      <c r="BU89" s="115"/>
      <c r="BV89" s="26">
        <f>BW89*$NT89</f>
        <v>2.4592910785924151</v>
      </c>
      <c r="BW89" s="115">
        <f>BP$28*$AN89/$C89</f>
        <v>2.4592910785924151</v>
      </c>
      <c r="BX89" s="677">
        <f>10^3*BW89/$OB89</f>
        <v>66.467326448443643</v>
      </c>
      <c r="BZ89" s="73">
        <f>10^3*BW89/$NW89</f>
        <v>62.577381134667057</v>
      </c>
      <c r="CA89" s="73"/>
      <c r="CB89" s="73"/>
      <c r="CC89" s="73"/>
      <c r="CD89" s="115"/>
      <c r="CE89" s="115"/>
      <c r="CF89" s="115"/>
      <c r="CG89" s="115"/>
      <c r="CH89" s="115"/>
      <c r="CI89" s="73"/>
      <c r="CJ89" s="26">
        <f>CK89*$NT89</f>
        <v>2.5396040500401296</v>
      </c>
      <c r="CK89" s="115">
        <f>BQ$28*$AN89/$C89</f>
        <v>2.5396040500401296</v>
      </c>
      <c r="CL89" s="677">
        <f>10^3*CK89/$OB89</f>
        <v>68.637947298381874</v>
      </c>
      <c r="CN89" s="73">
        <f>10^3*CK89/$NW89</f>
        <v>64.620968194405336</v>
      </c>
      <c r="CO89" s="73"/>
      <c r="CP89" s="73"/>
      <c r="CQ89" s="73"/>
      <c r="CW89" s="73"/>
      <c r="CX89" s="26">
        <f>CY89*$NT89</f>
        <v>1.9506460968076049</v>
      </c>
      <c r="CY89" s="115">
        <f>BR$28*$AN89/$C89</f>
        <v>1.9506460968076049</v>
      </c>
      <c r="CZ89" s="677">
        <f>10^3*CY89/$OB89</f>
        <v>52.720164778583914</v>
      </c>
      <c r="DA89" s="37"/>
      <c r="DB89" s="73">
        <f>10^3*CY89/$NW89</f>
        <v>49.634760733017941</v>
      </c>
      <c r="DC89" s="73"/>
      <c r="DD89" s="73"/>
      <c r="DE89" s="73"/>
      <c r="DF89" s="115"/>
      <c r="DG89" s="115"/>
      <c r="DH89" s="115"/>
      <c r="DI89" s="115"/>
      <c r="DJ89" s="115"/>
      <c r="DK89" s="73"/>
      <c r="DL89" s="26">
        <f>DM89*$NT89</f>
        <v>2.1004311741235884</v>
      </c>
      <c r="DM89" s="115">
        <f>BS$28*$AN89/$C89</f>
        <v>2.1004311741235884</v>
      </c>
      <c r="DN89" s="677">
        <f>10^3*DM89/$OB89</f>
        <v>56.768410111448333</v>
      </c>
      <c r="DO89" s="37"/>
      <c r="DP89" s="73">
        <f>10^3*DM89/$NW89</f>
        <v>53.446085855562046</v>
      </c>
      <c r="DQ89" s="73"/>
      <c r="DR89" s="73"/>
      <c r="DS89" s="73"/>
      <c r="DT89" s="37"/>
      <c r="DU89" s="37"/>
      <c r="DV89" s="37"/>
      <c r="DW89" s="37"/>
      <c r="DX89" s="37"/>
      <c r="DY89" s="73"/>
      <c r="DZ89" s="26">
        <f>EA89*$NT89</f>
        <v>2.1681282395665455</v>
      </c>
      <c r="EA89" s="115">
        <f>BT$28*$AN89/$C89</f>
        <v>2.1681282395665455</v>
      </c>
      <c r="EB89" s="677">
        <f>10^3*EA89/$OB89</f>
        <v>58.598060528825563</v>
      </c>
      <c r="ED89" s="73">
        <f>10^3*EA89/$NW89</f>
        <v>55.168657495331956</v>
      </c>
      <c r="EE89" s="73"/>
      <c r="EF89" s="73"/>
      <c r="EG89" s="73"/>
      <c r="EM89" s="73"/>
      <c r="EN89" s="26">
        <f>EO89*$NT89</f>
        <v>1.6802190274745614</v>
      </c>
      <c r="EO89" s="115">
        <f>BU$28*$AN89/$C89</f>
        <v>1.6802190274745614</v>
      </c>
      <c r="EP89" s="677">
        <f>10^3*EO89/$OB89</f>
        <v>45.411325066880039</v>
      </c>
      <c r="EQ89" s="37"/>
      <c r="ER89" s="73">
        <f>10^3*EO89/$NW89</f>
        <v>42.753664821235667</v>
      </c>
      <c r="ES89" s="73"/>
      <c r="ET89" s="73"/>
      <c r="EU89" s="73"/>
      <c r="EV89" s="37"/>
      <c r="EW89" s="37"/>
      <c r="EX89" s="37"/>
      <c r="EY89" s="37"/>
      <c r="EZ89" s="37"/>
      <c r="FA89" s="73"/>
      <c r="FE89" s="26">
        <f>FF89*$NT89</f>
        <v>4.1828135304244176</v>
      </c>
      <c r="FF89" s="115">
        <f>FB$28*$AN89/$C89</f>
        <v>4.1828135304244176</v>
      </c>
      <c r="FG89" s="562">
        <f>10^3*FF89/$OB89</f>
        <v>113.04901433579508</v>
      </c>
      <c r="FH89" s="73"/>
      <c r="FI89" s="73">
        <f>10^3*FF89/$NW89</f>
        <v>106.43291426016332</v>
      </c>
      <c r="FJ89" s="73"/>
      <c r="FK89" s="73"/>
      <c r="FL89" s="26"/>
      <c r="FR89" s="73"/>
      <c r="FS89" s="26">
        <f>FT89*$NT89</f>
        <v>4.3176259464622726</v>
      </c>
      <c r="FT89" s="115">
        <f>FC$28*$AN89/$C89</f>
        <v>4.3176259464622726</v>
      </c>
      <c r="FU89" s="562">
        <f>10^3*FT89/$OB89</f>
        <v>116.69259314762898</v>
      </c>
      <c r="FV89" s="73"/>
      <c r="FW89" s="73">
        <f>10^3*FT89/$NW89</f>
        <v>109.86325563517234</v>
      </c>
      <c r="FX89" s="73"/>
      <c r="FY89" s="73"/>
      <c r="FZ89" s="26"/>
      <c r="GF89" s="73"/>
      <c r="GG89" s="26">
        <f>GH89*$NT89</f>
        <v>3.3460000826399963</v>
      </c>
      <c r="GH89" s="115">
        <f>FD$28*$AN89/$C89</f>
        <v>3.3460000826399963</v>
      </c>
      <c r="GI89" s="562">
        <f>10^3*GH89/$OB89</f>
        <v>90.432434665945848</v>
      </c>
      <c r="GJ89" s="73"/>
      <c r="GK89" s="73">
        <f>10^3*GH89/$NW89</f>
        <v>85.13995121221366</v>
      </c>
      <c r="GL89" s="73"/>
      <c r="GM89" s="73"/>
      <c r="GN89" s="26"/>
      <c r="GT89" s="73"/>
      <c r="GU89" s="73"/>
      <c r="GV89" s="73"/>
      <c r="GW89" s="73"/>
      <c r="GX89" s="68">
        <f>GZ89*$W89</f>
        <v>15.683412191656416</v>
      </c>
      <c r="GY89" s="26">
        <f>GZ89*$NT89</f>
        <v>0.93353643997954849</v>
      </c>
      <c r="GZ89" s="127">
        <f>$AN89*GU$28/C89</f>
        <v>0.93353643997954849</v>
      </c>
      <c r="HA89" s="673">
        <f>10^3*GZ89/$OB89</f>
        <v>25.230714594041853</v>
      </c>
      <c r="HB89" s="74"/>
      <c r="HC89" s="73">
        <f>10^3*GZ89/$NW89</f>
        <v>23.75410788752032</v>
      </c>
      <c r="HD89" s="73"/>
      <c r="HE89" s="73"/>
      <c r="HF89" s="73"/>
      <c r="HG89" s="73"/>
      <c r="HH89" s="73"/>
      <c r="HI89" s="73"/>
      <c r="HJ89" s="73"/>
      <c r="HK89" s="73"/>
      <c r="HL89" s="73"/>
      <c r="HM89" s="115">
        <f>HN89*$NT89</f>
        <v>1.0643792029736849</v>
      </c>
      <c r="HN89" s="127">
        <f>$AN89*GV$28/C89</f>
        <v>1.0643792029736849</v>
      </c>
      <c r="HO89" s="73">
        <f>10^3*HN89/$OB89</f>
        <v>28.767005485775268</v>
      </c>
      <c r="HQ89" s="73">
        <f>10^3*HN89/$NW89</f>
        <v>27.083440279228626</v>
      </c>
      <c r="HR89" s="73"/>
      <c r="HS89" s="73"/>
      <c r="HT89" s="73"/>
      <c r="HU89" s="73"/>
      <c r="HV89" s="73"/>
      <c r="HW89" s="73"/>
      <c r="HX89" s="73"/>
      <c r="HY89" s="73"/>
      <c r="HZ89" s="73"/>
      <c r="IA89" s="115">
        <f>IB89*$NT89</f>
        <v>0.12136359391158309</v>
      </c>
      <c r="IB89" s="127">
        <f>$AN89*GW$28/C89</f>
        <v>0.12136359391158309</v>
      </c>
      <c r="IC89" s="73">
        <f>10^3*IB89/$OB89</f>
        <v>3.2800971327454889</v>
      </c>
      <c r="IE89" s="73">
        <f>10^3*IB89/$NW89</f>
        <v>3.0881321606000789</v>
      </c>
      <c r="IF89" s="73"/>
      <c r="IG89" s="73"/>
      <c r="IH89" s="73"/>
      <c r="II89" s="73"/>
      <c r="IJ89" s="73"/>
      <c r="IK89" s="73"/>
      <c r="IL89" s="73"/>
      <c r="IM89" s="73"/>
      <c r="IN89" s="73"/>
      <c r="IV89" s="26">
        <f>IW89*$NT89</f>
        <v>1.6846170466832489</v>
      </c>
      <c r="IW89" s="115">
        <f>AN89*JK88</f>
        <v>1.6846170466832489</v>
      </c>
      <c r="IX89" s="673">
        <f>10^3*IW89/OB89</f>
        <v>45.530190450898615</v>
      </c>
      <c r="IZ89" s="73">
        <f>AN89*JL88</f>
        <v>45.285404480732488</v>
      </c>
      <c r="JA89" s="115"/>
      <c r="JB89" s="115">
        <f>$IW89*JM88/$JK88</f>
        <v>1.0333764861457015</v>
      </c>
      <c r="JC89" s="115">
        <f>$IW89*JN88/$JK88</f>
        <v>0.62360505717223191</v>
      </c>
      <c r="JD89" s="115">
        <f>$IW89*JO88/$JK88</f>
        <v>2.7635503365315766E-2</v>
      </c>
      <c r="JE89" s="115"/>
      <c r="JF89" s="73"/>
      <c r="JG89" s="73"/>
      <c r="JH89" s="73"/>
      <c r="JI89" s="73"/>
      <c r="JJ89" s="73"/>
      <c r="JW89" s="115"/>
      <c r="KA89" s="115"/>
      <c r="KJ89" s="115">
        <f>BW89*44/12+$IW89+$GZ89</f>
        <v>11.635554108168318</v>
      </c>
      <c r="KK89" s="74"/>
      <c r="KL89" s="677">
        <f>10^3*KJ89/$OB89</f>
        <v>314.47443535590048</v>
      </c>
      <c r="KM89" s="74"/>
      <c r="KN89" s="73"/>
      <c r="KO89" s="115"/>
      <c r="KP89" s="115"/>
      <c r="KQ89" s="115"/>
      <c r="KR89" s="115"/>
      <c r="KS89" s="73"/>
      <c r="KT89" s="115">
        <f>CK89*44/12+$IW89+$HN89</f>
        <v>12.060877766470741</v>
      </c>
      <c r="KV89" s="677">
        <f>10^3*KT89/$OB89</f>
        <v>325.96966936407409</v>
      </c>
      <c r="KX89" s="73"/>
      <c r="KY89" s="115"/>
      <c r="KZ89" s="115"/>
      <c r="LA89" s="115"/>
      <c r="LB89" s="115"/>
      <c r="LC89" s="73"/>
      <c r="LD89" s="115">
        <f>CY89*44/12+$IW89+$IB89</f>
        <v>8.9583496622227177</v>
      </c>
      <c r="LF89" s="677">
        <f>10^3*LD89/$OB89</f>
        <v>242.11755843845182</v>
      </c>
      <c r="LH89" s="73"/>
      <c r="LI89" s="115"/>
      <c r="LJ89" s="115"/>
      <c r="LK89" s="115"/>
      <c r="LL89" s="115"/>
      <c r="LM89" s="73"/>
      <c r="LN89" s="115">
        <f>DM89*44/12+$IW89+$GZ89</f>
        <v>10.319734458449288</v>
      </c>
      <c r="LP89" s="677">
        <f>10^3*LN89/$OB89</f>
        <v>278.91174212025101</v>
      </c>
      <c r="LR89" s="73"/>
      <c r="LW89" s="73"/>
      <c r="LX89" s="115">
        <f>EA89*44/12+$IW89+$HN89</f>
        <v>10.698799794734267</v>
      </c>
      <c r="LZ89" s="677">
        <f>10^3*LX89/$OB89</f>
        <v>289.15675120903421</v>
      </c>
      <c r="MB89" s="73"/>
      <c r="MG89" s="73"/>
      <c r="MH89" s="115">
        <f>EO89*44/12+$IW89+$IB89</f>
        <v>7.9667837413348899</v>
      </c>
      <c r="MJ89" s="677">
        <f>10^3*MH89/$OB89</f>
        <v>215.31847949553756</v>
      </c>
      <c r="ML89" s="73"/>
      <c r="MQ89" s="73"/>
      <c r="MW89" s="73"/>
      <c r="MX89" s="73"/>
      <c r="MY89" s="73"/>
      <c r="MZ89" s="73"/>
      <c r="NA89" s="73"/>
      <c r="NB89" s="73"/>
      <c r="NC89" s="73"/>
      <c r="ND89" s="73"/>
      <c r="NE89" s="73"/>
      <c r="NF89" s="73"/>
      <c r="NG89" s="73"/>
      <c r="NH89" s="73"/>
      <c r="NI89" s="73"/>
      <c r="NJ89" s="73"/>
      <c r="NK89" s="73"/>
      <c r="NL89" s="73"/>
      <c r="NM89" s="73"/>
      <c r="NN89" s="73"/>
      <c r="NO89" s="73"/>
      <c r="NP89" s="73"/>
      <c r="NQ89" s="73"/>
      <c r="NT89" s="31">
        <v>1</v>
      </c>
      <c r="NU89" s="31"/>
      <c r="NV89" s="32">
        <f>$NT89*NW89</f>
        <v>39.299999999999997</v>
      </c>
      <c r="NW89" s="9">
        <v>39.299999999999997</v>
      </c>
      <c r="NX89" s="9"/>
      <c r="NY89" s="9">
        <v>37.200000000000003</v>
      </c>
      <c r="NZ89" s="9"/>
      <c r="OA89" s="32">
        <f>$NT89*OB89</f>
        <v>37</v>
      </c>
      <c r="OB89" s="43">
        <v>37</v>
      </c>
      <c r="OC89" s="38">
        <f>$NT89*OD89</f>
        <v>0</v>
      </c>
      <c r="OD89" s="31">
        <v>0</v>
      </c>
      <c r="OE89" s="38">
        <f>$NT89*OF89</f>
        <v>1</v>
      </c>
      <c r="OF89" s="31">
        <v>1</v>
      </c>
    </row>
    <row r="90" spans="1:494" x14ac:dyDescent="0.25">
      <c r="A90" s="37" t="s">
        <v>91</v>
      </c>
      <c r="B90" s="468">
        <f>C90*NT28/NT90</f>
        <v>0.56000000000000005</v>
      </c>
      <c r="C90" s="52">
        <f>1-C89</f>
        <v>0.56000000000000005</v>
      </c>
      <c r="D90" s="722">
        <f>C90*NW90/NW28</f>
        <v>0.38273381294964032</v>
      </c>
      <c r="E90" s="104"/>
      <c r="F90" s="104"/>
      <c r="G90" s="104"/>
      <c r="H90" s="104"/>
      <c r="I90" s="104"/>
      <c r="J90" s="104"/>
      <c r="K90" s="104"/>
      <c r="L90" s="104"/>
      <c r="M90" s="104"/>
      <c r="N90" s="69"/>
      <c r="V90" s="55">
        <f>W90/NT90</f>
        <v>23.241106719367593</v>
      </c>
      <c r="W90" s="26">
        <f>C90/C89*W89</f>
        <v>21.381818181818186</v>
      </c>
      <c r="X90" s="115"/>
      <c r="Y90" s="26">
        <f>W90*NW90/10^3</f>
        <v>0.40625454545454559</v>
      </c>
      <c r="Z90" s="26"/>
      <c r="AA90" s="26">
        <f>W90*OD90</f>
        <v>8.7818181818181831</v>
      </c>
      <c r="AB90" s="26"/>
      <c r="AE90" s="115">
        <f>AB$28*$AN90/$C90</f>
        <v>4.1398958123736769</v>
      </c>
      <c r="AF90" s="115"/>
      <c r="AG90" s="115">
        <f>AC$28*$AN90/$C90</f>
        <v>4.0849351410338048</v>
      </c>
      <c r="AH90" s="115"/>
      <c r="AI90" s="115">
        <f>AD$28*$AN90/$C90</f>
        <v>4.4810500638007191</v>
      </c>
      <c r="AJ90" s="115"/>
      <c r="AK90" s="722">
        <f>1-AK89</f>
        <v>0.38092510382357159</v>
      </c>
      <c r="AL90" s="164">
        <v>0.22900000000000001</v>
      </c>
      <c r="AM90" s="69">
        <f>V90*AL90/(V89*AL89+V90*AL90)</f>
        <v>0.25307462780821272</v>
      </c>
      <c r="AN90" s="40">
        <f t="shared" si="31"/>
        <v>0.38092510382357159</v>
      </c>
      <c r="AO90" s="115"/>
      <c r="AP90" s="115"/>
      <c r="AQ90" s="115"/>
      <c r="AR90" s="115"/>
      <c r="AS90" s="115"/>
      <c r="AT90" s="115"/>
      <c r="AU90" s="115"/>
      <c r="AV90" s="115"/>
      <c r="AW90" s="115"/>
      <c r="AX90" s="115"/>
      <c r="AY90" s="115"/>
      <c r="AZ90" s="115"/>
      <c r="BA90" s="115"/>
      <c r="BB90" s="115"/>
      <c r="BC90" s="115"/>
      <c r="BD90" s="115"/>
      <c r="BE90" s="115"/>
      <c r="BF90" s="115"/>
      <c r="BG90" s="115"/>
      <c r="BH90" s="115"/>
      <c r="BI90" s="115"/>
      <c r="BJ90" s="115"/>
      <c r="BK90" s="115"/>
      <c r="BL90" s="115"/>
      <c r="BM90" s="115"/>
      <c r="BN90" s="115"/>
      <c r="BO90" s="115"/>
      <c r="BP90" s="115"/>
      <c r="BQ90" s="115"/>
      <c r="BR90" s="115"/>
      <c r="BS90" s="115"/>
      <c r="BT90" s="115"/>
      <c r="BU90" s="115"/>
      <c r="BV90" s="26">
        <f>BW90*$NT90</f>
        <v>1.0938526222339804</v>
      </c>
      <c r="BW90" s="115">
        <f>BP$28*$AN90/$C90</f>
        <v>1.1889702415586743</v>
      </c>
      <c r="BX90" s="26"/>
      <c r="BY90" s="143">
        <f>BW90/$OD90</f>
        <v>2.8948840664037285</v>
      </c>
      <c r="BZ90" s="335"/>
      <c r="CA90" s="127"/>
      <c r="CB90" s="127"/>
      <c r="CC90" s="127"/>
      <c r="CD90" s="115"/>
      <c r="CE90" s="115"/>
      <c r="CF90" s="115"/>
      <c r="CG90" s="115"/>
      <c r="CH90" s="115"/>
      <c r="CI90" s="127"/>
      <c r="CJ90" s="26">
        <f>CK90*$NT90</f>
        <v>1.1295745240382054</v>
      </c>
      <c r="CK90" s="115">
        <f>BQ$28*$AN90/$C90</f>
        <v>1.2277983956937015</v>
      </c>
      <c r="CL90" s="26"/>
      <c r="CM90" s="143">
        <f>CK90/$OD90</f>
        <v>2.9894221808194472</v>
      </c>
      <c r="CN90" s="335"/>
      <c r="CO90" s="127"/>
      <c r="CP90" s="127"/>
      <c r="CQ90" s="127"/>
      <c r="CW90" s="127"/>
      <c r="CX90" s="26">
        <f>CY90*$NT90</f>
        <v>0.86761561761315376</v>
      </c>
      <c r="CY90" s="115">
        <f>BR$28*$AN90/$C90</f>
        <v>0.94306045392734095</v>
      </c>
      <c r="CZ90" s="26"/>
      <c r="DA90" s="143">
        <f>CY90/$OD90</f>
        <v>2.2961471921709173</v>
      </c>
      <c r="DB90" s="335"/>
      <c r="DC90" s="127"/>
      <c r="DD90" s="127"/>
      <c r="DE90" s="127"/>
      <c r="DF90" s="115"/>
      <c r="DG90" s="115"/>
      <c r="DH90" s="115"/>
      <c r="DI90" s="115"/>
      <c r="DJ90" s="115"/>
      <c r="DK90" s="127"/>
      <c r="DL90" s="26">
        <f>DM90*$NT90</f>
        <v>0.93423758075522467</v>
      </c>
      <c r="DM90" s="115">
        <f>BS$28*$AN90/$C90</f>
        <v>1.015475631255679</v>
      </c>
      <c r="DN90" s="26"/>
      <c r="DO90" s="143">
        <f>DM90/$OD90</f>
        <v>2.4724624065355663</v>
      </c>
      <c r="DP90" s="335"/>
      <c r="DQ90" s="127"/>
      <c r="DR90" s="127"/>
      <c r="DS90" s="127"/>
      <c r="DT90" s="37"/>
      <c r="DU90" s="37"/>
      <c r="DV90" s="37"/>
      <c r="DW90" s="37"/>
      <c r="DX90" s="37"/>
      <c r="DY90" s="127"/>
      <c r="DZ90" s="26">
        <f>EA90*$NT90</f>
        <v>0.96434813301840261</v>
      </c>
      <c r="EA90" s="115">
        <f>BT$28*$AN90/$C90</f>
        <v>1.0482044924113072</v>
      </c>
      <c r="EB90" s="26"/>
      <c r="EC90" s="143">
        <f>EA90/$OD90</f>
        <v>2.5521500684797047</v>
      </c>
      <c r="ED90" s="335"/>
      <c r="EE90" s="127"/>
      <c r="EF90" s="127"/>
      <c r="EG90" s="127"/>
      <c r="EM90" s="127"/>
      <c r="EN90" s="26">
        <f>EO90*$NT90</f>
        <v>0.74733406107519951</v>
      </c>
      <c r="EO90" s="115">
        <f>BU$28*$AN90/$C90</f>
        <v>0.81231963160347764</v>
      </c>
      <c r="EP90" s="26"/>
      <c r="EQ90" s="143">
        <f>EO90/$OD90</f>
        <v>1.9778217117302066</v>
      </c>
      <c r="ER90" s="335"/>
      <c r="ES90" s="127"/>
      <c r="ET90" s="127"/>
      <c r="EU90" s="127"/>
      <c r="EV90" s="37"/>
      <c r="EW90" s="37"/>
      <c r="EX90" s="37"/>
      <c r="EY90" s="37"/>
      <c r="EZ90" s="37"/>
      <c r="FA90" s="127"/>
      <c r="FE90" s="26">
        <f>FF90*$NT90</f>
        <v>1.860447341267655</v>
      </c>
      <c r="FF90" s="115">
        <f>FB$28*$AN90/$C90</f>
        <v>2.0222253709431031</v>
      </c>
      <c r="FG90" s="26"/>
      <c r="FH90" s="115">
        <f>FF90/$OD90</f>
        <v>4.9236791640353816</v>
      </c>
      <c r="FI90" s="335"/>
      <c r="FJ90" s="335"/>
      <c r="FK90" s="127"/>
      <c r="FL90" s="26"/>
      <c r="FR90" s="127"/>
      <c r="FS90" s="26">
        <f>FT90*$NT90</f>
        <v>1.9204097085028125</v>
      </c>
      <c r="FT90" s="115">
        <f>FC$28*$AN90/$C90</f>
        <v>2.0874018570682744</v>
      </c>
      <c r="FU90" s="26"/>
      <c r="FV90" s="115">
        <f>FT90/$OD90</f>
        <v>5.0823697389488425</v>
      </c>
      <c r="FW90" s="335"/>
      <c r="FX90" s="335"/>
      <c r="FY90" s="127"/>
      <c r="FZ90" s="26"/>
      <c r="GF90" s="127"/>
      <c r="GG90" s="26">
        <f>GH90*$NT90</f>
        <v>1.4882463471894947</v>
      </c>
      <c r="GH90" s="115">
        <f>FD$28*$AN90/$C90</f>
        <v>1.6176590730320595</v>
      </c>
      <c r="GI90" s="26"/>
      <c r="GJ90" s="115">
        <f>GH90/$OD90</f>
        <v>3.9386481778171882</v>
      </c>
      <c r="GK90" s="335"/>
      <c r="GL90" s="335"/>
      <c r="GM90" s="127"/>
      <c r="GN90" s="26"/>
      <c r="GT90" s="127"/>
      <c r="GU90" s="127"/>
      <c r="GV90" s="127"/>
      <c r="GW90" s="127"/>
      <c r="GX90" s="68">
        <f>GZ90*$W90</f>
        <v>9.6502143025228015</v>
      </c>
      <c r="GY90" s="26">
        <f>GZ90*$NT90</f>
        <v>0.41522180587385521</v>
      </c>
      <c r="GZ90" s="127">
        <f>$AN90*GU$28/C90</f>
        <v>0.45132804986288605</v>
      </c>
      <c r="HA90" s="73"/>
      <c r="HB90" s="115">
        <f>GZ90/$OD90</f>
        <v>1.098885686622679</v>
      </c>
      <c r="HD90" s="115"/>
      <c r="HE90" s="127"/>
      <c r="HF90" s="127"/>
      <c r="HG90" s="127"/>
      <c r="HH90" s="127"/>
      <c r="HI90" s="127"/>
      <c r="HJ90" s="127"/>
      <c r="HK90" s="127"/>
      <c r="HL90" s="127"/>
      <c r="HM90" s="115">
        <f>HN90*$NT90</f>
        <v>0.47341853608091644</v>
      </c>
      <c r="HN90" s="127">
        <f>$AN90*GV$28/C90</f>
        <v>0.51458536530534393</v>
      </c>
      <c r="HO90" s="73"/>
      <c r="HP90" s="115">
        <f>HN90/$OD90</f>
        <v>1.2529034981347504</v>
      </c>
      <c r="HR90" s="115"/>
      <c r="HS90" s="127"/>
      <c r="HT90" s="127"/>
      <c r="HU90" s="127"/>
      <c r="HV90" s="127"/>
      <c r="HW90" s="127"/>
      <c r="HX90" s="127"/>
      <c r="HY90" s="127"/>
      <c r="HZ90" s="127"/>
      <c r="IA90" s="115">
        <f>IB90*$NT90</f>
        <v>5.3980550167289386E-2</v>
      </c>
      <c r="IB90" s="127">
        <f>$AN90*GW$28/C90</f>
        <v>5.8674511051401507E-2</v>
      </c>
      <c r="IC90" s="73"/>
      <c r="ID90" s="115">
        <f>IB90/$OD90</f>
        <v>0.14285967908167324</v>
      </c>
      <c r="IE90" s="133"/>
      <c r="IF90" s="115"/>
      <c r="IG90" s="127"/>
      <c r="IH90" s="127"/>
      <c r="II90" s="127"/>
      <c r="IJ90" s="127"/>
      <c r="IK90" s="127"/>
      <c r="IL90" s="127"/>
      <c r="IM90" s="127"/>
      <c r="IN90" s="127"/>
      <c r="IV90" s="335">
        <f>IW90*$NT90</f>
        <v>0.74929022839753667</v>
      </c>
      <c r="IW90" s="330">
        <f>AN90*JK88*C89/C90</f>
        <v>0.81444590043210507</v>
      </c>
      <c r="IX90" s="73"/>
      <c r="IY90" s="115">
        <f>IW90/$OD90</f>
        <v>1.9829987140955603</v>
      </c>
      <c r="IZ90" s="73"/>
      <c r="JA90" s="115"/>
      <c r="JB90" s="115">
        <f>$IW90*JM88/$JK88</f>
        <v>0.49959677447247658</v>
      </c>
      <c r="JC90" s="115">
        <f>$IW90*JN88/$JK88</f>
        <v>0.30148845003237679</v>
      </c>
      <c r="JD90" s="115">
        <f>$IW90*JO88/$JK88</f>
        <v>1.3360675927251899E-2</v>
      </c>
      <c r="JE90" s="115"/>
      <c r="JF90" s="73"/>
      <c r="JG90" s="73"/>
      <c r="JH90" s="73"/>
      <c r="JI90" s="73"/>
      <c r="JJ90" s="73"/>
      <c r="JQ90" s="643"/>
      <c r="JW90" s="115"/>
      <c r="KA90" s="115"/>
      <c r="KJ90" s="115">
        <f>BW90*44/12+$IW90+$GZ90</f>
        <v>5.6253315026767972</v>
      </c>
      <c r="KK90" s="74"/>
      <c r="KL90" s="74"/>
      <c r="KM90" s="143">
        <f>KJ90/$OD90</f>
        <v>13.696459310865245</v>
      </c>
      <c r="KN90" s="127"/>
      <c r="KO90" s="74"/>
      <c r="KP90" s="74"/>
      <c r="KQ90" s="74"/>
      <c r="KR90" s="74"/>
      <c r="KS90" s="127"/>
      <c r="KT90" s="115">
        <f>CK90*44/12+$IW90+$HN90</f>
        <v>5.8309587166143544</v>
      </c>
      <c r="KW90" s="143">
        <f>KT90/$OD90</f>
        <v>14.197116875234951</v>
      </c>
      <c r="KX90" s="127"/>
      <c r="LC90" s="127"/>
      <c r="LD90" s="115">
        <f>CY90*44/12+$IW90+$IB90</f>
        <v>4.3310087425504227</v>
      </c>
      <c r="LG90" s="143">
        <f>LD90/$OD90</f>
        <v>10.545064764470595</v>
      </c>
      <c r="LH90" s="127"/>
      <c r="LM90" s="127"/>
      <c r="LN90" s="115">
        <f>DM90*44/12+$IW90+$GZ90</f>
        <v>4.9891845982324812</v>
      </c>
      <c r="LQ90" s="143">
        <f>LN90/$OD90</f>
        <v>12.14757989134865</v>
      </c>
      <c r="LR90" s="127"/>
      <c r="LW90" s="127"/>
      <c r="LX90" s="115">
        <f>EA90*44/12+$IW90+$HN90</f>
        <v>5.1724477379122415</v>
      </c>
      <c r="MA90" s="143">
        <f>LX90/$OD90</f>
        <v>12.593785796655894</v>
      </c>
      <c r="MB90" s="127"/>
      <c r="MG90" s="127"/>
      <c r="MH90" s="115">
        <f>EO90*44/12+$IW90+$IB90</f>
        <v>3.8516257273629249</v>
      </c>
      <c r="MK90" s="143">
        <f>MH90/$OD90</f>
        <v>9.377871336187992</v>
      </c>
      <c r="ML90" s="127"/>
      <c r="MQ90" s="127"/>
      <c r="MW90" s="127"/>
      <c r="MX90" s="127"/>
      <c r="MY90" s="127"/>
      <c r="MZ90" s="127"/>
      <c r="NA90" s="127"/>
      <c r="NB90" s="127"/>
      <c r="NC90" s="127"/>
      <c r="ND90" s="127"/>
      <c r="NE90" s="127"/>
      <c r="NF90" s="127"/>
      <c r="NG90" s="127"/>
      <c r="NH90" s="127"/>
      <c r="NI90" s="127"/>
      <c r="NJ90" s="127"/>
      <c r="NK90" s="127"/>
      <c r="NL90" s="127"/>
      <c r="NM90" s="127"/>
      <c r="NN90" s="127"/>
      <c r="NO90" s="127"/>
      <c r="NP90" s="127"/>
      <c r="NQ90" s="127"/>
      <c r="NT90" s="31">
        <v>0.92</v>
      </c>
      <c r="NU90" s="31"/>
      <c r="NV90" s="32">
        <f>$NT90*NW90</f>
        <v>17.48</v>
      </c>
      <c r="NW90" s="9">
        <v>19</v>
      </c>
      <c r="NX90" s="9"/>
      <c r="NY90" s="9"/>
      <c r="NZ90" s="9"/>
      <c r="OA90" s="32"/>
      <c r="OB90" s="26"/>
      <c r="OC90" s="38">
        <f>$NT90*OD90</f>
        <v>0.37785714285714284</v>
      </c>
      <c r="OD90" s="40">
        <f>OD28/C90</f>
        <v>0.4107142857142857</v>
      </c>
      <c r="OE90" s="38"/>
      <c r="OF90" s="683"/>
    </row>
    <row r="91" spans="1:494" x14ac:dyDescent="0.25">
      <c r="B91" s="727"/>
      <c r="Z91" s="26"/>
      <c r="AA91" s="26"/>
      <c r="AB91" s="26"/>
      <c r="AE91" s="115"/>
      <c r="AF91" s="115"/>
      <c r="AG91" s="115"/>
      <c r="AH91" s="115"/>
      <c r="AI91" s="115"/>
      <c r="AJ91" s="115"/>
      <c r="AL91" s="74"/>
      <c r="AO91" s="115"/>
      <c r="AP91" s="115"/>
      <c r="AQ91" s="115"/>
      <c r="AR91" s="115"/>
      <c r="AS91" s="115"/>
      <c r="AT91" s="115"/>
      <c r="AU91" s="115"/>
      <c r="AV91" s="115"/>
      <c r="AW91" s="115"/>
      <c r="AX91" s="115"/>
      <c r="AY91" s="115"/>
      <c r="AZ91" s="115"/>
      <c r="BA91" s="115"/>
      <c r="BB91" s="115"/>
      <c r="BC91" s="115"/>
      <c r="BD91" s="115"/>
      <c r="BE91" s="115"/>
      <c r="BF91" s="115"/>
      <c r="BG91" s="115"/>
      <c r="BH91" s="115"/>
      <c r="BI91" s="115"/>
      <c r="BJ91" s="115"/>
      <c r="BK91" s="115"/>
      <c r="BL91" s="115"/>
      <c r="BM91" s="115"/>
      <c r="BN91" s="115"/>
      <c r="BO91" s="115"/>
      <c r="BP91" s="115"/>
      <c r="BQ91" s="115"/>
      <c r="BR91" s="115"/>
      <c r="BS91" s="115"/>
      <c r="BT91" s="115"/>
      <c r="BU91" s="115"/>
      <c r="BW91" s="26"/>
      <c r="CA91" s="74"/>
      <c r="CB91" s="74"/>
      <c r="CC91" s="74"/>
      <c r="CD91" s="115"/>
      <c r="CE91" s="115"/>
      <c r="CF91" s="115"/>
      <c r="CG91" s="115"/>
      <c r="CH91" s="115"/>
      <c r="CI91" s="74"/>
      <c r="CK91" s="26"/>
      <c r="CX91" s="37"/>
      <c r="CY91" s="26"/>
      <c r="CZ91" s="37"/>
      <c r="DA91" s="37"/>
      <c r="DB91" s="37"/>
      <c r="DF91" s="115"/>
      <c r="DG91" s="115"/>
      <c r="DH91" s="115"/>
      <c r="DI91" s="115"/>
      <c r="DJ91" s="115"/>
      <c r="DL91" s="37"/>
      <c r="DM91" s="115"/>
      <c r="DN91" s="37"/>
      <c r="DO91" s="37"/>
      <c r="DP91" s="37"/>
      <c r="DT91" s="37"/>
      <c r="DU91" s="37"/>
      <c r="DV91" s="37"/>
      <c r="DW91" s="37"/>
      <c r="DX91" s="37"/>
      <c r="EA91" s="115"/>
      <c r="EN91" s="37"/>
      <c r="EO91" s="115"/>
      <c r="EP91" s="37"/>
      <c r="EQ91" s="37"/>
      <c r="ER91" s="37"/>
      <c r="EV91" s="37"/>
      <c r="EW91" s="37"/>
      <c r="EX91" s="37"/>
      <c r="EY91" s="37"/>
      <c r="EZ91" s="37"/>
      <c r="FF91" s="26"/>
      <c r="FH91" s="74"/>
      <c r="FK91" s="74"/>
      <c r="FR91" s="74"/>
      <c r="FT91" s="26"/>
      <c r="FZ91" s="37"/>
      <c r="GH91" s="26"/>
      <c r="GJ91" s="74"/>
      <c r="GM91" s="74"/>
      <c r="GT91" s="74"/>
      <c r="GU91" s="74"/>
      <c r="GV91" s="74"/>
      <c r="GW91" s="74"/>
      <c r="GX91" s="74"/>
      <c r="HB91" s="74"/>
      <c r="HD91" s="74"/>
      <c r="HE91" s="74"/>
      <c r="HF91" s="74"/>
      <c r="HG91" s="74"/>
      <c r="HH91" s="74"/>
      <c r="HI91" s="74"/>
      <c r="HJ91" s="74"/>
      <c r="HK91" s="74"/>
      <c r="HL91" s="74"/>
      <c r="IA91" s="133"/>
      <c r="IB91" s="133"/>
      <c r="IC91" s="133"/>
      <c r="IE91" s="133"/>
      <c r="JQ91" s="179"/>
      <c r="JS91" s="723"/>
      <c r="JU91" s="723"/>
      <c r="JW91" s="115"/>
      <c r="KA91" s="115"/>
      <c r="KJ91" s="74"/>
      <c r="KK91" s="74"/>
      <c r="KL91" s="74"/>
      <c r="KM91" s="74"/>
      <c r="KN91" s="74"/>
      <c r="KO91" s="74"/>
      <c r="KP91" s="74"/>
      <c r="KQ91" s="74"/>
      <c r="KR91" s="74"/>
      <c r="KS91" s="74"/>
      <c r="OB91" s="26"/>
    </row>
    <row r="92" spans="1:494" x14ac:dyDescent="0.25">
      <c r="A92" s="9" t="s">
        <v>143</v>
      </c>
      <c r="B92" s="53"/>
      <c r="Z92" s="26"/>
      <c r="AA92" s="26"/>
      <c r="AB92" s="26"/>
      <c r="AE92" s="115"/>
      <c r="AF92" s="115"/>
      <c r="AG92" s="115"/>
      <c r="AH92" s="115"/>
      <c r="AI92" s="115"/>
      <c r="AJ92" s="115"/>
      <c r="AL92" s="74"/>
      <c r="AO92" s="115"/>
      <c r="AP92" s="115"/>
      <c r="AQ92" s="115"/>
      <c r="AR92" s="115"/>
      <c r="AS92" s="115"/>
      <c r="AT92" s="115"/>
      <c r="AU92" s="115"/>
      <c r="AV92" s="115"/>
      <c r="AW92" s="115"/>
      <c r="AX92" s="115"/>
      <c r="AY92" s="115"/>
      <c r="AZ92" s="115"/>
      <c r="BA92" s="115"/>
      <c r="BB92" s="115"/>
      <c r="BC92" s="115"/>
      <c r="BD92" s="115"/>
      <c r="BE92" s="115"/>
      <c r="BF92" s="115"/>
      <c r="BG92" s="115"/>
      <c r="BH92" s="115"/>
      <c r="BI92" s="115"/>
      <c r="BJ92" s="115"/>
      <c r="BK92" s="115"/>
      <c r="BL92" s="115"/>
      <c r="BM92" s="115"/>
      <c r="BN92" s="115"/>
      <c r="BO92" s="115"/>
      <c r="BP92" s="115"/>
      <c r="BQ92" s="115"/>
      <c r="BR92" s="115"/>
      <c r="BS92" s="115"/>
      <c r="BT92" s="115"/>
      <c r="BU92" s="115"/>
      <c r="BW92" s="26"/>
      <c r="CA92" s="74"/>
      <c r="CB92" s="74"/>
      <c r="CC92" s="74"/>
      <c r="CD92" s="115"/>
      <c r="CE92" s="115"/>
      <c r="CF92" s="115"/>
      <c r="CG92" s="115"/>
      <c r="CH92" s="115"/>
      <c r="CI92" s="74"/>
      <c r="CK92" s="26"/>
      <c r="CX92" s="37"/>
      <c r="CY92" s="26"/>
      <c r="CZ92" s="37"/>
      <c r="DA92" s="37"/>
      <c r="DB92" s="37"/>
      <c r="DF92" s="115"/>
      <c r="DG92" s="115"/>
      <c r="DH92" s="115"/>
      <c r="DI92" s="115"/>
      <c r="DJ92" s="115"/>
      <c r="DL92" s="37"/>
      <c r="DM92" s="115"/>
      <c r="DN92" s="37"/>
      <c r="DO92" s="37"/>
      <c r="DP92" s="37"/>
      <c r="DT92" s="37"/>
      <c r="DU92" s="37"/>
      <c r="DV92" s="37"/>
      <c r="DW92" s="37"/>
      <c r="DX92" s="37"/>
      <c r="EA92" s="115"/>
      <c r="EN92" s="37"/>
      <c r="EO92" s="115"/>
      <c r="EP92" s="37"/>
      <c r="EQ92" s="37"/>
      <c r="ER92" s="37"/>
      <c r="EV92" s="37"/>
      <c r="EW92" s="37"/>
      <c r="EX92" s="37"/>
      <c r="EY92" s="37"/>
      <c r="EZ92" s="37"/>
      <c r="FF92" s="26"/>
      <c r="FH92" s="74"/>
      <c r="FK92" s="74"/>
      <c r="FR92" s="74"/>
      <c r="FT92" s="26"/>
      <c r="FZ92" s="37"/>
      <c r="GH92" s="26"/>
      <c r="GJ92" s="74"/>
      <c r="GM92" s="74"/>
      <c r="GT92" s="74"/>
      <c r="GU92" s="74"/>
      <c r="GV92" s="74"/>
      <c r="GW92" s="74"/>
      <c r="GX92" s="55">
        <f>GX93+GX94</f>
        <v>4.0002578494011942</v>
      </c>
      <c r="HB92" s="74"/>
      <c r="HD92" s="74"/>
      <c r="HE92" s="74"/>
      <c r="HF92" s="74"/>
      <c r="HG92" s="74"/>
      <c r="HH92" s="74"/>
      <c r="HI92" s="74"/>
      <c r="HJ92" s="74"/>
      <c r="HK92" s="74"/>
      <c r="HL92" s="74"/>
      <c r="IA92" s="133"/>
      <c r="IB92" s="133"/>
      <c r="IC92" s="133"/>
      <c r="IE92" s="133"/>
      <c r="IO92" s="68">
        <f>IP92+IQ92+IR92+IS92+IT92+IU92</f>
        <v>22.159003173073121</v>
      </c>
      <c r="IP92" s="97">
        <f>JS92*$W93</f>
        <v>13.475400329871539</v>
      </c>
      <c r="IQ92" s="97">
        <f>JU92*$W93</f>
        <v>6.4426376432015804</v>
      </c>
      <c r="IR92" s="97">
        <f>JX92*$W93</f>
        <v>0.25076520000000002</v>
      </c>
      <c r="IS92" s="97">
        <f>KB92*$W93</f>
        <v>1.8707880000000001</v>
      </c>
      <c r="IT92" s="97">
        <f>KF92*$W93</f>
        <v>0</v>
      </c>
      <c r="IU92" s="97">
        <f>KH92*$W93</f>
        <v>0.11941199999999999</v>
      </c>
      <c r="JK92" s="115">
        <f>JM92+JN92+JO92</f>
        <v>2.0709348759881423</v>
      </c>
      <c r="JL92" s="679">
        <f>10^3*JK92/NY93</f>
        <v>55.670292365272637</v>
      </c>
      <c r="JM92" s="179">
        <f>JS92+KB92</f>
        <v>1.4342232083992095</v>
      </c>
      <c r="JN92" s="179">
        <f>JU92+KF92</f>
        <v>0.60211566758893276</v>
      </c>
      <c r="JO92" s="179">
        <f>JX92+KH92</f>
        <v>3.4596000000000002E-2</v>
      </c>
      <c r="JP92" s="469">
        <f>JK92*C93</f>
        <v>0.91121134543478266</v>
      </c>
      <c r="JQ92" s="115">
        <f>JR92*$NY93/10^3</f>
        <v>1.8849348759881421</v>
      </c>
      <c r="JR92" s="73">
        <f>JT92+JV92+JY92</f>
        <v>50.67029236527263</v>
      </c>
      <c r="JS92" s="680">
        <f>'Crops; pasture AMORTIZED'!FY41/C93</f>
        <v>1.2593832083992094</v>
      </c>
      <c r="JT92" s="73">
        <f>10^3*JS92/$NY93</f>
        <v>33.854387322559383</v>
      </c>
      <c r="JU92" s="680">
        <f>'Crops; pasture AMORTIZED'!FW41/C93</f>
        <v>0.60211566758893276</v>
      </c>
      <c r="JV92" s="115">
        <f>10^3*JU92/$NY93</f>
        <v>16.185905042713244</v>
      </c>
      <c r="JW92" s="115">
        <f>10^3*JU92/'Amortization metrics'!$B$6</f>
        <v>2.0205223744595058</v>
      </c>
      <c r="JX92" s="127">
        <f>JY92*$NY93/10^3</f>
        <v>2.3436000000000002E-2</v>
      </c>
      <c r="JY92" s="84">
        <v>0.63</v>
      </c>
      <c r="JZ92" s="127">
        <f>KB92+KF92+KH92</f>
        <v>0.18600000000000003</v>
      </c>
      <c r="KA92" s="115">
        <f>KC92+KG92+KI92</f>
        <v>5</v>
      </c>
      <c r="KB92" s="115">
        <f>KC92*$NY93/10^3</f>
        <v>0.17484000000000002</v>
      </c>
      <c r="KC92" s="80">
        <v>4.7</v>
      </c>
      <c r="KD92" s="725">
        <v>0.55000000000000004</v>
      </c>
      <c r="KE92" s="474">
        <f>KC92/KD92</f>
        <v>8.545454545454545</v>
      </c>
      <c r="KF92" s="127">
        <f>KG92*$NY93/10^3</f>
        <v>0</v>
      </c>
      <c r="KG92" s="84">
        <v>0</v>
      </c>
      <c r="KH92" s="127">
        <f>KI92*$NY93/10^3</f>
        <v>1.116E-2</v>
      </c>
      <c r="KI92" s="84">
        <v>0.3</v>
      </c>
      <c r="KJ92" s="74"/>
      <c r="KK92" s="74"/>
      <c r="KL92" s="74"/>
      <c r="KM92" s="74"/>
      <c r="KN92" s="74"/>
      <c r="KO92" s="74"/>
      <c r="KP92" s="74"/>
      <c r="KQ92" s="74"/>
      <c r="KR92" s="74"/>
      <c r="KS92" s="74"/>
      <c r="OB92" s="26"/>
    </row>
    <row r="93" spans="1:494" x14ac:dyDescent="0.25">
      <c r="A93" s="37" t="s">
        <v>144</v>
      </c>
      <c r="B93" s="53">
        <f>C93*NT29/NT93</f>
        <v>0.40479999999999999</v>
      </c>
      <c r="C93" s="90">
        <v>0.44</v>
      </c>
      <c r="D93" s="722">
        <f>C93*NW93/NW29</f>
        <v>0.60250871080139368</v>
      </c>
      <c r="E93" s="104"/>
      <c r="F93" s="104"/>
      <c r="G93" s="104"/>
      <c r="H93" s="104"/>
      <c r="I93" s="104"/>
      <c r="J93" s="104"/>
      <c r="K93" s="104"/>
      <c r="L93" s="104"/>
      <c r="M93" s="104"/>
      <c r="N93" s="69"/>
      <c r="V93" s="55">
        <f>W93/NT93</f>
        <v>10.7</v>
      </c>
      <c r="W93" s="72">
        <v>10.7</v>
      </c>
      <c r="X93" s="252"/>
      <c r="Y93" s="26">
        <f>W93*NW93/10^3</f>
        <v>0.42050999999999994</v>
      </c>
      <c r="Z93" s="26">
        <f>W93*OB93/10^3</f>
        <v>0.39589999999999997</v>
      </c>
      <c r="AA93" s="26"/>
      <c r="AB93" s="26"/>
      <c r="AE93" s="115">
        <f>AB$29*$AN93/$C93</f>
        <v>11.798902030614212</v>
      </c>
      <c r="AF93" s="115"/>
      <c r="AG93" s="115">
        <f>AC$29*$AN93/$C93</f>
        <v>11.855311766101901</v>
      </c>
      <c r="AH93" s="115"/>
      <c r="AI93" s="115">
        <f>AD$29*$AN93/$C93</f>
        <v>10.694651872917099</v>
      </c>
      <c r="AJ93" s="115"/>
      <c r="AK93" s="722">
        <f>Y93/(Y93+Y94)</f>
        <v>0.61907489617642841</v>
      </c>
      <c r="AL93" s="164">
        <v>1.137</v>
      </c>
      <c r="AM93" s="69">
        <f>V93*AL93/(V93*AL93+V94*AL94)</f>
        <v>0.82528165801681774</v>
      </c>
      <c r="AN93" s="40">
        <f t="shared" ref="AN93:AN94" si="32">AK93</f>
        <v>0.61907489617642841</v>
      </c>
      <c r="AO93" s="115"/>
      <c r="AP93" s="115"/>
      <c r="AQ93" s="115"/>
      <c r="AR93" s="115"/>
      <c r="AS93" s="115"/>
      <c r="AT93" s="115"/>
      <c r="AU93" s="115"/>
      <c r="AV93" s="115"/>
      <c r="AW93" s="115"/>
      <c r="AX93" s="115"/>
      <c r="AY93" s="115"/>
      <c r="AZ93" s="115"/>
      <c r="BA93" s="115"/>
      <c r="BB93" s="115"/>
      <c r="BC93" s="115"/>
      <c r="BD93" s="115"/>
      <c r="BE93" s="115"/>
      <c r="BF93" s="115"/>
      <c r="BG93" s="115"/>
      <c r="BH93" s="115"/>
      <c r="BI93" s="115"/>
      <c r="BJ93" s="115"/>
      <c r="BK93" s="115"/>
      <c r="BL93" s="115"/>
      <c r="BM93" s="115"/>
      <c r="BN93" s="115"/>
      <c r="BO93" s="115"/>
      <c r="BP93" s="115"/>
      <c r="BQ93" s="115"/>
      <c r="BR93" s="115"/>
      <c r="BS93" s="115"/>
      <c r="BT93" s="115"/>
      <c r="BU93" s="115"/>
      <c r="BV93" s="26">
        <f>BW93*$NT93</f>
        <v>2.150557989506741</v>
      </c>
      <c r="BW93" s="115">
        <f>BP$29*$AN93/$C93</f>
        <v>2.150557989506741</v>
      </c>
      <c r="BX93" s="677">
        <f>10^3*BW93/$OB93</f>
        <v>58.123188905587604</v>
      </c>
      <c r="BZ93" s="73">
        <f>10^3*BW93/$NW93</f>
        <v>54.721577341138456</v>
      </c>
      <c r="CA93" s="73"/>
      <c r="CB93" s="73"/>
      <c r="CC93" s="73"/>
      <c r="CD93" s="115"/>
      <c r="CE93" s="115"/>
      <c r="CF93" s="115"/>
      <c r="CG93" s="115"/>
      <c r="CH93" s="115"/>
      <c r="CI93" s="73"/>
      <c r="CJ93" s="26">
        <f>CK93*$NT93</f>
        <v>2.2153350588783174</v>
      </c>
      <c r="CK93" s="115">
        <f>BQ$29*$AN93/$C93</f>
        <v>2.2153350588783174</v>
      </c>
      <c r="CL93" s="677">
        <f>10^3*CK93/$OB93</f>
        <v>59.873920510224792</v>
      </c>
      <c r="CN93" s="73">
        <f>10^3*CK93/$NW93</f>
        <v>56.369848826420295</v>
      </c>
      <c r="CO93" s="73"/>
      <c r="CP93" s="73"/>
      <c r="CQ93" s="73"/>
      <c r="CW93" s="73"/>
      <c r="CX93" s="26">
        <f>CY93*$NT93</f>
        <v>0.88100768746074609</v>
      </c>
      <c r="CY93" s="115">
        <f>BR$29*$AN93/$C93</f>
        <v>0.88100768746074609</v>
      </c>
      <c r="CZ93" s="677">
        <f>10^3*CY93/$OB93</f>
        <v>23.811018580020164</v>
      </c>
      <c r="DA93" s="37"/>
      <c r="DB93" s="73">
        <f>10^3*CY93/$NW93</f>
        <v>22.417498408670387</v>
      </c>
      <c r="DC93" s="73"/>
      <c r="DD93" s="73"/>
      <c r="DE93" s="73"/>
      <c r="DF93" s="115"/>
      <c r="DG93" s="115"/>
      <c r="DH93" s="115"/>
      <c r="DI93" s="115"/>
      <c r="DJ93" s="115"/>
      <c r="DK93" s="73"/>
      <c r="DL93" s="26">
        <f>DM93*$NT93</f>
        <v>3.0037452007245475</v>
      </c>
      <c r="DM93" s="115">
        <f>BS$29*$AN93/$C93</f>
        <v>3.0037452007245475</v>
      </c>
      <c r="DN93" s="677">
        <f>10^3*DM93/$OB93</f>
        <v>81.182302722285073</v>
      </c>
      <c r="DO93" s="37"/>
      <c r="DP93" s="73">
        <f>10^3*DM93/$NW93</f>
        <v>76.431175590955405</v>
      </c>
      <c r="DQ93" s="73"/>
      <c r="DR93" s="73"/>
      <c r="DS93" s="73"/>
      <c r="DT93" s="37"/>
      <c r="DU93" s="37"/>
      <c r="DV93" s="37"/>
      <c r="DW93" s="37"/>
      <c r="DX93" s="37"/>
      <c r="DY93" s="73"/>
      <c r="DZ93" s="26">
        <f>EA93*$NT93</f>
        <v>3.0718685820864562</v>
      </c>
      <c r="EA93" s="115">
        <f>BT$29*$AN93/$C93</f>
        <v>3.0718685820864562</v>
      </c>
      <c r="EB93" s="677">
        <f>10^3*EA93/$OB93</f>
        <v>83.023475191525847</v>
      </c>
      <c r="ED93" s="73">
        <f>10^3*EA93/$NW93</f>
        <v>78.164594964031963</v>
      </c>
      <c r="EE93" s="73"/>
      <c r="EF93" s="73"/>
      <c r="EG93" s="73"/>
      <c r="EM93" s="73"/>
      <c r="EN93" s="26">
        <f>EO93*$NT93</f>
        <v>1.6701942815190347</v>
      </c>
      <c r="EO93" s="115">
        <f>BU$29*$AN93/$C93</f>
        <v>1.6701942815190347</v>
      </c>
      <c r="EP93" s="677">
        <f>10^3*EO93/$OB93</f>
        <v>45.14038598700094</v>
      </c>
      <c r="EQ93" s="37"/>
      <c r="ER93" s="73">
        <f>10^3*EO93/$NW93</f>
        <v>42.498582226947455</v>
      </c>
      <c r="ES93" s="73"/>
      <c r="ET93" s="73"/>
      <c r="EU93" s="73"/>
      <c r="EV93" s="37"/>
      <c r="EW93" s="37"/>
      <c r="EX93" s="37"/>
      <c r="EY93" s="37"/>
      <c r="EZ93" s="37"/>
      <c r="FA93" s="73"/>
      <c r="FE93" s="26">
        <f>FF93*$NT93</f>
        <v>5.9816794867275087</v>
      </c>
      <c r="FF93" s="115">
        <f>FB$29*$AN93/$C93</f>
        <v>5.9816794867275087</v>
      </c>
      <c r="FG93" s="562">
        <f>10^3*FF93/$OB93</f>
        <v>161.66701315479753</v>
      </c>
      <c r="FH93" s="73"/>
      <c r="FI93" s="73">
        <f>10^3*FF93/$NW93</f>
        <v>152.20558490400785</v>
      </c>
      <c r="FJ93" s="73"/>
      <c r="FK93" s="73"/>
      <c r="FL93" s="26"/>
      <c r="FR93" s="73"/>
      <c r="FS93" s="26">
        <f>FT93*$NT93</f>
        <v>6.1173408713085813</v>
      </c>
      <c r="FT93" s="115">
        <f>FC$29*$AN93/$C93</f>
        <v>6.1173408713085813</v>
      </c>
      <c r="FU93" s="562">
        <f>10^3*FT93/$OB93</f>
        <v>165.33353706239407</v>
      </c>
      <c r="FV93" s="73"/>
      <c r="FW93" s="73">
        <f>10^3*FT93/$NW93</f>
        <v>155.65752853202497</v>
      </c>
      <c r="FX93" s="73"/>
      <c r="FY93" s="73"/>
      <c r="FZ93" s="26"/>
      <c r="GF93" s="73"/>
      <c r="GG93" s="26">
        <f>GH93*$NT93</f>
        <v>3.3260367324772178</v>
      </c>
      <c r="GH93" s="115">
        <f>FD$29*$AN93/$C93</f>
        <v>3.3260367324772178</v>
      </c>
      <c r="GI93" s="562">
        <f>10^3*GH93/$OB93</f>
        <v>89.892884661546432</v>
      </c>
      <c r="GJ93" s="73"/>
      <c r="GK93" s="73">
        <f>10^3*GH93/$NW93</f>
        <v>84.631977925628959</v>
      </c>
      <c r="GL93" s="73"/>
      <c r="GM93" s="73"/>
      <c r="GN93" s="26"/>
      <c r="GT93" s="73"/>
      <c r="GU93" s="73"/>
      <c r="GV93" s="73"/>
      <c r="GW93" s="73"/>
      <c r="GX93" s="68">
        <f>GZ93*$W93</f>
        <v>2.4764592127969869</v>
      </c>
      <c r="GY93" s="26">
        <f>GZ93*$NT93</f>
        <v>0.23144478624270906</v>
      </c>
      <c r="GZ93" s="127">
        <f>$AN93*GU$29/C93</f>
        <v>0.23144478624270906</v>
      </c>
      <c r="HA93" s="673">
        <f>10^3*GZ93/$OB93</f>
        <v>6.2552644930461909</v>
      </c>
      <c r="HB93" s="74"/>
      <c r="HC93" s="73">
        <f>10^3*GZ93/$NW93</f>
        <v>5.8891803115193149</v>
      </c>
      <c r="HD93" s="73"/>
      <c r="HE93" s="73"/>
      <c r="HF93" s="73"/>
      <c r="HG93" s="73"/>
      <c r="HH93" s="73"/>
      <c r="HI93" s="73"/>
      <c r="HJ93" s="73"/>
      <c r="HK93" s="73"/>
      <c r="HL93" s="73"/>
      <c r="HM93" s="115">
        <f>HN93*$NT93</f>
        <v>0.24326795790444855</v>
      </c>
      <c r="HN93" s="127">
        <f>$AN93*GV$29/C93</f>
        <v>0.24326795790444855</v>
      </c>
      <c r="HO93" s="73">
        <f>10^3*HN93/$OB93</f>
        <v>6.5748096730932044</v>
      </c>
      <c r="HQ93" s="73">
        <f>10^3*HN93/$NW93</f>
        <v>6.1900243741589973</v>
      </c>
      <c r="HR93" s="73"/>
      <c r="HS93" s="73"/>
      <c r="HT93" s="73"/>
      <c r="HU93" s="73"/>
      <c r="HV93" s="73"/>
      <c r="HW93" s="73"/>
      <c r="HX93" s="73"/>
      <c r="HY93" s="73"/>
      <c r="HZ93" s="73"/>
      <c r="IA93" s="115">
        <f>IB93*$NT93</f>
        <v>0</v>
      </c>
      <c r="IB93" s="127">
        <f>$AN93*GW$29/C93</f>
        <v>0</v>
      </c>
      <c r="IC93" s="73">
        <f>10^3*IB93/$OB93</f>
        <v>0</v>
      </c>
      <c r="IE93" s="73">
        <f>10^3*IB93/$NW93</f>
        <v>0</v>
      </c>
      <c r="IF93" s="73"/>
      <c r="IG93" s="73"/>
      <c r="IH93" s="73"/>
      <c r="II93" s="73"/>
      <c r="IJ93" s="73"/>
      <c r="IK93" s="73"/>
      <c r="IL93" s="73"/>
      <c r="IM93" s="73"/>
      <c r="IN93" s="73"/>
      <c r="IV93" s="26">
        <f>IW93*$NT93</f>
        <v>1.2820637933405039</v>
      </c>
      <c r="IW93" s="115">
        <f>AN93*JK92</f>
        <v>1.2820637933405039</v>
      </c>
      <c r="IX93" s="673">
        <f>10^3*IW93/OB93</f>
        <v>34.650372792986595</v>
      </c>
      <c r="IZ93" s="73">
        <f>AN93*JL92</f>
        <v>34.464080466142576</v>
      </c>
      <c r="JA93" s="115"/>
      <c r="JB93" s="115">
        <f>$IW93*JM92/$JK92</f>
        <v>0.8878915838335647</v>
      </c>
      <c r="JC93" s="115">
        <f>$IW93*JN92/$JK92</f>
        <v>0.37275469439881942</v>
      </c>
      <c r="JD93" s="115">
        <f>$IW93*JO92/$JK92</f>
        <v>2.141751510811972E-2</v>
      </c>
      <c r="JE93" s="115"/>
      <c r="JF93" s="73"/>
      <c r="JG93" s="73"/>
      <c r="JH93" s="73"/>
      <c r="JI93" s="73"/>
      <c r="JJ93" s="73"/>
      <c r="KJ93" s="115">
        <f>BW93*44/12+$IW93+$GZ93</f>
        <v>9.3988878744412645</v>
      </c>
      <c r="KK93" s="74"/>
      <c r="KL93" s="677">
        <f>10^3*KJ93/$OB93</f>
        <v>254.02399660652068</v>
      </c>
      <c r="KM93" s="74"/>
      <c r="KN93" s="73"/>
      <c r="KO93" s="115"/>
      <c r="KP93" s="115"/>
      <c r="KQ93" s="115"/>
      <c r="KR93" s="115"/>
      <c r="KS93" s="73"/>
      <c r="KT93" s="115">
        <f>CK93*44/12+$IW93+$HN93</f>
        <v>9.6482269671321159</v>
      </c>
      <c r="KV93" s="677">
        <f>10^3*KT93/$OB93</f>
        <v>260.7628910035707</v>
      </c>
      <c r="KX93" s="73"/>
      <c r="KY93" s="115"/>
      <c r="KZ93" s="115"/>
      <c r="LA93" s="115"/>
      <c r="LB93" s="115"/>
      <c r="LC93" s="73"/>
      <c r="LD93" s="115">
        <f>CY93*44/12+$IW93+$IB93</f>
        <v>4.5124253140299064</v>
      </c>
      <c r="LF93" s="677">
        <f>10^3*LD93/$OB93</f>
        <v>121.95744091972719</v>
      </c>
      <c r="LH93" s="73"/>
      <c r="LI93" s="115"/>
      <c r="LJ93" s="115"/>
      <c r="LK93" s="115"/>
      <c r="LL93" s="115"/>
      <c r="LM93" s="73"/>
      <c r="LN93" s="115">
        <f>DM93*44/12+$IW93+$GZ93</f>
        <v>12.527240982239887</v>
      </c>
      <c r="LP93" s="677">
        <f>10^3*LN93/$OB93</f>
        <v>338.57408060107798</v>
      </c>
      <c r="LR93" s="73"/>
      <c r="LW93" s="73"/>
      <c r="LX93" s="115">
        <f>EA93*44/12+$IW93+$HN93</f>
        <v>12.788849885561957</v>
      </c>
      <c r="LZ93" s="677">
        <f>10^3*LX93/$OB93</f>
        <v>345.64459150167448</v>
      </c>
      <c r="MB93" s="73"/>
      <c r="MG93" s="73"/>
      <c r="MH93" s="115">
        <f>EO93*44/12+$IW93+$IB93</f>
        <v>7.4061094922436315</v>
      </c>
      <c r="MJ93" s="677">
        <f>10^3*MH93/$OB93</f>
        <v>200.16512141199004</v>
      </c>
      <c r="ML93" s="73"/>
      <c r="MQ93" s="73"/>
      <c r="MW93" s="73"/>
      <c r="MX93" s="73"/>
      <c r="MY93" s="73"/>
      <c r="MZ93" s="73"/>
      <c r="NA93" s="73"/>
      <c r="NB93" s="73"/>
      <c r="NC93" s="73"/>
      <c r="ND93" s="73"/>
      <c r="NE93" s="73"/>
      <c r="NF93" s="73"/>
      <c r="NG93" s="73"/>
      <c r="NH93" s="73"/>
      <c r="NI93" s="73"/>
      <c r="NJ93" s="73"/>
      <c r="NK93" s="73"/>
      <c r="NL93" s="73"/>
      <c r="NM93" s="73"/>
      <c r="NN93" s="73"/>
      <c r="NO93" s="73"/>
      <c r="NP93" s="73"/>
      <c r="NQ93" s="73"/>
      <c r="NT93" s="31">
        <v>1</v>
      </c>
      <c r="NU93" s="31"/>
      <c r="NV93" s="32">
        <f>$NT93*NW93</f>
        <v>39.299999999999997</v>
      </c>
      <c r="NW93" s="9">
        <v>39.299999999999997</v>
      </c>
      <c r="NX93" s="9"/>
      <c r="NY93" s="9">
        <v>37.200000000000003</v>
      </c>
      <c r="NZ93" s="9"/>
      <c r="OA93" s="32">
        <f>$NT93*OB93</f>
        <v>37</v>
      </c>
      <c r="OB93" s="43">
        <v>37</v>
      </c>
      <c r="OC93" s="38">
        <f>$NT93*OD93</f>
        <v>0</v>
      </c>
      <c r="OD93" s="31">
        <v>0</v>
      </c>
      <c r="OE93" s="38">
        <f>$NT93*OF93</f>
        <v>1</v>
      </c>
      <c r="OF93" s="31">
        <v>1</v>
      </c>
    </row>
    <row r="94" spans="1:494" x14ac:dyDescent="0.25">
      <c r="A94" s="37" t="s">
        <v>92</v>
      </c>
      <c r="B94" s="468">
        <f>C94*NT29/NT94</f>
        <v>0.56000000000000005</v>
      </c>
      <c r="C94" s="40">
        <f>1-C93</f>
        <v>0.56000000000000005</v>
      </c>
      <c r="D94" s="722">
        <f>C94*NW94/NW30</f>
        <v>0.40923076923076923</v>
      </c>
      <c r="E94" s="104"/>
      <c r="F94" s="104"/>
      <c r="G94" s="104"/>
      <c r="H94" s="104"/>
      <c r="I94" s="104"/>
      <c r="J94" s="104"/>
      <c r="K94" s="104"/>
      <c r="L94" s="104"/>
      <c r="M94" s="104"/>
      <c r="N94" s="69"/>
      <c r="V94" s="55">
        <f>W94/NT94</f>
        <v>14.802371541501977</v>
      </c>
      <c r="W94" s="26">
        <f>C94/C93*W93</f>
        <v>13.618181818181819</v>
      </c>
      <c r="X94" s="115"/>
      <c r="Y94" s="26">
        <f>W94*NW94/10^3</f>
        <v>0.25874545454545456</v>
      </c>
      <c r="Z94" s="26"/>
      <c r="AA94" s="26">
        <f>W94*OD94</f>
        <v>5.3500000000000005</v>
      </c>
      <c r="AB94" s="26"/>
      <c r="AE94" s="115">
        <f>AB$29*$AN94/$C94</f>
        <v>5.7043037807040733</v>
      </c>
      <c r="AF94" s="115"/>
      <c r="AG94" s="115">
        <f>AC$29*$AN94/$C94</f>
        <v>5.7315756630009194</v>
      </c>
      <c r="AH94" s="115"/>
      <c r="AI94" s="115">
        <f>AD$29*$AN94/$C94</f>
        <v>5.1704423813085221</v>
      </c>
      <c r="AJ94" s="115"/>
      <c r="AK94" s="722">
        <f>1-AK93</f>
        <v>0.38092510382357159</v>
      </c>
      <c r="AL94" s="164">
        <v>0.17399999999999999</v>
      </c>
      <c r="AM94" s="69">
        <f>V94*AL94/(V93*AL93+V94*AL94)</f>
        <v>0.17471834198318231</v>
      </c>
      <c r="AN94" s="40">
        <f t="shared" si="32"/>
        <v>0.38092510382357159</v>
      </c>
      <c r="AO94" s="115"/>
      <c r="AP94" s="115"/>
      <c r="AQ94" s="115"/>
      <c r="AR94" s="115"/>
      <c r="AS94" s="115"/>
      <c r="AT94" s="115"/>
      <c r="AU94" s="115"/>
      <c r="AV94" s="115"/>
      <c r="AW94" s="115"/>
      <c r="AX94" s="115"/>
      <c r="AY94" s="115"/>
      <c r="AZ94" s="115"/>
      <c r="BA94" s="115"/>
      <c r="BB94" s="115"/>
      <c r="BC94" s="115"/>
      <c r="BD94" s="115"/>
      <c r="BE94" s="115"/>
      <c r="BF94" s="115"/>
      <c r="BG94" s="115"/>
      <c r="BH94" s="115"/>
      <c r="BI94" s="115"/>
      <c r="BJ94" s="115"/>
      <c r="BK94" s="115"/>
      <c r="BL94" s="115"/>
      <c r="BM94" s="115"/>
      <c r="BN94" s="115"/>
      <c r="BO94" s="115"/>
      <c r="BP94" s="115"/>
      <c r="BQ94" s="115"/>
      <c r="BR94" s="115"/>
      <c r="BS94" s="115"/>
      <c r="BT94" s="115"/>
      <c r="BU94" s="115"/>
      <c r="BV94" s="26">
        <f>BW94*$NT94</f>
        <v>0.95653317192310028</v>
      </c>
      <c r="BW94" s="115">
        <f>BP$29*$AN94/$C94</f>
        <v>1.0397099694816307</v>
      </c>
      <c r="BY94" s="143">
        <f>BW94/$OD94</f>
        <v>2.6465344677714238</v>
      </c>
      <c r="BZ94" s="335"/>
      <c r="CA94" s="127"/>
      <c r="CB94" s="127"/>
      <c r="CC94" s="127"/>
      <c r="CD94" s="115"/>
      <c r="CE94" s="115"/>
      <c r="CF94" s="115"/>
      <c r="CG94" s="115"/>
      <c r="CH94" s="115"/>
      <c r="CI94" s="127"/>
      <c r="CJ94" s="26">
        <f>CK94*$NT94</f>
        <v>0.98534495748582684</v>
      </c>
      <c r="CK94" s="115">
        <f>BQ$29*$AN94/$C94</f>
        <v>1.0710271277019856</v>
      </c>
      <c r="CM94" s="143">
        <f>CK94/$OD94</f>
        <v>2.7262508705141451</v>
      </c>
      <c r="CN94" s="335"/>
      <c r="CO94" s="127"/>
      <c r="CP94" s="127"/>
      <c r="CQ94" s="127"/>
      <c r="CW94" s="127"/>
      <c r="CX94" s="26">
        <f>CY94*$NT94</f>
        <v>0.39185787218355839</v>
      </c>
      <c r="CY94" s="115">
        <f>BR$29*$AN94/$C94</f>
        <v>0.42593246976473736</v>
      </c>
      <c r="CZ94" s="37"/>
      <c r="DA94" s="143">
        <f>CY94/$OD94</f>
        <v>1.0841917412193316</v>
      </c>
      <c r="DB94" s="335"/>
      <c r="DC94" s="127"/>
      <c r="DD94" s="127"/>
      <c r="DE94" s="127"/>
      <c r="DF94" s="115"/>
      <c r="DG94" s="115"/>
      <c r="DH94" s="115"/>
      <c r="DI94" s="115"/>
      <c r="DJ94" s="115"/>
      <c r="DK94" s="127"/>
      <c r="DL94" s="26">
        <f>DM94*$NT94</f>
        <v>1.3360169493299008</v>
      </c>
      <c r="DM94" s="115">
        <f>BS$29*$AN94/$C94</f>
        <v>1.452192336228153</v>
      </c>
      <c r="DN94" s="37"/>
      <c r="DO94" s="143">
        <f>DM94/$OD94</f>
        <v>3.6964895831262079</v>
      </c>
      <c r="DP94" s="335"/>
      <c r="DQ94" s="127"/>
      <c r="DR94" s="127"/>
      <c r="DS94" s="127"/>
      <c r="DT94" s="37"/>
      <c r="DU94" s="37"/>
      <c r="DV94" s="37"/>
      <c r="DW94" s="37"/>
      <c r="DX94" s="37"/>
      <c r="DY94" s="127"/>
      <c r="DZ94" s="26">
        <f>EA94*$NT94</f>
        <v>1.3663171199712789</v>
      </c>
      <c r="EA94" s="115">
        <f>BT$29*$AN94/$C94</f>
        <v>1.4851273043166076</v>
      </c>
      <c r="EC94" s="143">
        <f>EA94/$OD94</f>
        <v>3.7803240473513648</v>
      </c>
      <c r="ED94" s="335"/>
      <c r="EE94" s="127"/>
      <c r="EF94" s="127"/>
      <c r="EG94" s="127"/>
      <c r="EM94" s="127"/>
      <c r="EN94" s="26">
        <f>EO94*$NT94</f>
        <v>0.74287521732704154</v>
      </c>
      <c r="EO94" s="115">
        <f>BU$29*$AN94/$C94</f>
        <v>0.80747306231200167</v>
      </c>
      <c r="EP94" s="37"/>
      <c r="EQ94" s="143">
        <f>EO94/$OD94</f>
        <v>2.0553859767941862</v>
      </c>
      <c r="ER94" s="335"/>
      <c r="ES94" s="127"/>
      <c r="ET94" s="127"/>
      <c r="EU94" s="127"/>
      <c r="EV94" s="37"/>
      <c r="EW94" s="37"/>
      <c r="EX94" s="37"/>
      <c r="EY94" s="37"/>
      <c r="EZ94" s="37"/>
      <c r="FA94" s="127"/>
      <c r="FE94" s="26">
        <f>FF94*$NT94</f>
        <v>2.6605536241220578</v>
      </c>
      <c r="FF94" s="115">
        <f>FB$29*$AN94/$C94</f>
        <v>2.8919061131761494</v>
      </c>
      <c r="FH94" s="115">
        <f>FF94/$OD94</f>
        <v>7.3612155608120169</v>
      </c>
      <c r="FI94" s="335"/>
      <c r="FJ94" s="335"/>
      <c r="FK94" s="127"/>
      <c r="FL94" s="26"/>
      <c r="FR94" s="127"/>
      <c r="FS94" s="26">
        <f>FT94*$NT94</f>
        <v>2.7208935987397971</v>
      </c>
      <c r="FT94" s="115">
        <f>FC$29*$AN94/$C94</f>
        <v>2.9574930421084749</v>
      </c>
      <c r="FV94" s="115">
        <f>FT94/$OD94</f>
        <v>7.5281641071852086</v>
      </c>
      <c r="FW94" s="335"/>
      <c r="FX94" s="335"/>
      <c r="FY94" s="127"/>
      <c r="FZ94" s="26"/>
      <c r="GF94" s="127"/>
      <c r="GG94" s="26">
        <f>GH94*$NT94</f>
        <v>1.4793669741399944</v>
      </c>
      <c r="GH94" s="115">
        <f>FD$29*$AN94/$C94</f>
        <v>1.6080075805869505</v>
      </c>
      <c r="GJ94" s="115">
        <f>GH94/$OD94</f>
        <v>4.0931102051304196</v>
      </c>
      <c r="GK94" s="335"/>
      <c r="GL94" s="335"/>
      <c r="GM94" s="127"/>
      <c r="GN94" s="26"/>
      <c r="GT94" s="127"/>
      <c r="GU94" s="127"/>
      <c r="GV94" s="127"/>
      <c r="GW94" s="127"/>
      <c r="GX94" s="68">
        <f>GZ94*$W94</f>
        <v>1.5237986366042069</v>
      </c>
      <c r="GY94" s="26">
        <f>GZ94*$NT94</f>
        <v>0.10294287184535764</v>
      </c>
      <c r="GZ94" s="127">
        <f>$AN94*GU$29/C94</f>
        <v>0.11189442591886699</v>
      </c>
      <c r="HA94" s="73"/>
      <c r="HB94" s="115">
        <f>GZ94/$OD94</f>
        <v>0.28482217506620688</v>
      </c>
      <c r="HD94" s="115"/>
      <c r="HE94" s="127"/>
      <c r="HF94" s="127"/>
      <c r="HG94" s="127"/>
      <c r="HH94" s="127"/>
      <c r="HI94" s="127"/>
      <c r="HJ94" s="127"/>
      <c r="HK94" s="127"/>
      <c r="HL94" s="127"/>
      <c r="HM94" s="115">
        <f>HN94*$NT94</f>
        <v>0.10820162606029927</v>
      </c>
      <c r="HN94" s="127">
        <f>$AN94*GV$29/C94</f>
        <v>0.11761046310902094</v>
      </c>
      <c r="HO94" s="73"/>
      <c r="HP94" s="115">
        <f>HN94/$OD94</f>
        <v>0.29937208791387149</v>
      </c>
      <c r="HR94" s="115"/>
      <c r="HS94" s="127"/>
      <c r="HT94" s="127"/>
      <c r="HU94" s="127"/>
      <c r="HV94" s="127"/>
      <c r="HW94" s="127"/>
      <c r="HX94" s="127"/>
      <c r="HY94" s="127"/>
      <c r="HZ94" s="127"/>
      <c r="IA94" s="115">
        <f>IB94*$NT94</f>
        <v>0</v>
      </c>
      <c r="IB94" s="127">
        <f>$AN94*GW$29/C94</f>
        <v>0</v>
      </c>
      <c r="IC94" s="73"/>
      <c r="ID94" s="115">
        <f>IB94/$OD94</f>
        <v>0</v>
      </c>
      <c r="IE94" s="133"/>
      <c r="IF94" s="115"/>
      <c r="IG94" s="127"/>
      <c r="IH94" s="127"/>
      <c r="II94" s="127"/>
      <c r="IJ94" s="127"/>
      <c r="IK94" s="127"/>
      <c r="IL94" s="127"/>
      <c r="IM94" s="127"/>
      <c r="IN94" s="127"/>
      <c r="IV94" s="335">
        <f>IW94*$NT94</f>
        <v>0.57024109688529301</v>
      </c>
      <c r="IW94" s="330">
        <f>AN94*JK92*C93/C94</f>
        <v>0.61982727922314451</v>
      </c>
      <c r="IX94" s="73"/>
      <c r="IY94" s="115">
        <f>IW94/$OD94</f>
        <v>1.577742165295277</v>
      </c>
      <c r="IZ94" s="73"/>
      <c r="JA94" s="115"/>
      <c r="JB94" s="115">
        <f>$IW94*JM92/$JK92</f>
        <v>0.42926056215872088</v>
      </c>
      <c r="JC94" s="115">
        <f>$IW94*JN92/$JK92</f>
        <v>0.18021219322080334</v>
      </c>
      <c r="JD94" s="115">
        <f>$IW94*JO92/$JK92</f>
        <v>1.0354523843620223E-2</v>
      </c>
      <c r="JE94" s="115"/>
      <c r="JF94" s="73"/>
      <c r="JG94" s="73"/>
      <c r="JH94" s="73"/>
      <c r="JI94" s="73"/>
      <c r="JJ94" s="73"/>
      <c r="KJ94" s="115">
        <f>BW94*44/12+$IW94+$GZ94</f>
        <v>4.5439915932413237</v>
      </c>
      <c r="KK94" s="74"/>
      <c r="KL94" s="74"/>
      <c r="KM94" s="143">
        <f>KJ94/$OD94</f>
        <v>11.56652405552337</v>
      </c>
      <c r="KN94" s="127"/>
      <c r="KO94" s="74"/>
      <c r="KP94" s="74"/>
      <c r="KQ94" s="74"/>
      <c r="KR94" s="74"/>
      <c r="KS94" s="127"/>
      <c r="KT94" s="115">
        <f>CK94*44/12+$IW94+$HN94</f>
        <v>4.6645372105727798</v>
      </c>
      <c r="KW94" s="143">
        <f>KT94/$OD94</f>
        <v>11.873367445094349</v>
      </c>
      <c r="KX94" s="127"/>
      <c r="LC94" s="127"/>
      <c r="LD94" s="115">
        <f>CY94*44/12+$IW94+$IB94</f>
        <v>2.1815796683605146</v>
      </c>
      <c r="LG94" s="143">
        <f>LD94/$OD94</f>
        <v>5.5531118830994917</v>
      </c>
      <c r="LH94" s="127"/>
      <c r="LM94" s="127"/>
      <c r="LN94" s="115">
        <f>DM94*44/12+$IW94+$GZ94</f>
        <v>6.0564269379785722</v>
      </c>
      <c r="LQ94" s="143">
        <f>LN94/$OD94</f>
        <v>15.416359478490911</v>
      </c>
      <c r="LR94" s="127"/>
      <c r="LW94" s="127"/>
      <c r="LX94" s="115">
        <f>EA94*44/12+$IW94+$HN94</f>
        <v>6.1829045248263936</v>
      </c>
      <c r="MA94" s="143">
        <f>LX94/$OD94</f>
        <v>15.73830242683082</v>
      </c>
      <c r="MB94" s="127"/>
      <c r="MG94" s="127"/>
      <c r="MH94" s="115">
        <f>EO94*44/12+$IW94+$IB94</f>
        <v>3.5805618410338171</v>
      </c>
      <c r="MK94" s="143">
        <f>MH94/$OD94</f>
        <v>9.1141574135406263</v>
      </c>
      <c r="ML94" s="127"/>
      <c r="MQ94" s="127"/>
      <c r="MW94" s="127"/>
      <c r="MX94" s="127"/>
      <c r="MY94" s="127"/>
      <c r="MZ94" s="127"/>
      <c r="NA94" s="127"/>
      <c r="NB94" s="127"/>
      <c r="NC94" s="127"/>
      <c r="ND94" s="127"/>
      <c r="NE94" s="127"/>
      <c r="NF94" s="127"/>
      <c r="NG94" s="127"/>
      <c r="NH94" s="127"/>
      <c r="NI94" s="127"/>
      <c r="NJ94" s="127"/>
      <c r="NK94" s="127"/>
      <c r="NL94" s="127"/>
      <c r="NM94" s="127"/>
      <c r="NN94" s="127"/>
      <c r="NO94" s="127"/>
      <c r="NP94" s="127"/>
      <c r="NQ94" s="127"/>
      <c r="NT94" s="31">
        <v>0.92</v>
      </c>
      <c r="NU94" s="31"/>
      <c r="NV94" s="32">
        <f>$NT94*NW94</f>
        <v>17.48</v>
      </c>
      <c r="NW94" s="9">
        <v>19</v>
      </c>
      <c r="NX94" s="9"/>
      <c r="NY94" s="9"/>
      <c r="NZ94" s="9"/>
      <c r="OA94" s="32"/>
      <c r="OB94" s="26"/>
      <c r="OC94" s="38">
        <f>$NT94*OD94</f>
        <v>0.36142857142857143</v>
      </c>
      <c r="OD94" s="40">
        <f>OD29/C94</f>
        <v>0.39285714285714285</v>
      </c>
      <c r="OE94" s="38"/>
      <c r="OF94" s="683"/>
    </row>
    <row r="95" spans="1:494" x14ac:dyDescent="0.25">
      <c r="B95" s="727"/>
      <c r="Z95" s="26"/>
      <c r="AA95" s="26"/>
      <c r="AB95" s="26"/>
      <c r="AE95" s="115"/>
      <c r="AF95" s="115"/>
      <c r="AG95" s="115"/>
      <c r="AH95" s="115"/>
      <c r="AI95" s="115"/>
      <c r="AJ95" s="115"/>
      <c r="AL95" s="74"/>
      <c r="AO95" s="115"/>
      <c r="AP95" s="115"/>
      <c r="AQ95" s="115"/>
      <c r="AR95" s="115"/>
      <c r="AS95" s="115"/>
      <c r="AT95" s="115"/>
      <c r="AU95" s="115"/>
      <c r="AV95" s="115"/>
      <c r="AW95" s="115"/>
      <c r="AX95" s="115"/>
      <c r="AY95" s="115"/>
      <c r="AZ95" s="115"/>
      <c r="BA95" s="115"/>
      <c r="BB95" s="115"/>
      <c r="BC95" s="115"/>
      <c r="BD95" s="115"/>
      <c r="BE95" s="115"/>
      <c r="BF95" s="115"/>
      <c r="BG95" s="115"/>
      <c r="BH95" s="115"/>
      <c r="BI95" s="115"/>
      <c r="BJ95" s="115"/>
      <c r="BK95" s="115"/>
      <c r="BL95" s="115"/>
      <c r="BM95" s="115"/>
      <c r="BN95" s="115"/>
      <c r="BO95" s="115"/>
      <c r="BP95" s="115"/>
      <c r="BQ95" s="115"/>
      <c r="BR95" s="115"/>
      <c r="BS95" s="115"/>
      <c r="BT95" s="115"/>
      <c r="BU95" s="115"/>
      <c r="BW95" s="26"/>
      <c r="CA95" s="74"/>
      <c r="CB95" s="74"/>
      <c r="CC95" s="74"/>
      <c r="CD95" s="115"/>
      <c r="CE95" s="115"/>
      <c r="CF95" s="115"/>
      <c r="CG95" s="115"/>
      <c r="CH95" s="115"/>
      <c r="CI95" s="74"/>
      <c r="CK95" s="26"/>
      <c r="CX95" s="37"/>
      <c r="CY95" s="26"/>
      <c r="CZ95" s="37"/>
      <c r="DA95" s="37"/>
      <c r="DB95" s="37"/>
      <c r="DF95" s="115"/>
      <c r="DG95" s="115"/>
      <c r="DH95" s="115"/>
      <c r="DI95" s="115"/>
      <c r="DJ95" s="115"/>
      <c r="DL95" s="37"/>
      <c r="DM95" s="115"/>
      <c r="DN95" s="37"/>
      <c r="DO95" s="37"/>
      <c r="DP95" s="37"/>
      <c r="DT95" s="37"/>
      <c r="DU95" s="37"/>
      <c r="DV95" s="37"/>
      <c r="DW95" s="37"/>
      <c r="DX95" s="37"/>
      <c r="EA95" s="115"/>
      <c r="EN95" s="37"/>
      <c r="EO95" s="115"/>
      <c r="EP95" s="37"/>
      <c r="EQ95" s="37"/>
      <c r="ER95" s="37"/>
      <c r="EV95" s="37"/>
      <c r="EW95" s="37"/>
      <c r="EX95" s="37"/>
      <c r="EY95" s="37"/>
      <c r="EZ95" s="37"/>
      <c r="FF95" s="26"/>
      <c r="FH95" s="74"/>
      <c r="FK95" s="74"/>
      <c r="FR95" s="74"/>
      <c r="FT95" s="26"/>
      <c r="FZ95" s="37"/>
      <c r="GH95" s="26"/>
      <c r="GJ95" s="74"/>
      <c r="GM95" s="74"/>
      <c r="GT95" s="74"/>
      <c r="GU95" s="74"/>
      <c r="GV95" s="74"/>
      <c r="GW95" s="74"/>
      <c r="GX95" s="74"/>
      <c r="HB95" s="74"/>
      <c r="HD95" s="74"/>
      <c r="HE95" s="74"/>
      <c r="HF95" s="74"/>
      <c r="HG95" s="74"/>
      <c r="HH95" s="74"/>
      <c r="HI95" s="74"/>
      <c r="HJ95" s="74"/>
      <c r="HK95" s="74"/>
      <c r="HL95" s="74"/>
      <c r="IA95" s="133"/>
      <c r="IB95" s="133"/>
      <c r="IC95" s="133"/>
      <c r="IE95" s="133"/>
      <c r="KJ95" s="74"/>
      <c r="KK95" s="74"/>
      <c r="KL95" s="74"/>
      <c r="KM95" s="74"/>
      <c r="KN95" s="74"/>
      <c r="KO95" s="74"/>
      <c r="KP95" s="74"/>
      <c r="KQ95" s="74"/>
      <c r="KR95" s="74"/>
      <c r="KS95" s="74"/>
      <c r="OB95" s="26"/>
    </row>
    <row r="96" spans="1:494" x14ac:dyDescent="0.25">
      <c r="A96" s="9" t="s">
        <v>145</v>
      </c>
      <c r="B96" s="53"/>
      <c r="Z96" s="26"/>
      <c r="AA96" s="26"/>
      <c r="AB96" s="26"/>
      <c r="AE96" s="115"/>
      <c r="AF96" s="115"/>
      <c r="AG96" s="115"/>
      <c r="AH96" s="115"/>
      <c r="AI96" s="115"/>
      <c r="AJ96" s="115"/>
      <c r="AL96" s="74"/>
      <c r="AO96" s="115"/>
      <c r="AP96" s="115"/>
      <c r="AQ96" s="115"/>
      <c r="AR96" s="115"/>
      <c r="AS96" s="115"/>
      <c r="AT96" s="115"/>
      <c r="AU96" s="115"/>
      <c r="AV96" s="115"/>
      <c r="AW96" s="115"/>
      <c r="AX96" s="115"/>
      <c r="AY96" s="115"/>
      <c r="AZ96" s="115"/>
      <c r="BA96" s="115"/>
      <c r="BB96" s="115"/>
      <c r="BC96" s="115"/>
      <c r="BD96" s="115"/>
      <c r="BE96" s="115"/>
      <c r="BF96" s="115"/>
      <c r="BG96" s="115"/>
      <c r="BH96" s="115"/>
      <c r="BI96" s="115"/>
      <c r="BJ96" s="115"/>
      <c r="BK96" s="115"/>
      <c r="BL96" s="115"/>
      <c r="BM96" s="115"/>
      <c r="BN96" s="115"/>
      <c r="BO96" s="115"/>
      <c r="BP96" s="115"/>
      <c r="BQ96" s="115"/>
      <c r="BR96" s="115"/>
      <c r="BS96" s="115"/>
      <c r="BT96" s="115"/>
      <c r="BU96" s="115"/>
      <c r="BW96" s="26"/>
      <c r="CA96" s="74"/>
      <c r="CB96" s="74"/>
      <c r="CC96" s="74"/>
      <c r="CD96" s="115"/>
      <c r="CE96" s="115"/>
      <c r="CF96" s="115"/>
      <c r="CG96" s="115"/>
      <c r="CH96" s="115"/>
      <c r="CI96" s="74"/>
      <c r="CK96" s="26"/>
      <c r="CX96" s="37"/>
      <c r="CY96" s="26"/>
      <c r="CZ96" s="37"/>
      <c r="DA96" s="37"/>
      <c r="DB96" s="37"/>
      <c r="DF96" s="115"/>
      <c r="DG96" s="115"/>
      <c r="DH96" s="115"/>
      <c r="DI96" s="115"/>
      <c r="DJ96" s="115"/>
      <c r="DL96" s="37"/>
      <c r="DM96" s="115"/>
      <c r="DN96" s="37"/>
      <c r="DO96" s="37"/>
      <c r="DP96" s="37"/>
      <c r="DT96" s="37"/>
      <c r="DU96" s="37"/>
      <c r="DV96" s="37"/>
      <c r="DW96" s="37"/>
      <c r="DX96" s="37"/>
      <c r="EA96" s="115"/>
      <c r="EN96" s="37"/>
      <c r="EO96" s="115"/>
      <c r="EP96" s="37"/>
      <c r="EQ96" s="37"/>
      <c r="ER96" s="37"/>
      <c r="EV96" s="37"/>
      <c r="EW96" s="37"/>
      <c r="EX96" s="37"/>
      <c r="EY96" s="37"/>
      <c r="EZ96" s="37"/>
      <c r="FF96" s="26"/>
      <c r="FH96" s="74"/>
      <c r="FK96" s="74"/>
      <c r="FR96" s="74"/>
      <c r="FT96" s="26"/>
      <c r="FZ96" s="37"/>
      <c r="GH96" s="26"/>
      <c r="GJ96" s="74"/>
      <c r="GM96" s="74"/>
      <c r="GT96" s="74"/>
      <c r="GU96" s="74"/>
      <c r="GV96" s="74"/>
      <c r="GW96" s="74"/>
      <c r="GX96" s="55">
        <f>GX97+GX98</f>
        <v>7.9606149100087524</v>
      </c>
      <c r="HB96" s="74"/>
      <c r="HD96" s="74"/>
      <c r="HE96" s="74"/>
      <c r="HF96" s="74"/>
      <c r="HG96" s="74"/>
      <c r="HH96" s="74"/>
      <c r="HI96" s="74"/>
      <c r="HJ96" s="74"/>
      <c r="HK96" s="74"/>
      <c r="HL96" s="74"/>
      <c r="IA96" s="133"/>
      <c r="IB96" s="133"/>
      <c r="IC96" s="133"/>
      <c r="IE96" s="133"/>
      <c r="IO96" s="68">
        <f>IP96+IQ96+IR96+IS96+IT96+IU96</f>
        <v>7.6674930616491768</v>
      </c>
      <c r="IP96" s="97">
        <f>JS96*$W97</f>
        <v>5.9103488112743632</v>
      </c>
      <c r="IQ96" s="97">
        <f>JU96*$W97</f>
        <v>0.7155442503748124</v>
      </c>
      <c r="IR96" s="97">
        <f>JX96*$W97</f>
        <v>0</v>
      </c>
      <c r="IS96" s="97">
        <f>KB96*$W97</f>
        <v>0.97910400000000009</v>
      </c>
      <c r="IT96" s="97">
        <f>KF96*$W97</f>
        <v>0</v>
      </c>
      <c r="IU96" s="97">
        <f>KH96*$W97</f>
        <v>6.2495999999999996E-2</v>
      </c>
      <c r="JK96" s="115">
        <f>JM96+JN96+JO96</f>
        <v>1.3691951895802101</v>
      </c>
      <c r="JM96" s="179">
        <f>JS96+KB96</f>
        <v>1.2302594305847079</v>
      </c>
      <c r="JN96" s="179">
        <f>JU96+KF96</f>
        <v>0.12777575899550223</v>
      </c>
      <c r="JO96" s="179">
        <f>JX96+KH96</f>
        <v>1.116E-2</v>
      </c>
      <c r="JQ96" s="115">
        <f>JS96+JU96+JX96</f>
        <v>1.18319518958021</v>
      </c>
      <c r="JS96" s="172">
        <f>'Crops; pasture AMORTIZED'!FY42/$C97</f>
        <v>1.0554194305847078</v>
      </c>
      <c r="JU96" s="172">
        <f>'Crops; pasture AMORTIZED'!FW42/$C97</f>
        <v>0.12777575899550223</v>
      </c>
      <c r="JZ96" s="127">
        <f>KB96+KF96+KH96</f>
        <v>0.18600000000000003</v>
      </c>
      <c r="KA96" s="115">
        <f>KC96+KG96+KI96</f>
        <v>5</v>
      </c>
      <c r="KB96" s="115">
        <f>KC96*$NY97/10^3</f>
        <v>0.17484000000000002</v>
      </c>
      <c r="KC96" s="80">
        <v>4.7</v>
      </c>
      <c r="KD96" s="725">
        <v>0.55000000000000004</v>
      </c>
      <c r="KE96" s="474">
        <f>KC96/KD96</f>
        <v>8.545454545454545</v>
      </c>
      <c r="KF96" s="127">
        <f>KG96*$NY97/10^3</f>
        <v>0</v>
      </c>
      <c r="KG96" s="84">
        <v>0</v>
      </c>
      <c r="KH96" s="127">
        <f>KI96*$NY97/10^3</f>
        <v>1.116E-2</v>
      </c>
      <c r="KI96" s="80">
        <v>0.3</v>
      </c>
      <c r="KJ96" s="74"/>
      <c r="KK96" s="74"/>
      <c r="KL96" s="74"/>
      <c r="KM96" s="74"/>
      <c r="KN96" s="74"/>
      <c r="KO96" s="74"/>
      <c r="KP96" s="74"/>
      <c r="KQ96" s="74"/>
      <c r="KR96" s="74"/>
      <c r="KS96" s="74"/>
      <c r="OB96" s="26"/>
    </row>
    <row r="97" spans="1:494" x14ac:dyDescent="0.25">
      <c r="A97" s="37" t="s">
        <v>146</v>
      </c>
      <c r="B97" s="53">
        <f>C97*NT30/NT97</f>
        <v>0.26679999999999998</v>
      </c>
      <c r="C97" s="39">
        <v>0.28999999999999998</v>
      </c>
      <c r="D97" s="722">
        <f>C97*NW97/NW30</f>
        <v>0.43834615384615377</v>
      </c>
      <c r="E97" s="104"/>
      <c r="F97" s="104"/>
      <c r="G97" s="104"/>
      <c r="H97" s="104"/>
      <c r="I97" s="104"/>
      <c r="J97" s="104"/>
      <c r="K97" s="104"/>
      <c r="L97" s="104"/>
      <c r="M97" s="104"/>
      <c r="N97" s="69"/>
      <c r="V97" s="26">
        <f>W97/NT97</f>
        <v>5.6</v>
      </c>
      <c r="W97" s="72">
        <v>5.6</v>
      </c>
      <c r="X97" s="252"/>
      <c r="Y97" s="26">
        <f>W97*NW97/10^3</f>
        <v>0.22008</v>
      </c>
      <c r="Z97" s="26">
        <f>W97*OB97/10^3</f>
        <v>0.2072</v>
      </c>
      <c r="AA97" s="26"/>
      <c r="AB97" s="26"/>
      <c r="AE97" s="115">
        <f>AB$30*$AN97/$C97</f>
        <v>13.543749166777626</v>
      </c>
      <c r="AF97" s="115"/>
      <c r="AG97" s="115">
        <f>AC$30*$AN97/$C97</f>
        <v>15.636021306239424</v>
      </c>
      <c r="AH97" s="115"/>
      <c r="AI97" s="115">
        <f>AD$30*$AN97/$C97</f>
        <v>7.5977850009191581</v>
      </c>
      <c r="AJ97" s="115"/>
      <c r="AK97" s="722">
        <f>Y97/(Y97+Y98)</f>
        <v>0.57569328686164567</v>
      </c>
      <c r="AL97" s="164">
        <v>1.395</v>
      </c>
      <c r="AM97" s="69">
        <f>V97*AL97/(V97*AL97+V98*AL98)</f>
        <v>0.7969960555562694</v>
      </c>
      <c r="AN97" s="40">
        <f t="shared" ref="AN97:AN98" si="33">AK97</f>
        <v>0.57569328686164567</v>
      </c>
      <c r="AO97" s="115"/>
      <c r="AP97" s="115"/>
      <c r="AQ97" s="115"/>
      <c r="AR97" s="115"/>
      <c r="AS97" s="115"/>
      <c r="AT97" s="115"/>
      <c r="AU97" s="115"/>
      <c r="AV97" s="115"/>
      <c r="AW97" s="115"/>
      <c r="AX97" s="115"/>
      <c r="AY97" s="115"/>
      <c r="AZ97" s="115"/>
      <c r="BA97" s="115"/>
      <c r="BB97" s="115"/>
      <c r="BC97" s="115"/>
      <c r="BD97" s="115"/>
      <c r="BE97" s="115"/>
      <c r="BF97" s="115"/>
      <c r="BG97" s="115"/>
      <c r="BH97" s="115"/>
      <c r="BI97" s="115"/>
      <c r="BJ97" s="115"/>
      <c r="BK97" s="115"/>
      <c r="BL97" s="115"/>
      <c r="BM97" s="115"/>
      <c r="BN97" s="115"/>
      <c r="BO97" s="115"/>
      <c r="BP97" s="115"/>
      <c r="BQ97" s="115"/>
      <c r="BR97" s="115"/>
      <c r="BS97" s="115"/>
      <c r="BT97" s="115"/>
      <c r="BU97" s="115"/>
      <c r="BV97" s="26">
        <f>BW97*$NT97</f>
        <v>3.4129208554299626</v>
      </c>
      <c r="BW97" s="115">
        <f>BP$30*$AN97/$C97</f>
        <v>3.4129208554299626</v>
      </c>
      <c r="BX97" s="677">
        <f>10^3*BW97/$OB97</f>
        <v>92.241104200809801</v>
      </c>
      <c r="BZ97" s="73">
        <f>10^3*BW97/$NW97</f>
        <v>86.842769858268767</v>
      </c>
      <c r="CA97" s="73"/>
      <c r="CB97" s="73"/>
      <c r="CC97" s="73"/>
      <c r="CD97" s="115"/>
      <c r="CE97" s="115"/>
      <c r="CF97" s="115"/>
      <c r="CG97" s="115"/>
      <c r="CH97" s="115"/>
      <c r="CI97" s="73"/>
      <c r="CJ97" s="26">
        <f>CK97*$NT97</f>
        <v>3.9886580908445346</v>
      </c>
      <c r="CK97" s="115">
        <f>BQ$30*$AN97/$C97</f>
        <v>3.9886580908445346</v>
      </c>
      <c r="CL97" s="677">
        <f>10^3*CK97/$OB97</f>
        <v>107.80157002282526</v>
      </c>
      <c r="CN97" s="73">
        <f>10^3*CK97/$NW97</f>
        <v>101.49257228612048</v>
      </c>
      <c r="CO97" s="73"/>
      <c r="CP97" s="73"/>
      <c r="CQ97" s="73"/>
      <c r="CW97" s="73"/>
      <c r="CX97" s="26">
        <f>CY97*$NT97</f>
        <v>1.7768160220881037</v>
      </c>
      <c r="CY97" s="115">
        <f>BR$30*$AN97/$C97</f>
        <v>1.7768160220881037</v>
      </c>
      <c r="CZ97" s="677">
        <f>10^3*CY97/$OB97</f>
        <v>48.022054651029826</v>
      </c>
      <c r="DA97" s="37"/>
      <c r="DB97" s="73">
        <f>10^3*CY97/$NW97</f>
        <v>45.211603615473379</v>
      </c>
      <c r="DC97" s="73"/>
      <c r="DD97" s="73"/>
      <c r="DE97" s="73"/>
      <c r="DF97" s="115"/>
      <c r="DG97" s="115"/>
      <c r="DH97" s="115"/>
      <c r="DI97" s="115"/>
      <c r="DJ97" s="115"/>
      <c r="DK97" s="73"/>
      <c r="DL97" s="26">
        <f>DM97*$NT97</f>
        <v>4.0340726187264027</v>
      </c>
      <c r="DM97" s="115">
        <f>BS$30*$AN97/$C97</f>
        <v>4.0340726187264027</v>
      </c>
      <c r="DN97" s="677">
        <f>10^3*DM97/$OB97</f>
        <v>109.02898969530818</v>
      </c>
      <c r="DO97" s="37"/>
      <c r="DP97" s="73">
        <f>10^3*DM97/$NW97</f>
        <v>102.64815823731305</v>
      </c>
      <c r="DQ97" s="73"/>
      <c r="DR97" s="73"/>
      <c r="DS97" s="73"/>
      <c r="DT97" s="37"/>
      <c r="DU97" s="37"/>
      <c r="DV97" s="37"/>
      <c r="DW97" s="37"/>
      <c r="DX97" s="37"/>
      <c r="DY97" s="73"/>
      <c r="DZ97" s="26">
        <f>EA97*$NT97</f>
        <v>4.7581576681132667</v>
      </c>
      <c r="EA97" s="115">
        <f>BT$30*$AN97/$C97</f>
        <v>4.7581576681132667</v>
      </c>
      <c r="EB97" s="677">
        <f>10^3*EA97/$OB97</f>
        <v>128.59885589495315</v>
      </c>
      <c r="ED97" s="73">
        <f>10^3*EA97/$NW97</f>
        <v>121.0727142013554</v>
      </c>
      <c r="EE97" s="73"/>
      <c r="EF97" s="73"/>
      <c r="EG97" s="73"/>
      <c r="EM97" s="73"/>
      <c r="EN97" s="26">
        <f>EO97*$NT97</f>
        <v>1.9763174751743642</v>
      </c>
      <c r="EO97" s="115">
        <f>BU$30*$AN97/$C97</f>
        <v>1.9763174751743642</v>
      </c>
      <c r="EP97" s="677">
        <f>10^3*EO97/$OB97</f>
        <v>53.413985815523361</v>
      </c>
      <c r="EQ97" s="37"/>
      <c r="ER97" s="73">
        <f>10^3*EO97/$NW97</f>
        <v>50.287976467541078</v>
      </c>
      <c r="ES97" s="73"/>
      <c r="ET97" s="73"/>
      <c r="EU97" s="73"/>
      <c r="EV97" s="37"/>
      <c r="EW97" s="37"/>
      <c r="EX97" s="37"/>
      <c r="EY97" s="37"/>
      <c r="EZ97" s="37"/>
      <c r="FA97" s="73"/>
      <c r="FE97" s="26">
        <f>FF97*$NT97</f>
        <v>8.0334808110835141</v>
      </c>
      <c r="FF97" s="115">
        <f>FB$30*$AN97/$C97</f>
        <v>8.0334808110835141</v>
      </c>
      <c r="FG97" s="562">
        <f>10^3*FF97/$OB97</f>
        <v>217.12110300225714</v>
      </c>
      <c r="FH97" s="73"/>
      <c r="FI97" s="73">
        <f>10^3*FF97/$NW97</f>
        <v>204.41427000212505</v>
      </c>
      <c r="FJ97" s="73"/>
      <c r="FK97" s="73"/>
      <c r="FL97" s="26"/>
      <c r="FR97" s="73"/>
      <c r="FS97" s="26">
        <f>FT97*$NT97</f>
        <v>9.4754289115810924</v>
      </c>
      <c r="FT97" s="115">
        <f>FC$30*$AN97/$C97</f>
        <v>9.4754289115810924</v>
      </c>
      <c r="FU97" s="562">
        <f>10^3*FT97/$OB97</f>
        <v>256.09267328597542</v>
      </c>
      <c r="FV97" s="73"/>
      <c r="FW97" s="73">
        <f>10^3*FT97/$NW97</f>
        <v>241.10506136338657</v>
      </c>
      <c r="FX97" s="73"/>
      <c r="FY97" s="73"/>
      <c r="FZ97" s="26"/>
      <c r="GF97" s="73"/>
      <c r="GG97" s="26">
        <f>GH97*$NT97</f>
        <v>3.9356526304761239</v>
      </c>
      <c r="GH97" s="115">
        <f>FD$30*$AN97/$C97</f>
        <v>3.9356526304761239</v>
      </c>
      <c r="GI97" s="562">
        <f>10^3*GH97/$OB97</f>
        <v>106.36899001286821</v>
      </c>
      <c r="GJ97" s="73"/>
      <c r="GK97" s="73">
        <f>10^3*GH97/$NW97</f>
        <v>100.1438328365426</v>
      </c>
      <c r="GL97" s="73"/>
      <c r="GM97" s="73"/>
      <c r="GN97" s="26"/>
      <c r="GT97" s="73"/>
      <c r="GU97" s="73"/>
      <c r="GV97" s="73"/>
      <c r="GW97" s="73"/>
      <c r="GX97" s="68">
        <f>GZ97*$W97</f>
        <v>4.5828725629827618</v>
      </c>
      <c r="GY97" s="26">
        <f>GZ97*$NT97</f>
        <v>0.81837010053263615</v>
      </c>
      <c r="GZ97" s="127">
        <f>$AN97*GU$30/C97</f>
        <v>0.81837010053263615</v>
      </c>
      <c r="HA97" s="673">
        <f>10^3*GZ97/$OB97</f>
        <v>22.118110825206383</v>
      </c>
      <c r="HB97" s="74"/>
      <c r="HC97" s="73">
        <f>10^3*GZ97/$NW97</f>
        <v>20.823666680219748</v>
      </c>
      <c r="HD97" s="73"/>
      <c r="HE97" s="73"/>
      <c r="HF97" s="73"/>
      <c r="HG97" s="73"/>
      <c r="HH97" s="73"/>
      <c r="HI97" s="73"/>
      <c r="HJ97" s="73"/>
      <c r="HK97" s="73"/>
      <c r="HL97" s="73"/>
      <c r="HM97" s="115">
        <f>HN97*$NT97</f>
        <v>0.92984635496413348</v>
      </c>
      <c r="HN97" s="127">
        <f>$AN97*GV$30/C97</f>
        <v>0.92984635496413348</v>
      </c>
      <c r="HO97" s="73">
        <f>10^3*HN97/$OB97</f>
        <v>25.130982566598203</v>
      </c>
      <c r="HQ97" s="73">
        <f>10^3*HN97/$NW97</f>
        <v>23.660212594507215</v>
      </c>
      <c r="HR97" s="73"/>
      <c r="HS97" s="73"/>
      <c r="HT97" s="73"/>
      <c r="HU97" s="73"/>
      <c r="HV97" s="73"/>
      <c r="HW97" s="73"/>
      <c r="HX97" s="73"/>
      <c r="HY97" s="73"/>
      <c r="HZ97" s="73"/>
      <c r="IA97" s="115">
        <f>IB97*$NT97</f>
        <v>0.50156914443697842</v>
      </c>
      <c r="IB97" s="127">
        <f>$AN97*GW$30/C97</f>
        <v>0.50156914443697842</v>
      </c>
      <c r="IC97" s="73">
        <f>10^3*IB97/$OB97</f>
        <v>13.555922822621039</v>
      </c>
      <c r="IE97" s="73">
        <f>10^3*IB97/$NW97</f>
        <v>12.76257364979589</v>
      </c>
      <c r="IF97" s="73"/>
      <c r="IG97" s="73"/>
      <c r="IH97" s="73"/>
      <c r="II97" s="73"/>
      <c r="IJ97" s="73"/>
      <c r="IK97" s="73"/>
      <c r="IL97" s="73"/>
      <c r="IM97" s="73"/>
      <c r="IN97" s="73"/>
      <c r="IV97" s="335">
        <f>IW97*$NT97</f>
        <v>0.78823647904458527</v>
      </c>
      <c r="IW97" s="127">
        <f>AN97*JK96</f>
        <v>0.78823647904458527</v>
      </c>
      <c r="IX97" s="673">
        <f>10^3*IW97/$OB97</f>
        <v>21.30368862282663</v>
      </c>
      <c r="IY97" s="73"/>
      <c r="IZ97" s="73"/>
      <c r="JA97" s="115"/>
      <c r="JB97" s="115">
        <f>$IW97*JM96/$JK96</f>
        <v>0.70825209528584709</v>
      </c>
      <c r="JC97" s="115">
        <f>$IW97*JN96/$JK96</f>
        <v>7.3559646677362159E-2</v>
      </c>
      <c r="JD97" s="115">
        <f>$IW97*JO96/$JK96</f>
        <v>6.4247370813759648E-3</v>
      </c>
      <c r="KJ97" s="115">
        <f>BW97*44/12+$IW97+$GZ97</f>
        <v>14.120649716153752</v>
      </c>
      <c r="KK97" s="74"/>
      <c r="KL97" s="677">
        <f>10^3*KJ97/$OB97</f>
        <v>381.63918151766899</v>
      </c>
      <c r="KM97" s="74"/>
      <c r="KN97" s="73"/>
      <c r="KO97" s="115"/>
      <c r="KP97" s="115"/>
      <c r="KQ97" s="115"/>
      <c r="KR97" s="115"/>
      <c r="KS97" s="73"/>
      <c r="KT97" s="115">
        <f>CK97*44/12+$IW97+$HN97</f>
        <v>16.343162500438677</v>
      </c>
      <c r="KV97" s="677">
        <f>10^3*KT97/$OB97</f>
        <v>441.70709460645071</v>
      </c>
      <c r="KX97" s="73"/>
      <c r="KY97" s="115"/>
      <c r="KZ97" s="115"/>
      <c r="LA97" s="115"/>
      <c r="LB97" s="115"/>
      <c r="LC97" s="73"/>
      <c r="LD97" s="115">
        <f>CY97*44/12+$IW97+$IB97</f>
        <v>7.8047977044712775</v>
      </c>
      <c r="LF97" s="677">
        <f>10^3*LD97/$OB97</f>
        <v>210.94047849922373</v>
      </c>
      <c r="LH97" s="73"/>
      <c r="LI97" s="115"/>
      <c r="LJ97" s="115"/>
      <c r="LK97" s="115"/>
      <c r="LL97" s="115"/>
      <c r="LM97" s="73"/>
      <c r="LN97" s="115">
        <f>DM97*44/12+$IW97+$GZ97</f>
        <v>16.398206181574029</v>
      </c>
      <c r="LP97" s="677">
        <f>10^3*LN97/$OB97</f>
        <v>443.19476166416291</v>
      </c>
      <c r="LR97" s="73"/>
      <c r="LW97" s="73"/>
      <c r="LX97" s="115">
        <f>EA97*44/12+$IW97+$HN97</f>
        <v>19.164660950424029</v>
      </c>
      <c r="LZ97" s="677">
        <f>10^3*LX97/$OB97</f>
        <v>517.96380947091973</v>
      </c>
      <c r="MB97" s="73"/>
      <c r="MG97" s="73"/>
      <c r="MH97" s="115">
        <f>EO97*44/12+$IW97+$IB97</f>
        <v>8.5363030324542315</v>
      </c>
      <c r="MJ97" s="677">
        <f>10^3*MH97/$OB97</f>
        <v>230.71089276903331</v>
      </c>
      <c r="ML97" s="73"/>
      <c r="MQ97" s="73"/>
      <c r="MW97" s="73"/>
      <c r="MX97" s="73"/>
      <c r="MY97" s="73"/>
      <c r="MZ97" s="73"/>
      <c r="NA97" s="73"/>
      <c r="NB97" s="73"/>
      <c r="NC97" s="73"/>
      <c r="ND97" s="73"/>
      <c r="NE97" s="73"/>
      <c r="NF97" s="73"/>
      <c r="NG97" s="73"/>
      <c r="NH97" s="73"/>
      <c r="NI97" s="73"/>
      <c r="NJ97" s="73"/>
      <c r="NK97" s="73"/>
      <c r="NL97" s="73"/>
      <c r="NM97" s="73"/>
      <c r="NN97" s="73"/>
      <c r="NO97" s="73"/>
      <c r="NP97" s="73"/>
      <c r="NQ97" s="73"/>
      <c r="NT97" s="31">
        <v>1</v>
      </c>
      <c r="NU97" s="31"/>
      <c r="NV97" s="32">
        <f>$NT97*NW97</f>
        <v>39.299999999999997</v>
      </c>
      <c r="NW97" s="9">
        <v>39.299999999999997</v>
      </c>
      <c r="NX97" s="9"/>
      <c r="NY97" s="9">
        <v>37.200000000000003</v>
      </c>
      <c r="NZ97" s="9"/>
      <c r="OA97" s="32">
        <f>$NT97*OB97</f>
        <v>37</v>
      </c>
      <c r="OB97" s="43">
        <v>37</v>
      </c>
      <c r="OC97" s="38">
        <f>$NT97*OD97</f>
        <v>0</v>
      </c>
      <c r="OD97" s="31">
        <v>0</v>
      </c>
      <c r="OE97" s="38">
        <f>$NT97*OF97</f>
        <v>1</v>
      </c>
      <c r="OF97" s="31">
        <v>1</v>
      </c>
    </row>
    <row r="98" spans="1:494" x14ac:dyDescent="0.25">
      <c r="A98" s="37" t="s">
        <v>147</v>
      </c>
      <c r="B98" s="468">
        <f>C98*NT30/NT98</f>
        <v>0.4</v>
      </c>
      <c r="C98" s="39">
        <v>0.4</v>
      </c>
      <c r="D98" s="722">
        <f>C98*NW98/NW30</f>
        <v>0.32307692307692309</v>
      </c>
      <c r="E98" s="104"/>
      <c r="F98" s="104"/>
      <c r="G98" s="104"/>
      <c r="H98" s="104"/>
      <c r="I98" s="104"/>
      <c r="J98" s="104"/>
      <c r="K98" s="104"/>
      <c r="L98" s="104"/>
      <c r="M98" s="104"/>
      <c r="N98" s="69"/>
      <c r="V98" s="26">
        <f>W98/NT98</f>
        <v>8.395802098950524</v>
      </c>
      <c r="W98" s="26">
        <f>C98/C97*W97</f>
        <v>7.7241379310344831</v>
      </c>
      <c r="X98" s="115"/>
      <c r="Y98" s="26">
        <f>W98*NW98/10^3</f>
        <v>0.16220689655172416</v>
      </c>
      <c r="AA98" s="26">
        <f>W98*OD98</f>
        <v>3.6689655172413791</v>
      </c>
      <c r="AB98" s="26"/>
      <c r="AE98" s="115">
        <f>AB$30*$AN98/$C98</f>
        <v>7.2371178753773577</v>
      </c>
      <c r="AF98" s="115"/>
      <c r="AG98" s="115">
        <f>AC$30*$AN98/$C98</f>
        <v>8.3551258888302282</v>
      </c>
      <c r="AH98" s="115"/>
      <c r="AI98" s="115">
        <f>AD$30*$AN98/$C98</f>
        <v>4.0598851149949695</v>
      </c>
      <c r="AJ98" s="115"/>
      <c r="AK98" s="722">
        <f>1-AK97</f>
        <v>0.42430671313835433</v>
      </c>
      <c r="AL98" s="164">
        <v>0.23699999999999999</v>
      </c>
      <c r="AM98" s="69">
        <f>V98*AL98/(V97*AL97+V98*AL98)</f>
        <v>0.20300394444373063</v>
      </c>
      <c r="AN98" s="40">
        <f t="shared" si="33"/>
        <v>0.42430671313835433</v>
      </c>
      <c r="AO98" s="115"/>
      <c r="AP98" s="115"/>
      <c r="AQ98" s="115"/>
      <c r="AR98" s="115"/>
      <c r="AS98" s="115"/>
      <c r="AT98" s="115"/>
      <c r="AU98" s="115"/>
      <c r="AV98" s="115"/>
      <c r="AW98" s="115"/>
      <c r="AX98" s="115"/>
      <c r="AY98" s="115"/>
      <c r="AZ98" s="115"/>
      <c r="BA98" s="115"/>
      <c r="BB98" s="115"/>
      <c r="BC98" s="115"/>
      <c r="BD98" s="115"/>
      <c r="BE98" s="115"/>
      <c r="BF98" s="115"/>
      <c r="BG98" s="115"/>
      <c r="BH98" s="115"/>
      <c r="BI98" s="115"/>
      <c r="BJ98" s="115"/>
      <c r="BK98" s="115"/>
      <c r="BL98" s="115"/>
      <c r="BM98" s="115"/>
      <c r="BN98" s="115"/>
      <c r="BO98" s="115"/>
      <c r="BP98" s="115"/>
      <c r="BQ98" s="115"/>
      <c r="BR98" s="115"/>
      <c r="BS98" s="115"/>
      <c r="BT98" s="115"/>
      <c r="BU98" s="115"/>
      <c r="BV98" s="26">
        <f>BW98*$NT98</f>
        <v>1.6778023136617526</v>
      </c>
      <c r="BW98" s="115">
        <f>BP$30*$AN98/$C98</f>
        <v>1.8236981670236441</v>
      </c>
      <c r="BY98" s="143">
        <f>BW98/$OD98</f>
        <v>3.8393645621550405</v>
      </c>
      <c r="BZ98" s="335"/>
      <c r="CA98" s="127"/>
      <c r="CB98" s="127"/>
      <c r="CC98" s="127"/>
      <c r="CD98" s="115"/>
      <c r="CE98" s="115"/>
      <c r="CF98" s="115"/>
      <c r="CG98" s="115"/>
      <c r="CH98" s="115"/>
      <c r="CI98" s="127"/>
      <c r="CJ98" s="26">
        <f>CK98*$NT98</f>
        <v>1.9608364965678473</v>
      </c>
      <c r="CK98" s="115">
        <f>BQ$30*$AN98/$C98</f>
        <v>2.1313440180085297</v>
      </c>
      <c r="CM98" s="143">
        <f>CK98/$OD98</f>
        <v>4.4870400379126947</v>
      </c>
      <c r="CN98" s="335"/>
      <c r="CO98" s="127"/>
      <c r="CP98" s="127"/>
      <c r="CQ98" s="127"/>
      <c r="CW98" s="127"/>
      <c r="CX98" s="26">
        <f>CY98*$NT98</f>
        <v>0.87348818185094568</v>
      </c>
      <c r="CY98" s="115">
        <f>BR$30*$AN98/$C98</f>
        <v>0.94944367592494094</v>
      </c>
      <c r="CZ98" s="37"/>
      <c r="DA98" s="143">
        <f>CY98/$OD98</f>
        <v>1.9988287914209284</v>
      </c>
      <c r="DB98" s="335"/>
      <c r="DC98" s="127"/>
      <c r="DD98" s="127"/>
      <c r="DE98" s="127"/>
      <c r="DF98" s="115"/>
      <c r="DG98" s="115"/>
      <c r="DH98" s="115"/>
      <c r="DI98" s="115"/>
      <c r="DJ98" s="115"/>
      <c r="DK98" s="127"/>
      <c r="DL98" s="26">
        <f>DM98*$NT98</f>
        <v>1.9831624171448883</v>
      </c>
      <c r="DM98" s="115">
        <f>BS$30*$AN98/$C98</f>
        <v>2.1556113229835741</v>
      </c>
      <c r="DN98" s="37"/>
      <c r="DO98" s="143">
        <f>DM98/$OD98</f>
        <v>4.5381291010180504</v>
      </c>
      <c r="DP98" s="335"/>
      <c r="DQ98" s="127"/>
      <c r="DR98" s="127"/>
      <c r="DS98" s="127"/>
      <c r="DT98" s="37"/>
      <c r="DU98" s="37"/>
      <c r="DV98" s="37"/>
      <c r="DW98" s="37"/>
      <c r="DX98" s="37"/>
      <c r="DY98" s="127"/>
      <c r="DZ98" s="26">
        <f>EA98*$NT98</f>
        <v>2.3391248383701861</v>
      </c>
      <c r="EA98" s="115">
        <f>BT$30*$AN98/$C98</f>
        <v>2.5425269982284631</v>
      </c>
      <c r="EC98" s="143">
        <f>EA98/$OD98</f>
        <v>5.3526884173230806</v>
      </c>
      <c r="ED98" s="335"/>
      <c r="EE98" s="127"/>
      <c r="EF98" s="127"/>
      <c r="EG98" s="127"/>
      <c r="EM98" s="127"/>
      <c r="EN98" s="26">
        <f>EO98*$NT98</f>
        <v>0.97156370535289371</v>
      </c>
      <c r="EO98" s="115">
        <f>BU$30*$AN98/$C98</f>
        <v>1.0560475058183627</v>
      </c>
      <c r="EP98" s="37"/>
      <c r="EQ98" s="143">
        <f>EO98/$OD98</f>
        <v>2.223257906986027</v>
      </c>
      <c r="ER98" s="335"/>
      <c r="ES98" s="127"/>
      <c r="ET98" s="127"/>
      <c r="EU98" s="127"/>
      <c r="EV98" s="37"/>
      <c r="EW98" s="37"/>
      <c r="EX98" s="37"/>
      <c r="EY98" s="37"/>
      <c r="EZ98" s="37"/>
      <c r="FA98" s="127"/>
      <c r="FE98" s="26">
        <f>FF98*$NT98</f>
        <v>3.9492836964410558</v>
      </c>
      <c r="FF98" s="115">
        <f>FB$30*$AN98/$C98</f>
        <v>4.2926996700446258</v>
      </c>
      <c r="FH98" s="115">
        <f>FF98/$OD98</f>
        <v>9.0372624632518441</v>
      </c>
      <c r="FI98" s="335"/>
      <c r="FJ98" s="335"/>
      <c r="FK98" s="127"/>
      <c r="FL98" s="26"/>
      <c r="FR98" s="127"/>
      <c r="FS98" s="26">
        <f>FT98*$NT98</f>
        <v>4.658149785540628</v>
      </c>
      <c r="FT98" s="115">
        <f>FC$30*$AN98/$C98</f>
        <v>5.0632062886311173</v>
      </c>
      <c r="FV98" s="115">
        <f>FT98/$OD98</f>
        <v>10.659381660276036</v>
      </c>
      <c r="FW98" s="335"/>
      <c r="FX98" s="335"/>
      <c r="FY98" s="127"/>
      <c r="FZ98" s="26"/>
      <c r="GF98" s="127"/>
      <c r="GG98" s="26">
        <f>GH98*$NT98</f>
        <v>1.9347788504020029</v>
      </c>
      <c r="GH98" s="115">
        <f>FD$30*$AN98/$C98</f>
        <v>2.1030204895673945</v>
      </c>
      <c r="GJ98" s="115">
        <f>GH98/$OD98</f>
        <v>4.4274115569839889</v>
      </c>
      <c r="GK98" s="335"/>
      <c r="GL98" s="335"/>
      <c r="GM98" s="127"/>
      <c r="GN98" s="26"/>
      <c r="GT98" s="127"/>
      <c r="GU98" s="127"/>
      <c r="GV98" s="127"/>
      <c r="GW98" s="127"/>
      <c r="GX98" s="68">
        <f>GZ98*$W98</f>
        <v>3.3777423470259902</v>
      </c>
      <c r="GY98" s="26">
        <f>GZ98*$NT98</f>
        <v>0.40231324026184562</v>
      </c>
      <c r="GZ98" s="127">
        <f>$AN98*GU$30/C98</f>
        <v>0.43729700028461477</v>
      </c>
      <c r="HA98" s="73"/>
      <c r="HB98" s="115">
        <f>GZ98/$OD98</f>
        <v>0.92062526375708376</v>
      </c>
      <c r="HD98" s="115"/>
      <c r="HE98" s="127"/>
      <c r="HF98" s="127"/>
      <c r="HG98" s="127"/>
      <c r="HH98" s="127"/>
      <c r="HI98" s="127"/>
      <c r="HJ98" s="127"/>
      <c r="HK98" s="127"/>
      <c r="HL98" s="127"/>
      <c r="HM98" s="115">
        <f>HN98*$NT98</f>
        <v>0.45711530732587946</v>
      </c>
      <c r="HN98" s="127">
        <f>$AN98*GV$30/C98</f>
        <v>0.49686446448465155</v>
      </c>
      <c r="HO98" s="73"/>
      <c r="HP98" s="115">
        <f>HN98/$OD98</f>
        <v>1.046030451546635</v>
      </c>
      <c r="HR98" s="115"/>
      <c r="HS98" s="127"/>
      <c r="HT98" s="127"/>
      <c r="HU98" s="127"/>
      <c r="HV98" s="127"/>
      <c r="HW98" s="127"/>
      <c r="HX98" s="127"/>
      <c r="HY98" s="127"/>
      <c r="HZ98" s="127"/>
      <c r="IA98" s="115">
        <f>IB98*$NT98</f>
        <v>0.24657292291405652</v>
      </c>
      <c r="IB98" s="127">
        <f>$AN98*GW$30/C98</f>
        <v>0.2680140466457136</v>
      </c>
      <c r="IC98" s="73"/>
      <c r="ID98" s="115">
        <f>IB98/$OD98</f>
        <v>0.56424009820150234</v>
      </c>
      <c r="IE98" s="133"/>
      <c r="IF98" s="115"/>
      <c r="IG98" s="127"/>
      <c r="IH98" s="127"/>
      <c r="II98" s="127"/>
      <c r="IJ98" s="127"/>
      <c r="IK98" s="127"/>
      <c r="IL98" s="127"/>
      <c r="IM98" s="127"/>
      <c r="IN98" s="127"/>
      <c r="IV98" s="335">
        <f>IW98*$NT98</f>
        <v>0.3874994599272617</v>
      </c>
      <c r="IW98" s="330">
        <f>AN98*JK96*C97/C98</f>
        <v>0.42119506513832794</v>
      </c>
      <c r="IX98" s="73"/>
      <c r="IY98" s="115">
        <f>IW98/$OD98</f>
        <v>0.88672645292279573</v>
      </c>
      <c r="IZ98" s="73"/>
      <c r="JA98" s="115"/>
      <c r="JB98" s="115">
        <f>$IW98*JM96/$JK96</f>
        <v>0.37845531809167399</v>
      </c>
      <c r="JC98" s="115">
        <f>$IW98*JN96/$JK96</f>
        <v>3.9306681430651538E-2</v>
      </c>
      <c r="JD98" s="115">
        <f>$IW98*JO96/$JK96</f>
        <v>3.4330656160024239E-3</v>
      </c>
      <c r="JE98" s="60"/>
      <c r="JF98" s="60"/>
      <c r="JG98" s="60"/>
      <c r="JH98" s="60"/>
      <c r="JI98" s="60"/>
      <c r="JJ98" s="60"/>
      <c r="JK98" s="60"/>
      <c r="JL98" s="60"/>
      <c r="JM98" s="123"/>
      <c r="JN98" s="123"/>
      <c r="JO98" s="123"/>
      <c r="JP98" s="123"/>
      <c r="JQ98" s="60"/>
      <c r="JR98" s="60"/>
      <c r="JS98" s="60"/>
      <c r="JT98" s="60"/>
      <c r="JU98" s="60"/>
      <c r="JV98" s="60"/>
      <c r="JW98" s="60"/>
      <c r="JX98" s="60"/>
      <c r="JY98" s="60"/>
      <c r="JZ98" s="60"/>
      <c r="KJ98" s="115">
        <f>BW98*44/12+$IW98+$GZ98</f>
        <v>7.5453853445096382</v>
      </c>
      <c r="KK98" s="74"/>
      <c r="KL98" s="74"/>
      <c r="KM98" s="143">
        <f>KJ98/$OD98</f>
        <v>15.885021777915028</v>
      </c>
      <c r="KN98" s="127"/>
      <c r="KO98" s="74"/>
      <c r="KP98" s="74"/>
      <c r="KQ98" s="74"/>
      <c r="KR98" s="74"/>
      <c r="KS98" s="127"/>
      <c r="KT98" s="115">
        <f>CK98*44/12+$IW98+$HN98</f>
        <v>8.7329875956542562</v>
      </c>
      <c r="KW98" s="143">
        <f>KT98/$OD98</f>
        <v>18.385237043482647</v>
      </c>
      <c r="KX98" s="127"/>
      <c r="LC98" s="127"/>
      <c r="LD98" s="115">
        <f>CY98*44/12+$IW98+$IB98</f>
        <v>4.1705025901754915</v>
      </c>
      <c r="LG98" s="143">
        <f>LD98/$OD98</f>
        <v>8.780005453001035</v>
      </c>
      <c r="LH98" s="127"/>
      <c r="LM98" s="127"/>
      <c r="LN98" s="115">
        <f>DM98*44/12+$IW98+$GZ98</f>
        <v>8.7624002496960482</v>
      </c>
      <c r="LQ98" s="143">
        <f>LN98/$OD98</f>
        <v>18.447158420412734</v>
      </c>
      <c r="LR98" s="127"/>
      <c r="LW98" s="127"/>
      <c r="LX98" s="115">
        <f>EA98*44/12+$IW98+$HN98</f>
        <v>10.240658523127344</v>
      </c>
      <c r="MA98" s="143">
        <f>LX98/$OD98</f>
        <v>21.559281101320725</v>
      </c>
      <c r="MB98" s="127"/>
      <c r="MG98" s="127"/>
      <c r="MH98" s="115">
        <f>EO98*44/12+$IW98+$IB98</f>
        <v>4.5613832997847048</v>
      </c>
      <c r="MK98" s="143">
        <f>MH98/$OD98</f>
        <v>9.6029122100730628</v>
      </c>
      <c r="ML98" s="127"/>
      <c r="MQ98" s="127"/>
      <c r="MW98" s="127"/>
      <c r="MX98" s="127"/>
      <c r="MY98" s="127"/>
      <c r="MZ98" s="127"/>
      <c r="NA98" s="127"/>
      <c r="NB98" s="127"/>
      <c r="NC98" s="127"/>
      <c r="ND98" s="127"/>
      <c r="NE98" s="127"/>
      <c r="NF98" s="127"/>
      <c r="NG98" s="127"/>
      <c r="NH98" s="127"/>
      <c r="NI98" s="127"/>
      <c r="NJ98" s="127"/>
      <c r="NK98" s="127"/>
      <c r="NL98" s="127"/>
      <c r="NM98" s="127"/>
      <c r="NN98" s="127"/>
      <c r="NO98" s="127"/>
      <c r="NP98" s="127"/>
      <c r="NQ98" s="127"/>
      <c r="NT98" s="31">
        <v>0.92</v>
      </c>
      <c r="NU98" s="31"/>
      <c r="NV98" s="32">
        <f>$NT98*NW98</f>
        <v>19.32</v>
      </c>
      <c r="NW98" s="9">
        <v>21</v>
      </c>
      <c r="NX98" s="9"/>
      <c r="NY98" s="9"/>
      <c r="NZ98" s="9"/>
      <c r="OA98" s="32"/>
      <c r="OC98" s="38">
        <f>$NT98*OD98</f>
        <v>0.437</v>
      </c>
      <c r="OD98" s="40">
        <f>OD30/C98</f>
        <v>0.47499999999999998</v>
      </c>
      <c r="OE98" s="38"/>
      <c r="OF98" s="683"/>
    </row>
    <row r="99" spans="1:494" x14ac:dyDescent="0.25">
      <c r="A99" s="37" t="s">
        <v>222</v>
      </c>
      <c r="B99" s="727"/>
      <c r="C99" s="69">
        <f>1-C97-C98</f>
        <v>0.30999999999999994</v>
      </c>
      <c r="D99" s="722"/>
      <c r="E99" s="104"/>
      <c r="F99" s="104"/>
      <c r="G99" s="104"/>
      <c r="H99" s="104"/>
      <c r="I99" s="104"/>
      <c r="J99" s="104"/>
      <c r="K99" s="104"/>
      <c r="L99" s="104"/>
      <c r="M99" s="104"/>
      <c r="N99" s="69"/>
      <c r="V99" s="26"/>
      <c r="W99" s="26"/>
      <c r="X99" s="115"/>
      <c r="Y99" s="26"/>
      <c r="AA99" s="55"/>
      <c r="AB99" s="55"/>
      <c r="AE99" s="74"/>
      <c r="AF99" s="74"/>
      <c r="AG99" s="74"/>
      <c r="AK99" s="722"/>
      <c r="AL99" s="74"/>
      <c r="AO99" s="74"/>
      <c r="AP99" s="74"/>
      <c r="AQ99" s="74"/>
      <c r="AR99" s="74"/>
      <c r="AS99" s="74"/>
      <c r="AT99" s="74"/>
      <c r="AU99" s="74"/>
      <c r="AV99" s="74"/>
      <c r="AW99" s="74"/>
      <c r="AX99" s="74"/>
      <c r="AY99" s="74"/>
      <c r="BJ99" s="74"/>
      <c r="BK99" s="74"/>
      <c r="BL99" s="74"/>
      <c r="BM99" s="74"/>
      <c r="BN99" s="74"/>
      <c r="BO99" s="74"/>
      <c r="BP99" s="74"/>
      <c r="BQ99" s="74"/>
      <c r="BR99" s="74"/>
      <c r="BS99" s="74"/>
      <c r="BT99" s="74"/>
      <c r="BU99" s="74"/>
      <c r="BW99" s="26"/>
      <c r="CA99" s="74"/>
      <c r="CB99" s="74"/>
      <c r="CC99" s="74"/>
      <c r="CD99" s="115"/>
      <c r="CE99" s="115"/>
      <c r="CF99" s="115"/>
      <c r="CG99" s="115"/>
      <c r="CH99" s="115"/>
      <c r="CI99" s="74"/>
      <c r="CK99" s="26"/>
      <c r="CX99" s="37"/>
      <c r="CY99" s="26"/>
      <c r="CZ99" s="37"/>
      <c r="DA99" s="37"/>
      <c r="DB99" s="37"/>
      <c r="DF99" s="115"/>
      <c r="DG99" s="115"/>
      <c r="DH99" s="115"/>
      <c r="DI99" s="115"/>
      <c r="DJ99" s="115"/>
      <c r="DL99" s="37"/>
      <c r="DM99" s="115"/>
      <c r="DN99" s="37"/>
      <c r="DO99" s="37"/>
      <c r="DP99" s="37"/>
      <c r="DT99" s="37"/>
      <c r="DU99" s="37"/>
      <c r="DV99" s="37"/>
      <c r="DW99" s="37"/>
      <c r="DX99" s="37"/>
      <c r="EA99" s="115"/>
      <c r="EN99" s="37"/>
      <c r="EO99" s="115"/>
      <c r="EP99" s="37"/>
      <c r="EQ99" s="37"/>
      <c r="ER99" s="37"/>
      <c r="EV99" s="37"/>
      <c r="EW99" s="37"/>
      <c r="EX99" s="37"/>
      <c r="EY99" s="37"/>
      <c r="EZ99" s="37"/>
      <c r="FF99" s="26"/>
      <c r="FH99" s="74"/>
      <c r="FK99" s="74"/>
      <c r="FR99" s="74"/>
      <c r="FT99" s="26"/>
      <c r="FZ99" s="37"/>
      <c r="GH99" s="26"/>
      <c r="GJ99" s="74"/>
      <c r="GM99" s="74"/>
      <c r="GT99" s="74"/>
      <c r="GU99" s="74"/>
      <c r="GV99" s="74"/>
      <c r="GW99" s="74"/>
      <c r="GX99" s="74"/>
      <c r="HB99" s="74"/>
      <c r="HD99" s="74"/>
      <c r="HE99" s="74"/>
      <c r="HF99" s="74"/>
      <c r="HG99" s="74"/>
      <c r="HH99" s="74"/>
      <c r="HI99" s="74"/>
      <c r="HJ99" s="74"/>
      <c r="HK99" s="74"/>
      <c r="HL99" s="74"/>
      <c r="IA99" s="133"/>
      <c r="IB99" s="133"/>
      <c r="IC99" s="133"/>
      <c r="IE99" s="133"/>
      <c r="KJ99" s="74"/>
      <c r="KK99" s="74"/>
      <c r="KL99" s="74"/>
      <c r="KM99" s="74"/>
      <c r="KN99" s="74"/>
      <c r="KO99" s="74"/>
      <c r="KP99" s="74"/>
      <c r="KQ99" s="74"/>
      <c r="KR99" s="74"/>
      <c r="KS99" s="74"/>
      <c r="NT99" s="31"/>
      <c r="NU99" s="31"/>
      <c r="NV99" s="32"/>
      <c r="NW99" s="9"/>
      <c r="NX99" s="9"/>
      <c r="NY99" s="9"/>
      <c r="NZ99" s="9"/>
      <c r="OA99" s="32"/>
      <c r="OC99" s="38"/>
      <c r="OD99" s="40"/>
      <c r="OE99" s="38"/>
      <c r="OF99" s="683"/>
    </row>
    <row r="100" spans="1:494" x14ac:dyDescent="0.25">
      <c r="B100" s="727"/>
      <c r="AE100" s="74"/>
      <c r="AF100" s="74"/>
      <c r="AG100" s="74"/>
      <c r="AL100" s="74"/>
      <c r="AO100" s="74"/>
      <c r="AP100" s="74"/>
      <c r="AQ100" s="74"/>
      <c r="AR100" s="74"/>
      <c r="AS100" s="74"/>
      <c r="AT100" s="74"/>
      <c r="AU100" s="74"/>
      <c r="AV100" s="74"/>
      <c r="AW100" s="74"/>
      <c r="AX100" s="74"/>
      <c r="AY100" s="74"/>
      <c r="BJ100" s="74"/>
      <c r="BK100" s="74"/>
      <c r="BL100" s="74"/>
      <c r="BM100" s="74"/>
      <c r="BN100" s="74"/>
      <c r="BO100" s="74"/>
      <c r="BP100" s="74"/>
      <c r="BQ100" s="74"/>
      <c r="BR100" s="74"/>
      <c r="BS100" s="74"/>
      <c r="BT100" s="74"/>
      <c r="BU100" s="74"/>
      <c r="BW100" s="26"/>
      <c r="CA100" s="74"/>
      <c r="CB100" s="74"/>
      <c r="CC100" s="74"/>
      <c r="CD100" s="115"/>
      <c r="CE100" s="115"/>
      <c r="CF100" s="115"/>
      <c r="CG100" s="115"/>
      <c r="CH100" s="115"/>
      <c r="CI100" s="74"/>
      <c r="CK100" s="26"/>
      <c r="CX100" s="37"/>
      <c r="CY100" s="26"/>
      <c r="CZ100" s="37"/>
      <c r="DA100" s="37"/>
      <c r="DB100" s="37"/>
      <c r="DF100" s="115"/>
      <c r="DG100" s="115"/>
      <c r="DH100" s="115"/>
      <c r="DI100" s="115"/>
      <c r="DJ100" s="115"/>
      <c r="DL100" s="37"/>
      <c r="DM100" s="115"/>
      <c r="DN100" s="37"/>
      <c r="DO100" s="37"/>
      <c r="DP100" s="37"/>
      <c r="DT100" s="37"/>
      <c r="DU100" s="37"/>
      <c r="DV100" s="37"/>
      <c r="DW100" s="37"/>
      <c r="DX100" s="37"/>
      <c r="EA100" s="115"/>
      <c r="EN100" s="37"/>
      <c r="EO100" s="115"/>
      <c r="EP100" s="37"/>
      <c r="EQ100" s="37"/>
      <c r="ER100" s="37"/>
      <c r="EV100" s="37"/>
      <c r="EW100" s="37"/>
      <c r="EX100" s="37"/>
      <c r="EY100" s="37"/>
      <c r="EZ100" s="37"/>
      <c r="FF100" s="26"/>
      <c r="FH100" s="74"/>
      <c r="FK100" s="74"/>
      <c r="FR100" s="74"/>
      <c r="FT100" s="26"/>
      <c r="FZ100" s="37"/>
      <c r="GH100" s="26"/>
      <c r="GJ100" s="74"/>
      <c r="GM100" s="74"/>
      <c r="GT100" s="74"/>
      <c r="GU100" s="74"/>
      <c r="GV100" s="74"/>
      <c r="GW100" s="74"/>
      <c r="GX100" s="74"/>
      <c r="HB100" s="74"/>
      <c r="HD100" s="74"/>
      <c r="HE100" s="74"/>
      <c r="HF100" s="74"/>
      <c r="HG100" s="74"/>
      <c r="HH100" s="74"/>
      <c r="HI100" s="74"/>
      <c r="HJ100" s="74"/>
      <c r="HK100" s="74"/>
      <c r="HL100" s="74"/>
      <c r="IA100" s="133"/>
      <c r="IB100" s="133"/>
      <c r="IC100" s="133"/>
      <c r="IE100" s="133"/>
      <c r="KJ100" s="74"/>
      <c r="KK100" s="74"/>
      <c r="KL100" s="74"/>
      <c r="KM100" s="74"/>
      <c r="KN100" s="74"/>
      <c r="KO100" s="74"/>
      <c r="KP100" s="74"/>
      <c r="KQ100" s="74"/>
      <c r="KR100" s="74"/>
      <c r="KS100" s="74"/>
    </row>
    <row r="101" spans="1:494" x14ac:dyDescent="0.25">
      <c r="AE101" s="74"/>
      <c r="AF101" s="74"/>
      <c r="AG101" s="74"/>
      <c r="AL101" s="74"/>
      <c r="AO101" s="74"/>
      <c r="AP101" s="74"/>
      <c r="AQ101" s="74"/>
      <c r="AR101" s="74"/>
      <c r="AS101" s="74"/>
      <c r="AT101" s="74"/>
      <c r="AU101" s="74"/>
      <c r="AV101" s="74"/>
      <c r="AW101" s="74"/>
      <c r="AX101" s="74"/>
      <c r="AY101" s="74"/>
      <c r="BJ101" s="74"/>
      <c r="BK101" s="74"/>
      <c r="BL101" s="74"/>
      <c r="BM101" s="74"/>
      <c r="BN101" s="74"/>
      <c r="BO101" s="74"/>
      <c r="BP101" s="74"/>
      <c r="BQ101" s="74"/>
      <c r="BR101" s="74"/>
      <c r="BS101" s="74"/>
      <c r="BT101" s="74"/>
      <c r="BU101" s="74"/>
      <c r="BW101" s="26"/>
      <c r="CA101" s="74"/>
      <c r="CB101" s="74"/>
      <c r="CC101" s="74"/>
      <c r="CD101" s="115"/>
      <c r="CE101" s="115"/>
      <c r="CF101" s="115"/>
      <c r="CG101" s="115"/>
      <c r="CH101" s="115"/>
      <c r="CI101" s="74"/>
      <c r="CK101" s="26"/>
      <c r="CX101" s="37"/>
      <c r="CY101" s="26"/>
      <c r="CZ101" s="37"/>
      <c r="DA101" s="37"/>
      <c r="DB101" s="37"/>
      <c r="DF101" s="115"/>
      <c r="DG101" s="115"/>
      <c r="DH101" s="115"/>
      <c r="DI101" s="115"/>
      <c r="DJ101" s="115"/>
      <c r="DL101" s="37"/>
      <c r="DM101" s="115"/>
      <c r="DN101" s="37"/>
      <c r="DO101" s="37"/>
      <c r="DP101" s="37"/>
      <c r="DT101" s="37"/>
      <c r="DU101" s="37"/>
      <c r="DV101" s="37"/>
      <c r="DW101" s="37"/>
      <c r="DX101" s="37"/>
      <c r="EA101" s="115"/>
      <c r="EN101" s="37"/>
      <c r="EO101" s="115"/>
      <c r="EP101" s="37"/>
      <c r="EQ101" s="37"/>
      <c r="ER101" s="37"/>
      <c r="EV101" s="37"/>
      <c r="EW101" s="37"/>
      <c r="EX101" s="37"/>
      <c r="EY101" s="37"/>
      <c r="EZ101" s="37"/>
      <c r="FF101" s="26"/>
      <c r="FH101" s="74"/>
      <c r="FK101" s="74"/>
      <c r="FR101" s="74"/>
      <c r="FT101" s="26"/>
      <c r="FZ101" s="37"/>
      <c r="GH101" s="26"/>
      <c r="GJ101" s="74"/>
      <c r="GM101" s="74"/>
      <c r="GT101" s="74"/>
      <c r="GU101" s="74"/>
      <c r="GV101" s="74"/>
      <c r="GW101" s="74"/>
      <c r="GX101" s="74"/>
      <c r="HB101" s="74"/>
      <c r="HD101" s="74"/>
      <c r="HE101" s="74"/>
      <c r="HF101" s="74"/>
      <c r="HG101" s="74"/>
      <c r="HH101" s="74"/>
      <c r="HI101" s="74"/>
      <c r="HJ101" s="74"/>
      <c r="HK101" s="74"/>
      <c r="HL101" s="74"/>
      <c r="IA101" s="133"/>
      <c r="IB101" s="133"/>
      <c r="IC101" s="133"/>
      <c r="IE101" s="133"/>
      <c r="KJ101" s="74"/>
      <c r="KK101" s="74"/>
      <c r="KL101" s="74"/>
      <c r="KM101" s="74"/>
      <c r="KN101" s="74"/>
      <c r="KO101" s="74"/>
      <c r="KP101" s="74"/>
      <c r="KQ101" s="74"/>
      <c r="KR101" s="74"/>
      <c r="KS101" s="74"/>
    </row>
    <row r="102" spans="1:494" x14ac:dyDescent="0.25">
      <c r="A102" s="9" t="s">
        <v>223</v>
      </c>
      <c r="AE102" s="74"/>
      <c r="AF102" s="74"/>
      <c r="AG102" s="74"/>
      <c r="AL102" s="74"/>
      <c r="AO102" s="74"/>
      <c r="AP102" s="74"/>
      <c r="AQ102" s="74"/>
      <c r="AR102" s="74"/>
      <c r="AS102" s="74"/>
      <c r="AT102" s="74"/>
      <c r="AU102" s="74"/>
      <c r="AV102" s="74"/>
      <c r="AW102" s="74"/>
      <c r="AX102" s="74"/>
      <c r="AY102" s="74"/>
      <c r="BJ102" s="74"/>
      <c r="BK102" s="74"/>
      <c r="BL102" s="74"/>
      <c r="BM102" s="74"/>
      <c r="BN102" s="74"/>
      <c r="BO102" s="74"/>
      <c r="BP102" s="74"/>
      <c r="BQ102" s="74"/>
      <c r="BR102" s="74"/>
      <c r="BS102" s="74"/>
      <c r="BT102" s="74"/>
      <c r="BU102" s="74"/>
      <c r="BW102" s="26"/>
      <c r="CA102" s="74"/>
      <c r="CB102" s="74"/>
      <c r="CC102" s="74"/>
      <c r="CD102" s="115"/>
      <c r="CE102" s="115"/>
      <c r="CF102" s="115"/>
      <c r="CG102" s="115"/>
      <c r="CH102" s="115"/>
      <c r="CI102" s="74"/>
      <c r="CK102" s="26"/>
      <c r="CX102" s="37"/>
      <c r="CY102" s="26"/>
      <c r="CZ102" s="37"/>
      <c r="DA102" s="37"/>
      <c r="DB102" s="37"/>
      <c r="DF102" s="115"/>
      <c r="DG102" s="115"/>
      <c r="DH102" s="115"/>
      <c r="DI102" s="115"/>
      <c r="DJ102" s="115"/>
      <c r="DL102" s="37"/>
      <c r="DM102" s="115"/>
      <c r="DN102" s="37"/>
      <c r="DO102" s="37"/>
      <c r="DP102" s="37"/>
      <c r="DT102" s="37"/>
      <c r="DU102" s="37"/>
      <c r="DV102" s="37"/>
      <c r="DW102" s="37"/>
      <c r="DX102" s="37"/>
      <c r="EA102" s="115"/>
      <c r="EN102" s="37"/>
      <c r="EO102" s="115"/>
      <c r="EP102" s="37"/>
      <c r="EQ102" s="37"/>
      <c r="ER102" s="37"/>
      <c r="EV102" s="37"/>
      <c r="EW102" s="37"/>
      <c r="EX102" s="37"/>
      <c r="EY102" s="37"/>
      <c r="EZ102" s="37"/>
      <c r="FF102" s="26"/>
      <c r="FH102" s="74"/>
      <c r="FK102" s="74"/>
      <c r="FR102" s="74"/>
      <c r="FT102" s="26"/>
      <c r="FZ102" s="37"/>
      <c r="GH102" s="26"/>
      <c r="GJ102" s="74"/>
      <c r="GM102" s="74"/>
      <c r="GT102" s="74"/>
      <c r="GU102" s="74"/>
      <c r="GV102" s="74"/>
      <c r="GW102" s="74"/>
      <c r="GX102" s="471">
        <f t="shared" ref="GX102" si="34">GX106+GX112+GX116+GX121+GX125</f>
        <v>26.722022849260899</v>
      </c>
      <c r="HB102" s="74"/>
      <c r="HD102" s="74"/>
      <c r="HE102" s="74"/>
      <c r="HF102" s="74"/>
      <c r="HG102" s="74"/>
      <c r="HH102" s="74"/>
      <c r="HI102" s="74"/>
      <c r="HJ102" s="74"/>
      <c r="HK102" s="74"/>
      <c r="HL102" s="74"/>
      <c r="IA102" s="133"/>
      <c r="IB102" s="133"/>
      <c r="IC102" s="133"/>
      <c r="IE102" s="133"/>
      <c r="IO102" s="471">
        <f>IO106+IO112+IO116+IO121+IO125</f>
        <v>106.94642513394446</v>
      </c>
      <c r="IP102" s="68">
        <f t="shared" ref="IP102:IU102" si="35">IP106+IP112+IP116+IP121+IP125</f>
        <v>41.27590420225502</v>
      </c>
      <c r="IQ102" s="68">
        <f t="shared" si="35"/>
        <v>27.626369211689443</v>
      </c>
      <c r="IR102" s="68">
        <f t="shared" si="35"/>
        <v>1.9135199999999997</v>
      </c>
      <c r="IS102" s="589">
        <f t="shared" si="35"/>
        <v>32.983456799999999</v>
      </c>
      <c r="IT102" s="589">
        <f t="shared" si="35"/>
        <v>0.92727731999999996</v>
      </c>
      <c r="IU102" s="589">
        <f t="shared" si="35"/>
        <v>2.2198975999999999</v>
      </c>
      <c r="KJ102" s="74"/>
      <c r="KK102" s="74"/>
      <c r="KL102" s="74"/>
      <c r="KM102" s="74"/>
      <c r="KN102" s="74"/>
      <c r="KO102" s="74"/>
      <c r="KP102" s="74"/>
      <c r="KQ102" s="74"/>
      <c r="KR102" s="74"/>
      <c r="KS102" s="74"/>
    </row>
    <row r="103" spans="1:494" s="54" customFormat="1" x14ac:dyDescent="0.25">
      <c r="A103" s="54" t="s">
        <v>245</v>
      </c>
      <c r="D103" s="131"/>
      <c r="E103" s="133"/>
      <c r="F103" s="133"/>
      <c r="G103" s="133"/>
      <c r="H103" s="133"/>
      <c r="I103" s="133"/>
      <c r="J103" s="133"/>
      <c r="K103" s="133"/>
      <c r="L103" s="133"/>
      <c r="M103" s="133"/>
      <c r="X103" s="732">
        <f>X107+X112+X117</f>
        <v>44.936708860759495</v>
      </c>
      <c r="Y103" s="691">
        <f>Y107+Y112+Y117</f>
        <v>1.0579000000000001</v>
      </c>
      <c r="AE103" s="133"/>
      <c r="AF103" s="133"/>
      <c r="AG103" s="133"/>
      <c r="AH103" s="133"/>
      <c r="AI103" s="133"/>
      <c r="AJ103" s="133"/>
      <c r="AO103" s="133"/>
      <c r="AP103" s="133"/>
      <c r="AQ103" s="133"/>
      <c r="AR103" s="133"/>
      <c r="AS103" s="133"/>
      <c r="AT103" s="133"/>
      <c r="AU103" s="133"/>
      <c r="AV103" s="133"/>
      <c r="AW103" s="133"/>
      <c r="AX103" s="133"/>
      <c r="AY103" s="133"/>
      <c r="AZ103" s="133"/>
      <c r="BA103" s="133"/>
      <c r="BB103" s="133"/>
      <c r="BC103" s="133"/>
      <c r="BD103" s="133"/>
      <c r="BE103" s="133"/>
      <c r="BF103" s="133"/>
      <c r="BG103" s="133"/>
      <c r="BH103" s="133"/>
      <c r="BI103" s="133"/>
      <c r="BJ103" s="133"/>
      <c r="BK103" s="133"/>
      <c r="BL103" s="133"/>
      <c r="BM103" s="133"/>
      <c r="BN103" s="133"/>
      <c r="BO103" s="133"/>
      <c r="BP103" s="133"/>
      <c r="BQ103" s="133"/>
      <c r="BR103" s="133"/>
      <c r="BS103" s="133"/>
      <c r="BT103" s="133"/>
      <c r="BU103" s="133"/>
      <c r="BW103" s="693"/>
      <c r="CA103" s="133"/>
      <c r="CB103" s="133"/>
      <c r="CC103" s="133"/>
      <c r="CD103" s="179"/>
      <c r="CE103" s="179"/>
      <c r="CF103" s="179"/>
      <c r="CG103" s="179"/>
      <c r="CH103" s="179"/>
      <c r="CI103" s="133"/>
      <c r="CK103" s="693"/>
      <c r="CO103" s="133"/>
      <c r="CP103" s="133"/>
      <c r="CQ103" s="133"/>
      <c r="CR103" s="179"/>
      <c r="CS103" s="179"/>
      <c r="CT103" s="179"/>
      <c r="CU103" s="179"/>
      <c r="CV103" s="179"/>
      <c r="CW103" s="133"/>
      <c r="CY103" s="693"/>
      <c r="DC103" s="133"/>
      <c r="DD103" s="133"/>
      <c r="DE103" s="133"/>
      <c r="DF103" s="179"/>
      <c r="DG103" s="179"/>
      <c r="DH103" s="179"/>
      <c r="DI103" s="179"/>
      <c r="DJ103" s="179"/>
      <c r="DK103" s="133"/>
      <c r="DM103" s="179"/>
      <c r="DQ103" s="133"/>
      <c r="DR103" s="133"/>
      <c r="DS103" s="133"/>
      <c r="DY103" s="133"/>
      <c r="EA103" s="179"/>
      <c r="EE103" s="133"/>
      <c r="EF103" s="133"/>
      <c r="EG103" s="133"/>
      <c r="EM103" s="133"/>
      <c r="EO103" s="179"/>
      <c r="ES103" s="133"/>
      <c r="ET103" s="133"/>
      <c r="EU103" s="133"/>
      <c r="FA103" s="133"/>
      <c r="FF103" s="693"/>
      <c r="FH103" s="133"/>
      <c r="FK103" s="133"/>
      <c r="FR103" s="133"/>
      <c r="FT103" s="693"/>
      <c r="FV103" s="133"/>
      <c r="FY103" s="133"/>
      <c r="GF103" s="133"/>
      <c r="GH103" s="693"/>
      <c r="GJ103" s="133"/>
      <c r="GM103" s="133"/>
      <c r="GT103" s="133"/>
      <c r="GU103" s="133"/>
      <c r="GV103" s="133"/>
      <c r="GW103" s="133"/>
      <c r="GX103" s="133"/>
      <c r="GY103" s="133"/>
      <c r="GZ103" s="133"/>
      <c r="HA103" s="133"/>
      <c r="HB103" s="133"/>
      <c r="HC103" s="133"/>
      <c r="HD103" s="133"/>
      <c r="HE103" s="133"/>
      <c r="HF103" s="133"/>
      <c r="HG103" s="133"/>
      <c r="HH103" s="133"/>
      <c r="HI103" s="133"/>
      <c r="HJ103" s="133"/>
      <c r="HK103" s="133"/>
      <c r="HL103" s="133"/>
      <c r="HM103" s="133"/>
      <c r="HN103" s="133"/>
      <c r="HO103" s="133"/>
      <c r="HP103" s="133"/>
      <c r="HQ103" s="133"/>
      <c r="HR103" s="133"/>
      <c r="HS103" s="133"/>
      <c r="HT103" s="133"/>
      <c r="HU103" s="133"/>
      <c r="HV103" s="133"/>
      <c r="HW103" s="133"/>
      <c r="HX103" s="133"/>
      <c r="HY103" s="133"/>
      <c r="HZ103" s="133"/>
      <c r="IA103" s="133"/>
      <c r="IB103" s="133"/>
      <c r="IC103" s="133"/>
      <c r="ID103" s="133"/>
      <c r="IE103" s="133"/>
      <c r="IF103" s="133"/>
      <c r="IG103" s="133"/>
      <c r="IH103" s="133"/>
      <c r="II103" s="133"/>
      <c r="IJ103" s="133"/>
      <c r="IK103" s="133"/>
      <c r="IL103" s="133"/>
      <c r="IM103" s="133"/>
      <c r="IN103" s="133"/>
      <c r="IO103" s="115"/>
      <c r="IP103" s="115"/>
      <c r="IQ103" s="115"/>
      <c r="IR103" s="115"/>
      <c r="IS103" s="115"/>
      <c r="IT103" s="115"/>
      <c r="IU103" s="115"/>
      <c r="IW103" s="133"/>
      <c r="IX103" s="133"/>
      <c r="IY103" s="133"/>
      <c r="IZ103" s="133"/>
      <c r="JA103" s="133"/>
      <c r="JB103" s="133"/>
      <c r="JC103" s="133"/>
      <c r="JD103" s="133"/>
      <c r="JE103" s="133"/>
      <c r="JF103" s="133"/>
      <c r="JG103" s="133"/>
      <c r="JH103" s="133"/>
      <c r="JI103" s="133"/>
      <c r="JJ103" s="133"/>
      <c r="JK103" s="133"/>
      <c r="JL103" s="133"/>
      <c r="JM103" s="133"/>
      <c r="JN103" s="133"/>
      <c r="JO103" s="133"/>
      <c r="JP103" s="133"/>
      <c r="JQ103" s="133"/>
      <c r="JR103" s="133"/>
      <c r="JS103" s="133"/>
      <c r="JT103" s="133"/>
      <c r="JU103" s="133"/>
      <c r="JV103" s="133"/>
      <c r="JW103" s="133"/>
      <c r="JX103" s="133"/>
      <c r="JY103" s="133"/>
      <c r="JZ103" s="133"/>
      <c r="KA103" s="133"/>
      <c r="KB103" s="133"/>
      <c r="KC103" s="133"/>
      <c r="KD103" s="133"/>
      <c r="KE103" s="133"/>
      <c r="KF103" s="133"/>
      <c r="KG103" s="133"/>
      <c r="KH103" s="133"/>
      <c r="KI103" s="133"/>
      <c r="KJ103" s="133"/>
      <c r="KK103" s="133"/>
      <c r="KL103" s="133"/>
      <c r="KM103" s="133"/>
      <c r="KN103" s="133"/>
      <c r="KO103" s="133"/>
      <c r="KP103" s="133"/>
      <c r="KQ103" s="133"/>
      <c r="KR103" s="133"/>
      <c r="KS103" s="133"/>
      <c r="KT103" s="133"/>
      <c r="KU103" s="133"/>
      <c r="KV103" s="133"/>
      <c r="KW103" s="133"/>
      <c r="KX103" s="133"/>
      <c r="KY103" s="133"/>
      <c r="KZ103" s="133"/>
      <c r="LA103" s="133"/>
      <c r="LB103" s="133"/>
      <c r="LC103" s="133"/>
      <c r="LD103" s="133"/>
      <c r="LE103" s="133"/>
      <c r="LF103" s="133"/>
      <c r="LG103" s="133"/>
      <c r="LH103" s="133"/>
      <c r="LI103" s="133"/>
      <c r="LJ103" s="133"/>
      <c r="LK103" s="133"/>
      <c r="LL103" s="133"/>
      <c r="LM103" s="133"/>
      <c r="LN103" s="133"/>
      <c r="LO103" s="133"/>
      <c r="LP103" s="133"/>
      <c r="LQ103" s="133"/>
      <c r="LR103" s="133"/>
      <c r="LS103" s="133"/>
      <c r="LT103" s="133"/>
      <c r="LU103" s="133"/>
      <c r="LV103" s="133"/>
      <c r="LW103" s="133"/>
      <c r="LX103" s="133"/>
      <c r="LY103" s="133"/>
      <c r="LZ103" s="133"/>
      <c r="MA103" s="133"/>
      <c r="MB103" s="133"/>
      <c r="MC103" s="133"/>
      <c r="MD103" s="133"/>
      <c r="ME103" s="133"/>
      <c r="MF103" s="133"/>
      <c r="MG103" s="133"/>
      <c r="MH103" s="133"/>
      <c r="MI103" s="133"/>
      <c r="MJ103" s="133"/>
      <c r="MK103" s="133"/>
      <c r="ML103" s="133"/>
      <c r="MM103" s="133"/>
      <c r="MN103" s="133"/>
      <c r="MO103" s="133"/>
      <c r="MP103" s="133"/>
      <c r="MQ103" s="133"/>
      <c r="MR103" s="133"/>
      <c r="MS103" s="133"/>
      <c r="MT103" s="133"/>
      <c r="MU103" s="133"/>
      <c r="MV103" s="133"/>
      <c r="MW103" s="133"/>
      <c r="MX103" s="133"/>
      <c r="MY103" s="133"/>
      <c r="MZ103" s="133"/>
      <c r="NA103" s="133"/>
      <c r="NB103" s="133"/>
      <c r="NC103" s="133"/>
      <c r="ND103" s="133"/>
      <c r="NE103" s="133"/>
      <c r="NF103" s="133"/>
      <c r="NG103" s="133"/>
      <c r="NH103" s="133"/>
      <c r="NI103" s="133"/>
      <c r="NJ103" s="133"/>
      <c r="NK103" s="133"/>
      <c r="NL103" s="133"/>
      <c r="NM103" s="133"/>
      <c r="NN103" s="133"/>
      <c r="NO103" s="133"/>
      <c r="NP103" s="133"/>
      <c r="NQ103" s="133"/>
      <c r="NR103" s="133"/>
      <c r="NS103" s="133"/>
      <c r="RU103" s="179"/>
      <c r="RV103" s="179"/>
      <c r="RW103" s="179"/>
      <c r="RX103" s="179"/>
      <c r="RY103" s="179"/>
      <c r="RZ103" s="179"/>
    </row>
    <row r="104" spans="1:494" s="133" customFormat="1" x14ac:dyDescent="0.25">
      <c r="A104" s="54" t="s">
        <v>299</v>
      </c>
      <c r="D104" s="132"/>
      <c r="V104" s="690">
        <f>V108+V113+V127</f>
        <v>41.962820699665272</v>
      </c>
      <c r="W104" s="474">
        <f>W108+W113+W127</f>
        <v>38.102856587263005</v>
      </c>
      <c r="X104" s="474"/>
      <c r="Y104" s="179">
        <f>Y108+Y113+Y127</f>
        <v>0.75800363636363632</v>
      </c>
      <c r="AA104" s="474">
        <f>AA108+AA113+AA127</f>
        <v>11.4308569761789</v>
      </c>
      <c r="AB104" s="474"/>
      <c r="BW104" s="179"/>
      <c r="CD104" s="179"/>
      <c r="CE104" s="179"/>
      <c r="CF104" s="179"/>
      <c r="CG104" s="179"/>
      <c r="CH104" s="179"/>
      <c r="CK104" s="179"/>
      <c r="CR104" s="179"/>
      <c r="CS104" s="179"/>
      <c r="CT104" s="179"/>
      <c r="CU104" s="179"/>
      <c r="CV104" s="179"/>
      <c r="CY104" s="179"/>
      <c r="DF104" s="179"/>
      <c r="DG104" s="179"/>
      <c r="DH104" s="179"/>
      <c r="DI104" s="179"/>
      <c r="DJ104" s="179"/>
      <c r="DM104" s="179"/>
      <c r="EA104" s="179"/>
      <c r="EO104" s="179"/>
      <c r="FF104" s="179"/>
      <c r="FT104" s="179"/>
      <c r="GH104" s="179"/>
      <c r="IO104" s="115"/>
      <c r="IP104" s="115"/>
      <c r="IQ104" s="115"/>
      <c r="IR104" s="115"/>
      <c r="IS104" s="115"/>
      <c r="IT104" s="115"/>
      <c r="IU104" s="115"/>
      <c r="JQ104" s="643"/>
      <c r="RU104" s="179"/>
      <c r="RV104" s="179"/>
      <c r="RW104" s="179"/>
      <c r="RX104" s="179"/>
      <c r="RY104" s="179"/>
      <c r="RZ104" s="179"/>
    </row>
    <row r="105" spans="1:494" x14ac:dyDescent="0.25">
      <c r="AE105" s="74"/>
      <c r="AF105" s="74"/>
      <c r="AG105" s="74"/>
      <c r="AN105" s="74"/>
      <c r="AO105" s="74"/>
      <c r="AP105" s="74"/>
      <c r="AQ105" s="74"/>
      <c r="AR105" s="74"/>
      <c r="AS105" s="74"/>
      <c r="AT105" s="74"/>
      <c r="AU105" s="74"/>
      <c r="AV105" s="74"/>
      <c r="AW105" s="74"/>
      <c r="AX105" s="74"/>
      <c r="AY105" s="74"/>
      <c r="BJ105" s="74"/>
      <c r="BK105" s="74"/>
      <c r="BL105" s="74"/>
      <c r="BM105" s="74"/>
      <c r="BN105" s="74"/>
      <c r="BO105" s="74"/>
      <c r="BP105" s="74"/>
      <c r="BQ105" s="74"/>
      <c r="BR105" s="74"/>
      <c r="BS105" s="74"/>
      <c r="BT105" s="74"/>
      <c r="BU105" s="74"/>
      <c r="BW105" s="26"/>
      <c r="CA105" s="74"/>
      <c r="CB105" s="74"/>
      <c r="CC105" s="74"/>
      <c r="CD105" s="115"/>
      <c r="CE105" s="115"/>
      <c r="CF105" s="115"/>
      <c r="CG105" s="115"/>
      <c r="CH105" s="115"/>
      <c r="CI105" s="74"/>
      <c r="CK105" s="26"/>
      <c r="CX105" s="37"/>
      <c r="CY105" s="26"/>
      <c r="CZ105" s="37"/>
      <c r="DA105" s="37"/>
      <c r="DB105" s="37"/>
      <c r="DF105" s="115"/>
      <c r="DG105" s="115"/>
      <c r="DH105" s="115"/>
      <c r="DI105" s="115"/>
      <c r="DJ105" s="115"/>
      <c r="DL105" s="37"/>
      <c r="DM105" s="115"/>
      <c r="DN105" s="37"/>
      <c r="DO105" s="37"/>
      <c r="DP105" s="37"/>
      <c r="DT105" s="133"/>
      <c r="DU105" s="133"/>
      <c r="DV105" s="133"/>
      <c r="DW105" s="133"/>
      <c r="DX105" s="133"/>
      <c r="EA105" s="115"/>
      <c r="EH105" s="133"/>
      <c r="EI105" s="133"/>
      <c r="EJ105" s="133"/>
      <c r="EK105" s="133"/>
      <c r="EL105" s="133"/>
      <c r="EN105" s="37"/>
      <c r="EO105" s="115"/>
      <c r="EP105" s="37"/>
      <c r="EQ105" s="37"/>
      <c r="ER105" s="37"/>
      <c r="EV105" s="133"/>
      <c r="EW105" s="133"/>
      <c r="EX105" s="133"/>
      <c r="EY105" s="133"/>
      <c r="EZ105" s="133"/>
      <c r="FF105" s="26"/>
      <c r="FH105" s="74"/>
      <c r="FK105" s="74"/>
      <c r="FR105" s="74"/>
      <c r="FT105" s="26"/>
      <c r="FZ105" s="37"/>
      <c r="GH105" s="26"/>
      <c r="GJ105" s="74"/>
      <c r="GK105" s="74"/>
      <c r="GM105" s="74"/>
      <c r="GT105" s="74"/>
      <c r="GU105" s="74"/>
      <c r="GV105" s="74"/>
      <c r="GW105" s="74"/>
      <c r="GX105" s="74"/>
      <c r="HB105" s="74"/>
      <c r="HD105" s="74"/>
      <c r="HE105" s="74"/>
      <c r="HF105" s="74"/>
      <c r="HG105" s="74"/>
      <c r="HH105" s="74"/>
      <c r="HI105" s="74"/>
      <c r="HJ105" s="74"/>
      <c r="HK105" s="74"/>
      <c r="HL105" s="74"/>
      <c r="IA105" s="133"/>
      <c r="IB105" s="133"/>
      <c r="IC105" s="133"/>
      <c r="IE105" s="133"/>
      <c r="JQ105" s="179"/>
      <c r="JS105" s="723"/>
      <c r="JU105" s="723"/>
      <c r="JX105" s="723"/>
      <c r="KJ105" s="74"/>
      <c r="KK105" s="74"/>
      <c r="KL105" s="74"/>
      <c r="KM105" s="74"/>
      <c r="KN105" s="74"/>
      <c r="KO105" s="74"/>
      <c r="KP105" s="74"/>
      <c r="KQ105" s="74"/>
      <c r="KR105" s="74"/>
      <c r="KS105" s="74"/>
    </row>
    <row r="106" spans="1:494" x14ac:dyDescent="0.25">
      <c r="A106" s="9" t="s">
        <v>241</v>
      </c>
      <c r="AE106" s="74"/>
      <c r="AF106" s="127"/>
      <c r="AG106" s="74"/>
      <c r="AH106" s="127"/>
      <c r="AJ106" s="127"/>
      <c r="AN106" s="74"/>
      <c r="AO106" s="66"/>
      <c r="AP106" s="66"/>
      <c r="AQ106" s="74"/>
      <c r="AR106" s="74"/>
      <c r="AS106" s="74"/>
      <c r="AT106" s="74"/>
      <c r="AU106" s="74"/>
      <c r="AV106" s="74"/>
      <c r="AW106" s="74"/>
      <c r="AX106" s="74"/>
      <c r="AY106" s="74"/>
      <c r="BJ106" s="74"/>
      <c r="BK106" s="74"/>
      <c r="BL106" s="74"/>
      <c r="BM106" s="74"/>
      <c r="BN106" s="74"/>
      <c r="BO106" s="74"/>
      <c r="BP106" s="74"/>
      <c r="BQ106" s="74"/>
      <c r="BR106" s="74"/>
      <c r="BS106" s="74"/>
      <c r="BT106" s="74"/>
      <c r="BU106" s="74"/>
      <c r="BW106" s="26"/>
      <c r="CA106" s="74"/>
      <c r="CB106" s="74"/>
      <c r="CC106" s="74"/>
      <c r="CD106" s="127"/>
      <c r="CE106" s="115"/>
      <c r="CF106" s="115"/>
      <c r="CG106" s="115"/>
      <c r="CH106" s="115"/>
      <c r="CI106" s="74"/>
      <c r="CK106" s="26"/>
      <c r="CR106" s="127"/>
      <c r="CX106" s="37"/>
      <c r="CY106" s="26"/>
      <c r="CZ106" s="37"/>
      <c r="DA106" s="37"/>
      <c r="DB106" s="37"/>
      <c r="DF106" s="127"/>
      <c r="DG106" s="115"/>
      <c r="DH106" s="115"/>
      <c r="DI106" s="115"/>
      <c r="DJ106" s="115"/>
      <c r="DL106" s="37"/>
      <c r="DM106" s="115"/>
      <c r="DN106" s="37"/>
      <c r="DO106" s="37"/>
      <c r="DP106" s="37"/>
      <c r="EA106" s="115"/>
      <c r="EH106" s="74"/>
      <c r="EI106" s="74"/>
      <c r="EJ106" s="74"/>
      <c r="EK106" s="74"/>
      <c r="EL106" s="74"/>
      <c r="EN106" s="37"/>
      <c r="EO106" s="115"/>
      <c r="EP106" s="37"/>
      <c r="EQ106" s="37"/>
      <c r="ER106" s="37"/>
      <c r="FF106" s="26"/>
      <c r="FH106" s="74"/>
      <c r="FI106" s="74"/>
      <c r="FK106" s="74"/>
      <c r="FR106" s="74"/>
      <c r="FT106" s="26"/>
      <c r="FW106" s="74"/>
      <c r="FZ106" s="37"/>
      <c r="GH106" s="26"/>
      <c r="GJ106" s="74"/>
      <c r="GK106" s="74"/>
      <c r="GM106" s="74"/>
      <c r="GT106" s="74"/>
      <c r="GU106" s="74"/>
      <c r="GV106" s="74"/>
      <c r="GW106" s="74"/>
      <c r="GX106" s="55">
        <f>GX107+GX108</f>
        <v>4.7988111132271563</v>
      </c>
      <c r="GY106" s="73"/>
      <c r="GZ106" s="73"/>
      <c r="HA106" s="73"/>
      <c r="HB106" s="74"/>
      <c r="HC106" s="73"/>
      <c r="HD106" s="74"/>
      <c r="HE106" s="74"/>
      <c r="HF106" s="74"/>
      <c r="HG106" s="74"/>
      <c r="HH106" s="74"/>
      <c r="HI106" s="74"/>
      <c r="HJ106" s="74"/>
      <c r="HK106" s="74"/>
      <c r="HL106" s="74"/>
      <c r="HM106" s="73"/>
      <c r="HN106" s="73"/>
      <c r="HO106" s="73"/>
      <c r="HQ106" s="73"/>
      <c r="IA106" s="73"/>
      <c r="IB106" s="73"/>
      <c r="IC106" s="73"/>
      <c r="IE106" s="73"/>
      <c r="IO106" s="68">
        <f>IP106+IQ106+IR106+IS106+IT106+IU106</f>
        <v>33.741080695764026</v>
      </c>
      <c r="IP106" s="97">
        <f>JS106*$W107</f>
        <v>10.69666827250677</v>
      </c>
      <c r="IQ106" s="97">
        <f>JU106*$W107</f>
        <v>9.2670684232572551</v>
      </c>
      <c r="IR106" s="97">
        <f>JX106*$W107</f>
        <v>0.4631039999999999</v>
      </c>
      <c r="IS106" s="97">
        <f>KB106*$W107</f>
        <v>11.847743999999999</v>
      </c>
      <c r="IT106" s="97">
        <f>KF106*$W107</f>
        <v>0.57888000000000006</v>
      </c>
      <c r="IU106" s="97">
        <f>KH106*$W107</f>
        <v>0.88761599999999996</v>
      </c>
      <c r="JK106" s="115">
        <f>JM106+JN106+JO106</f>
        <v>2.3431306038725017</v>
      </c>
      <c r="JL106" s="673">
        <f>10^3*JK106/NY107</f>
        <v>87.430246413153043</v>
      </c>
      <c r="JM106" s="115">
        <f>JS106+KB106</f>
        <v>1.565584185590748</v>
      </c>
      <c r="JN106" s="115">
        <f>JU106+KF106</f>
        <v>0.68374641828175386</v>
      </c>
      <c r="JO106" s="179">
        <f>JX106+KH106</f>
        <v>9.3799999999999994E-2</v>
      </c>
      <c r="JP106" s="469">
        <f>JK106*C107</f>
        <v>0.88692997354636971</v>
      </c>
      <c r="JQ106" s="115">
        <f>JR106*$NY107/10^3</f>
        <v>1.4185306038725021</v>
      </c>
      <c r="JR106" s="679">
        <f>JT106+JV106+JY106</f>
        <v>52.930246413153057</v>
      </c>
      <c r="JS106" s="724">
        <f>'Crops; pasture AMORTIZED'!FY20/$C107</f>
        <v>0.74282418559074792</v>
      </c>
      <c r="JT106" s="73">
        <f>10^3*JS106/$NY107</f>
        <v>27.717320357863727</v>
      </c>
      <c r="JU106" s="724">
        <f>'Crops; pasture AMORTIZED'!FW20/$C107</f>
        <v>0.64354641828175385</v>
      </c>
      <c r="JV106" s="115">
        <f>10^3*JU106/$NY107</f>
        <v>24.012926055289324</v>
      </c>
      <c r="JW106" s="115">
        <f>10^3*JU106/'Amortization metrics'!$B$6</f>
        <v>2.1595517392005164</v>
      </c>
      <c r="JX106" s="127">
        <f>JY106*$NY107/10^3</f>
        <v>3.2159999999999994E-2</v>
      </c>
      <c r="JY106" s="84">
        <v>1.2</v>
      </c>
      <c r="JZ106" s="115">
        <f>KB106+KF106+KH106</f>
        <v>0.92459999999999998</v>
      </c>
      <c r="KA106" s="679">
        <f>KC106+KG106+KI106</f>
        <v>34.5</v>
      </c>
      <c r="KB106" s="115">
        <f>KC106*$NY107/10^3</f>
        <v>0.82275999999999994</v>
      </c>
      <c r="KC106" s="80">
        <v>30.7</v>
      </c>
      <c r="KD106" s="252">
        <v>1.2</v>
      </c>
      <c r="KE106" s="73">
        <f>KC106/KD106</f>
        <v>25.583333333333332</v>
      </c>
      <c r="KF106" s="127">
        <f>KG106*$NY107/10^3</f>
        <v>4.02E-2</v>
      </c>
      <c r="KG106" s="84">
        <v>1.5</v>
      </c>
      <c r="KH106" s="127">
        <f>KI106*$NY107/10^3</f>
        <v>6.1639999999999993E-2</v>
      </c>
      <c r="KI106" s="84">
        <v>2.2999999999999998</v>
      </c>
      <c r="KJ106" s="74"/>
      <c r="KK106" s="74"/>
      <c r="KL106" s="74"/>
      <c r="KM106" s="74"/>
      <c r="KN106" s="74"/>
      <c r="KO106" s="74"/>
      <c r="KP106" s="74"/>
      <c r="KQ106" s="74"/>
      <c r="KR106" s="74"/>
      <c r="KS106" s="74"/>
      <c r="RK106" s="37"/>
      <c r="RL106" s="37"/>
      <c r="RU106" s="115"/>
      <c r="RV106" s="115"/>
      <c r="RW106" s="115"/>
      <c r="RX106" s="115"/>
      <c r="RY106" s="115"/>
      <c r="RZ106" s="115"/>
    </row>
    <row r="107" spans="1:494" x14ac:dyDescent="0.25">
      <c r="A107" s="37" t="s">
        <v>239</v>
      </c>
      <c r="B107" s="733">
        <f>C107*NT14/NT107</f>
        <v>0.33310067114093955</v>
      </c>
      <c r="C107" s="683">
        <f>D107*NW14/NW107</f>
        <v>0.37852348993288587</v>
      </c>
      <c r="D107" s="134">
        <v>0.6</v>
      </c>
      <c r="E107" s="207">
        <f>X107/((Y107/D107)/NV14)/10^3</f>
        <v>0.4216464191657463</v>
      </c>
      <c r="F107" s="117">
        <f>X107/((Y107/D107)/NW14)/10^3</f>
        <v>0.4791436581428935</v>
      </c>
      <c r="G107" s="460">
        <f>H107*'Crops; pasture AMORTIZED'!HB20</f>
        <v>8.9270979865771807</v>
      </c>
      <c r="H107" s="458">
        <f>F107*NZ107</f>
        <v>10.144429530201341</v>
      </c>
      <c r="I107" s="459"/>
      <c r="K107" s="679">
        <f>10^4*($C107/$NU107)/AB14</f>
        <v>2209.501699372292</v>
      </c>
      <c r="L107" s="73">
        <f>10^4*($C107/$NU107)/AC14</f>
        <v>1985.9546342706649</v>
      </c>
      <c r="M107" s="73">
        <f>10^4*($C107/$NU107)/AD14</f>
        <v>3373.1713533259704</v>
      </c>
      <c r="N107" s="141"/>
      <c r="V107" s="55">
        <f>W107/NT107</f>
        <v>14.4</v>
      </c>
      <c r="W107" s="72">
        <v>14.4</v>
      </c>
      <c r="X107" s="115">
        <f>V107/NU107</f>
        <v>18.227848101265824</v>
      </c>
      <c r="Y107" s="26">
        <f>W107*NW107/10^3</f>
        <v>0.42912</v>
      </c>
      <c r="Z107" s="26"/>
      <c r="AA107" s="26"/>
      <c r="AB107" s="26"/>
      <c r="AE107" s="734">
        <f>AB$14*$AN107/$C107</f>
        <v>3.8622449369255087</v>
      </c>
      <c r="AF107" s="734">
        <f>(AB$14-$C108*$AY108)/$C107</f>
        <v>3.7381016779268701</v>
      </c>
      <c r="AG107" s="115">
        <f>AC$14*$AN107/$C107</f>
        <v>4.2969948075691526</v>
      </c>
      <c r="AH107" s="115">
        <f>(AC$14-$C108*$AY108)/$C107</f>
        <v>4.3829806527149424</v>
      </c>
      <c r="AI107" s="115">
        <f>AD$14*$AN107/$C107</f>
        <v>2.5298556929563385</v>
      </c>
      <c r="AJ107" s="115">
        <f>(AD$14-$C108*$AY108)/$C107</f>
        <v>1.7617242993726012</v>
      </c>
      <c r="AK107" s="722">
        <f>Y107/(Y107+Y108)</f>
        <v>0.6741573033707865</v>
      </c>
      <c r="AL107" s="164">
        <v>0.9</v>
      </c>
      <c r="AM107" s="69">
        <f>V107*AL107/(V107*AL107+V108*AL108)</f>
        <v>0.82219679373420262</v>
      </c>
      <c r="AN107" s="53">
        <f t="shared" ref="AN107:AN108" si="36">AK107</f>
        <v>0.6741573033707865</v>
      </c>
      <c r="AO107" s="252"/>
      <c r="AP107" s="252"/>
      <c r="AQ107" s="115"/>
      <c r="AR107" s="115"/>
      <c r="AS107" s="115"/>
      <c r="AT107" s="115"/>
      <c r="AU107" s="115"/>
      <c r="AV107" s="115"/>
      <c r="AW107" s="115"/>
      <c r="AX107" s="115"/>
      <c r="AY107" s="115"/>
      <c r="AZ107" s="115"/>
      <c r="BA107" s="115"/>
      <c r="BB107" s="115"/>
      <c r="BC107" s="115"/>
      <c r="BD107" s="115"/>
      <c r="BE107" s="115"/>
      <c r="BF107" s="115"/>
      <c r="BG107" s="115"/>
      <c r="BH107" s="115"/>
      <c r="BI107" s="115"/>
      <c r="BJ107" s="252"/>
      <c r="BK107" s="252"/>
      <c r="BL107" s="115"/>
      <c r="BM107" s="115"/>
      <c r="BN107" s="115"/>
      <c r="BO107" s="115"/>
      <c r="BP107" s="115"/>
      <c r="BQ107" s="115"/>
      <c r="BR107" s="115"/>
      <c r="BS107" s="115"/>
      <c r="BT107" s="115"/>
      <c r="BU107" s="115"/>
      <c r="BV107" s="26">
        <f>BW107*$NT107</f>
        <v>1.3739945828376281</v>
      </c>
      <c r="BW107" s="115">
        <f>BP$14*$AN107/$C107</f>
        <v>1.3739945828376281</v>
      </c>
      <c r="BX107" s="74"/>
      <c r="BY107" s="74"/>
      <c r="BZ107" s="73">
        <f>10^3*BW107/$NW107</f>
        <v>46.107200766363356</v>
      </c>
      <c r="CA107" s="115">
        <f>10^3*BW107/$NY107</f>
        <v>51.268454583493586</v>
      </c>
      <c r="CB107" s="115">
        <f>BW107*$NT107*$NU107</f>
        <v>1.0854557204417263</v>
      </c>
      <c r="CC107" s="115">
        <f>CD107*$NT107</f>
        <v>1.3960625735206627</v>
      </c>
      <c r="CD107" s="115">
        <f>BP$14/$C107-$AZ108*$C108/$C107</f>
        <v>1.3960625735206627</v>
      </c>
      <c r="CE107" s="127"/>
      <c r="CF107" s="127"/>
      <c r="CG107" s="73">
        <f>10^3*CD107/$NW107</f>
        <v>46.847737366465189</v>
      </c>
      <c r="CH107" s="685">
        <f>10^3*CD107/$NY107</f>
        <v>52.09188707166652</v>
      </c>
      <c r="CI107" s="115">
        <f>CD107*$NT107*$NU107</f>
        <v>1.1028894330813235</v>
      </c>
      <c r="CJ107" s="115">
        <f>CK107*$NT107</f>
        <v>1.6397798195578286</v>
      </c>
      <c r="CK107" s="115">
        <f>BQ$14*$AN107/$C107</f>
        <v>1.6397798195578286</v>
      </c>
      <c r="CL107" s="74"/>
      <c r="CM107" s="74"/>
      <c r="CN107" s="73">
        <f>10^3*CK107/$NW107</f>
        <v>55.026168441537877</v>
      </c>
      <c r="CO107" s="73">
        <f>10^3*CK107/$NY107</f>
        <v>61.185814162605546</v>
      </c>
      <c r="CP107" s="115">
        <f>CK107*$NT107*$NU107</f>
        <v>1.2954260574506846</v>
      </c>
      <c r="CQ107" s="115">
        <f>CR107*$NT107</f>
        <v>1.7903106746556272</v>
      </c>
      <c r="CR107" s="115">
        <f>BQ$14/$C107-$AZ108*$C108/$C107</f>
        <v>1.7903106746556272</v>
      </c>
      <c r="CS107" s="127"/>
      <c r="CT107" s="127"/>
      <c r="CU107" s="73">
        <f>10^3*CR107/$NW107</f>
        <v>60.077539417974066</v>
      </c>
      <c r="CV107" s="677">
        <f>10^3*CR107/$NY107</f>
        <v>66.802637114015937</v>
      </c>
      <c r="CW107" s="115">
        <f>CR107*$NT107*$NU107</f>
        <v>1.4143454329779455</v>
      </c>
      <c r="CX107" s="115">
        <f>CY107*$NT107</f>
        <v>0.55906632672670342</v>
      </c>
      <c r="CY107" s="115">
        <f>BR$14*$AN107/$C107</f>
        <v>0.55906632672670342</v>
      </c>
      <c r="DB107" s="73">
        <f>10^3*CY107/$NW107</f>
        <v>18.760614990828973</v>
      </c>
      <c r="DC107" s="73">
        <f>10^3*CY107/$NY107</f>
        <v>20.86068383308595</v>
      </c>
      <c r="DD107" s="127">
        <f>CY107*$NT107*$NU107</f>
        <v>0.44166239811409574</v>
      </c>
      <c r="DE107" s="115">
        <f>DF107*$NT107</f>
        <v>0.18725232695612448</v>
      </c>
      <c r="DF107" s="115">
        <f>BR$14/$C107-$AZ108*$C108/$C107</f>
        <v>0.18725232695612448</v>
      </c>
      <c r="DG107" s="127"/>
      <c r="DH107" s="127"/>
      <c r="DI107" s="73">
        <f>10^3*DF107/$NW107</f>
        <v>6.2836351327558546</v>
      </c>
      <c r="DJ107" s="677">
        <f>10^3*DF107/$NY107</f>
        <v>6.9870271252285248</v>
      </c>
      <c r="DK107" s="127">
        <f>DF107*$NT107*$NU107</f>
        <v>0.14792933829533836</v>
      </c>
      <c r="DL107" s="26">
        <f>DM107*$NT107</f>
        <v>1.2875371241463642</v>
      </c>
      <c r="DM107" s="115">
        <f>BS$14*$AN107/$C107</f>
        <v>1.2875371241463642</v>
      </c>
      <c r="DP107" s="73">
        <f>10^3*DM107/$NW107</f>
        <v>43.205943763300816</v>
      </c>
      <c r="DQ107" s="73">
        <f>10^3*DM107/$NY107</f>
        <v>48.042430005461348</v>
      </c>
      <c r="DR107" s="115">
        <f>DM107*$NT107*$NU107</f>
        <v>1.0171543280756279</v>
      </c>
      <c r="DS107" s="26">
        <f>DT107*$NT107</f>
        <v>1.1890323442399029</v>
      </c>
      <c r="DT107" s="115">
        <f>BS$14/$C107-$BB108*$C108/$C107</f>
        <v>1.1890323442399029</v>
      </c>
      <c r="DU107" s="133"/>
      <c r="DV107" s="133"/>
      <c r="DW107" s="73">
        <f>10^3*DT107/$NW107</f>
        <v>39.900414236238348</v>
      </c>
      <c r="DX107" s="677">
        <f>10^3*DT107/$NY107</f>
        <v>44.366878516414282</v>
      </c>
      <c r="DY107" s="115">
        <f>DT107*$NT107*$NU107</f>
        <v>0.93933555194952334</v>
      </c>
      <c r="DZ107" s="26">
        <f>EA107*$NT107</f>
        <v>1.4974911019944639</v>
      </c>
      <c r="EA107" s="115">
        <f>BT$14*$AN107/$C107</f>
        <v>1.4974911019944639</v>
      </c>
      <c r="EB107" s="74"/>
      <c r="EC107" s="74"/>
      <c r="ED107" s="73">
        <f>10^3*EA107/$NW107</f>
        <v>50.251379261559187</v>
      </c>
      <c r="EE107" s="73">
        <f>10^3*EA107/$NY107</f>
        <v>55.876533656509842</v>
      </c>
      <c r="EF107" s="115">
        <f>EA107*$NT107*$NU107</f>
        <v>1.1830179705756265</v>
      </c>
      <c r="EG107" s="115">
        <f>EH107*$NT107</f>
        <v>1.5004640780479175</v>
      </c>
      <c r="EH107" s="115">
        <f>BT$14/$C107-$BB108*$C108/$C107</f>
        <v>1.5004640780479175</v>
      </c>
      <c r="EI107" s="133"/>
      <c r="EJ107" s="133"/>
      <c r="EK107" s="73">
        <f>10^3*EH107/$NW107</f>
        <v>50.351143558654947</v>
      </c>
      <c r="EL107" s="677">
        <f>10^3*EH107/$NY107</f>
        <v>55.987465598802885</v>
      </c>
      <c r="EM107" s="115">
        <f>EH107*$NT107*$NU107</f>
        <v>1.1853666216578549</v>
      </c>
      <c r="EN107" s="26">
        <f>EO107*$NT107</f>
        <v>0.64408570367970464</v>
      </c>
      <c r="EO107" s="115">
        <f>BU$14*$AN107/$C107</f>
        <v>0.64408570367970464</v>
      </c>
      <c r="EP107" s="37"/>
      <c r="ER107" s="73">
        <f>10^3*EO107/$NW107</f>
        <v>21.61361421743975</v>
      </c>
      <c r="ES107" s="73">
        <f>10^3*EO107/$NY107</f>
        <v>24.033048644765096</v>
      </c>
      <c r="ET107" s="115">
        <f>EO107*$NT107*$NU107</f>
        <v>0.50882770590696669</v>
      </c>
      <c r="EU107" s="115">
        <f>EV107*$NT107</f>
        <v>0.23457940388102438</v>
      </c>
      <c r="EV107" s="115">
        <f>BU$14/$C107-$BB108*$C108/$C107</f>
        <v>0.23457940388102438</v>
      </c>
      <c r="EW107" s="133"/>
      <c r="EX107" s="133"/>
      <c r="EY107" s="73">
        <f>10^3*EV107/$NW107</f>
        <v>7.871792076544442</v>
      </c>
      <c r="EZ107" s="677">
        <f>10^3*EV107/$NY107</f>
        <v>8.752962831381506</v>
      </c>
      <c r="FA107" s="115">
        <f>EV107*$NT107*$NU107</f>
        <v>0.18531772906600927</v>
      </c>
      <c r="FE107" s="26">
        <f>FF107*$NT107</f>
        <v>2.5640105565707398</v>
      </c>
      <c r="FF107" s="115">
        <f>FB$14*$AN107/$C107</f>
        <v>2.5640105565707398</v>
      </c>
      <c r="FH107" s="74"/>
      <c r="FI107" s="73">
        <f>10^3*FF107/$NW107</f>
        <v>86.04062270371611</v>
      </c>
      <c r="FJ107" s="73">
        <f>10^3*FE107/$NY107</f>
        <v>95.672035692938053</v>
      </c>
      <c r="FK107" s="115">
        <f>FF107*$NT107*$NU107</f>
        <v>2.0255683396908846</v>
      </c>
      <c r="FL107" s="26">
        <f>FM107*$NT107</f>
        <v>2.5933043672129612</v>
      </c>
      <c r="FM107" s="115">
        <f>FB$14/$C107-$BC108*$C108/$C107</f>
        <v>2.5933043672129612</v>
      </c>
      <c r="FP107" s="73">
        <f>10^3*FM107/$NW107</f>
        <v>87.023636483656404</v>
      </c>
      <c r="FQ107" s="562">
        <f>10^3*FL107/$NY107</f>
        <v>96.765088328841827</v>
      </c>
      <c r="FR107" s="115">
        <f>FM107*$NT107*$NU107</f>
        <v>2.0487104500982394</v>
      </c>
      <c r="FS107" s="26">
        <f>FT107*$NT107</f>
        <v>2.9821143964529924</v>
      </c>
      <c r="FT107" s="115">
        <f>FC$14*$AN107/$C107</f>
        <v>2.9821143964529924</v>
      </c>
      <c r="FW107" s="73">
        <f>10^3*FT107/$NW107</f>
        <v>100.07095290110712</v>
      </c>
      <c r="FX107" s="73">
        <f>10^3*FS107/$NY107</f>
        <v>111.27292524078329</v>
      </c>
      <c r="FY107" s="115">
        <f>FT107*$NT107*$NU107</f>
        <v>2.3558703731978641</v>
      </c>
      <c r="FZ107" s="26">
        <f>GA107*$NT107</f>
        <v>3.2134917297049688</v>
      </c>
      <c r="GA107" s="115">
        <f>FC$14/$C107-$BC108*$C108/$C107</f>
        <v>3.2134917297049688</v>
      </c>
      <c r="GD107" s="562">
        <f>10^3*GA107/$NW107</f>
        <v>107.83529294311975</v>
      </c>
      <c r="GE107" s="73">
        <f>10^3*FZ107/$NY107</f>
        <v>119.90640782481226</v>
      </c>
      <c r="GF107" s="115">
        <f>GA107*$NT107*$NU107</f>
        <v>2.5386584664669254</v>
      </c>
      <c r="GG107" s="26">
        <f>GH107*$NT107</f>
        <v>1.2826368363288636</v>
      </c>
      <c r="GH107" s="115">
        <f>FD$14*$AN107/$C107</f>
        <v>1.2826368363288636</v>
      </c>
      <c r="GJ107" s="74"/>
      <c r="GK107" s="73">
        <f>10^3*GH107/$NW107</f>
        <v>43.041504574794082</v>
      </c>
      <c r="GL107" s="73">
        <f>10^3*GG107/$NY107</f>
        <v>47.85958344510685</v>
      </c>
      <c r="GM107" s="115">
        <f>GH107*$NT107*$NU107</f>
        <v>1.0132831006998022</v>
      </c>
      <c r="GN107" s="26">
        <f>GO107*$NT107</f>
        <v>0.69260001552084471</v>
      </c>
      <c r="GO107" s="115">
        <f>FD$14/$C107-$BC108*$C108/$C107</f>
        <v>0.69260001552084471</v>
      </c>
      <c r="GR107" s="562">
        <f>10^3*GO107/$NW107</f>
        <v>23.241611259088749</v>
      </c>
      <c r="GS107" s="73">
        <f>10^3*GN107/$NY107</f>
        <v>25.843284161225551</v>
      </c>
      <c r="GT107" s="115">
        <f>GO107*$NT107*$NU107</f>
        <v>0.54715401226146732</v>
      </c>
      <c r="GU107" s="115"/>
      <c r="GV107" s="115"/>
      <c r="GW107" s="115"/>
      <c r="GX107" s="68">
        <f>GZ107*$W107</f>
        <v>3.2351535594789818</v>
      </c>
      <c r="GY107" s="26">
        <f>GZ107*$NT107</f>
        <v>0.22466344163048485</v>
      </c>
      <c r="GZ107" s="127">
        <f>$AN107*GU$14/C107</f>
        <v>0.22466344163048485</v>
      </c>
      <c r="HB107" s="74"/>
      <c r="HC107" s="73">
        <f>10^3*GZ107/$NW107</f>
        <v>7.539041665452511</v>
      </c>
      <c r="HD107" s="115">
        <f>10^3*GZ107/$NY107</f>
        <v>8.3829642399434636</v>
      </c>
      <c r="HE107" s="115">
        <f>GZ107*$NT107*$NU107</f>
        <v>0.17748411888808305</v>
      </c>
      <c r="HF107" s="335">
        <f>HG107*$NT107</f>
        <v>0.21912026813441726</v>
      </c>
      <c r="HG107" s="127">
        <f>GU$14/$C107-$BI108*$C108/$C107</f>
        <v>0.21912026813441726</v>
      </c>
      <c r="HH107" s="115"/>
      <c r="HI107" s="115"/>
      <c r="HJ107" s="73">
        <f>10^3*HG107/$NW107</f>
        <v>7.3530291320274248</v>
      </c>
      <c r="HK107" s="110">
        <f>10^3*HG107/$NY107</f>
        <v>8.1761294080006444</v>
      </c>
      <c r="HL107" s="115">
        <f>HG107*$NT107*$NU107</f>
        <v>0.17310501182618965</v>
      </c>
      <c r="HM107" s="115">
        <f>HN107*$NT107</f>
        <v>0.27615149160744423</v>
      </c>
      <c r="HN107" s="127">
        <f>$AN107*GV$14/C107</f>
        <v>0.27615149160744423</v>
      </c>
      <c r="HQ107" s="73">
        <f>10^3*HN107/$NW107</f>
        <v>9.2668285774310153</v>
      </c>
      <c r="HR107" s="73">
        <f>10^3*HN107/$NY107</f>
        <v>10.304160134606128</v>
      </c>
      <c r="HS107" s="115">
        <f>HN107*$NT107*$NU107</f>
        <v>0.21815967836988095</v>
      </c>
      <c r="HT107" s="335">
        <f>HU107*$NT107</f>
        <v>0.29549420893357364</v>
      </c>
      <c r="HU107" s="127">
        <f>GV$14/$C107-$BI108*$C108/$C107</f>
        <v>0.29549420893357364</v>
      </c>
      <c r="HV107" s="115"/>
      <c r="HW107" s="115"/>
      <c r="HX107" s="73">
        <f>10^3*HU107/$NW107</f>
        <v>9.9159130514622031</v>
      </c>
      <c r="HY107" s="110">
        <f>10^3*HU107/$NY107</f>
        <v>11.025903318416926</v>
      </c>
      <c r="HZ107" s="115">
        <f>HU107*$NT107*$NU107</f>
        <v>0.23344042505752319</v>
      </c>
      <c r="IA107" s="115">
        <f>IB107*$NT107</f>
        <v>6.6866674766166631E-2</v>
      </c>
      <c r="IB107" s="127">
        <f>$AN107*GW$14/C107</f>
        <v>6.6866674766166631E-2</v>
      </c>
      <c r="IC107" s="133"/>
      <c r="IE107" s="73">
        <f>10^3*IB107/$NW107</f>
        <v>2.2438481465156586</v>
      </c>
      <c r="IF107" s="73">
        <f>10^3*IB107/$NY107</f>
        <v>2.495025177842038</v>
      </c>
      <c r="IG107" s="115">
        <f>IB107*$NT107*$NU107</f>
        <v>5.2824673065271638E-2</v>
      </c>
      <c r="IH107" s="335">
        <f>II107*$NT107</f>
        <v>-1.4944936047654789E-2</v>
      </c>
      <c r="II107" s="127">
        <f>GW$14/$C107-$BI108*$C108/$C107</f>
        <v>-1.4944936047654789E-2</v>
      </c>
      <c r="IJ107" s="115"/>
      <c r="IK107" s="115"/>
      <c r="IL107" s="73">
        <f>10^3*II107/$NW107</f>
        <v>-0.50150792106224118</v>
      </c>
      <c r="IM107" s="110">
        <f>10^3*II107/$NY107</f>
        <v>-0.55764686744980552</v>
      </c>
      <c r="IN107" s="115">
        <f>II107*$NT107*$NU107</f>
        <v>-1.1806499477647284E-2</v>
      </c>
      <c r="IV107" s="26">
        <f>IW107*$NT107</f>
        <v>1.5796386093522483</v>
      </c>
      <c r="IW107" s="115">
        <f>AN107*JK106</f>
        <v>1.5796386093522483</v>
      </c>
      <c r="IX107" s="73"/>
      <c r="IZ107" s="73">
        <f>AN107*JL106</f>
        <v>58.941739154934631</v>
      </c>
      <c r="JA107" s="115">
        <f>IW107*$NT107*$NU107</f>
        <v>1.2479145013882762</v>
      </c>
      <c r="JB107" s="115">
        <f>$IW107*JM106/$JK106</f>
        <v>1.0554500127578075</v>
      </c>
      <c r="JC107" s="115">
        <f>$IW107*JN106/$JK106</f>
        <v>0.46095264153826099</v>
      </c>
      <c r="JD107" s="115">
        <f>$IW107*JO106/$JK106</f>
        <v>6.323595505617978E-2</v>
      </c>
      <c r="JE107" s="115">
        <f>JF107*$NT107</f>
        <v>1.9276583820096276</v>
      </c>
      <c r="JF107" s="115">
        <f>JK106-BO108*C108/C107</f>
        <v>1.9276583820096276</v>
      </c>
      <c r="JG107" s="73"/>
      <c r="JH107" s="73"/>
      <c r="JI107" s="673">
        <f>10^3*JF107/NY107</f>
        <v>71.927551567523409</v>
      </c>
      <c r="JJ107" s="115">
        <f>JF107*$NT107*$NU107</f>
        <v>1.5228501217876058</v>
      </c>
      <c r="JL107" s="115"/>
      <c r="JQ107" s="133"/>
      <c r="JS107" s="133"/>
      <c r="JU107" s="133"/>
      <c r="KJ107" s="115">
        <f>BW107*44/12+$IW107+$GZ107</f>
        <v>6.8422821880540354</v>
      </c>
      <c r="KK107" s="73">
        <f>10^3*KJ107/$NY107</f>
        <v>255.30903686768787</v>
      </c>
      <c r="KL107" s="74"/>
      <c r="KM107" s="74"/>
      <c r="KN107" s="115">
        <f>KJ107*$NT107*$NU107</f>
        <v>5.4054029285626886</v>
      </c>
      <c r="KO107" s="115">
        <f>CD107*44/12+$JF107+$HF107</f>
        <v>7.2656747530531414</v>
      </c>
      <c r="KP107" s="677">
        <f>10^3*KO107/$NY107</f>
        <v>271.10726690496796</v>
      </c>
      <c r="KQ107" s="74"/>
      <c r="KR107" s="74"/>
      <c r="KS107" s="115">
        <f>KO107*$NT107*$NU107</f>
        <v>5.7398830549119824</v>
      </c>
      <c r="KT107" s="115">
        <f>CK107*44/12+$IW107+$HN107</f>
        <v>7.8683161060050635</v>
      </c>
      <c r="KU107" s="73">
        <f>10^3*KT107/$NY107</f>
        <v>293.59388455242771</v>
      </c>
      <c r="KX107" s="115">
        <f>KT107*$NT107*$NU107</f>
        <v>6.2159697237440001</v>
      </c>
      <c r="KY107" s="115">
        <f>CR107*44/12+$JF107+$HU107</f>
        <v>8.7876250646805012</v>
      </c>
      <c r="KZ107" s="677">
        <f>10^3*KY107/$NY107</f>
        <v>327.89645763733216</v>
      </c>
      <c r="LC107" s="115">
        <f>KY107*$NT107*$NU107</f>
        <v>6.9422238010975965</v>
      </c>
      <c r="LD107" s="115">
        <f>CY107*44/12+$IW107+$IB107</f>
        <v>3.6964151487829939</v>
      </c>
      <c r="LE107" s="73">
        <f>10^3*LD107/$NY107</f>
        <v>137.92593838742513</v>
      </c>
      <c r="LH107" s="115">
        <f>LD107*$NT107*$NU107</f>
        <v>2.9201679675385654</v>
      </c>
      <c r="LI107" s="115">
        <f>DF107*44/12+$JF107+$II107</f>
        <v>2.5993053114677624</v>
      </c>
      <c r="LJ107" s="677">
        <f>10^3*LI107/$NY107</f>
        <v>96.989004159244857</v>
      </c>
      <c r="LM107" s="115">
        <f>LI107*$NT107*$NU107</f>
        <v>2.0534511960595325</v>
      </c>
      <c r="LN107" s="115">
        <f>DM107*44/12+$IW107+$GZ107</f>
        <v>6.5252715061860691</v>
      </c>
      <c r="LO107" s="73">
        <f>10^3*LN107/$NY107</f>
        <v>243.48028008156973</v>
      </c>
      <c r="LR107" s="115">
        <f>LN107*$NT107*$NU107</f>
        <v>5.1549644898869946</v>
      </c>
      <c r="LS107" s="115">
        <f>DT107*44/12+$JF107+$HN107</f>
        <v>6.5635951358300488</v>
      </c>
      <c r="LT107" s="677">
        <f>10^3*LS107/$NY107</f>
        <v>244.91026626231525</v>
      </c>
      <c r="LW107" s="115">
        <f>LS107*$NT107*$NU107</f>
        <v>5.1852401573057385</v>
      </c>
      <c r="LX107" s="115">
        <f>EA107*44/12+$IW107+$HN107</f>
        <v>7.3465908082727269</v>
      </c>
      <c r="LY107" s="73">
        <f>10^3*LX107/$NY107</f>
        <v>274.12652269674356</v>
      </c>
      <c r="MB107" s="115">
        <f>LX107*$NT107*$NU107</f>
        <v>5.8038067385354548</v>
      </c>
      <c r="MC107" s="115">
        <f>EH107*44/12+$JF107+$HN107</f>
        <v>7.7055114931261022</v>
      </c>
      <c r="MD107" s="677">
        <f>10^3*MC107/$NY107</f>
        <v>287.51908556440679</v>
      </c>
      <c r="MG107" s="115">
        <f>MC107*$NT107*$NU107</f>
        <v>6.0873540795696206</v>
      </c>
      <c r="MH107" s="115">
        <f>EO107*44/12+$IW107+$IB107</f>
        <v>4.0081528642773323</v>
      </c>
      <c r="MI107" s="73">
        <f>10^3*MH107/$NY107</f>
        <v>149.55794269691538</v>
      </c>
      <c r="ML107" s="115">
        <f>MH107*$NT107*$NU107</f>
        <v>3.1664407627790925</v>
      </c>
      <c r="MM107" s="115">
        <f>EV107*44/12+$JF107+$HN107</f>
        <v>3.0639343545141613</v>
      </c>
      <c r="MN107" s="677">
        <f>10^3*MM107/$NY107</f>
        <v>114.32590875052841</v>
      </c>
      <c r="MQ107" s="115">
        <f>MM107*$NT107*$NU107</f>
        <v>2.4205081400661874</v>
      </c>
      <c r="MR107" s="295">
        <v>86</v>
      </c>
      <c r="MS107" s="73">
        <f>KK107-$MR107</f>
        <v>169.30903686768787</v>
      </c>
      <c r="MT107" s="115">
        <f>MS107*$NZ107/10^3</f>
        <v>3.5846109285626877</v>
      </c>
      <c r="MU107" s="676">
        <f>KP107-$MR107</f>
        <v>185.10726690496796</v>
      </c>
      <c r="MV107" s="115">
        <f>MU107*$NZ107/10^3</f>
        <v>3.9190910549119815</v>
      </c>
      <c r="MW107" s="73">
        <f>KU107-$MR107</f>
        <v>207.59388455242771</v>
      </c>
      <c r="MX107" s="115">
        <f>MW107*$NZ107/10^3</f>
        <v>4.3951777237439993</v>
      </c>
      <c r="MY107" s="676">
        <f>KZ107-$MR107</f>
        <v>241.89645763733216</v>
      </c>
      <c r="MZ107" s="115">
        <f>MY107*$NZ107/10^3</f>
        <v>5.1214318010975965</v>
      </c>
      <c r="NA107" s="73">
        <f>LE107-$MR107</f>
        <v>51.925938387425134</v>
      </c>
      <c r="NB107" s="115">
        <f>NA107*$NZ107/10^3</f>
        <v>1.099375967538565</v>
      </c>
      <c r="NC107" s="676">
        <f>LJ107-$MR107</f>
        <v>10.989004159244857</v>
      </c>
      <c r="ND107" s="115">
        <f>NC107*$NZ107/10^3</f>
        <v>0.23265919605953211</v>
      </c>
      <c r="NE107" s="73">
        <f>LO107-$MR107</f>
        <v>157.48028008156973</v>
      </c>
      <c r="NF107" s="115">
        <f>NE107*$NZ107/10^3</f>
        <v>3.3341724898869942</v>
      </c>
      <c r="NG107" s="676">
        <f>LT107-$MR107</f>
        <v>158.91026626231525</v>
      </c>
      <c r="NH107" s="115">
        <f>NG107*$NZ107/10^3</f>
        <v>3.3644481573057381</v>
      </c>
      <c r="NI107" s="73">
        <f>LY107-$MR107</f>
        <v>188.12652269674356</v>
      </c>
      <c r="NJ107" s="115">
        <f>NI107*$NZ107/10^3</f>
        <v>3.9830147385354548</v>
      </c>
      <c r="NK107" s="676">
        <f>MD107-$MR107</f>
        <v>201.51908556440679</v>
      </c>
      <c r="NL107" s="115">
        <f>NK107*$NZ107/10^3</f>
        <v>4.2665620795696206</v>
      </c>
      <c r="NM107" s="73">
        <f>MI107-$MR107</f>
        <v>63.557942696915376</v>
      </c>
      <c r="NN107" s="115">
        <f>NM107*$NZ107/10^3</f>
        <v>1.3456487627790923</v>
      </c>
      <c r="NO107" s="676">
        <f>MN107-$MR107</f>
        <v>28.325908750528413</v>
      </c>
      <c r="NP107" s="115">
        <f>NO107*$NZ107/10^3</f>
        <v>0.59971614006618756</v>
      </c>
      <c r="NQ107" s="73">
        <f>44/12*CA107*'Amortization metrics'!$D$4/($MR107-$IZ107)</f>
        <v>208.42174729839587</v>
      </c>
      <c r="NR107" s="73">
        <f>44/12*CO107*'Amortization metrics'!$D$4/($MR107-$IZ107)</f>
        <v>248.73880832271021</v>
      </c>
      <c r="NS107" s="73">
        <f>44/12*DC107*'Amortization metrics'!$D$4/($MR107-$IZ107)</f>
        <v>84.804978220096359</v>
      </c>
      <c r="NT107" s="31">
        <v>1</v>
      </c>
      <c r="NU107" s="103">
        <v>0.79</v>
      </c>
      <c r="NV107" s="32">
        <f>$NT107*NW107</f>
        <v>29.8</v>
      </c>
      <c r="NW107" s="9">
        <v>29.8</v>
      </c>
      <c r="NX107" s="26">
        <f>NV107*NU107</f>
        <v>23.542000000000002</v>
      </c>
      <c r="NY107" s="9">
        <v>26.8</v>
      </c>
      <c r="NZ107" s="26">
        <f>NY107*NT107*NU107</f>
        <v>21.172000000000001</v>
      </c>
    </row>
    <row r="108" spans="1:494" x14ac:dyDescent="0.25">
      <c r="A108" s="37" t="s">
        <v>300</v>
      </c>
      <c r="B108" s="468">
        <f>C108*NT14/NT108</f>
        <v>0.25932346616065777</v>
      </c>
      <c r="C108" s="683">
        <f>D108*NW14/NW108</f>
        <v>0.27405775401069515</v>
      </c>
      <c r="D108" s="134">
        <v>0.28999999999999998</v>
      </c>
      <c r="E108" s="468"/>
      <c r="F108" s="468"/>
      <c r="G108" s="468"/>
      <c r="H108" s="468"/>
      <c r="I108" s="127">
        <f>J108*NZ107</f>
        <v>0.61502589461982249</v>
      </c>
      <c r="J108" s="117">
        <f>V108/(10^3*Y107*NY107/NW107)</f>
        <v>2.9049022039477731E-2</v>
      </c>
      <c r="K108" s="122"/>
      <c r="L108" s="122"/>
      <c r="M108" s="122"/>
      <c r="V108" s="55">
        <f>W108/NT108</f>
        <v>11.210598585475246</v>
      </c>
      <c r="W108" s="26">
        <f>10^3*Y108/NW108</f>
        <v>10.425856684491979</v>
      </c>
      <c r="X108" s="115"/>
      <c r="Y108" s="26">
        <f>D108/D107*Y107</f>
        <v>0.20740800000000001</v>
      </c>
      <c r="Z108" s="26"/>
      <c r="AA108" s="26">
        <f>W108*OD108</f>
        <v>3.1277570053475938</v>
      </c>
      <c r="AB108" s="26"/>
      <c r="AE108" s="115">
        <f>AB$14*$AN108/$C108</f>
        <v>2.5783228730725054</v>
      </c>
      <c r="AF108" s="115"/>
      <c r="AG108" s="115">
        <f>AC$14*$AN108/$C108</f>
        <v>2.8685492967850625</v>
      </c>
      <c r="AH108" s="115"/>
      <c r="AI108" s="115">
        <f>AD$14*$AN108/$C108</f>
        <v>1.6888583984822052</v>
      </c>
      <c r="AJ108" s="115"/>
      <c r="AK108" s="722">
        <f>1-AK107</f>
        <v>0.3258426966292135</v>
      </c>
      <c r="AL108" s="164">
        <v>0.25</v>
      </c>
      <c r="AM108" s="69">
        <f>V108*AL108/(V107*AL107+V108*AL108)</f>
        <v>0.17780320626579735</v>
      </c>
      <c r="AN108" s="53">
        <f t="shared" si="36"/>
        <v>0.3258426966292135</v>
      </c>
      <c r="AO108" s="453">
        <v>0.68799999999999994</v>
      </c>
      <c r="AP108" s="453">
        <v>9.5000000000000001E-2</v>
      </c>
      <c r="AQ108" s="453">
        <v>0.114</v>
      </c>
      <c r="AR108" s="83">
        <v>6.8000000000000005E-2</v>
      </c>
      <c r="AS108" s="122">
        <f>1-AO108-AP108-AQ108-AR108</f>
        <v>3.5000000000000045E-2</v>
      </c>
      <c r="AT108" s="115">
        <f>AO108*AB$14</f>
        <v>1.4919691480480091</v>
      </c>
      <c r="AU108" s="115">
        <f>AP108*AB$16</f>
        <v>0.34274388308262443</v>
      </c>
      <c r="AV108" s="115">
        <f>AQ108*AE$80</f>
        <v>0.4352282739756092</v>
      </c>
      <c r="AW108" s="115">
        <f>AR108*AE$90</f>
        <v>0.28151291524141003</v>
      </c>
      <c r="AX108" s="115">
        <f>AS108*AE$127</f>
        <v>0.19833302094693517</v>
      </c>
      <c r="AY108" s="91">
        <f>AT108+AU108+AV108+AW108+AX108</f>
        <v>2.7497872412945878</v>
      </c>
      <c r="AZ108" s="735">
        <f>AT108*BP$14/AB$14+AU108*BP$16/AB$16+AV108*BW$80/AE$80+AW108*BW$90/AE$90+AX108*BW$127/AE$127</f>
        <v>0.88675909428776922</v>
      </c>
      <c r="BA108" s="127" t="e">
        <f>AT108*#REF!/AB$14+AU108*#REF!/AB$16+AV108*#REF!/AE$80+AW108*#REF!/AE$90+AX108*#REF!/AE$127</f>
        <v>#REF!</v>
      </c>
      <c r="BB108" s="735">
        <f>AU108*BS$14/AB$14+AV108*BS$16/AB$16+AW108*DM$80/AE$80+AX108*DM$90/AE$90+AY108*DM$127/AE$127</f>
        <v>0.9955754744021319</v>
      </c>
      <c r="BC108" s="115">
        <f>AT108*FB$14/AB$14+AU108*FB$16/AB$16+AV108*FF$80/AE$80+AW108*FF$90/AE$90+AX108*FF$127/AE$127</f>
        <v>1.6711991280679466</v>
      </c>
      <c r="BD108" s="172">
        <f>AO108*'Crops; pasture AMORTIZED'!EK$20</f>
        <v>8.678655266068977E-2</v>
      </c>
      <c r="BE108" s="172">
        <f>AP108*'Crops; pasture AMORTIZED'!EK$22</f>
        <v>1.2093902463332829E-2</v>
      </c>
      <c r="BF108" s="127">
        <f>AQ108*GZ$80</f>
        <v>1.7275633084001072E-2</v>
      </c>
      <c r="BG108" s="127">
        <f>AR108*GZ$90</f>
        <v>3.0690307390676255E-2</v>
      </c>
      <c r="BH108" s="127">
        <f>AS108*GZ$127</f>
        <v>1.0788540486327422E-2</v>
      </c>
      <c r="BI108" s="735">
        <f>BD108+BE108+BF108+BG108+BH108</f>
        <v>0.15763493608502738</v>
      </c>
      <c r="BJ108" s="172">
        <f>AO108*'Crops; pasture AMORTIZED'!FS$20</f>
        <v>0.36104440145090905</v>
      </c>
      <c r="BK108" s="172">
        <f>AP108*'Crops; pasture AMORTIZED'!FS$22</f>
        <v>7.4330646369659095E-2</v>
      </c>
      <c r="BL108" s="127">
        <f>AQ108*IW$80</f>
        <v>4.2690844600292294E-2</v>
      </c>
      <c r="BM108" s="127">
        <f>AR108*IW$90</f>
        <v>5.538232122938315E-2</v>
      </c>
      <c r="BN108" s="127">
        <f>AS108*IW$127</f>
        <v>4.0394318035862443E-2</v>
      </c>
      <c r="BO108" s="735">
        <f>BJ108+BK108+BL108+BM108+BN108</f>
        <v>0.57384253168610599</v>
      </c>
      <c r="BP108" s="127"/>
      <c r="BQ108" s="127"/>
      <c r="BR108" s="127"/>
      <c r="BS108" s="127"/>
      <c r="BT108" s="127"/>
      <c r="BU108" s="127"/>
      <c r="BV108" s="26">
        <f>BW108*$NT108</f>
        <v>0.85303226439130342</v>
      </c>
      <c r="BW108" s="127">
        <f>BP$14*$AN108/$C108</f>
        <v>0.91723899396914343</v>
      </c>
      <c r="BX108" s="74"/>
      <c r="BY108" s="115">
        <f>BW108/$OD108</f>
        <v>3.0574633132304783</v>
      </c>
      <c r="BZ108" s="74"/>
      <c r="CA108" s="74"/>
      <c r="CB108" s="74"/>
      <c r="CC108" s="335">
        <f>CD108*$NT108</f>
        <v>0.82468595768762543</v>
      </c>
      <c r="CD108" s="127">
        <f>AZ108</f>
        <v>0.88675909428776922</v>
      </c>
      <c r="CE108" s="115"/>
      <c r="CF108" s="143">
        <f>CD108/$OD108</f>
        <v>2.9558636476258977</v>
      </c>
      <c r="CG108" s="115"/>
      <c r="CH108" s="74"/>
      <c r="CI108" s="74"/>
      <c r="CJ108" s="115">
        <f>CK108*$NT108</f>
        <v>1.0180426546455164</v>
      </c>
      <c r="CK108" s="127">
        <f>BQ$14*$AN108/$C108</f>
        <v>1.094669521124211</v>
      </c>
      <c r="CL108" s="74"/>
      <c r="CM108" s="115">
        <f>CK108/$OD108</f>
        <v>3.6488984037473702</v>
      </c>
      <c r="CN108" s="74"/>
      <c r="CQ108" s="115"/>
      <c r="CR108" s="127"/>
      <c r="CV108" s="74"/>
      <c r="CX108" s="115">
        <f>CY108*$NT108</f>
        <v>0.34709133543139015</v>
      </c>
      <c r="CY108" s="127">
        <f>BR$14*$AN108/$C108</f>
        <v>0.37321648971117216</v>
      </c>
      <c r="DA108" s="115">
        <f>CY108/$OD108</f>
        <v>1.2440549657039073</v>
      </c>
      <c r="DE108" s="115"/>
      <c r="DF108" s="127"/>
      <c r="DG108" s="115"/>
      <c r="DH108" s="115"/>
      <c r="DI108" s="115"/>
      <c r="DL108" s="26">
        <f>DM108*$NT108</f>
        <v>0.79935592339102612</v>
      </c>
      <c r="DM108" s="115">
        <f>BS$14*$AN108/$C108</f>
        <v>0.85952249826992055</v>
      </c>
      <c r="DO108" s="115">
        <f>DM108/$OD108</f>
        <v>2.8650749942330687</v>
      </c>
      <c r="DS108" s="335">
        <f>DT108*$NT108</f>
        <v>0.92588519119398272</v>
      </c>
      <c r="DT108" s="127">
        <f>BB108</f>
        <v>0.9955754744021319</v>
      </c>
      <c r="DU108" s="133"/>
      <c r="DV108" s="143">
        <f>DT108/$OD108</f>
        <v>3.3185849146737731</v>
      </c>
      <c r="DW108" s="115"/>
      <c r="DZ108" s="26">
        <f>EA108*$NT108</f>
        <v>0.92970397525295323</v>
      </c>
      <c r="EA108" s="115">
        <f>BT$14*$AN108/$C108</f>
        <v>0.99968169382037975</v>
      </c>
      <c r="EB108" s="74"/>
      <c r="EC108" s="115">
        <f>EA108/$OD108</f>
        <v>3.3322723127345992</v>
      </c>
      <c r="ED108" s="74"/>
      <c r="EG108" s="115"/>
      <c r="EH108" s="133"/>
      <c r="EI108" s="133"/>
      <c r="EJ108" s="133"/>
      <c r="EK108" s="115"/>
      <c r="EL108" s="74"/>
      <c r="EN108" s="26">
        <f>EO108*$NT108</f>
        <v>0.39987485622924979</v>
      </c>
      <c r="EO108" s="115">
        <f>BU$14*$AN108/$C108</f>
        <v>0.42997296368736532</v>
      </c>
      <c r="EP108" s="37"/>
      <c r="EQ108" s="115">
        <f>EO108/$OD108</f>
        <v>1.4332432122912178</v>
      </c>
      <c r="EU108" s="115"/>
      <c r="EV108" s="133"/>
      <c r="EW108" s="133"/>
      <c r="EX108" s="133"/>
      <c r="EY108" s="115"/>
      <c r="FE108" s="26">
        <f>FF108*$NT108</f>
        <v>1.5918430525960927</v>
      </c>
      <c r="FF108" s="115">
        <f>FB$14*$AN108/$C108</f>
        <v>1.7116591963398846</v>
      </c>
      <c r="FH108" s="115">
        <f>FF108/$OD108</f>
        <v>5.7055306544662825</v>
      </c>
      <c r="FI108" s="74"/>
      <c r="FJ108" s="74"/>
      <c r="FK108" s="74"/>
      <c r="FL108" s="26">
        <f>FM108*$NT108</f>
        <v>1.5542151891031903</v>
      </c>
      <c r="FM108" s="26">
        <f>BC108</f>
        <v>1.6711991280679466</v>
      </c>
      <c r="FO108" s="115">
        <f>FM108/$OD108</f>
        <v>5.5706637602264886</v>
      </c>
      <c r="FP108" s="74"/>
      <c r="FQ108" s="74"/>
      <c r="FR108" s="74"/>
      <c r="FS108" s="26">
        <f>FT108*$NT108</f>
        <v>1.8514190871310152</v>
      </c>
      <c r="FT108" s="115">
        <f>FC$14*$AN108/$C108</f>
        <v>1.9907732119688335</v>
      </c>
      <c r="FV108" s="115">
        <f>FT108/$OD108</f>
        <v>6.6359107065627789</v>
      </c>
      <c r="FW108" s="74"/>
      <c r="FX108" s="74"/>
      <c r="FZ108" s="26"/>
      <c r="GA108" s="26"/>
      <c r="GE108" s="74"/>
      <c r="GG108" s="26">
        <f>GH108*$NT108</f>
        <v>0.79631362346834478</v>
      </c>
      <c r="GH108" s="115">
        <f>FD$14*$AN108/$C108</f>
        <v>0.85625120803047816</v>
      </c>
      <c r="GJ108" s="115">
        <f>GH108/$OD108</f>
        <v>2.8541706934349271</v>
      </c>
      <c r="GK108" s="74"/>
      <c r="GL108" s="74"/>
      <c r="GM108" s="74"/>
      <c r="GN108" s="26"/>
      <c r="GO108" s="26"/>
      <c r="GS108" s="74"/>
      <c r="GT108" s="74"/>
      <c r="GU108" s="74"/>
      <c r="GV108" s="74"/>
      <c r="GW108" s="74"/>
      <c r="GX108" s="68">
        <f>GZ108*$W108</f>
        <v>1.5636575537481749</v>
      </c>
      <c r="GY108" s="26">
        <f>GZ108*$NT108</f>
        <v>0.13948029106796242</v>
      </c>
      <c r="GZ108" s="127">
        <f>$AN108*GU$14/C108</f>
        <v>0.14997880759995957</v>
      </c>
      <c r="HB108" s="115">
        <f>GZ108/$OD108</f>
        <v>0.49992935866653193</v>
      </c>
      <c r="HC108" s="115"/>
      <c r="HD108" s="73"/>
      <c r="HE108" s="115"/>
      <c r="HF108" s="335">
        <f>HG108*$NT108</f>
        <v>0.14660049055907548</v>
      </c>
      <c r="HG108" s="330">
        <f>$BI108</f>
        <v>0.15763493608502738</v>
      </c>
      <c r="HH108" s="115"/>
      <c r="HI108" s="115">
        <f>HG108/$OD108</f>
        <v>0.52544978695009126</v>
      </c>
      <c r="HJ108" s="115"/>
      <c r="HK108" s="115"/>
      <c r="HL108" s="115"/>
      <c r="HM108" s="115">
        <f>HN108*$NT108</f>
        <v>0.17144618701074765</v>
      </c>
      <c r="HN108" s="127">
        <f>$AN108*GV$14/C108</f>
        <v>0.18435073872123403</v>
      </c>
      <c r="HP108" s="115">
        <f>HN108/$OD108</f>
        <v>0.61450246240411344</v>
      </c>
      <c r="HQ108" s="115"/>
      <c r="HR108" s="73"/>
      <c r="HS108" s="115"/>
      <c r="HT108" s="115"/>
      <c r="HU108" s="115"/>
      <c r="HV108" s="115"/>
      <c r="HW108" s="115"/>
      <c r="HX108" s="115"/>
      <c r="HY108" s="115"/>
      <c r="HZ108" s="115"/>
      <c r="IA108" s="115">
        <f>IB108*$NT108</f>
        <v>4.1513577783035993E-2</v>
      </c>
      <c r="IB108" s="127">
        <f>$AN108*GW$14/C108</f>
        <v>4.4638255680683858E-2</v>
      </c>
      <c r="IC108" s="133"/>
      <c r="ID108" s="115">
        <f>IB108/$OD108</f>
        <v>0.14879418560227953</v>
      </c>
      <c r="IE108" s="115"/>
      <c r="IF108" s="73"/>
      <c r="IG108" s="115"/>
      <c r="IH108" s="115"/>
      <c r="II108" s="115"/>
      <c r="IJ108" s="115"/>
      <c r="IK108" s="115"/>
      <c r="IL108" s="115"/>
      <c r="IM108" s="115"/>
      <c r="IN108" s="115"/>
      <c r="IV108" s="335">
        <f>IW108*$NT108</f>
        <v>0.98070452146383524</v>
      </c>
      <c r="IW108" s="127">
        <f>AN108*JK106*C107/C108</f>
        <v>1.0545209908213282</v>
      </c>
      <c r="IY108" s="115">
        <f>IW108/$OD108</f>
        <v>3.5150699694044274</v>
      </c>
      <c r="IZ108" s="474">
        <f>IZ107/3.67</f>
        <v>16.060419388265569</v>
      </c>
      <c r="JA108" s="115"/>
      <c r="JB108" s="115">
        <f>$IW108*JM106/$JK106</f>
        <v>0.70458786372165516</v>
      </c>
      <c r="JC108" s="115">
        <f>$IW108*JN106/$JK106</f>
        <v>0.30771863475530065</v>
      </c>
      <c r="JD108" s="115">
        <f>$IW108*JO106/$JK106</f>
        <v>4.2214492344372474E-2</v>
      </c>
      <c r="JE108" s="26">
        <f>JF108*$NT108</f>
        <v>0.53367355446807863</v>
      </c>
      <c r="JF108" s="115">
        <f>BO108</f>
        <v>0.57384253168610599</v>
      </c>
      <c r="JH108" s="115">
        <f>JF108/$OD108</f>
        <v>1.9128084389536868</v>
      </c>
      <c r="KJ108" s="115">
        <f>BW108*44/12+$IW108+$GZ108</f>
        <v>4.5677094429748131</v>
      </c>
      <c r="KK108" s="74"/>
      <c r="KL108" s="74"/>
      <c r="KM108" s="115">
        <f>KJ108/$OD108</f>
        <v>15.225698143249378</v>
      </c>
      <c r="KN108" s="74"/>
      <c r="KO108" s="115">
        <f>44/12*AZ108+BI108+BO108</f>
        <v>3.9829274801596206</v>
      </c>
      <c r="KP108" s="74"/>
      <c r="KQ108" s="74"/>
      <c r="KR108" s="143">
        <f>KO108/$OD108</f>
        <v>13.276424933865403</v>
      </c>
      <c r="KS108" s="74"/>
      <c r="KT108" s="115">
        <f>CK108*44/12+$IW108+$HN108</f>
        <v>5.2526599736646693</v>
      </c>
      <c r="KW108" s="115">
        <f>KT108/$OD108</f>
        <v>17.50886657888223</v>
      </c>
      <c r="LD108" s="115">
        <f>CY108*44/12+$IW108+$IB108</f>
        <v>2.4676197087763097</v>
      </c>
      <c r="LG108" s="115">
        <f>LD108/$OD108</f>
        <v>8.2253990292543655</v>
      </c>
      <c r="LN108" s="115">
        <f>DM108*44/12+$IW108+$GZ108</f>
        <v>4.3560822920776623</v>
      </c>
      <c r="LQ108" s="115">
        <f>LN108/$OD108</f>
        <v>14.520274306925542</v>
      </c>
      <c r="LS108" s="115">
        <f>44/12*BB108+BI108+BO108</f>
        <v>4.3819208739122839</v>
      </c>
      <c r="LV108" s="143">
        <f>LS108/$OD108</f>
        <v>14.606402913040947</v>
      </c>
      <c r="LX108" s="115">
        <f>EA108*44/12+$IW108+$HN108</f>
        <v>4.9043712735506215</v>
      </c>
      <c r="MA108" s="115">
        <f>LX108/$OD108</f>
        <v>16.347904245168738</v>
      </c>
      <c r="MH108" s="115">
        <f>EO108*44/12+$IW108+$IB108</f>
        <v>2.6757267800223516</v>
      </c>
      <c r="MK108" s="115">
        <f>MH108/$OD108</f>
        <v>8.9190892667411728</v>
      </c>
      <c r="NT108" s="31">
        <v>0.93</v>
      </c>
      <c r="NU108" s="31"/>
      <c r="NV108" s="32">
        <f>$NT108*NW108</f>
        <v>18.501063829787235</v>
      </c>
      <c r="NW108" s="43">
        <f>18.7/0.94</f>
        <v>19.893617021276597</v>
      </c>
      <c r="OC108" s="38">
        <f>$NT108*OD108</f>
        <v>0.27900000000000003</v>
      </c>
      <c r="OD108" s="31">
        <v>0.3</v>
      </c>
    </row>
    <row r="109" spans="1:494" x14ac:dyDescent="0.25">
      <c r="A109" s="37" t="s">
        <v>233</v>
      </c>
      <c r="B109" s="727"/>
      <c r="C109" s="40">
        <f>1-C107-C108</f>
        <v>0.34741875605641898</v>
      </c>
      <c r="D109" s="40">
        <f>1-D107-D108</f>
        <v>0.11000000000000004</v>
      </c>
      <c r="E109" s="468"/>
      <c r="F109" s="468"/>
      <c r="G109" s="468"/>
      <c r="H109" s="468"/>
      <c r="I109" s="445"/>
      <c r="J109" s="445"/>
      <c r="K109" s="468"/>
      <c r="L109" s="468"/>
      <c r="M109" s="468"/>
      <c r="N109" s="40"/>
      <c r="V109" s="26"/>
      <c r="W109" s="26"/>
      <c r="X109" s="115"/>
      <c r="Y109" s="26">
        <f>D109/D107*Y107</f>
        <v>7.8672000000000034E-2</v>
      </c>
      <c r="Z109" s="26"/>
      <c r="AA109" s="26"/>
      <c r="AB109" s="26"/>
      <c r="AE109" s="115"/>
      <c r="AF109" s="74"/>
      <c r="AG109" s="74"/>
      <c r="AK109" s="722"/>
      <c r="AL109" s="74"/>
      <c r="AN109" s="74"/>
      <c r="AO109" s="104"/>
      <c r="AP109" s="104"/>
      <c r="AQ109" s="74"/>
      <c r="AR109" s="74"/>
      <c r="AS109" s="74"/>
      <c r="AT109" s="74"/>
      <c r="AU109" s="74"/>
      <c r="AV109" s="74"/>
      <c r="AW109" s="74"/>
      <c r="AX109" s="74"/>
      <c r="AY109" s="74"/>
      <c r="AZ109" s="115"/>
      <c r="BA109" s="127"/>
      <c r="BJ109" s="74"/>
      <c r="BK109" s="74"/>
      <c r="BL109" s="74"/>
      <c r="BM109" s="74"/>
      <c r="BN109" s="74"/>
      <c r="BO109" s="74"/>
      <c r="BP109" s="74"/>
      <c r="BQ109" s="74"/>
      <c r="BR109" s="74"/>
      <c r="BS109" s="74"/>
      <c r="BT109" s="74"/>
      <c r="BU109" s="74"/>
      <c r="BW109" s="115"/>
      <c r="BX109" s="74"/>
      <c r="BY109" s="74"/>
      <c r="BZ109" s="74"/>
      <c r="CA109" s="74"/>
      <c r="CB109" s="74"/>
      <c r="CC109" s="74"/>
      <c r="CD109" s="115"/>
      <c r="CE109" s="115"/>
      <c r="CF109" s="115"/>
      <c r="CG109" s="115"/>
      <c r="CH109" s="74"/>
      <c r="CI109" s="74"/>
      <c r="CJ109" s="74"/>
      <c r="CK109" s="115"/>
      <c r="CL109" s="74"/>
      <c r="CM109" s="74"/>
      <c r="CN109" s="74"/>
      <c r="CV109" s="74"/>
      <c r="CY109" s="115"/>
      <c r="DF109" s="115"/>
      <c r="DG109" s="115"/>
      <c r="DH109" s="115"/>
      <c r="DI109" s="115"/>
      <c r="DL109" s="37"/>
      <c r="DM109" s="115"/>
      <c r="DS109" s="37"/>
      <c r="DT109" s="133"/>
      <c r="DU109" s="133"/>
      <c r="DV109" s="133"/>
      <c r="DW109" s="115"/>
      <c r="EA109" s="115"/>
      <c r="EB109" s="74"/>
      <c r="EC109" s="74"/>
      <c r="ED109" s="74"/>
      <c r="EH109" s="133"/>
      <c r="EI109" s="133"/>
      <c r="EJ109" s="133"/>
      <c r="EK109" s="115"/>
      <c r="EL109" s="74"/>
      <c r="EN109" s="37"/>
      <c r="EO109" s="115"/>
      <c r="EP109" s="37"/>
      <c r="EV109" s="133"/>
      <c r="EW109" s="133"/>
      <c r="EX109" s="133"/>
      <c r="EY109" s="115"/>
      <c r="FF109" s="26"/>
      <c r="FH109" s="74"/>
      <c r="FI109" s="74"/>
      <c r="FJ109" s="74"/>
      <c r="FK109" s="74"/>
      <c r="FM109" s="26"/>
      <c r="FP109" s="74"/>
      <c r="FQ109" s="74"/>
      <c r="FR109" s="74"/>
      <c r="FT109" s="26"/>
      <c r="FW109" s="74"/>
      <c r="FX109" s="74"/>
      <c r="FZ109" s="37"/>
      <c r="GA109" s="26"/>
      <c r="GE109" s="74"/>
      <c r="GH109" s="26"/>
      <c r="GJ109" s="74"/>
      <c r="GK109" s="74"/>
      <c r="GL109" s="74"/>
      <c r="GM109" s="74"/>
      <c r="GO109" s="26"/>
      <c r="GS109" s="74"/>
      <c r="GT109" s="74"/>
      <c r="GU109" s="74"/>
      <c r="GV109" s="74"/>
      <c r="GW109" s="74"/>
      <c r="GX109" s="74"/>
      <c r="GY109" s="26"/>
      <c r="GZ109" s="127"/>
      <c r="HB109" s="115"/>
      <c r="HD109" s="73"/>
      <c r="HE109" s="74"/>
      <c r="HF109" s="74"/>
      <c r="HG109" s="74"/>
      <c r="HH109" s="74"/>
      <c r="HI109" s="74"/>
      <c r="HJ109" s="74"/>
      <c r="HK109" s="74"/>
      <c r="HL109" s="74"/>
      <c r="HM109" s="115"/>
      <c r="HN109" s="127"/>
      <c r="HP109" s="115"/>
      <c r="HR109" s="73"/>
      <c r="IA109" s="115"/>
      <c r="IB109" s="127"/>
      <c r="IC109" s="133"/>
      <c r="ID109" s="115"/>
      <c r="IE109" s="133"/>
      <c r="IF109" s="73"/>
      <c r="JF109" s="115"/>
      <c r="JQ109" s="643"/>
      <c r="KJ109" s="74"/>
      <c r="KK109" s="74"/>
      <c r="KL109" s="74"/>
      <c r="KM109" s="74"/>
      <c r="KN109" s="74"/>
      <c r="KO109" s="74"/>
      <c r="KP109" s="74"/>
      <c r="KQ109" s="74"/>
      <c r="KR109" s="74"/>
      <c r="KS109" s="74"/>
    </row>
    <row r="110" spans="1:494" x14ac:dyDescent="0.25">
      <c r="I110" s="445"/>
      <c r="J110" s="445"/>
      <c r="V110" s="26"/>
      <c r="Y110" s="26"/>
      <c r="AA110" s="26"/>
      <c r="AB110" s="26"/>
      <c r="AE110" s="115"/>
      <c r="AF110" s="74"/>
      <c r="AG110" s="74"/>
      <c r="AL110" s="74"/>
      <c r="AN110" s="74"/>
      <c r="AO110" s="74"/>
      <c r="AP110" s="74"/>
      <c r="AQ110" s="74"/>
      <c r="AR110" s="74"/>
      <c r="AS110" s="74"/>
      <c r="AT110" s="74"/>
      <c r="AU110" s="74"/>
      <c r="AV110" s="74"/>
      <c r="AW110" s="74"/>
      <c r="AX110" s="74"/>
      <c r="AY110" s="74"/>
      <c r="AZ110" s="115"/>
      <c r="BA110" s="127"/>
      <c r="BJ110" s="74"/>
      <c r="BK110" s="74"/>
      <c r="BL110" s="74"/>
      <c r="BM110" s="74"/>
      <c r="BN110" s="74"/>
      <c r="BO110" s="74"/>
      <c r="BP110" s="74"/>
      <c r="BQ110" s="74"/>
      <c r="BR110" s="74"/>
      <c r="BS110" s="74"/>
      <c r="BT110" s="74"/>
      <c r="BU110" s="74"/>
      <c r="BW110" s="115"/>
      <c r="BX110" s="74"/>
      <c r="BY110" s="74"/>
      <c r="BZ110" s="74"/>
      <c r="CA110" s="74"/>
      <c r="CB110" s="74"/>
      <c r="CC110" s="74"/>
      <c r="CD110" s="115"/>
      <c r="CE110" s="115"/>
      <c r="CF110" s="115"/>
      <c r="CG110" s="115"/>
      <c r="CH110" s="74"/>
      <c r="CI110" s="74"/>
      <c r="CJ110" s="74"/>
      <c r="CK110" s="115"/>
      <c r="CL110" s="74"/>
      <c r="CM110" s="74"/>
      <c r="CN110" s="74"/>
      <c r="CV110" s="74"/>
      <c r="CY110" s="115"/>
      <c r="DF110" s="115"/>
      <c r="DG110" s="115"/>
      <c r="DH110" s="115"/>
      <c r="DI110" s="115"/>
      <c r="DL110" s="37"/>
      <c r="DM110" s="115"/>
      <c r="DS110" s="37"/>
      <c r="DT110" s="133"/>
      <c r="DU110" s="133"/>
      <c r="DV110" s="133"/>
      <c r="DW110" s="115"/>
      <c r="EA110" s="115"/>
      <c r="EB110" s="74"/>
      <c r="EC110" s="74"/>
      <c r="ED110" s="74"/>
      <c r="EH110" s="133"/>
      <c r="EI110" s="133"/>
      <c r="EJ110" s="133"/>
      <c r="EK110" s="115"/>
      <c r="EL110" s="74"/>
      <c r="EN110" s="37"/>
      <c r="EO110" s="115"/>
      <c r="EP110" s="37"/>
      <c r="EV110" s="133"/>
      <c r="EW110" s="133"/>
      <c r="EX110" s="133"/>
      <c r="EY110" s="115"/>
      <c r="FF110" s="26"/>
      <c r="FH110" s="74"/>
      <c r="FI110" s="74"/>
      <c r="FJ110" s="74"/>
      <c r="FK110" s="74"/>
      <c r="FM110" s="26"/>
      <c r="FP110" s="74"/>
      <c r="FQ110" s="74"/>
      <c r="FR110" s="74"/>
      <c r="FT110" s="26"/>
      <c r="FW110" s="74"/>
      <c r="FX110" s="74"/>
      <c r="FZ110" s="37"/>
      <c r="GA110" s="26"/>
      <c r="GE110" s="74"/>
      <c r="GH110" s="26"/>
      <c r="GJ110" s="74"/>
      <c r="GK110" s="74"/>
      <c r="GL110" s="74"/>
      <c r="GM110" s="74"/>
      <c r="GO110" s="26"/>
      <c r="GS110" s="74"/>
      <c r="GT110" s="74"/>
      <c r="GU110" s="74"/>
      <c r="GV110" s="74"/>
      <c r="GW110" s="74"/>
      <c r="GX110" s="74"/>
      <c r="HB110" s="74"/>
      <c r="HD110" s="73"/>
      <c r="HE110" s="74"/>
      <c r="HF110" s="74"/>
      <c r="HG110" s="74"/>
      <c r="HH110" s="74"/>
      <c r="HI110" s="74"/>
      <c r="HJ110" s="74"/>
      <c r="HK110" s="74"/>
      <c r="HL110" s="74"/>
      <c r="HR110" s="73"/>
      <c r="IA110" s="133"/>
      <c r="IB110" s="133"/>
      <c r="IC110" s="133"/>
      <c r="IE110" s="133"/>
      <c r="IF110" s="73"/>
      <c r="JF110" s="115"/>
      <c r="JQ110" s="179"/>
      <c r="JS110" s="723"/>
      <c r="JU110" s="723"/>
      <c r="JX110" s="723"/>
      <c r="KJ110" s="74"/>
      <c r="KK110" s="74"/>
      <c r="KL110" s="74"/>
      <c r="KM110" s="74"/>
      <c r="KN110" s="74"/>
      <c r="KO110" s="74"/>
      <c r="KP110" s="74"/>
      <c r="KQ110" s="74"/>
      <c r="KR110" s="74"/>
      <c r="KS110" s="74"/>
    </row>
    <row r="111" spans="1:494" x14ac:dyDescent="0.25">
      <c r="A111" s="9" t="s">
        <v>242</v>
      </c>
      <c r="I111" s="445"/>
      <c r="J111" s="445"/>
      <c r="V111" s="26"/>
      <c r="Y111" s="26"/>
      <c r="AA111" s="26"/>
      <c r="AB111" s="26"/>
      <c r="AE111" s="115"/>
      <c r="AF111" s="74"/>
      <c r="AG111" s="74"/>
      <c r="AL111" s="74"/>
      <c r="AN111" s="74"/>
      <c r="AO111" s="74"/>
      <c r="AP111" s="74"/>
      <c r="AQ111" s="74"/>
      <c r="AR111" s="74"/>
      <c r="AS111" s="74"/>
      <c r="AT111" s="74"/>
      <c r="AU111" s="74"/>
      <c r="AV111" s="74"/>
      <c r="AW111" s="74"/>
      <c r="AX111" s="74"/>
      <c r="AY111" s="74"/>
      <c r="AZ111" s="115"/>
      <c r="BA111" s="127"/>
      <c r="BJ111" s="74"/>
      <c r="BK111" s="74"/>
      <c r="BL111" s="74"/>
      <c r="BM111" s="74"/>
      <c r="BN111" s="74"/>
      <c r="BO111" s="74"/>
      <c r="BP111" s="74"/>
      <c r="BQ111" s="74"/>
      <c r="BR111" s="74"/>
      <c r="BS111" s="74"/>
      <c r="BT111" s="74"/>
      <c r="BU111" s="74"/>
      <c r="BW111" s="115"/>
      <c r="BX111" s="74"/>
      <c r="BY111" s="74"/>
      <c r="BZ111" s="74"/>
      <c r="CA111" s="74"/>
      <c r="CB111" s="74"/>
      <c r="CC111" s="74"/>
      <c r="CD111" s="115"/>
      <c r="CE111" s="115"/>
      <c r="CF111" s="115"/>
      <c r="CG111" s="115"/>
      <c r="CH111" s="74"/>
      <c r="CI111" s="74"/>
      <c r="CJ111" s="74"/>
      <c r="CK111" s="115"/>
      <c r="CL111" s="74"/>
      <c r="CM111" s="74"/>
      <c r="CN111" s="74"/>
      <c r="CV111" s="74"/>
      <c r="CY111" s="115"/>
      <c r="DF111" s="115"/>
      <c r="DG111" s="115"/>
      <c r="DH111" s="115"/>
      <c r="DI111" s="115"/>
      <c r="DL111" s="37"/>
      <c r="DM111" s="115"/>
      <c r="DS111" s="37"/>
      <c r="DT111" s="133"/>
      <c r="DU111" s="133"/>
      <c r="DV111" s="133"/>
      <c r="DW111" s="115"/>
      <c r="EA111" s="115"/>
      <c r="EB111" s="74"/>
      <c r="EC111" s="74"/>
      <c r="ED111" s="74"/>
      <c r="EH111" s="133"/>
      <c r="EI111" s="133"/>
      <c r="EJ111" s="133"/>
      <c r="EK111" s="115"/>
      <c r="EL111" s="74"/>
      <c r="EN111" s="37"/>
      <c r="EO111" s="115"/>
      <c r="EP111" s="37"/>
      <c r="EV111" s="133"/>
      <c r="EW111" s="133"/>
      <c r="EX111" s="133"/>
      <c r="EY111" s="115"/>
      <c r="FF111" s="26"/>
      <c r="FH111" s="74"/>
      <c r="FI111" s="74"/>
      <c r="FJ111" s="74"/>
      <c r="FK111" s="74"/>
      <c r="FM111" s="26"/>
      <c r="FP111" s="74"/>
      <c r="FQ111" s="74"/>
      <c r="FR111" s="74"/>
      <c r="FT111" s="26"/>
      <c r="FW111" s="74"/>
      <c r="FX111" s="74"/>
      <c r="FZ111" s="37"/>
      <c r="GA111" s="26"/>
      <c r="GE111" s="74"/>
      <c r="GH111" s="26"/>
      <c r="GJ111" s="74"/>
      <c r="GK111" s="74"/>
      <c r="GL111" s="74"/>
      <c r="GM111" s="74"/>
      <c r="GO111" s="26"/>
      <c r="GS111" s="74"/>
      <c r="GT111" s="74"/>
      <c r="GU111" s="74"/>
      <c r="GV111" s="74"/>
      <c r="GW111" s="74"/>
      <c r="GX111" s="74"/>
      <c r="GY111" s="474"/>
      <c r="GZ111" s="474"/>
      <c r="HA111" s="474"/>
      <c r="HB111" s="74"/>
      <c r="HC111" s="474"/>
      <c r="HD111" s="73"/>
      <c r="HE111" s="74"/>
      <c r="HF111" s="74"/>
      <c r="HG111" s="74"/>
      <c r="HH111" s="74"/>
      <c r="HI111" s="74"/>
      <c r="HJ111" s="74"/>
      <c r="HK111" s="74"/>
      <c r="HL111" s="74"/>
      <c r="HM111" s="474"/>
      <c r="HN111" s="474"/>
      <c r="HO111" s="474"/>
      <c r="HQ111" s="474"/>
      <c r="HR111" s="73"/>
      <c r="IA111" s="474"/>
      <c r="IB111" s="474"/>
      <c r="IC111" s="474"/>
      <c r="IE111" s="474"/>
      <c r="IF111" s="73"/>
      <c r="IO111" s="68">
        <f>IP111+IQ111+IR111+IS111+IT111+IU111</f>
        <v>15.705910882270082</v>
      </c>
      <c r="IP111" s="97">
        <f>JS111*$W112</f>
        <v>6.1780116526268873</v>
      </c>
      <c r="IQ111" s="97">
        <f>JU111*$W112</f>
        <v>4.6507280296431919</v>
      </c>
      <c r="IR111" s="97">
        <f>JX111*$W112</f>
        <v>0.1032872</v>
      </c>
      <c r="IS111" s="97">
        <f>KB111*$W112</f>
        <v>4.4589840000000001</v>
      </c>
      <c r="IT111" s="97">
        <f>KF111*$W112</f>
        <v>3.7787999999999995E-2</v>
      </c>
      <c r="IU111" s="97">
        <f>KH111*$W112</f>
        <v>0.27711200000000002</v>
      </c>
      <c r="JF111" s="115"/>
      <c r="JK111" s="115">
        <f>JM111+JN111+JO111</f>
        <v>3.3416831664404421</v>
      </c>
      <c r="JL111" s="673">
        <f>10^3*JK111/NY112</f>
        <v>124.68967038956873</v>
      </c>
      <c r="JM111" s="179">
        <f>JS111+KB111</f>
        <v>2.2631905643886991</v>
      </c>
      <c r="JN111" s="179">
        <f>JU111+KF111</f>
        <v>0.99755660205174301</v>
      </c>
      <c r="JO111" s="179">
        <f>JX111+KH111</f>
        <v>8.0936000000000008E-2</v>
      </c>
      <c r="JP111" s="469">
        <f>JK111*C112</f>
        <v>1.1348266323616534</v>
      </c>
      <c r="JQ111" s="115">
        <f>JR111*$NY112/10^3</f>
        <v>2.3259631664404425</v>
      </c>
      <c r="JR111" s="679">
        <f>JT111+JV111+JY111</f>
        <v>86.789670389568741</v>
      </c>
      <c r="JS111" s="724">
        <f>'Crops; pasture AMORTIZED'!FY22/$C112</f>
        <v>1.3144705643886994</v>
      </c>
      <c r="JT111" s="73">
        <f>10^3*JS111/$NY112</f>
        <v>49.047409118981321</v>
      </c>
      <c r="JU111" s="724">
        <f>'Crops; pasture AMORTIZED'!FW22/$C112</f>
        <v>0.98951660205174297</v>
      </c>
      <c r="JV111" s="115">
        <f>10^3*JU111/$NY112</f>
        <v>36.922261270587427</v>
      </c>
      <c r="JW111" s="115">
        <f>10^3*JU111/'Amortization metrics'!$B$6</f>
        <v>3.3205255102407483</v>
      </c>
      <c r="JX111" s="127">
        <f>JY111*$NY112/10^3</f>
        <v>2.1975999999999999E-2</v>
      </c>
      <c r="JY111" s="84">
        <v>0.82</v>
      </c>
      <c r="JZ111" s="115">
        <f>KB111+KF111+KH111</f>
        <v>1.01572</v>
      </c>
      <c r="KA111" s="679">
        <f>KC111+KG111+KI111</f>
        <v>37.9</v>
      </c>
      <c r="KB111" s="115">
        <f>KC111*$NY112/10^3</f>
        <v>0.94872000000000001</v>
      </c>
      <c r="KC111" s="80">
        <v>35.4</v>
      </c>
      <c r="KD111" s="725">
        <v>1.5</v>
      </c>
      <c r="KE111" s="474">
        <f>KC111/KD111</f>
        <v>23.599999999999998</v>
      </c>
      <c r="KF111" s="127">
        <f>KG111*$NY112/10^3</f>
        <v>8.0399999999999985E-3</v>
      </c>
      <c r="KG111" s="84">
        <v>0.3</v>
      </c>
      <c r="KH111" s="127">
        <f>KI111*$NY112/10^3</f>
        <v>5.8960000000000005E-2</v>
      </c>
      <c r="KI111" s="84">
        <v>2.2000000000000002</v>
      </c>
      <c r="KJ111" s="74"/>
      <c r="KK111" s="74"/>
      <c r="KL111" s="74"/>
      <c r="KM111" s="74"/>
      <c r="KN111" s="74"/>
      <c r="KO111" s="74"/>
      <c r="KP111" s="74"/>
      <c r="KQ111" s="74"/>
      <c r="KR111" s="74"/>
      <c r="KS111" s="74"/>
      <c r="NQ111" s="66"/>
      <c r="NR111" s="66"/>
      <c r="NS111" s="66"/>
    </row>
    <row r="112" spans="1:494" x14ac:dyDescent="0.25">
      <c r="A112" s="37" t="s">
        <v>240</v>
      </c>
      <c r="B112" s="671">
        <f>C112*NT16/NT112</f>
        <v>0.29884563758389254</v>
      </c>
      <c r="C112" s="69">
        <f>D112*NW16/NW112</f>
        <v>0.33959731543624155</v>
      </c>
      <c r="D112" s="134">
        <v>0.55000000000000004</v>
      </c>
      <c r="E112" s="207">
        <f>X112/((Y112/D112)/NV16)/10^3</f>
        <v>0.37828561719480081</v>
      </c>
      <c r="F112" s="117">
        <f>X112/((Y112/D112)/NW16)/10^3</f>
        <v>0.4298700195395464</v>
      </c>
      <c r="G112" s="460">
        <f>H112*'Crops; pasture AMORTIZED'!HB22</f>
        <v>8.0090630872483235</v>
      </c>
      <c r="H112" s="458">
        <f>F112*NZ112</f>
        <v>9.1012080536912769</v>
      </c>
      <c r="I112" s="251"/>
      <c r="J112" s="445"/>
      <c r="K112" s="679">
        <f>10^4*($C112/$NU112)/AB16</f>
        <v>1191.4917777369133</v>
      </c>
      <c r="L112" s="73">
        <f>10^4*($C112/$NU112)/AC16</f>
        <v>1006.2397417381699</v>
      </c>
      <c r="M112" s="73">
        <f>10^4*($C112/$NU112)/AD16</f>
        <v>1827.1195310508874</v>
      </c>
      <c r="N112" s="141"/>
      <c r="V112" s="26">
        <f>W112/NT112</f>
        <v>4.7</v>
      </c>
      <c r="W112" s="72">
        <v>4.7</v>
      </c>
      <c r="X112" s="115">
        <f>V112/NU112</f>
        <v>5.9493670886075947</v>
      </c>
      <c r="Y112" s="26">
        <f>W112*NW112/10^3</f>
        <v>0.14005999999999999</v>
      </c>
      <c r="Z112" s="26"/>
      <c r="AA112" s="26"/>
      <c r="AB112" s="26"/>
      <c r="AE112" s="734">
        <f>AB$16*$AN112/$C112</f>
        <v>6.4210071892915055</v>
      </c>
      <c r="AF112" s="734">
        <f>(AB$16-$C113*$AY113)/$C112</f>
        <v>7.9277146200332211</v>
      </c>
      <c r="AG112" s="127">
        <f>AC$16*$AN112/$C112</f>
        <v>7.6031356678627047</v>
      </c>
      <c r="AH112" s="115">
        <f>(AC$16-$C113*$AY113)/$C112</f>
        <v>9.8835999209419327</v>
      </c>
      <c r="AI112" s="127">
        <f>AD$16*$AN112/$C112</f>
        <v>4.1872341359243874</v>
      </c>
      <c r="AJ112" s="115">
        <f>(AD$16-$C113*$AY113)/$C112</f>
        <v>4.2318355680985373</v>
      </c>
      <c r="AK112" s="722">
        <f>Y112/(Y112+Y113)</f>
        <v>0.60439560439560447</v>
      </c>
      <c r="AL112" s="164">
        <v>0.9</v>
      </c>
      <c r="AM112" s="69">
        <f>V112*AL112/(V112*AL112+V113*AL113)</f>
        <v>0.76768372077593572</v>
      </c>
      <c r="AN112" s="53">
        <f t="shared" ref="AN112:AN113" si="37">AK112</f>
        <v>0.60439560439560447</v>
      </c>
      <c r="AO112" s="252"/>
      <c r="AP112" s="252"/>
      <c r="AQ112" s="115"/>
      <c r="AR112" s="115"/>
      <c r="AS112" s="115"/>
      <c r="AT112" s="115"/>
      <c r="AU112" s="115"/>
      <c r="AV112" s="115"/>
      <c r="AW112" s="115"/>
      <c r="AX112" s="115"/>
      <c r="AY112" s="115"/>
      <c r="AZ112" s="115"/>
      <c r="BA112" s="127"/>
      <c r="BB112" s="115"/>
      <c r="BC112" s="115"/>
      <c r="BD112" s="115"/>
      <c r="BE112" s="115"/>
      <c r="BF112" s="115"/>
      <c r="BG112" s="115"/>
      <c r="BH112" s="115"/>
      <c r="BI112" s="115"/>
      <c r="BJ112" s="252"/>
      <c r="BK112" s="252"/>
      <c r="BL112" s="115"/>
      <c r="BM112" s="115"/>
      <c r="BN112" s="115"/>
      <c r="BO112" s="115"/>
      <c r="BP112" s="115"/>
      <c r="BQ112" s="115"/>
      <c r="BR112" s="115"/>
      <c r="BS112" s="115"/>
      <c r="BT112" s="115"/>
      <c r="BU112" s="115"/>
      <c r="BV112" s="26">
        <f>BW112*$NT112</f>
        <v>1.0963045129473186</v>
      </c>
      <c r="BW112" s="115">
        <f>BP$16*$AN112/$C112</f>
        <v>1.0963045129473186</v>
      </c>
      <c r="BX112" s="74"/>
      <c r="BY112" s="74"/>
      <c r="BZ112" s="73">
        <f>10^3*BW112/$NW112</f>
        <v>36.788742045212025</v>
      </c>
      <c r="CA112" s="115">
        <f>10^3*BW112/$NY112</f>
        <v>40.906884811467108</v>
      </c>
      <c r="CB112" s="115">
        <f>BW112*$NT112*$NU112</f>
        <v>0.86608056522838173</v>
      </c>
      <c r="CC112" s="115">
        <f>CD112*$NT112</f>
        <v>0.94442891853344468</v>
      </c>
      <c r="CD112" s="115">
        <f>BP$16/$C112-$AZ113*$C113/$C112</f>
        <v>0.94442891853344468</v>
      </c>
      <c r="CE112" s="127"/>
      <c r="CF112" s="127"/>
      <c r="CG112" s="73">
        <f>10^3*CD112/$NW112</f>
        <v>31.692245588370625</v>
      </c>
      <c r="CH112" s="685">
        <f>10^3*CD112/$NY112</f>
        <v>35.239885019904648</v>
      </c>
      <c r="CI112" s="115">
        <f>CD112*$NT112*$NU112</f>
        <v>0.74609884564142137</v>
      </c>
      <c r="CJ112" s="115">
        <f>CK112*$NT112</f>
        <v>1.4747686886330307</v>
      </c>
      <c r="CK112" s="115">
        <f>BQ$16*$AN112/$C112</f>
        <v>1.4747686886330307</v>
      </c>
      <c r="CL112" s="74"/>
      <c r="CM112" s="74"/>
      <c r="CN112" s="73">
        <f>10^3*CK112/$NW112</f>
        <v>49.488882168893646</v>
      </c>
      <c r="CO112" s="115">
        <f>10^3*CK112/$NY112</f>
        <v>55.028682411680251</v>
      </c>
      <c r="CP112" s="115">
        <f>CK112*$NT112*$NU112</f>
        <v>1.1650672640200943</v>
      </c>
      <c r="CQ112" s="115">
        <f>CR112*$NT112</f>
        <v>1.5706151001225317</v>
      </c>
      <c r="CR112" s="115">
        <f>BQ$16/$C112-$AZ113*$C113/$C112</f>
        <v>1.5706151001225317</v>
      </c>
      <c r="CS112" s="127"/>
      <c r="CT112" s="127"/>
      <c r="CU112" s="73">
        <f>10^3*CR112/$NW112</f>
        <v>52.705204702098378</v>
      </c>
      <c r="CV112" s="677">
        <f>10^3*CR112/$NY112</f>
        <v>58.605041049348195</v>
      </c>
      <c r="CW112" s="115">
        <f>CR112*$NT112*$NU112</f>
        <v>1.2407859290968002</v>
      </c>
      <c r="CX112" s="115">
        <f>CY112*$NT112</f>
        <v>0.37973927553403708</v>
      </c>
      <c r="CY112" s="115">
        <f>BR$16*$AN112/$C112</f>
        <v>0.37973927553403708</v>
      </c>
      <c r="DB112" s="73">
        <f>10^3*CY112/$NW112</f>
        <v>12.742928709195875</v>
      </c>
      <c r="DC112" s="115">
        <f>10^3*CY112/$NY112</f>
        <v>14.169375952762577</v>
      </c>
      <c r="DD112" s="115">
        <f>CY112*$NT112*$NU112</f>
        <v>0.29999402767188932</v>
      </c>
      <c r="DE112" s="115">
        <f>DF112*$NT112</f>
        <v>-0.24116083791398435</v>
      </c>
      <c r="DF112" s="115">
        <f>BR$16/$C112-$AZ113*$C113/$C112</f>
        <v>-0.24116083791398435</v>
      </c>
      <c r="DG112" s="127"/>
      <c r="DH112" s="127"/>
      <c r="DI112" s="73">
        <f>10^3*DF112/$NW112</f>
        <v>-8.0926455675833679</v>
      </c>
      <c r="DJ112" s="677">
        <f>10^3*DF112/$NY112</f>
        <v>-8.9985387281337434</v>
      </c>
      <c r="DK112" s="115">
        <f>DF112*$NT112*$NU112</f>
        <v>-0.19051706195204765</v>
      </c>
      <c r="DL112" s="26">
        <f>DM112*$NT112</f>
        <v>1.4079680847711944</v>
      </c>
      <c r="DM112" s="115">
        <f>BS$16*$AN112/$C112</f>
        <v>1.4079680847711944</v>
      </c>
      <c r="DP112" s="73">
        <f>10^3*DM112/$NW112</f>
        <v>47.2472511668186</v>
      </c>
      <c r="DQ112" s="115">
        <f>10^3*DM112/$NY112</f>
        <v>52.53612256608934</v>
      </c>
      <c r="DR112" s="115">
        <f>DM112*$NT112*$NU112</f>
        <v>1.1122947869692437</v>
      </c>
      <c r="DS112" s="26">
        <f>DT112*$NT112</f>
        <v>1.3533973000027713</v>
      </c>
      <c r="DT112" s="115">
        <f>BS$16/$C112-$BB113*$C113/$C112</f>
        <v>1.3533973000027713</v>
      </c>
      <c r="DU112" s="133"/>
      <c r="DV112" s="133"/>
      <c r="DW112" s="73">
        <f>10^3*DT112/$NW112</f>
        <v>45.416016778616488</v>
      </c>
      <c r="DX112" s="677">
        <f>10^3*DT112/$NY112</f>
        <v>50.499899253834748</v>
      </c>
      <c r="DY112" s="115">
        <f>DT112*$NT112*$NU112</f>
        <v>1.0691838670021894</v>
      </c>
      <c r="DZ112" s="26">
        <f>EA112*$NT112</f>
        <v>1.8059005566920305</v>
      </c>
      <c r="EA112" s="115">
        <f>BT$16*$AN112/$C112</f>
        <v>1.8059005566920305</v>
      </c>
      <c r="EB112" s="74"/>
      <c r="EC112" s="74"/>
      <c r="ED112" s="73">
        <f>10^3*EA112/$NW112</f>
        <v>60.600689821880216</v>
      </c>
      <c r="EE112" s="115">
        <f>10^3*EA112/$NY112</f>
        <v>67.38434913029964</v>
      </c>
      <c r="EF112" s="115">
        <f>EA112*$NT112*$NU112</f>
        <v>1.4266614397867041</v>
      </c>
      <c r="EG112" s="115">
        <f>EH112*$NT112</f>
        <v>2.0117946626354275</v>
      </c>
      <c r="EH112" s="115">
        <f>BT$16/$C112-$BB113*$C113/$C112</f>
        <v>2.0117946626354275</v>
      </c>
      <c r="EI112" s="133"/>
      <c r="EJ112" s="133"/>
      <c r="EK112" s="73">
        <f>10^3*EH112/$NW112</f>
        <v>67.509888007900258</v>
      </c>
      <c r="EL112" s="677">
        <f>10^3*EH112/$NY112</f>
        <v>75.066965023709983</v>
      </c>
      <c r="EM112" s="115">
        <f>EH112*$NT112*$NU112</f>
        <v>1.5893177834819878</v>
      </c>
      <c r="EN112" s="26">
        <f>EO112*$NT112</f>
        <v>0.65602711646722178</v>
      </c>
      <c r="EO112" s="115">
        <f>BU$16*$AN112/$C112</f>
        <v>0.65602711646722178</v>
      </c>
      <c r="EP112" s="37"/>
      <c r="ER112" s="73">
        <f>10^3*EO112/$NW112</f>
        <v>22.014332767356432</v>
      </c>
      <c r="ES112" s="115">
        <f>10^3*EO112/$NY112</f>
        <v>24.478623748776929</v>
      </c>
      <c r="ET112" s="115">
        <f>EO112*$NT112*$NU112</f>
        <v>0.51826142200910519</v>
      </c>
      <c r="EU112" s="115">
        <f>EV112*$NT112</f>
        <v>0.109276788808926</v>
      </c>
      <c r="EV112" s="115">
        <f>BU$16/$C112-$BB113*$C113/$C112</f>
        <v>0.109276788808926</v>
      </c>
      <c r="EW112" s="133"/>
      <c r="EX112" s="133"/>
      <c r="EY112" s="73">
        <f>10^3*EV112/$NW112</f>
        <v>3.66700633587</v>
      </c>
      <c r="EZ112" s="677">
        <f>10^3*EV112/$NY112</f>
        <v>4.0774921197360445</v>
      </c>
      <c r="FA112" s="115">
        <f>EV112*$NT112*$NU112</f>
        <v>8.6328663159051536E-2</v>
      </c>
      <c r="FE112" s="26">
        <f>FF112*$NT112</f>
        <v>2.8038376253123456</v>
      </c>
      <c r="FF112" s="115">
        <f>FB$16*$AN112/$C112</f>
        <v>2.8038376253123456</v>
      </c>
      <c r="FH112" s="74"/>
      <c r="FI112" s="73">
        <f>10^3*FF112/$NW112</f>
        <v>94.088510916521656</v>
      </c>
      <c r="FJ112" s="73">
        <f>10^3*FE112/$NY112</f>
        <v>104.62080691463976</v>
      </c>
      <c r="FK112" s="115">
        <f>FF112*$NT112*$NU112</f>
        <v>2.215031723996753</v>
      </c>
      <c r="FL112" s="26">
        <f>FM112*$NT112</f>
        <v>3.0004859580731185</v>
      </c>
      <c r="FM112" s="115">
        <f>FB$16/$C112-$BC113*$C113/$C112</f>
        <v>3.0004859580731185</v>
      </c>
      <c r="FP112" s="73">
        <f>10^3*FM112/$NW112</f>
        <v>100.6874482574872</v>
      </c>
      <c r="FQ112" s="562">
        <f>10^3*FL112/$NY112</f>
        <v>111.95843127138502</v>
      </c>
      <c r="FR112" s="115">
        <f>FM112*$NT112*$NU112</f>
        <v>2.3703839068777639</v>
      </c>
      <c r="FS112" s="26">
        <f>FT112*$NT112</f>
        <v>3.5962831708990599</v>
      </c>
      <c r="FT112" s="115">
        <f>FC$16*$AN112/$C112</f>
        <v>3.5962831708990599</v>
      </c>
      <c r="FW112" s="73">
        <f>10^3*FT112/$NW112</f>
        <v>120.68064331876039</v>
      </c>
      <c r="FX112" s="73">
        <f>10^3*FS112/$NY112</f>
        <v>134.18967055593507</v>
      </c>
      <c r="FY112" s="115">
        <f>FT112*$NT112*$NU112</f>
        <v>2.8410637050102574</v>
      </c>
      <c r="FZ112" s="26">
        <f>GA112*$NT112</f>
        <v>4.3116231334984096</v>
      </c>
      <c r="GA112" s="115">
        <f>FC$16/$C112-$BC113*$C113/$C112</f>
        <v>4.3116231334984096</v>
      </c>
      <c r="GD112" s="562">
        <f>10^3*GA112/$NW112</f>
        <v>144.68534005028221</v>
      </c>
      <c r="GE112" s="73">
        <f>10^3*FZ112/$NY112</f>
        <v>160.88146020516453</v>
      </c>
      <c r="GF112" s="115">
        <f>GA112*$NT112*$NU112</f>
        <v>3.4061822754637436</v>
      </c>
      <c r="GG112" s="26">
        <f>GH112*$NT112</f>
        <v>1.3064170504084092</v>
      </c>
      <c r="GH112" s="115">
        <f>FD$16*$AN112/$C112</f>
        <v>1.3064170504084092</v>
      </c>
      <c r="GJ112" s="74"/>
      <c r="GK112" s="73">
        <f>10^3*GH112/$NW112</f>
        <v>43.839498335852653</v>
      </c>
      <c r="GL112" s="73">
        <f>10^3*GG112/$NY112</f>
        <v>48.746904865985414</v>
      </c>
      <c r="GM112" s="115">
        <f>GH112*$NT112*$NU112</f>
        <v>1.0320694698226434</v>
      </c>
      <c r="GN112" s="26">
        <f>GO112*$NT112</f>
        <v>0.52293555232296951</v>
      </c>
      <c r="GO112" s="115">
        <f>FD$16/$C112-$BC113*$C113/$C112</f>
        <v>0.52293555232296951</v>
      </c>
      <c r="GR112" s="562">
        <f>10^3*GO112/$NW112</f>
        <v>17.548172896743946</v>
      </c>
      <c r="GS112" s="73">
        <f>10^3*GN112/$NY112</f>
        <v>19.512520609066026</v>
      </c>
      <c r="GT112" s="115">
        <f>GO112*$NT112*$NU112</f>
        <v>0.41311908633514594</v>
      </c>
      <c r="GU112" s="115"/>
      <c r="GV112" s="115"/>
      <c r="GW112" s="115"/>
      <c r="GX112" s="55">
        <f>GX113+GX114</f>
        <v>0.69700769761723647</v>
      </c>
      <c r="GY112" s="26">
        <f>GZ112*$NT112</f>
        <v>0.22656869603397189</v>
      </c>
      <c r="GZ112" s="127">
        <f>$AN112*GU$16/C112</f>
        <v>0.22656869603397189</v>
      </c>
      <c r="HB112" s="74"/>
      <c r="HC112" s="73">
        <f>10^3*GZ112/$NW112</f>
        <v>7.6029763769789227</v>
      </c>
      <c r="HD112" s="115">
        <f>10^3*GZ112/$NY112</f>
        <v>8.4540558221631308</v>
      </c>
      <c r="HE112" s="115">
        <f>GZ112*$NT112*$NU112</f>
        <v>0.1789892698668378</v>
      </c>
      <c r="HF112" s="335">
        <f>HG112*$NT112</f>
        <v>0.22030902885261405</v>
      </c>
      <c r="HG112" s="127">
        <f>GU$16/$C112-$BI113*$C113/$C112</f>
        <v>0.22030902885261405</v>
      </c>
      <c r="HH112" s="115"/>
      <c r="HI112" s="115"/>
      <c r="HJ112" s="73">
        <f>10^3*HG112/$NW112</f>
        <v>7.3929204312957735</v>
      </c>
      <c r="HK112" s="110">
        <f>10^3*HG112/$NY112</f>
        <v>8.2204861512169423</v>
      </c>
      <c r="HL112" s="115">
        <f>HG112*$NT112*$NU112</f>
        <v>0.17404413279356512</v>
      </c>
      <c r="HM112" s="115">
        <f>HN112*$NT112</f>
        <v>0.34151709621512033</v>
      </c>
      <c r="HN112" s="127">
        <f>$AN112*GV$16/C112</f>
        <v>0.34151709621512033</v>
      </c>
      <c r="HQ112" s="73">
        <f>10^3*HN112/$NW112</f>
        <v>11.460305242118132</v>
      </c>
      <c r="HR112" s="73">
        <f>10^3*HN112/$NY112</f>
        <v>12.743175231907474</v>
      </c>
      <c r="HS112" s="115">
        <f>HN112*$NT112*$NU112</f>
        <v>0.26979850600994509</v>
      </c>
      <c r="HT112" s="335">
        <f>HU112*$NT112</f>
        <v>0.41049638187960519</v>
      </c>
      <c r="HU112" s="127">
        <f>GV$16/$C112-$BI113*$C113/$C112</f>
        <v>0.41049638187960519</v>
      </c>
      <c r="HV112" s="115"/>
      <c r="HW112" s="115"/>
      <c r="HX112" s="73">
        <f>10^3*HU112/$NW112</f>
        <v>13.775046371798831</v>
      </c>
      <c r="HY112" s="110">
        <f>10^3*HU112/$NY112</f>
        <v>15.317029174612133</v>
      </c>
      <c r="HZ112" s="115">
        <f>HU112*$NT112*$NU112</f>
        <v>0.32429214168488812</v>
      </c>
      <c r="IA112" s="115">
        <f>IB112*$NT112</f>
        <v>9.3599547619092633E-3</v>
      </c>
      <c r="IB112" s="127">
        <f>$AN112*GW$16/C112</f>
        <v>9.3599547619092633E-3</v>
      </c>
      <c r="IC112" s="133"/>
      <c r="IE112" s="73">
        <f>10^3*IB112/$NW112</f>
        <v>0.31409244167480749</v>
      </c>
      <c r="IF112" s="73">
        <f>10^3*IB112/$NY112</f>
        <v>0.34925204335482324</v>
      </c>
      <c r="IG112" s="115">
        <f>IB112*$NT112*$NU112</f>
        <v>7.3943642619083184E-3</v>
      </c>
      <c r="IH112" s="335">
        <f>II112*$NT112</f>
        <v>-0.13907270670661676</v>
      </c>
      <c r="II112" s="127">
        <f>GW$16/$C112-$BI113*$C113/$C112</f>
        <v>-0.13907270670661676</v>
      </c>
      <c r="IJ112" s="115"/>
      <c r="IK112" s="115"/>
      <c r="IL112" s="73">
        <f>10^3*II112/$NW112</f>
        <v>-4.6668693525710312</v>
      </c>
      <c r="IM112" s="110">
        <f>10^3*II112/$NY112</f>
        <v>-5.1892801009931615</v>
      </c>
      <c r="IN112" s="115">
        <f>II112*$NT112*$NU112</f>
        <v>-0.10986743829822725</v>
      </c>
      <c r="IO112" s="68"/>
      <c r="IP112" s="97"/>
      <c r="IQ112" s="97"/>
      <c r="IR112" s="97"/>
      <c r="IS112" s="97"/>
      <c r="IT112" s="97"/>
      <c r="IU112" s="97"/>
      <c r="IV112" s="26">
        <f>IW112*$NT112</f>
        <v>2.0196986170793885</v>
      </c>
      <c r="IW112" s="115">
        <f>AN112*JK111</f>
        <v>2.0196986170793885</v>
      </c>
      <c r="IX112" s="73"/>
      <c r="IZ112" s="73">
        <f>AN112*JL111</f>
        <v>75.361888696992096</v>
      </c>
      <c r="JA112" s="115">
        <f>IW112*$NT112*$NU112</f>
        <v>1.595561907492717</v>
      </c>
      <c r="JB112" s="115">
        <f>$IW112*JM111/$JK111</f>
        <v>1.3678624290261372</v>
      </c>
      <c r="JC112" s="115">
        <f>$IW112*JN111/$JK111</f>
        <v>0.6029188254158887</v>
      </c>
      <c r="JD112" s="115">
        <f>$IW112*JO111/$JK111</f>
        <v>4.8917362637362655E-2</v>
      </c>
      <c r="JE112" s="115">
        <f>JF112*$NT112</f>
        <v>2.7790373989020045</v>
      </c>
      <c r="JF112" s="115">
        <f>JK111-BO113*C113/C112</f>
        <v>2.7790373989020045</v>
      </c>
      <c r="JG112" s="73"/>
      <c r="JH112" s="73"/>
      <c r="JI112" s="673">
        <f>10^3*JF112/NY112</f>
        <v>103.69542533216435</v>
      </c>
      <c r="JJ112" s="115">
        <f>JF112*$NT112*$NU112</f>
        <v>2.1954395451325839</v>
      </c>
      <c r="JU112" s="736"/>
      <c r="KJ112" s="115">
        <f>BW112*44/12+$IW112+$GZ112</f>
        <v>6.2660505272535287</v>
      </c>
      <c r="KK112" s="73">
        <f>10^3*KJ112/$NY112</f>
        <v>233.80785549453464</v>
      </c>
      <c r="KL112" s="74"/>
      <c r="KM112" s="74"/>
      <c r="KN112" s="115">
        <f>KJ112*$NT112*$NU112</f>
        <v>4.9501799165302875</v>
      </c>
      <c r="KO112" s="115">
        <f>CD112*44/12+$JF112+$HF112</f>
        <v>6.4622524623772488</v>
      </c>
      <c r="KP112" s="677">
        <f>10^3*KO112/$NY112</f>
        <v>241.12882322303167</v>
      </c>
      <c r="KQ112" s="74"/>
      <c r="KR112" s="74"/>
      <c r="KS112" s="115">
        <f>KO112*$NT112*$NU112</f>
        <v>5.1051794452780266</v>
      </c>
      <c r="KT112" s="115">
        <f>CK112*44/12+$IW112+$HN112</f>
        <v>7.7687009049489539</v>
      </c>
      <c r="KU112" s="73">
        <f>10^3*KT112/$NY112</f>
        <v>289.87689943839382</v>
      </c>
      <c r="KX112" s="115">
        <f>KT112*$NT112*$NU112</f>
        <v>6.1372737149096741</v>
      </c>
      <c r="KY112" s="115">
        <f>CR112*44/12+$JF112+$HU112</f>
        <v>8.9484558145642268</v>
      </c>
      <c r="KZ112" s="677">
        <f>10^3*KY112/$NY112</f>
        <v>333.89760502105321</v>
      </c>
      <c r="LC112" s="115">
        <f>KY112*$NT112*$NU112</f>
        <v>7.0692800935057392</v>
      </c>
      <c r="LD112" s="115">
        <f>CY112*44/12+$IW112+$IB112</f>
        <v>3.4214359154661009</v>
      </c>
      <c r="LE112" s="73">
        <f>10^3*LD112/$NY112</f>
        <v>127.66551923380973</v>
      </c>
      <c r="LH112" s="115">
        <f>LD112*$NT112*$NU112</f>
        <v>2.7029343732182198</v>
      </c>
      <c r="LI112" s="115">
        <f>DF112*44/12+$JF112+$II112</f>
        <v>1.7557082865107785</v>
      </c>
      <c r="LJ112" s="677">
        <f>10^3*LI112/$NY112</f>
        <v>65.511503228014121</v>
      </c>
      <c r="LM112" s="115">
        <f>LI112*$NT112*$NU112</f>
        <v>1.387009546343515</v>
      </c>
      <c r="LN112" s="115">
        <f>DM112*44/12+$IW112+$GZ112</f>
        <v>7.4088169572744063</v>
      </c>
      <c r="LO112" s="73">
        <f>10^3*LN112/$NY112</f>
        <v>276.44839392814947</v>
      </c>
      <c r="LR112" s="115">
        <f>LN112*$NT112*$NU112</f>
        <v>5.8529653962467814</v>
      </c>
      <c r="LS112" s="115">
        <f>DT112*44/12+$JF112+$HN112</f>
        <v>8.0830112617939527</v>
      </c>
      <c r="LT112" s="677">
        <f>10^3*LS112/$NY112</f>
        <v>301.60489782813255</v>
      </c>
      <c r="LW112" s="115">
        <f>LS112*$NT112*$NU112</f>
        <v>6.3855788968172229</v>
      </c>
      <c r="LX112" s="115">
        <f>EA112*44/12+$IW112+$HN112</f>
        <v>8.9828510878319534</v>
      </c>
      <c r="LY112" s="73">
        <f>10^3*LX112/$NY112</f>
        <v>335.18101073999827</v>
      </c>
      <c r="MB112" s="115">
        <f>LX112*$NT112*$NU112</f>
        <v>7.0964523593872437</v>
      </c>
      <c r="MC112" s="115">
        <f>EH112*44/12+$JF112+$HN112</f>
        <v>10.49713492478036</v>
      </c>
      <c r="MD112" s="677">
        <f>10^3*MC112/$NY112</f>
        <v>391.68413898434176</v>
      </c>
      <c r="MG112" s="115">
        <f>MC112*$NT112*$NU112</f>
        <v>8.2927365905764852</v>
      </c>
      <c r="MH112" s="115">
        <f>EO112*44/12+$IW112+$IB112</f>
        <v>4.4344913322211115</v>
      </c>
      <c r="MI112" s="73">
        <f>10^3*MH112/$NY112</f>
        <v>165.46609448586236</v>
      </c>
      <c r="ML112" s="115">
        <f>MH112*$NT112*$NU112</f>
        <v>3.5032481524546784</v>
      </c>
      <c r="MM112" s="115">
        <f>EV112*44/12+$JF112+$HN112</f>
        <v>3.5212360540831869</v>
      </c>
      <c r="MN112" s="677">
        <f>10^3*MM112/$NY112</f>
        <v>131.38940500310397</v>
      </c>
      <c r="MQ112" s="115">
        <f>MM112*$NT112*$NU112</f>
        <v>2.7817764827257179</v>
      </c>
      <c r="MR112" s="295">
        <v>86</v>
      </c>
      <c r="MS112" s="73">
        <f>KK112-$MR112</f>
        <v>147.80785549453464</v>
      </c>
      <c r="MT112" s="115">
        <f>MS112*$NZ112/10^3</f>
        <v>3.1293879165302876</v>
      </c>
      <c r="MU112" s="676">
        <f>KP112-$MR112</f>
        <v>155.12882322303167</v>
      </c>
      <c r="MV112" s="115">
        <f>MU112*$NZ112/10^3</f>
        <v>3.2843874452780266</v>
      </c>
      <c r="MW112" s="73">
        <f>KU112-$MR112</f>
        <v>203.87689943839382</v>
      </c>
      <c r="MX112" s="115">
        <f>MW112*$NZ112/10^3</f>
        <v>4.3164817149096741</v>
      </c>
      <c r="MY112" s="676">
        <f>KZ112-$MR112</f>
        <v>247.89760502105321</v>
      </c>
      <c r="MZ112" s="115">
        <f>MY112*$NZ112/10^3</f>
        <v>5.2484880935057392</v>
      </c>
      <c r="NA112" s="73">
        <f>LE112-$MR112</f>
        <v>41.665519233809732</v>
      </c>
      <c r="NB112" s="115">
        <f>NA112*$NZ112/10^3</f>
        <v>0.88214237321821964</v>
      </c>
      <c r="NC112" s="676">
        <f>LJ112-$MR112</f>
        <v>-20.488496771985879</v>
      </c>
      <c r="ND112" s="115">
        <f>NC112*$NZ112/10^3</f>
        <v>-0.4337824536564851</v>
      </c>
      <c r="NE112" s="73">
        <f>LO112-$MR112</f>
        <v>190.44839392814947</v>
      </c>
      <c r="NF112" s="115">
        <f>NE112*$NZ112/10^3</f>
        <v>4.0321733962467805</v>
      </c>
      <c r="NG112" s="676">
        <f>LT112-$MR112</f>
        <v>215.60489782813255</v>
      </c>
      <c r="NH112" s="115">
        <f>NG112*$NZ112/10^3</f>
        <v>4.5647868968172221</v>
      </c>
      <c r="NI112" s="73">
        <f>LY112-$MR112</f>
        <v>249.18101073999827</v>
      </c>
      <c r="NJ112" s="115">
        <f>NI112*$NZ112/10^3</f>
        <v>5.2756603593872429</v>
      </c>
      <c r="NK112" s="676">
        <f>MD112-$MR112</f>
        <v>305.68413898434176</v>
      </c>
      <c r="NL112" s="115">
        <f>NK112*$NZ112/10^3</f>
        <v>6.4719445905764843</v>
      </c>
      <c r="NM112" s="73">
        <f>MI112-$MR112</f>
        <v>79.466094485862357</v>
      </c>
      <c r="NN112" s="115">
        <f>NM112*$NZ112/10^3</f>
        <v>1.6824561524546777</v>
      </c>
      <c r="NO112" s="676">
        <f>MN112-$MR112</f>
        <v>45.389405003103974</v>
      </c>
      <c r="NP112" s="115">
        <f>NO112*$NZ112/10^3</f>
        <v>0.96098448272571735</v>
      </c>
      <c r="NQ112" s="73">
        <f>44/12*CA112*'Amortization metrics'!$D$4/($MR112-$IZ112)</f>
        <v>422.98460705041549</v>
      </c>
      <c r="NR112" s="73">
        <f>44/12*CO112*'Amortization metrics'!$D$4/($MR112-$IZ112)</f>
        <v>569.00655509905323</v>
      </c>
      <c r="NS112" s="73">
        <f>44/12*DC112*'Amortization metrics'!$D$4/($MR112-$IZ112)</f>
        <v>146.51391684191006</v>
      </c>
      <c r="NT112" s="31">
        <v>1</v>
      </c>
      <c r="NU112" s="103">
        <v>0.79</v>
      </c>
      <c r="NV112" s="32">
        <f>$NT112*NW112</f>
        <v>29.8</v>
      </c>
      <c r="NW112" s="9">
        <v>29.8</v>
      </c>
      <c r="NX112" s="26">
        <f>NV112*NU112</f>
        <v>23.542000000000002</v>
      </c>
      <c r="NY112" s="9">
        <v>26.8</v>
      </c>
      <c r="NZ112" s="26">
        <f>NY112*NT112*NU112</f>
        <v>21.172000000000001</v>
      </c>
    </row>
    <row r="113" spans="1:494" x14ac:dyDescent="0.25">
      <c r="A113" s="37" t="s">
        <v>301</v>
      </c>
      <c r="B113" s="468">
        <f>C113*NT16/NT113</f>
        <v>0.32557176470588228</v>
      </c>
      <c r="C113" s="69">
        <f>D113*NW16/NW113</f>
        <v>0.33297112299465237</v>
      </c>
      <c r="D113" s="134">
        <v>0.36</v>
      </c>
      <c r="E113" s="453"/>
      <c r="F113" s="453"/>
      <c r="G113" s="453"/>
      <c r="H113" s="453"/>
      <c r="I113" s="127">
        <f>J113*NZ112</f>
        <v>0.86065065629557558</v>
      </c>
      <c r="J113" s="117">
        <f>V113/(10^3*Y112*NY112/NW112)</f>
        <v>4.0650418302265991E-2</v>
      </c>
      <c r="K113" s="122"/>
      <c r="L113" s="122"/>
      <c r="M113" s="122"/>
      <c r="N113" s="45"/>
      <c r="V113" s="26">
        <f>W113/NT113</f>
        <v>5.1203266893534245</v>
      </c>
      <c r="W113" s="26">
        <f>10^3*Y113/NW113</f>
        <v>4.6082940204180822</v>
      </c>
      <c r="X113" s="115"/>
      <c r="Y113" s="26">
        <f>D113/D112*Y112</f>
        <v>9.1675636363636334E-2</v>
      </c>
      <c r="Z113" s="26"/>
      <c r="AA113" s="26">
        <f>W113*OD113</f>
        <v>1.3824882061254247</v>
      </c>
      <c r="AB113" s="26"/>
      <c r="AE113" s="115">
        <f>AB$16*$AN113/$C113</f>
        <v>4.2864784535110347</v>
      </c>
      <c r="AF113" s="115"/>
      <c r="AG113" s="115">
        <f>AC$16*$AN113/$C113</f>
        <v>5.0756331925257934</v>
      </c>
      <c r="AH113" s="115"/>
      <c r="AI113" s="115">
        <f>AD$16*$AN113/$C113</f>
        <v>2.7952762509562339</v>
      </c>
      <c r="AJ113" s="115"/>
      <c r="AK113" s="722">
        <f>1-AK112</f>
        <v>0.39560439560439553</v>
      </c>
      <c r="AL113" s="164">
        <v>0.25</v>
      </c>
      <c r="AM113" s="69">
        <f>V113*AL113/(V112*AL112+V113*AL113)</f>
        <v>0.23231627922406414</v>
      </c>
      <c r="AN113" s="53">
        <f t="shared" si="37"/>
        <v>0.39560439560439553</v>
      </c>
      <c r="AO113" s="453">
        <v>0.68799999999999994</v>
      </c>
      <c r="AP113" s="453">
        <v>9.5000000000000001E-2</v>
      </c>
      <c r="AQ113" s="453">
        <v>0.114</v>
      </c>
      <c r="AR113" s="83">
        <v>6.8000000000000005E-2</v>
      </c>
      <c r="AS113" s="122">
        <f>1-AO113-AP113-AQ113-AR113</f>
        <v>3.5000000000000045E-2</v>
      </c>
      <c r="AT113" s="115">
        <f>AO113*AB$14</f>
        <v>1.4919691480480091</v>
      </c>
      <c r="AU113" s="115">
        <f>AP113*AB$16</f>
        <v>0.34274388308262443</v>
      </c>
      <c r="AV113" s="115">
        <f>AQ113*AE$80</f>
        <v>0.4352282739756092</v>
      </c>
      <c r="AW113" s="115">
        <f>AR113*AE$90</f>
        <v>0.28151291524141003</v>
      </c>
      <c r="AX113" s="115">
        <f>AS113*AE$127</f>
        <v>0.19833302094693517</v>
      </c>
      <c r="AY113" s="91">
        <f>AT113+AU113+AV113+AW113+AX113</f>
        <v>2.7497872412945878</v>
      </c>
      <c r="AZ113" s="735">
        <f>AT113*BP$14/AB$14+AU113*BP$16/AB$16+AV113*BW$80/AE$80+AW113*BW$90/AE$90+AX113*BW$127/AE$127</f>
        <v>0.88675909428776922</v>
      </c>
      <c r="BA113" s="127" t="e">
        <f>AT113*#REF!/AB$14+AU113*#REF!/AB$16+AV113*#REF!/AE$80+AW113*#REF!/AE$90+AX113*#REF!/AE$127</f>
        <v>#REF!</v>
      </c>
      <c r="BB113" s="735">
        <f>AU113*BS$14/AB$14+AV113*BS$16/AB$16+AW113*DM$80/AE$80+AX113*DM$90/AE$90+AY113*DM$127/AE$127</f>
        <v>0.9955754744021319</v>
      </c>
      <c r="BC113" s="115">
        <f>AT113*FB$14/AB$14+AU113*FB$16/AB$16+AV113*FF$80/AE$80+AW113*FF$90/AE$90+AX113*FF$127/AE$127</f>
        <v>1.6711991280679466</v>
      </c>
      <c r="BD113" s="172">
        <f>AO113*'Crops; pasture AMORTIZED'!EK$20</f>
        <v>8.678655266068977E-2</v>
      </c>
      <c r="BE113" s="172">
        <f>AP113*'Crops; pasture AMORTIZED'!EK$22</f>
        <v>1.2093902463332829E-2</v>
      </c>
      <c r="BF113" s="127">
        <f>AQ113*GZ$80</f>
        <v>1.7275633084001072E-2</v>
      </c>
      <c r="BG113" s="127">
        <f>AR113*GZ$90</f>
        <v>3.0690307390676255E-2</v>
      </c>
      <c r="BH113" s="127">
        <f>AS113*GZ$127</f>
        <v>1.0788540486327422E-2</v>
      </c>
      <c r="BI113" s="735">
        <f>BD113+BE113+BF113+BG113+BH113</f>
        <v>0.15763493608502738</v>
      </c>
      <c r="BJ113" s="172">
        <f>AO113*'Crops; pasture AMORTIZED'!FS$20</f>
        <v>0.36104440145090905</v>
      </c>
      <c r="BK113" s="172">
        <f>AP113*'Crops; pasture AMORTIZED'!FS$22</f>
        <v>7.4330646369659095E-2</v>
      </c>
      <c r="BL113" s="127">
        <f>AQ113*IW$80</f>
        <v>4.2690844600292294E-2</v>
      </c>
      <c r="BM113" s="127">
        <f>AR113*IW$90</f>
        <v>5.538232122938315E-2</v>
      </c>
      <c r="BN113" s="127">
        <f>AS113*IW$127</f>
        <v>4.0394318035862443E-2</v>
      </c>
      <c r="BO113" s="735">
        <f>BJ113+BK113+BL113+BM113+BN113</f>
        <v>0.57384253168610599</v>
      </c>
      <c r="BP113" s="127"/>
      <c r="BQ113" s="127"/>
      <c r="BR113" s="127"/>
      <c r="BS113" s="127"/>
      <c r="BT113" s="127"/>
      <c r="BU113" s="127"/>
      <c r="BV113" s="26">
        <f>BW113*$NT113</f>
        <v>0.65867503044778541</v>
      </c>
      <c r="BW113" s="127">
        <f>BP$16*$AN113/$C113</f>
        <v>0.73186114494198373</v>
      </c>
      <c r="BX113" s="74"/>
      <c r="BY113" s="115">
        <f>BW113/$OD113</f>
        <v>2.4395371498066125</v>
      </c>
      <c r="BZ113" s="74"/>
      <c r="CA113" s="74"/>
      <c r="CB113" s="74"/>
      <c r="CC113" s="335">
        <f>CD113*$NT113</f>
        <v>0.79808318485899232</v>
      </c>
      <c r="CD113" s="127">
        <f>AZ113</f>
        <v>0.88675909428776922</v>
      </c>
      <c r="CE113" s="115"/>
      <c r="CF113" s="143">
        <f>CD113/$OD113</f>
        <v>2.9558636476258977</v>
      </c>
      <c r="CG113" s="115"/>
      <c r="CH113" s="115"/>
      <c r="CI113" s="74"/>
      <c r="CJ113" s="115">
        <f>CK113*$NT113</f>
        <v>0.88606158181114858</v>
      </c>
      <c r="CK113" s="115">
        <f>BQ$16*$AN113/$C113</f>
        <v>0.98451286867905397</v>
      </c>
      <c r="CL113" s="74"/>
      <c r="CM113" s="115">
        <f>CK113/$OD113</f>
        <v>3.2817095622635133</v>
      </c>
      <c r="CN113" s="74"/>
      <c r="CX113" s="115">
        <f>CY113*$NT113</f>
        <v>0.22815264912315589</v>
      </c>
      <c r="CY113" s="115">
        <f>BR$16*$AN113/$C113</f>
        <v>0.25350294347017321</v>
      </c>
      <c r="DA113" s="115">
        <f>CY113/$OD113</f>
        <v>0.84500981156724408</v>
      </c>
      <c r="DF113" s="115"/>
      <c r="DG113" s="115"/>
      <c r="DH113" s="115"/>
      <c r="DI113" s="115"/>
      <c r="DJ113" s="115"/>
      <c r="DL113" s="26">
        <f>DM113*$NT113</f>
        <v>0.84592684801867735</v>
      </c>
      <c r="DM113" s="115">
        <f>BS$16*$AN113/$C113</f>
        <v>0.93991872002075261</v>
      </c>
      <c r="DO113" s="115">
        <f>DM113/$OD113</f>
        <v>3.1330624000691754</v>
      </c>
      <c r="DS113" s="335">
        <f>DT113*$NT113</f>
        <v>0.89601792696191873</v>
      </c>
      <c r="DT113" s="127">
        <f>BB113</f>
        <v>0.9955754744021319</v>
      </c>
      <c r="DU113" s="133"/>
      <c r="DV113" s="143">
        <f>DT113/$OD113</f>
        <v>3.3185849146737731</v>
      </c>
      <c r="DW113" s="37"/>
      <c r="DX113" s="37"/>
      <c r="DZ113" s="26">
        <f>EA113*$NT113</f>
        <v>1.0850102230874934</v>
      </c>
      <c r="EA113" s="115">
        <f>BT$16*$AN113/$C113</f>
        <v>1.2055669145416592</v>
      </c>
      <c r="EB113" s="74"/>
      <c r="EC113" s="115">
        <f>EA113/$OD113</f>
        <v>4.0185563818055305</v>
      </c>
      <c r="ED113" s="74"/>
      <c r="EH113" s="74"/>
      <c r="EI113" s="74"/>
      <c r="EJ113" s="74"/>
      <c r="EN113" s="26">
        <f>EO113*$NT113</f>
        <v>0.39415023454745601</v>
      </c>
      <c r="EO113" s="115">
        <f>BU$16*$AN113/$C113</f>
        <v>0.43794470505272892</v>
      </c>
      <c r="EP113" s="37"/>
      <c r="EQ113" s="115">
        <f>EO113/$OD113</f>
        <v>1.4598156835090965</v>
      </c>
      <c r="EW113" s="37"/>
      <c r="EX113" s="37"/>
      <c r="EY113" s="37"/>
      <c r="EZ113" s="37"/>
      <c r="FE113" s="26">
        <f>FF113*$NT113</f>
        <v>1.6845847220479351</v>
      </c>
      <c r="FF113" s="115">
        <f>FB$16*$AN113/$C113</f>
        <v>1.8717608022754835</v>
      </c>
      <c r="FH113" s="115">
        <f>FF113/$OD113</f>
        <v>6.2392026742516116</v>
      </c>
      <c r="FI113" s="74"/>
      <c r="FJ113" s="74"/>
      <c r="FK113" s="74"/>
      <c r="FL113" s="26">
        <f>FM113*$NT113</f>
        <v>1.504079215261152</v>
      </c>
      <c r="FM113" s="26">
        <f>BC113</f>
        <v>1.6711991280679466</v>
      </c>
      <c r="FO113" s="115">
        <f>FM113/$OD113</f>
        <v>5.5706637602264886</v>
      </c>
      <c r="FQ113" s="74"/>
      <c r="FR113" s="74"/>
      <c r="FS113" s="26">
        <f>FT113*$NT113</f>
        <v>2.1606970500582303</v>
      </c>
      <c r="FT113" s="115">
        <f>FC$16*$AN113/$C113</f>
        <v>2.4007745000647005</v>
      </c>
      <c r="FV113" s="115">
        <f>FT113/$OD113</f>
        <v>8.0025816668823353</v>
      </c>
      <c r="FW113" s="74"/>
      <c r="FX113" s="74"/>
      <c r="FZ113" s="26"/>
      <c r="GE113" s="74"/>
      <c r="GG113" s="26">
        <f>GH113*$NT113</f>
        <v>0.78491357126851069</v>
      </c>
      <c r="GH113" s="115">
        <f>FD$16*$AN113/$C113</f>
        <v>0.87212619029834515</v>
      </c>
      <c r="GJ113" s="115">
        <f>GH113/$OD113</f>
        <v>2.9070873009944838</v>
      </c>
      <c r="GK113" s="74"/>
      <c r="GL113" s="74"/>
      <c r="GM113" s="74"/>
      <c r="GN113" s="26"/>
      <c r="GS113" s="74"/>
      <c r="GT113" s="74"/>
      <c r="GU113" s="74"/>
      <c r="GV113" s="74"/>
      <c r="GW113" s="74"/>
      <c r="GX113" s="68">
        <f>GZ113*$W113</f>
        <v>0.69700769761723647</v>
      </c>
      <c r="GY113" s="26">
        <f>GZ113*$NT113</f>
        <v>0.13612563023888852</v>
      </c>
      <c r="GZ113" s="127">
        <f>$AN113*GU$16/C113</f>
        <v>0.15125070026543169</v>
      </c>
      <c r="HB113" s="115">
        <f>GZ113/$OD113</f>
        <v>0.50416900088477234</v>
      </c>
      <c r="HC113" s="115"/>
      <c r="HD113" s="115"/>
      <c r="HE113" s="115"/>
      <c r="HF113" s="335">
        <f>HG113*$NT113</f>
        <v>0.14187144247652464</v>
      </c>
      <c r="HG113" s="330">
        <f>$BI113</f>
        <v>0.15763493608502738</v>
      </c>
      <c r="HH113" s="115"/>
      <c r="HI113" s="115">
        <f>HG113/$OD113</f>
        <v>0.52544978695009126</v>
      </c>
      <c r="HJ113" s="115"/>
      <c r="HK113" s="115"/>
      <c r="HL113" s="115"/>
      <c r="HM113" s="115">
        <f>HN113*$NT113</f>
        <v>0.20518823109026396</v>
      </c>
      <c r="HN113" s="127">
        <f>$AN113*GV$16/C113</f>
        <v>0.22798692343362661</v>
      </c>
      <c r="HP113" s="115">
        <f>HN113/$OD113</f>
        <v>0.75995641144542203</v>
      </c>
      <c r="HQ113" s="115"/>
      <c r="HR113" s="115"/>
      <c r="HS113" s="115"/>
      <c r="HT113" s="115"/>
      <c r="HU113" s="115"/>
      <c r="HV113" s="115"/>
      <c r="HW113" s="115"/>
      <c r="HX113" s="115"/>
      <c r="HY113" s="115"/>
      <c r="HZ113" s="115"/>
      <c r="IA113" s="115">
        <f>IB113*$NT113</f>
        <v>5.6235912695606471E-3</v>
      </c>
      <c r="IB113" s="127">
        <f>$AN113*GW$16/C113</f>
        <v>6.2484347439562739E-3</v>
      </c>
      <c r="IC113" s="133"/>
      <c r="ID113" s="115">
        <f>IB113/$OD113</f>
        <v>2.0828115813187581E-2</v>
      </c>
      <c r="IE113" s="115"/>
      <c r="IF113" s="115"/>
      <c r="IG113" s="115"/>
      <c r="IH113" s="115"/>
      <c r="II113" s="115"/>
      <c r="IJ113" s="115"/>
      <c r="IK113" s="115"/>
      <c r="IL113" s="115"/>
      <c r="IM113" s="115"/>
      <c r="IN113" s="115"/>
      <c r="IV113" s="335">
        <f>IW113*$NT113</f>
        <v>1.2134630774470263</v>
      </c>
      <c r="IW113" s="127">
        <f>AN113*JK111*C112/C113</f>
        <v>1.3482923082744735</v>
      </c>
      <c r="IX113" s="73"/>
      <c r="IY113" s="115">
        <f>IW113/$OD113</f>
        <v>4.4943076942482456</v>
      </c>
      <c r="IZ113" s="474">
        <f>IZ112/3.67</f>
        <v>20.534574576837084</v>
      </c>
      <c r="JA113" s="115"/>
      <c r="JB113" s="115">
        <f>$IW113*JM111/$JK111</f>
        <v>0.91314534566574168</v>
      </c>
      <c r="JC113" s="115">
        <f>$IW113*JN111/$JK111</f>
        <v>0.40249114791079238</v>
      </c>
      <c r="JD113" s="115">
        <f>$IW113*JO111/$JK111</f>
        <v>3.2655814697939503E-2</v>
      </c>
      <c r="JE113" s="26">
        <f>JF113*$NT113</f>
        <v>0.51645827851749537</v>
      </c>
      <c r="JF113" s="115">
        <f>BO113</f>
        <v>0.57384253168610599</v>
      </c>
      <c r="JH113" s="115">
        <f>JF113/$OD113</f>
        <v>1.9128084389536868</v>
      </c>
      <c r="JI113" s="73"/>
      <c r="JJ113" s="73"/>
      <c r="KJ113" s="115">
        <f>BW113*44/12+$IW113+$GZ113</f>
        <v>4.1830338733271786</v>
      </c>
      <c r="KK113" s="74"/>
      <c r="KL113" s="74"/>
      <c r="KM113" s="115">
        <f>KJ113/$OD113</f>
        <v>13.94344624442393</v>
      </c>
      <c r="KN113" s="74"/>
      <c r="KO113" s="115">
        <f>44/12*AZ113+BI113+BO113</f>
        <v>3.9829274801596206</v>
      </c>
      <c r="KP113" s="74"/>
      <c r="KQ113" s="74"/>
      <c r="KR113" s="143">
        <f>KO113/$OD113</f>
        <v>13.276424933865403</v>
      </c>
      <c r="KS113" s="74"/>
      <c r="KT113" s="115">
        <f>CK113*44/12+$IW113+$HN113</f>
        <v>5.186159750197965</v>
      </c>
      <c r="KW113" s="115">
        <f>KT113/$OD113</f>
        <v>17.287199167326552</v>
      </c>
      <c r="LB113" s="115"/>
      <c r="LD113" s="115">
        <f>CY113*44/12+$IW113+$IB113</f>
        <v>2.2840515357423983</v>
      </c>
      <c r="LG113" s="115">
        <f>LD113/$OD113</f>
        <v>7.6135051191413279</v>
      </c>
      <c r="LL113" s="115"/>
      <c r="LN113" s="115">
        <f>DM113*44/12+$IW113+$GZ113</f>
        <v>4.945911648615998</v>
      </c>
      <c r="LQ113" s="115">
        <f>LN113/$OD113</f>
        <v>16.486372162053328</v>
      </c>
      <c r="LS113" s="115">
        <f>44/12*BB113+BI113+BO113</f>
        <v>4.3819208739122839</v>
      </c>
      <c r="LV113" s="143">
        <f>LS113/$OD113</f>
        <v>14.606402913040947</v>
      </c>
      <c r="LX113" s="115">
        <f>EA113*44/12+$IW113+$HN113</f>
        <v>5.9966912516941839</v>
      </c>
      <c r="MA113" s="115">
        <f>LX113/$OD113</f>
        <v>19.988970838980613</v>
      </c>
      <c r="MH113" s="115">
        <f>EO113*44/12+$IW113+$IB113</f>
        <v>2.9603379948784356</v>
      </c>
      <c r="MK113" s="115">
        <f>MH113/$OD113</f>
        <v>9.8677933162614533</v>
      </c>
      <c r="NT113" s="31">
        <v>0.9</v>
      </c>
      <c r="NU113" s="31"/>
      <c r="NV113" s="32">
        <f>$NT113*NW113</f>
        <v>17.904255319148938</v>
      </c>
      <c r="NW113" s="43">
        <f>18.7/0.94</f>
        <v>19.893617021276597</v>
      </c>
      <c r="OC113" s="38">
        <f>$NT113*OD113</f>
        <v>0.27</v>
      </c>
      <c r="OD113" s="31">
        <v>0.3</v>
      </c>
    </row>
    <row r="114" spans="1:494" x14ac:dyDescent="0.25">
      <c r="A114" s="37" t="s">
        <v>233</v>
      </c>
      <c r="B114" s="40">
        <f>B113/B112</f>
        <v>1.0894312105007293</v>
      </c>
      <c r="C114" s="40">
        <f>1-C112-C113</f>
        <v>0.32743156156910613</v>
      </c>
      <c r="D114" s="40">
        <f>1-D112-D113</f>
        <v>8.9999999999999969E-2</v>
      </c>
      <c r="E114" s="53"/>
      <c r="F114" s="53"/>
      <c r="G114" s="53"/>
      <c r="H114" s="53"/>
      <c r="I114" s="53"/>
      <c r="N114" s="40"/>
      <c r="V114" s="26"/>
      <c r="W114" s="26"/>
      <c r="X114" s="115"/>
      <c r="Y114" s="26">
        <f>D114/D112*Y112</f>
        <v>2.291890909090908E-2</v>
      </c>
      <c r="Z114" s="26"/>
      <c r="AA114" s="26"/>
      <c r="AB114" s="26"/>
      <c r="AE114" s="26"/>
      <c r="AF114" s="74"/>
      <c r="AG114" s="74"/>
      <c r="AK114" s="722"/>
      <c r="AL114" s="74"/>
      <c r="AN114" s="74"/>
      <c r="BJ114" s="74"/>
      <c r="BK114" s="74"/>
      <c r="BL114" s="74"/>
      <c r="BM114" s="74"/>
      <c r="BN114" s="74"/>
      <c r="BW114" s="26"/>
      <c r="BZ114" s="74"/>
      <c r="CA114" s="74"/>
      <c r="CB114" s="74"/>
      <c r="CC114" s="74"/>
      <c r="CD114" s="115"/>
      <c r="CE114" s="115"/>
      <c r="CF114" s="115"/>
      <c r="CG114" s="115"/>
      <c r="CH114" s="115"/>
      <c r="CI114" s="74"/>
      <c r="CK114" s="26"/>
      <c r="CN114" s="74"/>
      <c r="CX114" s="37"/>
      <c r="CY114" s="26"/>
      <c r="CZ114" s="37"/>
      <c r="DA114" s="37"/>
      <c r="DF114" s="115"/>
      <c r="DG114" s="115"/>
      <c r="DH114" s="115"/>
      <c r="DI114" s="115"/>
      <c r="DJ114" s="115"/>
      <c r="DL114" s="37"/>
      <c r="DM114" s="115"/>
      <c r="DN114" s="37"/>
      <c r="DO114" s="37"/>
      <c r="DT114" s="37"/>
      <c r="DU114" s="37"/>
      <c r="DV114" s="37"/>
      <c r="DW114" s="37"/>
      <c r="DX114" s="37"/>
      <c r="EA114" s="115"/>
      <c r="ED114" s="74"/>
      <c r="EN114" s="37"/>
      <c r="EO114" s="115"/>
      <c r="EP114" s="37"/>
      <c r="EQ114" s="37"/>
      <c r="EV114" s="37"/>
      <c r="EW114" s="37"/>
      <c r="EX114" s="37"/>
      <c r="EY114" s="37"/>
      <c r="EZ114" s="37"/>
      <c r="FF114" s="26"/>
      <c r="FH114" s="74"/>
      <c r="FI114" s="74"/>
      <c r="FJ114" s="74"/>
      <c r="FK114" s="74"/>
      <c r="FQ114" s="74"/>
      <c r="FR114" s="74"/>
      <c r="FT114" s="26"/>
      <c r="FX114" s="74"/>
      <c r="FZ114" s="37"/>
      <c r="GE114" s="74"/>
      <c r="GH114" s="26"/>
      <c r="GJ114" s="74"/>
      <c r="GL114" s="74"/>
      <c r="GM114" s="74"/>
      <c r="GS114" s="74"/>
      <c r="GT114" s="74"/>
      <c r="GU114" s="74"/>
      <c r="GV114" s="74"/>
      <c r="GW114" s="74"/>
      <c r="GX114" s="68">
        <f>GZ114*$W114</f>
        <v>0</v>
      </c>
      <c r="HB114" s="74"/>
      <c r="HD114" s="74"/>
      <c r="HE114" s="74"/>
      <c r="HF114" s="74"/>
      <c r="HG114" s="74"/>
      <c r="HH114" s="74"/>
      <c r="HI114" s="74"/>
      <c r="HJ114" s="74"/>
      <c r="HK114" s="74"/>
      <c r="HL114" s="74"/>
      <c r="IA114" s="133"/>
      <c r="IB114" s="133"/>
      <c r="IC114" s="133"/>
      <c r="IE114" s="133"/>
      <c r="JQ114" s="643"/>
      <c r="KJ114" s="74"/>
      <c r="KK114" s="74"/>
      <c r="KL114" s="74"/>
      <c r="KM114" s="74"/>
      <c r="KN114" s="74"/>
      <c r="KO114" s="74"/>
      <c r="KP114" s="74"/>
      <c r="KQ114" s="74"/>
      <c r="KR114" s="74"/>
      <c r="KS114" s="74"/>
    </row>
    <row r="115" spans="1:494" x14ac:dyDescent="0.25">
      <c r="B115" s="727"/>
      <c r="Y115" s="26"/>
      <c r="AA115" s="26"/>
      <c r="AB115" s="26"/>
      <c r="AE115" s="26"/>
      <c r="AF115" s="74"/>
      <c r="AG115" s="74"/>
      <c r="AL115" s="74"/>
      <c r="AN115" s="74"/>
      <c r="BW115" s="26"/>
      <c r="BZ115" s="74"/>
      <c r="CA115" s="74"/>
      <c r="CB115" s="74"/>
      <c r="CC115" s="74"/>
      <c r="CD115" s="115"/>
      <c r="CE115" s="115"/>
      <c r="CF115" s="115"/>
      <c r="CG115" s="115"/>
      <c r="CH115" s="115"/>
      <c r="CI115" s="74"/>
      <c r="CK115" s="26"/>
      <c r="CN115" s="74"/>
      <c r="CX115" s="37"/>
      <c r="CY115" s="26"/>
      <c r="CZ115" s="37"/>
      <c r="DA115" s="37"/>
      <c r="DF115" s="115"/>
      <c r="DG115" s="115"/>
      <c r="DH115" s="115"/>
      <c r="DI115" s="115"/>
      <c r="DJ115" s="115"/>
      <c r="DL115" s="37"/>
      <c r="DM115" s="115"/>
      <c r="DN115" s="37"/>
      <c r="DO115" s="37"/>
      <c r="DT115" s="37"/>
      <c r="DU115" s="37"/>
      <c r="DV115" s="37"/>
      <c r="DW115" s="37"/>
      <c r="DX115" s="37"/>
      <c r="EA115" s="115"/>
      <c r="ED115" s="74"/>
      <c r="EN115" s="37"/>
      <c r="EO115" s="115"/>
      <c r="EP115" s="37"/>
      <c r="EQ115" s="37"/>
      <c r="EV115" s="37"/>
      <c r="EW115" s="37"/>
      <c r="EX115" s="37"/>
      <c r="EY115" s="37"/>
      <c r="EZ115" s="37"/>
      <c r="FF115" s="26"/>
      <c r="FH115" s="74"/>
      <c r="FJ115" s="74"/>
      <c r="FK115" s="74"/>
      <c r="FQ115" s="74"/>
      <c r="FR115" s="74"/>
      <c r="FT115" s="26"/>
      <c r="FX115" s="74"/>
      <c r="FZ115" s="37"/>
      <c r="GE115" s="74"/>
      <c r="GH115" s="26"/>
      <c r="GJ115" s="74"/>
      <c r="GL115" s="74"/>
      <c r="GM115" s="74"/>
      <c r="GS115" s="74"/>
      <c r="GT115" s="74"/>
      <c r="GU115" s="74"/>
      <c r="GV115" s="74"/>
      <c r="GW115" s="74"/>
      <c r="GX115" s="74"/>
      <c r="HB115" s="74"/>
      <c r="HD115" s="74"/>
      <c r="HE115" s="74"/>
      <c r="HF115" s="74"/>
      <c r="HG115" s="74"/>
      <c r="HH115" s="74"/>
      <c r="HI115" s="74"/>
      <c r="HJ115" s="74"/>
      <c r="HK115" s="74"/>
      <c r="HL115" s="74"/>
      <c r="IA115" s="133"/>
      <c r="IB115" s="133"/>
      <c r="IC115" s="133"/>
      <c r="IE115" s="133"/>
      <c r="JQ115" s="469"/>
      <c r="JS115" s="723"/>
      <c r="JU115" s="723"/>
      <c r="JX115" s="723"/>
      <c r="KJ115" s="74"/>
      <c r="KK115" s="74"/>
      <c r="KL115" s="74"/>
      <c r="KM115" s="74"/>
      <c r="KN115" s="74"/>
      <c r="KO115" s="74"/>
      <c r="KP115" s="74"/>
      <c r="KQ115" s="74"/>
      <c r="KR115" s="74"/>
      <c r="KS115" s="74"/>
    </row>
    <row r="116" spans="1:494" x14ac:dyDescent="0.25">
      <c r="A116" s="9" t="s">
        <v>243</v>
      </c>
      <c r="AA116" s="26"/>
      <c r="AB116" s="26"/>
      <c r="AE116" s="26"/>
      <c r="AF116" s="74"/>
      <c r="AG116" s="74"/>
      <c r="AL116" s="74"/>
      <c r="AN116" s="74"/>
      <c r="BW116" s="26"/>
      <c r="BZ116" s="74"/>
      <c r="CA116" s="74"/>
      <c r="CB116" s="74"/>
      <c r="CC116" s="74"/>
      <c r="CD116" s="115"/>
      <c r="CE116" s="115"/>
      <c r="CF116" s="115"/>
      <c r="CG116" s="115"/>
      <c r="CH116" s="115"/>
      <c r="CI116" s="74"/>
      <c r="CK116" s="26"/>
      <c r="CN116" s="74"/>
      <c r="CX116" s="37"/>
      <c r="CY116" s="26"/>
      <c r="CZ116" s="37"/>
      <c r="DA116" s="37"/>
      <c r="DF116" s="115"/>
      <c r="DG116" s="115"/>
      <c r="DH116" s="115"/>
      <c r="DI116" s="115"/>
      <c r="DJ116" s="115"/>
      <c r="DL116" s="37"/>
      <c r="DM116" s="115"/>
      <c r="DN116" s="37"/>
      <c r="DO116" s="37"/>
      <c r="DT116" s="37"/>
      <c r="DU116" s="37"/>
      <c r="DV116" s="37"/>
      <c r="DW116" s="37"/>
      <c r="DX116" s="37"/>
      <c r="EA116" s="115"/>
      <c r="ED116" s="74"/>
      <c r="EN116" s="37"/>
      <c r="EO116" s="115"/>
      <c r="EP116" s="37"/>
      <c r="EQ116" s="37"/>
      <c r="EV116" s="37"/>
      <c r="EW116" s="37"/>
      <c r="EX116" s="37"/>
      <c r="EY116" s="37"/>
      <c r="EZ116" s="37"/>
      <c r="FF116" s="26"/>
      <c r="FH116" s="74"/>
      <c r="FJ116" s="74"/>
      <c r="FK116" s="74"/>
      <c r="FQ116" s="74"/>
      <c r="FR116" s="74"/>
      <c r="FT116" s="26"/>
      <c r="FX116" s="74"/>
      <c r="FZ116" s="37"/>
      <c r="GE116" s="74"/>
      <c r="GH116" s="26"/>
      <c r="GJ116" s="74"/>
      <c r="GL116" s="74"/>
      <c r="GM116" s="74"/>
      <c r="GS116" s="74"/>
      <c r="GT116" s="74"/>
      <c r="GU116" s="74"/>
      <c r="GV116" s="74"/>
      <c r="GW116" s="74"/>
      <c r="GX116" s="55">
        <f>GX117+GX118</f>
        <v>3.9500691571850979</v>
      </c>
      <c r="GY116" s="179"/>
      <c r="GZ116" s="179"/>
      <c r="HA116" s="179"/>
      <c r="HB116" s="74"/>
      <c r="HC116" s="179"/>
      <c r="HD116" s="74"/>
      <c r="HE116" s="74"/>
      <c r="HF116" s="74"/>
      <c r="HG116" s="74"/>
      <c r="HH116" s="74"/>
      <c r="HI116" s="74"/>
      <c r="HJ116" s="74"/>
      <c r="HK116" s="74"/>
      <c r="HL116" s="74"/>
      <c r="HM116" s="179"/>
      <c r="HN116" s="179"/>
      <c r="HO116" s="179"/>
      <c r="HQ116" s="179"/>
      <c r="IA116" s="179"/>
      <c r="IB116" s="179"/>
      <c r="IC116" s="179"/>
      <c r="IE116" s="179"/>
      <c r="IO116" s="68">
        <f>IP116+IQ116+IR116+IS116+IT116+IU116</f>
        <v>8.5436862998617595</v>
      </c>
      <c r="IP116" s="97">
        <f>JS116*$W117</f>
        <v>3.7998674732207771</v>
      </c>
      <c r="IQ116" s="97">
        <f>JU116*$W117</f>
        <v>2.8231164266409809</v>
      </c>
      <c r="IR116" s="97">
        <f>JX116*$W117</f>
        <v>1.4504159999999997</v>
      </c>
      <c r="IS116" s="97">
        <f>KB116*$W117</f>
        <v>0.26371199999999995</v>
      </c>
      <c r="IT116" s="97">
        <f>KF116*$W117</f>
        <v>0.17141279999999998</v>
      </c>
      <c r="IU116" s="97">
        <f>KH116*$W117</f>
        <v>3.5161600000000001E-2</v>
      </c>
      <c r="JK116" s="127">
        <f>JM116+JN116+JO116</f>
        <v>0.52095648169888764</v>
      </c>
      <c r="JL116" s="673">
        <f>10^3*JK116/NY117</f>
        <v>19.438674690256999</v>
      </c>
      <c r="JM116" s="179">
        <f>JS116+KB116</f>
        <v>0.2477792361719986</v>
      </c>
      <c r="JN116" s="179">
        <f>JU116+KF116</f>
        <v>0.18259324552688908</v>
      </c>
      <c r="JO116" s="179">
        <f>JX116+KH116</f>
        <v>9.0583999999999998E-2</v>
      </c>
      <c r="JP116" s="469">
        <f>JK116*C117</f>
        <v>0.14116522113149388</v>
      </c>
      <c r="JQ116" s="127">
        <f>JR116*$NY117/10^3</f>
        <v>0.49228048169888772</v>
      </c>
      <c r="JR116" s="679">
        <f>JT116+JV116+JY116</f>
        <v>18.368674690257006</v>
      </c>
      <c r="JS116" s="724">
        <f>'Crops; pasture AMORTIZED'!FY34/$C117</f>
        <v>0.23169923617199861</v>
      </c>
      <c r="JT116" s="73">
        <f>10^3*JS116/$NY117</f>
        <v>8.6454938870148741</v>
      </c>
      <c r="JU116" s="724">
        <f>'Crops; pasture AMORTIZED'!FW34/$C117</f>
        <v>0.17214124552688909</v>
      </c>
      <c r="JV116" s="115">
        <f>10^3*JU116/$NY117</f>
        <v>6.42318080324213</v>
      </c>
      <c r="JW116" s="115">
        <f>10^3*JU116/'Amortization metrics'!$B$6</f>
        <v>0.57765518633184265</v>
      </c>
      <c r="JX116" s="127">
        <f>JY116*$NY117/10^3</f>
        <v>8.8439999999999991E-2</v>
      </c>
      <c r="JY116" s="84">
        <v>3.3</v>
      </c>
      <c r="JZ116" s="127">
        <f>KB116+KF116+KH116</f>
        <v>2.8675999999999997E-2</v>
      </c>
      <c r="KA116" s="91">
        <f>KC116+KG116+KI116</f>
        <v>1.07</v>
      </c>
      <c r="KB116" s="115">
        <f>KC116*$NY117/10^3</f>
        <v>1.6079999999999997E-2</v>
      </c>
      <c r="KC116" s="80">
        <v>0.6</v>
      </c>
      <c r="KD116" s="725">
        <v>1.9</v>
      </c>
      <c r="KE116" s="179">
        <f>KC116/KD116</f>
        <v>0.31578947368421051</v>
      </c>
      <c r="KF116" s="127">
        <f>KG116*$NY117/10^3</f>
        <v>1.0451999999999999E-2</v>
      </c>
      <c r="KG116" s="84">
        <v>0.39</v>
      </c>
      <c r="KH116" s="127">
        <f>KI116*$NY117/10^3</f>
        <v>2.1440000000000001E-3</v>
      </c>
      <c r="KI116" s="84">
        <v>0.08</v>
      </c>
      <c r="KJ116" s="74"/>
      <c r="KK116" s="74"/>
      <c r="KL116" s="74"/>
      <c r="KM116" s="74"/>
      <c r="KN116" s="74"/>
      <c r="KO116" s="74"/>
      <c r="KP116" s="74"/>
      <c r="KQ116" s="74"/>
      <c r="KR116" s="74"/>
      <c r="KS116" s="74"/>
    </row>
    <row r="117" spans="1:494" x14ac:dyDescent="0.25">
      <c r="A117" s="37" t="s">
        <v>244</v>
      </c>
      <c r="B117" s="670">
        <f>C117*NT21/NT117</f>
        <v>7.3162751677852356E-2</v>
      </c>
      <c r="C117" s="69">
        <f>D117*NW21/NW117</f>
        <v>0.27097315436241609</v>
      </c>
      <c r="D117" s="134">
        <v>0.47499999999999998</v>
      </c>
      <c r="E117" s="207">
        <f>X117/((Y117/D117)/NV21)/10^3</f>
        <v>9.2611078073230796E-2</v>
      </c>
      <c r="F117" s="117">
        <f>X117/((Y117/D117)/NW21)/10^3</f>
        <v>0.34300399286381777</v>
      </c>
      <c r="G117" s="460">
        <f>H117*'Crops; pasture AMORTIZED'!HB34</f>
        <v>1.9607617449664425</v>
      </c>
      <c r="H117" s="458">
        <f>F117*NZ117</f>
        <v>7.2620805369127499</v>
      </c>
      <c r="I117" s="459"/>
      <c r="K117" s="679">
        <f>10^4*($C117/$NU117)/AB21</f>
        <v>6261.0645442188434</v>
      </c>
      <c r="L117" s="73">
        <f>10^4*($C117/$NU117)/AC21</f>
        <v>5704.8424093110198</v>
      </c>
      <c r="M117" s="73">
        <f>10^4*($C117/$NU117)/AD21</f>
        <v>7029.1808257582197</v>
      </c>
      <c r="N117" s="141"/>
      <c r="V117" s="26">
        <f>W117/NT117</f>
        <v>16.399999999999999</v>
      </c>
      <c r="W117" s="72">
        <v>16.399999999999999</v>
      </c>
      <c r="X117" s="115">
        <f>V117/NU117</f>
        <v>20.759493670886073</v>
      </c>
      <c r="Y117" s="335">
        <f>W117*NW117/10^3</f>
        <v>0.48871999999999999</v>
      </c>
      <c r="Z117" s="26"/>
      <c r="AA117" s="26"/>
      <c r="AB117" s="26"/>
      <c r="AE117" s="734">
        <f>AB$21*$AN117/$C117</f>
        <v>1.9857841743301048</v>
      </c>
      <c r="AF117" s="115"/>
      <c r="AG117" s="127">
        <f>AC$21*$AN117/$C117</f>
        <v>2.1793981313272899</v>
      </c>
      <c r="AH117" s="115"/>
      <c r="AI117" s="127">
        <f>AD$21*$AN117/$C117</f>
        <v>1.7687868891931628</v>
      </c>
      <c r="AJ117" s="115"/>
      <c r="AK117" s="722">
        <f>Y117/(Y117+Y118)</f>
        <v>0.98221670802315963</v>
      </c>
      <c r="AL117" s="164">
        <v>0.9</v>
      </c>
      <c r="AM117" s="69">
        <f>V117*AL117/(V117*AL117+10^3*Y118*AL118)</f>
        <v>0.9708980409435084</v>
      </c>
      <c r="AN117" s="53">
        <f t="shared" ref="AN117:AN118" si="38">AK117</f>
        <v>0.98221670802315963</v>
      </c>
      <c r="AO117" s="115"/>
      <c r="AP117" s="115"/>
      <c r="AQ117" s="115"/>
      <c r="AR117" s="115"/>
      <c r="AS117" s="115"/>
      <c r="AT117" s="115"/>
      <c r="AU117" s="115"/>
      <c r="AV117" s="115"/>
      <c r="AW117" s="115"/>
      <c r="AX117" s="115"/>
      <c r="AY117" s="115"/>
      <c r="AZ117" s="115"/>
      <c r="BA117" s="115"/>
      <c r="BB117" s="115"/>
      <c r="BC117" s="115"/>
      <c r="BD117" s="115"/>
      <c r="BE117" s="115"/>
      <c r="BF117" s="115"/>
      <c r="BG117" s="115"/>
      <c r="BH117" s="115"/>
      <c r="BI117" s="115"/>
      <c r="BJ117" s="115"/>
      <c r="BK117" s="115"/>
      <c r="BL117" s="115"/>
      <c r="BM117" s="115"/>
      <c r="BN117" s="115"/>
      <c r="BO117" s="115"/>
      <c r="BP117" s="115"/>
      <c r="BQ117" s="115"/>
      <c r="BR117" s="115"/>
      <c r="BS117" s="115"/>
      <c r="BT117" s="115"/>
      <c r="BU117" s="115"/>
      <c r="BV117" s="26">
        <f>BW117*$NT117</f>
        <v>0.71441016918393829</v>
      </c>
      <c r="BW117" s="115">
        <f>BP$21*$AN117/$C117</f>
        <v>0.71441016918393829</v>
      </c>
      <c r="BZ117" s="73">
        <f>10^3*BW117/$NW117</f>
        <v>23.973495610199269</v>
      </c>
      <c r="CA117" s="685">
        <f>10^3*BW117/$NY117</f>
        <v>26.657095865072321</v>
      </c>
      <c r="CB117" s="115">
        <f>BW117*$NT117*$NU117</f>
        <v>0.56438403365531131</v>
      </c>
      <c r="CC117" s="73"/>
      <c r="CD117" s="115"/>
      <c r="CE117" s="115"/>
      <c r="CF117" s="115"/>
      <c r="CG117" s="115"/>
      <c r="CH117" s="115"/>
      <c r="CI117" s="115"/>
      <c r="CJ117" s="26">
        <f>CK117*$NT117</f>
        <v>1.0097452433291487</v>
      </c>
      <c r="CK117" s="115">
        <f>BQ$21*$AN117/$C117</f>
        <v>1.0097452433291487</v>
      </c>
      <c r="CN117" s="73">
        <f>10^3*CK117/$NW117</f>
        <v>33.884068568092239</v>
      </c>
      <c r="CO117" s="685">
        <f>10^3*CK117/$NY117</f>
        <v>37.677061318251816</v>
      </c>
      <c r="CP117" s="115">
        <f>CK117*$NT117*$NU117</f>
        <v>0.79769874223002757</v>
      </c>
      <c r="CQ117" s="73"/>
      <c r="CW117" s="115"/>
      <c r="CX117" s="26">
        <f>CY117*$NT117</f>
        <v>0.3841453960173517</v>
      </c>
      <c r="CY117" s="115">
        <f>BR$21*$AN117/$C117</f>
        <v>0.3841453960173517</v>
      </c>
      <c r="CZ117" s="37"/>
      <c r="DA117" s="37"/>
      <c r="DB117" s="73">
        <f>10^3*CY117/$NW117</f>
        <v>12.890785101253412</v>
      </c>
      <c r="DC117" s="685">
        <f>10^3*CY117/$NY117</f>
        <v>14.333783433483271</v>
      </c>
      <c r="DD117" s="115">
        <f>CY117*$NT117*$NU117</f>
        <v>0.30347486285370784</v>
      </c>
      <c r="DE117" s="73"/>
      <c r="DF117" s="115"/>
      <c r="DG117" s="115"/>
      <c r="DH117" s="115"/>
      <c r="DI117" s="115"/>
      <c r="DJ117" s="115"/>
      <c r="DK117" s="115"/>
      <c r="DL117" s="26">
        <f>DM117*$NT117</f>
        <v>0.73471957974693547</v>
      </c>
      <c r="DM117" s="115">
        <f>BS$21*$AN117/$C117</f>
        <v>0.73471957974693547</v>
      </c>
      <c r="DN117" s="37"/>
      <c r="DO117" s="37"/>
      <c r="DP117" s="73">
        <f>10^3*DM117/$NW117</f>
        <v>24.655019454595148</v>
      </c>
      <c r="DQ117" s="685">
        <f>10^3*DM117/$NY117</f>
        <v>27.414909692049829</v>
      </c>
      <c r="DR117" s="115">
        <f>DM117*$NT117*$NU117</f>
        <v>0.58042846800007908</v>
      </c>
      <c r="DS117" s="73"/>
      <c r="DT117" s="37"/>
      <c r="DU117" s="37"/>
      <c r="DV117" s="37"/>
      <c r="DW117" s="37"/>
      <c r="DX117" s="37"/>
      <c r="DY117" s="115"/>
      <c r="DZ117" s="26">
        <f>EA117*$NT117</f>
        <v>0.94884576345758798</v>
      </c>
      <c r="EA117" s="115">
        <f>BT$21*$AN117/$C117</f>
        <v>0.94884576345758798</v>
      </c>
      <c r="ED117" s="73">
        <f>10^3*EA117/$NW117</f>
        <v>31.840461860992885</v>
      </c>
      <c r="EE117" s="685">
        <f>10^3*EA117/$NY117</f>
        <v>35.404692666327911</v>
      </c>
      <c r="EF117" s="115">
        <f>EA117*$NT117*$NU117</f>
        <v>0.74958815313149452</v>
      </c>
      <c r="EG117" s="73"/>
      <c r="EM117" s="115"/>
      <c r="EN117" s="26">
        <f>EO117*$NT117</f>
        <v>0.49473274582968235</v>
      </c>
      <c r="EO117" s="115">
        <f>BU$21*$AN117/$C117</f>
        <v>0.49473274582968235</v>
      </c>
      <c r="EP117" s="37"/>
      <c r="EQ117" s="37"/>
      <c r="ER117" s="73">
        <f>10^3*EO117/$NW117</f>
        <v>16.601769994284641</v>
      </c>
      <c r="ES117" s="685">
        <f>10^3*EO117/$NY117</f>
        <v>18.460177083197102</v>
      </c>
      <c r="ET117" s="115">
        <f>EO117*$NT117*$NU117</f>
        <v>0.39083886920544908</v>
      </c>
      <c r="EU117" s="73"/>
      <c r="EV117" s="37"/>
      <c r="EW117" s="37"/>
      <c r="EX117" s="37"/>
      <c r="EY117" s="37"/>
      <c r="EZ117" s="37"/>
      <c r="FA117" s="115"/>
      <c r="FE117" s="26">
        <f>FF117*$NT117</f>
        <v>1.4631257796464214</v>
      </c>
      <c r="FF117" s="115">
        <f>FB$21*$AN117/$C117</f>
        <v>1.4631257796464214</v>
      </c>
      <c r="FH117" s="74"/>
      <c r="FI117" s="562">
        <f>10^3*FF117/$NW117</f>
        <v>49.098180525047702</v>
      </c>
      <c r="FJ117" s="73">
        <f>10^3*FE117/$NY117</f>
        <v>54.594245509194828</v>
      </c>
      <c r="FK117" s="115">
        <f>FF117*$NT117*$NU117</f>
        <v>1.1558693659206729</v>
      </c>
      <c r="FL117" s="26"/>
      <c r="FQ117" s="73"/>
      <c r="FR117" s="115"/>
      <c r="FS117" s="26">
        <f>FT117*$NT117</f>
        <v>1.8895381798607604</v>
      </c>
      <c r="FT117" s="115">
        <f>FC$21*$AN117/$C117</f>
        <v>1.8895381798607604</v>
      </c>
      <c r="FW117" s="562">
        <f>10^3*FT117/$NW117</f>
        <v>63.407321471837598</v>
      </c>
      <c r="FX117" s="73">
        <f>10^3*FS117/$NY117</f>
        <v>70.505155964953744</v>
      </c>
      <c r="FY117" s="115">
        <f>FT117*$NT117*$NU117</f>
        <v>1.4927351620900009</v>
      </c>
      <c r="FZ117" s="26"/>
      <c r="GE117" s="73"/>
      <c r="GF117" s="115"/>
      <c r="GG117" s="26">
        <f>GH117*$NT117</f>
        <v>0.98521429728059173</v>
      </c>
      <c r="GH117" s="115">
        <f>FD$21*$AN117/$C117</f>
        <v>0.98521429728059173</v>
      </c>
      <c r="GJ117" s="74"/>
      <c r="GK117" s="562">
        <f>10^3*GH117/$NW117</f>
        <v>33.060882459080261</v>
      </c>
      <c r="GL117" s="73">
        <f>10^3*GG117/$NY117</f>
        <v>36.761727510469839</v>
      </c>
      <c r="GM117" s="115">
        <f>GH117*$NT117*$NU117</f>
        <v>0.77831929485166751</v>
      </c>
      <c r="GN117" s="26"/>
      <c r="GS117" s="73"/>
      <c r="GT117" s="115"/>
      <c r="GU117" s="115"/>
      <c r="GV117" s="115"/>
      <c r="GW117" s="115"/>
      <c r="GX117" s="68">
        <f>GZ117*$W117</f>
        <v>3.9500691571850979</v>
      </c>
      <c r="GY117" s="26">
        <f>GZ117*$NT117</f>
        <v>0.24085787543811574</v>
      </c>
      <c r="GZ117" s="127">
        <f>$AN117*GU$21/C117</f>
        <v>0.24085787543811574</v>
      </c>
      <c r="HB117" s="74"/>
      <c r="HC117" s="115">
        <f>10^3*GZ117/$NW117</f>
        <v>8.0824790415475078</v>
      </c>
      <c r="HD117" s="110">
        <f>10^3*GZ117/$NY117</f>
        <v>8.9872341581386461</v>
      </c>
      <c r="HE117" s="115">
        <f>GZ117*$NT117*$NU117</f>
        <v>0.19027772159611145</v>
      </c>
      <c r="HF117" s="115"/>
      <c r="HG117" s="115"/>
      <c r="HH117" s="115"/>
      <c r="HI117" s="115"/>
      <c r="HJ117" s="115"/>
      <c r="HK117" s="115"/>
      <c r="HL117" s="115"/>
      <c r="HM117" s="115">
        <f>HN117*$NT117</f>
        <v>0.16990057572929329</v>
      </c>
      <c r="HN117" s="127">
        <f>$AN117*GV$21/C117</f>
        <v>0.16990057572929329</v>
      </c>
      <c r="HQ117" s="115">
        <f>10^3*HN117/$NW117</f>
        <v>5.7013616016541366</v>
      </c>
      <c r="HR117" s="115">
        <f>10^3*HN117/$NY117</f>
        <v>6.339573721242286</v>
      </c>
      <c r="HS117" s="115">
        <f>HN117*$NT117*$NU117</f>
        <v>0.1342214548261417</v>
      </c>
      <c r="HT117" s="115"/>
      <c r="HU117" s="115"/>
      <c r="HV117" s="115"/>
      <c r="HW117" s="115"/>
      <c r="HX117" s="115"/>
      <c r="HY117" s="115"/>
      <c r="HZ117" s="115"/>
      <c r="IA117" s="115">
        <f>IB117*$NT117</f>
        <v>0.32038489733399395</v>
      </c>
      <c r="IB117" s="127">
        <f>$AN117*GW$21/C117</f>
        <v>0.32038489733399395</v>
      </c>
      <c r="IC117" s="133"/>
      <c r="IE117" s="115">
        <f>10^3*IB117/$NW117</f>
        <v>10.751171051476307</v>
      </c>
      <c r="IF117" s="115">
        <f>10^3*IB117/$NY117</f>
        <v>11.954660348283355</v>
      </c>
      <c r="IG117" s="115">
        <f>IB117*$NT117*$NU117</f>
        <v>0.25310406889385523</v>
      </c>
      <c r="IH117" s="115"/>
      <c r="II117" s="115"/>
      <c r="IJ117" s="115"/>
      <c r="IK117" s="115"/>
      <c r="IL117" s="115"/>
      <c r="IM117" s="115"/>
      <c r="IN117" s="115"/>
      <c r="IV117" s="26">
        <f>IW117*$NT117</f>
        <v>0.51169216047760879</v>
      </c>
      <c r="IW117" s="115">
        <f>AN117*JK116</f>
        <v>0.51169216047760879</v>
      </c>
      <c r="IX117" s="73"/>
      <c r="IZ117" s="673">
        <f>AN117*JL116</f>
        <v>19.092991062597342</v>
      </c>
      <c r="JA117" s="115">
        <f>IW117*$NT117*$NU117</f>
        <v>0.40423680677731094</v>
      </c>
      <c r="JB117" s="115">
        <f>$IW117*JM116/$JK116</f>
        <v>0.24337290566935346</v>
      </c>
      <c r="JC117" s="115">
        <f>$IW117*JN116/$JK116</f>
        <v>0.17934613652868547</v>
      </c>
      <c r="JD117" s="115">
        <f>$IW117*JO116/$JK116</f>
        <v>8.8973118279569885E-2</v>
      </c>
      <c r="JE117" s="115"/>
      <c r="JF117" s="73"/>
      <c r="JG117" s="73"/>
      <c r="JH117" s="73"/>
      <c r="JI117" s="73"/>
      <c r="JJ117" s="73"/>
      <c r="JQ117" s="736"/>
      <c r="JS117" s="736"/>
      <c r="JU117" s="736"/>
      <c r="JX117" s="736"/>
      <c r="KJ117" s="115">
        <f>BW117*44/12+$IW117+$GZ117</f>
        <v>3.3720539895901647</v>
      </c>
      <c r="KK117" s="677">
        <f>10^3*KJ117/$NY117</f>
        <v>125.8229100593345</v>
      </c>
      <c r="KL117" s="74"/>
      <c r="KM117" s="74"/>
      <c r="KN117" s="115">
        <f>KJ117*$NT117*$NU117</f>
        <v>2.6639226517762302</v>
      </c>
      <c r="KO117" s="74"/>
      <c r="KP117" s="74"/>
      <c r="KQ117" s="74"/>
      <c r="KR117" s="74"/>
      <c r="KS117" s="115"/>
      <c r="KT117" s="115">
        <f>CK117*44/12+$IW117+$HN117</f>
        <v>4.3839919617471139</v>
      </c>
      <c r="KU117" s="677">
        <f>10^3*KT117/$NY117</f>
        <v>163.58178961742962</v>
      </c>
      <c r="KX117" s="115">
        <f>KT117*$NT117*$NU117</f>
        <v>3.46335364978022</v>
      </c>
      <c r="LC117" s="115"/>
      <c r="LD117" s="115">
        <f>CY117*44/12+$IW117+$IB117</f>
        <v>2.2406101765418924</v>
      </c>
      <c r="LE117" s="677">
        <f>10^3*LD117/$NY117</f>
        <v>83.604857333652703</v>
      </c>
      <c r="LH117" s="115">
        <f>LD117*$NT117*$NU117</f>
        <v>1.7700820394680952</v>
      </c>
      <c r="LM117" s="115"/>
      <c r="LN117" s="115">
        <f>DM117*44/12+$IW117+$GZ117</f>
        <v>3.4465218283211545</v>
      </c>
      <c r="LO117" s="677">
        <f>10^3*LN117/$NY117</f>
        <v>128.60156075825202</v>
      </c>
      <c r="LR117" s="115">
        <f>LN117*$NT117*$NU117</f>
        <v>2.7227522443737122</v>
      </c>
      <c r="LW117" s="115"/>
      <c r="LX117" s="115">
        <f>EA117*44/12+$IW117+$HN117</f>
        <v>4.1606938688847244</v>
      </c>
      <c r="LY117" s="677">
        <f>10^3*LX117/$NY117</f>
        <v>155.24977122704195</v>
      </c>
      <c r="MB117" s="115">
        <f>LX117*$NT117*$NU117</f>
        <v>3.2869481564189322</v>
      </c>
      <c r="MG117" s="115"/>
      <c r="MH117" s="115">
        <f>EO117*44/12+$IW117+$IB117</f>
        <v>2.6460971258537715</v>
      </c>
      <c r="MI117" s="677">
        <f>10^3*MH117/$NY117</f>
        <v>98.734967382603415</v>
      </c>
      <c r="ML117" s="115">
        <f>MH117*$NT117*$NU117</f>
        <v>2.0904167294244798</v>
      </c>
      <c r="MQ117" s="115"/>
      <c r="MR117" s="295">
        <v>86</v>
      </c>
      <c r="MS117" s="676">
        <f>KK117-$MR117</f>
        <v>39.822910059334504</v>
      </c>
      <c r="MT117" s="115">
        <f>MS117*$NZ117/10^3</f>
        <v>0.84313065177623014</v>
      </c>
      <c r="MU117" s="115"/>
      <c r="MV117" s="115"/>
      <c r="MW117" s="676">
        <f>KU117-$MR117</f>
        <v>77.581789617429621</v>
      </c>
      <c r="MX117" s="115">
        <f>MW117*$NZ117/10^3</f>
        <v>1.64256164978022</v>
      </c>
      <c r="MY117" s="115"/>
      <c r="MZ117" s="115"/>
      <c r="NA117" s="676">
        <f>LE117-$MR117</f>
        <v>-2.3951426663472972</v>
      </c>
      <c r="NB117" s="115">
        <f>NA117*$NZ117/10^3</f>
        <v>-5.0709960531904977E-2</v>
      </c>
      <c r="NC117" s="115"/>
      <c r="ND117" s="115"/>
      <c r="NE117" s="676">
        <f>LO117-$MR117</f>
        <v>42.60156075825202</v>
      </c>
      <c r="NF117" s="115">
        <f>NE117*$NZ117/10^3</f>
        <v>0.90196024437371181</v>
      </c>
      <c r="NG117" s="115"/>
      <c r="NH117" s="115"/>
      <c r="NI117" s="676">
        <f>LY117-$MR117</f>
        <v>69.249771227041947</v>
      </c>
      <c r="NJ117" s="115">
        <f>NI117*$NZ117/10^3</f>
        <v>1.466156156418932</v>
      </c>
      <c r="NK117" s="115"/>
      <c r="NL117" s="115"/>
      <c r="NM117" s="676">
        <f>MI117-$MR117</f>
        <v>12.734967382603415</v>
      </c>
      <c r="NN117" s="115">
        <f>NM117*$NZ117/10^3</f>
        <v>0.26962472942447946</v>
      </c>
      <c r="NO117" s="115"/>
      <c r="NP117" s="115"/>
      <c r="NQ117" s="73">
        <f>44/12*CA117*'Amortization metrics'!$D$4/($MR117-$IZ117)</f>
        <v>43.826208819189027</v>
      </c>
      <c r="NR117" s="73">
        <f>44/12*CO117*'Amortization metrics'!$D$4/($MR117-$IZ117)</f>
        <v>61.943835344443805</v>
      </c>
      <c r="NS117" s="73">
        <f>44/12*DC117*'Amortization metrics'!$D$4/($MR117-$IZ117)</f>
        <v>23.565784851603745</v>
      </c>
      <c r="NT117" s="31">
        <v>1</v>
      </c>
      <c r="NU117" s="103">
        <v>0.79</v>
      </c>
      <c r="NV117" s="32">
        <f>$NT117*NW117</f>
        <v>29.8</v>
      </c>
      <c r="NW117" s="9">
        <v>29.8</v>
      </c>
      <c r="NX117" s="26">
        <f>NV117*NU117</f>
        <v>23.542000000000002</v>
      </c>
      <c r="NY117" s="9">
        <v>26.8</v>
      </c>
      <c r="NZ117" s="26">
        <f>NY117*NT117*NU117</f>
        <v>21.172000000000001</v>
      </c>
    </row>
    <row r="118" spans="1:494" x14ac:dyDescent="0.25">
      <c r="A118" s="74" t="s">
        <v>365</v>
      </c>
      <c r="B118" s="468"/>
      <c r="C118" s="141"/>
      <c r="D118" s="82">
        <v>8.6E-3</v>
      </c>
      <c r="E118" s="141"/>
      <c r="F118" s="141"/>
      <c r="G118" s="453"/>
      <c r="H118" s="141"/>
      <c r="I118" s="453"/>
      <c r="N118" s="141"/>
      <c r="X118" s="37"/>
      <c r="Y118" s="443">
        <f>D118/D117*Y117</f>
        <v>8.8484042105263158E-3</v>
      </c>
      <c r="AA118" s="26"/>
      <c r="AB118" s="26"/>
      <c r="AG118" s="74"/>
      <c r="AK118" s="722">
        <f>Y118/(Y117+Y118)</f>
        <v>1.7783291976840365E-2</v>
      </c>
      <c r="AL118" s="737">
        <v>0.05</v>
      </c>
      <c r="AM118" s="69">
        <f>10^3*Y118*AL118/(V117*AL117+10^3*Y118*AL118)</f>
        <v>2.9101959056491499E-2</v>
      </c>
      <c r="AN118" s="53">
        <f t="shared" si="38"/>
        <v>1.7783291976840365E-2</v>
      </c>
      <c r="AQ118" s="115"/>
      <c r="AR118" s="115"/>
      <c r="AS118" s="115"/>
      <c r="AT118" s="115"/>
      <c r="AU118" s="115"/>
      <c r="AV118" s="115"/>
      <c r="AW118" s="115"/>
      <c r="AX118" s="115"/>
      <c r="AY118" s="115"/>
      <c r="AZ118" s="115"/>
      <c r="BA118" s="115"/>
      <c r="BB118" s="115"/>
      <c r="BC118" s="115"/>
      <c r="BD118" s="115"/>
      <c r="BE118" s="115"/>
      <c r="BF118" s="115"/>
      <c r="BG118" s="115"/>
      <c r="BH118" s="115"/>
      <c r="BI118" s="115"/>
      <c r="BJ118" s="115"/>
      <c r="BK118" s="115"/>
      <c r="BL118" s="115"/>
      <c r="BM118" s="115"/>
      <c r="BN118" s="115"/>
      <c r="BO118" s="115"/>
      <c r="BP118" s="115"/>
      <c r="BQ118" s="115"/>
      <c r="BR118" s="115"/>
      <c r="BS118" s="115"/>
      <c r="BT118" s="115"/>
      <c r="BU118" s="115"/>
      <c r="BV118" s="74"/>
      <c r="BW118" s="115"/>
      <c r="BX118" s="74"/>
      <c r="BY118" s="74"/>
      <c r="BZ118" s="73"/>
      <c r="CA118" s="73"/>
      <c r="CB118" s="73"/>
      <c r="CC118" s="73"/>
      <c r="CD118" s="115"/>
      <c r="CE118" s="115"/>
      <c r="CF118" s="115"/>
      <c r="CG118" s="115"/>
      <c r="CH118" s="115"/>
      <c r="CI118" s="73"/>
      <c r="CJ118" s="74"/>
      <c r="CK118" s="115"/>
      <c r="CL118" s="74"/>
      <c r="CM118" s="74"/>
      <c r="CN118" s="73"/>
      <c r="CO118" s="73"/>
      <c r="CP118" s="73"/>
      <c r="CQ118" s="73"/>
      <c r="CW118" s="73"/>
      <c r="CY118" s="115"/>
      <c r="DB118" s="73"/>
      <c r="DC118" s="73"/>
      <c r="DD118" s="73"/>
      <c r="DE118" s="73"/>
      <c r="DF118" s="115"/>
      <c r="DG118" s="115"/>
      <c r="DH118" s="115"/>
      <c r="DI118" s="115"/>
      <c r="DJ118" s="115"/>
      <c r="DK118" s="73"/>
      <c r="DM118" s="115"/>
      <c r="DP118" s="73"/>
      <c r="DQ118" s="73"/>
      <c r="DR118" s="73"/>
      <c r="DS118" s="73"/>
      <c r="DY118" s="73"/>
      <c r="DZ118" s="74"/>
      <c r="EA118" s="115"/>
      <c r="EB118" s="74"/>
      <c r="EC118" s="74"/>
      <c r="ED118" s="73"/>
      <c r="EE118" s="73"/>
      <c r="EF118" s="73"/>
      <c r="EG118" s="73"/>
      <c r="EH118" s="74"/>
      <c r="EI118" s="74"/>
      <c r="EJ118" s="74"/>
      <c r="EK118" s="74"/>
      <c r="EL118" s="74"/>
      <c r="EM118" s="73"/>
      <c r="EO118" s="115"/>
      <c r="ER118" s="73"/>
      <c r="ES118" s="73"/>
      <c r="ET118" s="73"/>
      <c r="EU118" s="73"/>
      <c r="FA118" s="73"/>
      <c r="FB118" s="74"/>
      <c r="FC118" s="74"/>
      <c r="FD118" s="74"/>
      <c r="FE118" s="74"/>
      <c r="FF118" s="115"/>
      <c r="FG118" s="74"/>
      <c r="FH118" s="74"/>
      <c r="FI118" s="115"/>
      <c r="FJ118" s="73"/>
      <c r="FK118" s="73"/>
      <c r="FL118" s="74"/>
      <c r="FM118" s="74"/>
      <c r="FN118" s="74"/>
      <c r="FO118" s="74"/>
      <c r="FP118" s="74"/>
      <c r="FQ118" s="73"/>
      <c r="FR118" s="73"/>
      <c r="FS118" s="74"/>
      <c r="FT118" s="115"/>
      <c r="FU118" s="74"/>
      <c r="FW118" s="115"/>
      <c r="FX118" s="73"/>
      <c r="FY118" s="73"/>
      <c r="GA118" s="74"/>
      <c r="GB118" s="74"/>
      <c r="GC118" s="74"/>
      <c r="GD118" s="74"/>
      <c r="GE118" s="73"/>
      <c r="GF118" s="73"/>
      <c r="GG118" s="74"/>
      <c r="GH118" s="115"/>
      <c r="GI118" s="74"/>
      <c r="GJ118" s="74"/>
      <c r="GK118" s="115"/>
      <c r="GL118" s="73"/>
      <c r="GM118" s="73"/>
      <c r="GN118" s="74"/>
      <c r="GO118" s="74"/>
      <c r="GP118" s="74"/>
      <c r="GQ118" s="74"/>
      <c r="GR118" s="74"/>
      <c r="GS118" s="73"/>
      <c r="GT118" s="73"/>
      <c r="GU118" s="73"/>
      <c r="GV118" s="73"/>
      <c r="GW118" s="73"/>
      <c r="GX118" s="68">
        <f>GZ118*$W118</f>
        <v>0</v>
      </c>
      <c r="GZ118" s="115"/>
      <c r="HB118" s="74"/>
      <c r="HC118" s="73"/>
      <c r="HD118" s="74"/>
      <c r="HE118" s="73"/>
      <c r="HF118" s="73"/>
      <c r="HG118" s="73"/>
      <c r="HH118" s="73"/>
      <c r="HI118" s="73"/>
      <c r="HJ118" s="73"/>
      <c r="HK118" s="73"/>
      <c r="HL118" s="73"/>
      <c r="HN118" s="115"/>
      <c r="HQ118" s="73"/>
      <c r="HS118" s="73"/>
      <c r="HT118" s="73"/>
      <c r="HU118" s="73"/>
      <c r="HV118" s="73"/>
      <c r="HW118" s="73"/>
      <c r="HX118" s="73"/>
      <c r="HY118" s="73"/>
      <c r="HZ118" s="73"/>
      <c r="IA118" s="133"/>
      <c r="IB118" s="115"/>
      <c r="IC118" s="133"/>
      <c r="IE118" s="73"/>
      <c r="IG118" s="73"/>
      <c r="IH118" s="73"/>
      <c r="II118" s="73"/>
      <c r="IJ118" s="73"/>
      <c r="IK118" s="73"/>
      <c r="IL118" s="73"/>
      <c r="IM118" s="73"/>
      <c r="IN118" s="73"/>
      <c r="IV118" s="74"/>
      <c r="IW118" s="115"/>
      <c r="IX118" s="73"/>
      <c r="IZ118" s="179">
        <f>IZ117/3.67</f>
        <v>5.2024498808167143</v>
      </c>
      <c r="JA118" s="73"/>
      <c r="JB118" s="73"/>
      <c r="JC118" s="73"/>
      <c r="JD118" s="73"/>
      <c r="JE118" s="73"/>
      <c r="JF118" s="73"/>
      <c r="JG118" s="73"/>
      <c r="JH118" s="73"/>
      <c r="JI118" s="73"/>
      <c r="JJ118" s="73"/>
      <c r="KJ118" s="115"/>
      <c r="KK118" s="73"/>
      <c r="KL118" s="74"/>
      <c r="KM118" s="74"/>
      <c r="KN118" s="73"/>
      <c r="KO118" s="74"/>
      <c r="KP118" s="74"/>
      <c r="KQ118" s="74"/>
      <c r="KR118" s="74"/>
      <c r="KS118" s="73"/>
      <c r="KT118" s="115"/>
      <c r="KU118" s="73"/>
      <c r="KX118" s="73"/>
      <c r="LC118" s="73"/>
      <c r="LD118" s="115"/>
      <c r="LE118" s="73"/>
      <c r="LH118" s="73"/>
      <c r="LM118" s="73"/>
      <c r="LN118" s="115"/>
      <c r="LO118" s="73"/>
      <c r="LR118" s="73"/>
      <c r="LW118" s="73"/>
      <c r="LX118" s="115"/>
      <c r="LY118" s="73"/>
      <c r="MB118" s="73"/>
      <c r="MG118" s="73"/>
      <c r="MH118" s="115"/>
      <c r="MI118" s="73"/>
      <c r="ML118" s="73"/>
      <c r="MQ118" s="73"/>
      <c r="MS118" s="73"/>
      <c r="MT118" s="73"/>
      <c r="MU118" s="73"/>
      <c r="MV118" s="73"/>
      <c r="MW118" s="73"/>
      <c r="MX118" s="73"/>
      <c r="MY118" s="73"/>
      <c r="MZ118" s="73"/>
      <c r="NA118" s="73"/>
      <c r="NB118" s="73"/>
      <c r="NC118" s="73"/>
      <c r="ND118" s="73"/>
      <c r="NE118" s="73"/>
      <c r="NF118" s="73"/>
      <c r="NG118" s="73"/>
      <c r="NH118" s="73"/>
      <c r="NI118" s="73"/>
      <c r="NJ118" s="73"/>
      <c r="NK118" s="73"/>
      <c r="NL118" s="73"/>
      <c r="NM118" s="73"/>
      <c r="NN118" s="73"/>
      <c r="NO118" s="73"/>
      <c r="NP118" s="73"/>
      <c r="NT118" s="31"/>
      <c r="NU118" s="103"/>
      <c r="NV118" s="32"/>
      <c r="NW118" s="9"/>
      <c r="NX118" s="26"/>
      <c r="NY118" s="9"/>
      <c r="NZ118" s="9"/>
    </row>
    <row r="119" spans="1:494" x14ac:dyDescent="0.25">
      <c r="A119" s="37" t="s">
        <v>367</v>
      </c>
      <c r="C119" s="69"/>
      <c r="D119" s="53">
        <f>1-D117-D118</f>
        <v>0.51639999999999997</v>
      </c>
      <c r="E119" s="53"/>
      <c r="F119" s="53"/>
      <c r="G119" s="53"/>
      <c r="H119" s="53"/>
      <c r="I119" s="53"/>
      <c r="J119" s="53"/>
      <c r="K119" s="53"/>
      <c r="L119" s="53"/>
      <c r="M119" s="53"/>
      <c r="N119" s="40"/>
      <c r="V119" s="26"/>
      <c r="W119" s="26"/>
      <c r="X119" s="115"/>
      <c r="Y119" s="26"/>
      <c r="Z119" s="26"/>
      <c r="AA119" s="26"/>
      <c r="AB119" s="26"/>
      <c r="AF119" s="74"/>
      <c r="AG119" s="74"/>
      <c r="AK119" s="722"/>
      <c r="AL119" s="74"/>
      <c r="AN119" s="74"/>
      <c r="BW119" s="26"/>
      <c r="BZ119" s="74"/>
      <c r="CA119" s="74"/>
      <c r="CB119" s="74"/>
      <c r="CC119" s="74"/>
      <c r="CD119" s="115"/>
      <c r="CE119" s="115"/>
      <c r="CF119" s="115"/>
      <c r="CG119" s="115"/>
      <c r="CH119" s="115"/>
      <c r="CI119" s="74"/>
      <c r="CK119" s="26"/>
      <c r="CN119" s="74"/>
      <c r="CX119" s="37"/>
      <c r="CY119" s="26"/>
      <c r="CZ119" s="37"/>
      <c r="DA119" s="37"/>
      <c r="DF119" s="115"/>
      <c r="DG119" s="115"/>
      <c r="DH119" s="115"/>
      <c r="DI119" s="115"/>
      <c r="DJ119" s="115"/>
      <c r="DL119" s="37"/>
      <c r="DM119" s="115"/>
      <c r="DN119" s="37"/>
      <c r="DO119" s="37"/>
      <c r="DT119" s="37"/>
      <c r="DU119" s="37"/>
      <c r="DV119" s="37"/>
      <c r="DW119" s="37"/>
      <c r="DX119" s="37"/>
      <c r="EA119" s="115"/>
      <c r="ED119" s="74"/>
      <c r="EN119" s="37"/>
      <c r="EO119" s="115"/>
      <c r="EP119" s="37"/>
      <c r="EQ119" s="37"/>
      <c r="EV119" s="37"/>
      <c r="EW119" s="37"/>
      <c r="EX119" s="37"/>
      <c r="EY119" s="37"/>
      <c r="EZ119" s="37"/>
      <c r="FF119" s="26"/>
      <c r="FH119" s="74"/>
      <c r="FJ119" s="74"/>
      <c r="FK119" s="74"/>
      <c r="FQ119" s="74"/>
      <c r="FR119" s="74"/>
      <c r="FT119" s="26"/>
      <c r="FX119" s="74"/>
      <c r="FZ119" s="37"/>
      <c r="GE119" s="74"/>
      <c r="GH119" s="26"/>
      <c r="GJ119" s="74"/>
      <c r="GL119" s="74"/>
      <c r="GM119" s="74"/>
      <c r="GS119" s="74"/>
      <c r="GT119" s="74"/>
      <c r="GU119" s="74"/>
      <c r="GV119" s="74"/>
      <c r="GW119" s="74"/>
      <c r="GX119" s="74"/>
      <c r="HB119" s="74"/>
      <c r="HD119" s="74"/>
      <c r="HE119" s="74"/>
      <c r="HF119" s="74"/>
      <c r="HG119" s="74"/>
      <c r="HH119" s="74"/>
      <c r="HI119" s="74"/>
      <c r="HJ119" s="74"/>
      <c r="HK119" s="74"/>
      <c r="HL119" s="74"/>
      <c r="IA119" s="133"/>
      <c r="IB119" s="133"/>
      <c r="IC119" s="133"/>
      <c r="IE119" s="133"/>
      <c r="JQ119" s="643"/>
      <c r="KJ119" s="74"/>
      <c r="KK119" s="74"/>
      <c r="KL119" s="74"/>
      <c r="KM119" s="74"/>
      <c r="KN119" s="74"/>
      <c r="KO119" s="74"/>
      <c r="KP119" s="74"/>
      <c r="KQ119" s="74"/>
      <c r="KR119" s="74"/>
      <c r="KS119" s="74"/>
    </row>
    <row r="120" spans="1:494" x14ac:dyDescent="0.25">
      <c r="AA120" s="26"/>
      <c r="AB120" s="26"/>
      <c r="AF120" s="74"/>
      <c r="AG120" s="74"/>
      <c r="AL120" s="74"/>
      <c r="AN120" s="74"/>
      <c r="BW120" s="26"/>
      <c r="BZ120" s="74"/>
      <c r="CA120" s="74"/>
      <c r="CB120" s="74"/>
      <c r="CC120" s="74"/>
      <c r="CD120" s="115"/>
      <c r="CE120" s="115"/>
      <c r="CF120" s="115"/>
      <c r="CG120" s="115"/>
      <c r="CH120" s="115"/>
      <c r="CI120" s="74"/>
      <c r="CK120" s="26"/>
      <c r="CN120" s="74"/>
      <c r="CX120" s="37"/>
      <c r="CY120" s="26"/>
      <c r="CZ120" s="37"/>
      <c r="DA120" s="37"/>
      <c r="DF120" s="115"/>
      <c r="DG120" s="115"/>
      <c r="DH120" s="115"/>
      <c r="DI120" s="115"/>
      <c r="DJ120" s="115"/>
      <c r="DL120" s="37"/>
      <c r="DM120" s="115"/>
      <c r="DN120" s="37"/>
      <c r="DO120" s="37"/>
      <c r="DT120" s="37"/>
      <c r="DU120" s="37"/>
      <c r="DV120" s="37"/>
      <c r="DW120" s="37"/>
      <c r="DX120" s="37"/>
      <c r="EA120" s="115"/>
      <c r="ED120" s="74"/>
      <c r="EN120" s="37"/>
      <c r="EO120" s="115"/>
      <c r="EP120" s="37"/>
      <c r="EQ120" s="37"/>
      <c r="EV120" s="37"/>
      <c r="EW120" s="37"/>
      <c r="EX120" s="37"/>
      <c r="EY120" s="37"/>
      <c r="EZ120" s="37"/>
      <c r="FF120" s="26"/>
      <c r="FH120" s="74"/>
      <c r="FJ120" s="74"/>
      <c r="FK120" s="74"/>
      <c r="FQ120" s="74"/>
      <c r="FR120" s="74"/>
      <c r="FT120" s="26"/>
      <c r="FX120" s="74"/>
      <c r="FZ120" s="37"/>
      <c r="GE120" s="74"/>
      <c r="GH120" s="26"/>
      <c r="GJ120" s="74"/>
      <c r="GL120" s="74"/>
      <c r="GM120" s="74"/>
      <c r="GS120" s="74"/>
      <c r="GT120" s="74"/>
      <c r="GU120" s="74"/>
      <c r="GV120" s="74"/>
      <c r="GW120" s="74"/>
      <c r="GX120" s="74"/>
      <c r="HB120" s="74"/>
      <c r="HD120" s="74"/>
      <c r="HE120" s="74"/>
      <c r="HF120" s="74"/>
      <c r="HG120" s="74"/>
      <c r="HH120" s="74"/>
      <c r="HI120" s="74"/>
      <c r="HJ120" s="74"/>
      <c r="HK120" s="74"/>
      <c r="HL120" s="74"/>
      <c r="IA120" s="133"/>
      <c r="IB120" s="133"/>
      <c r="IC120" s="133"/>
      <c r="IE120" s="133"/>
      <c r="JQ120" s="469"/>
      <c r="JS120" s="723"/>
      <c r="JU120" s="723"/>
      <c r="JX120" s="723"/>
      <c r="KJ120" s="74"/>
      <c r="KK120" s="74"/>
      <c r="KL120" s="74"/>
      <c r="KM120" s="74"/>
      <c r="KN120" s="74"/>
      <c r="KO120" s="74"/>
      <c r="KP120" s="74"/>
      <c r="KQ120" s="74"/>
      <c r="KR120" s="74"/>
      <c r="KS120" s="74"/>
    </row>
    <row r="121" spans="1:494" x14ac:dyDescent="0.25">
      <c r="A121" s="9" t="s">
        <v>474</v>
      </c>
      <c r="AA121" s="26"/>
      <c r="AB121" s="26"/>
      <c r="AF121" s="74"/>
      <c r="AG121" s="74"/>
      <c r="AL121" s="74"/>
      <c r="AN121" s="74"/>
      <c r="BW121" s="26"/>
      <c r="BZ121" s="74"/>
      <c r="CA121" s="74"/>
      <c r="CB121" s="74"/>
      <c r="CC121" s="74"/>
      <c r="CD121" s="115"/>
      <c r="CE121" s="115"/>
      <c r="CF121" s="115"/>
      <c r="CG121" s="115"/>
      <c r="CH121" s="115"/>
      <c r="CI121" s="74"/>
      <c r="CK121" s="26"/>
      <c r="CN121" s="74"/>
      <c r="CX121" s="37"/>
      <c r="CY121" s="26"/>
      <c r="CZ121" s="37"/>
      <c r="DA121" s="37"/>
      <c r="DF121" s="115"/>
      <c r="DG121" s="115"/>
      <c r="DH121" s="115"/>
      <c r="DI121" s="115"/>
      <c r="DJ121" s="115"/>
      <c r="DL121" s="37"/>
      <c r="DM121" s="115"/>
      <c r="DN121" s="37"/>
      <c r="DO121" s="37"/>
      <c r="DT121" s="37"/>
      <c r="DU121" s="37"/>
      <c r="DV121" s="37"/>
      <c r="DW121" s="37"/>
      <c r="DX121" s="37"/>
      <c r="EA121" s="115"/>
      <c r="ED121" s="74"/>
      <c r="EN121" s="37"/>
      <c r="EO121" s="115"/>
      <c r="EP121" s="37"/>
      <c r="EQ121" s="37"/>
      <c r="EV121" s="37"/>
      <c r="EW121" s="37"/>
      <c r="EX121" s="37"/>
      <c r="EY121" s="37"/>
      <c r="EZ121" s="37"/>
      <c r="FF121" s="26"/>
      <c r="FH121" s="74"/>
      <c r="FJ121" s="74"/>
      <c r="FK121" s="74"/>
      <c r="FQ121" s="74"/>
      <c r="FR121" s="74"/>
      <c r="FT121" s="26"/>
      <c r="FX121" s="74"/>
      <c r="FZ121" s="37"/>
      <c r="GE121" s="74"/>
      <c r="GH121" s="26"/>
      <c r="GJ121" s="74"/>
      <c r="GL121" s="74"/>
      <c r="GM121" s="74"/>
      <c r="GS121" s="74"/>
      <c r="GT121" s="74"/>
      <c r="GU121" s="74"/>
      <c r="GV121" s="74"/>
      <c r="GW121" s="74"/>
      <c r="GX121" s="55">
        <f>GX122+GX123</f>
        <v>7.0722467740740955E-3</v>
      </c>
      <c r="HB121" s="74"/>
      <c r="HD121" s="74"/>
      <c r="HE121" s="74"/>
      <c r="HF121" s="74"/>
      <c r="HG121" s="74"/>
      <c r="HH121" s="74"/>
      <c r="HI121" s="74"/>
      <c r="HJ121" s="74"/>
      <c r="HK121" s="74"/>
      <c r="HL121" s="74"/>
      <c r="IA121" s="133"/>
      <c r="IB121" s="133"/>
      <c r="IC121" s="133"/>
      <c r="IE121" s="133"/>
      <c r="IO121" s="68">
        <f>IP121+IQ121+IR121+IS121+IT121+IU121</f>
        <v>3.05032E-3</v>
      </c>
      <c r="IP121" s="97">
        <f>JS121*$W122</f>
        <v>1.7420000000000003E-3</v>
      </c>
      <c r="IQ121" s="97">
        <f>JU121*$W122</f>
        <v>1.0430000000000001E-3</v>
      </c>
      <c r="IR121" s="97">
        <f>JX121*$W122</f>
        <v>0</v>
      </c>
      <c r="IS121" s="97">
        <f>KB121*$W122</f>
        <v>1.6079999999999998E-4</v>
      </c>
      <c r="IT121" s="97">
        <f>KF121*$W122</f>
        <v>1.0452E-4</v>
      </c>
      <c r="IU121" s="97">
        <f>KH121*$W122</f>
        <v>0</v>
      </c>
      <c r="JK121" s="127">
        <f>JM121+JN121+JO121</f>
        <v>0.30503200000000003</v>
      </c>
      <c r="JL121" s="673">
        <f>10^3*JK121/NY122</f>
        <v>11.38179104477612</v>
      </c>
      <c r="JM121" s="179">
        <f>JS121+KB121</f>
        <v>0.19028</v>
      </c>
      <c r="JN121" s="179">
        <f>JU121+KF121</f>
        <v>0.11475200000000001</v>
      </c>
      <c r="JO121" s="179">
        <f>JX121+KH121</f>
        <v>0</v>
      </c>
      <c r="JP121" s="469">
        <f>JK121*C122</f>
        <v>9.0281283221476522E-2</v>
      </c>
      <c r="JQ121" s="127">
        <f>JR121*$NY122/10^3</f>
        <v>0.27850000000000003</v>
      </c>
      <c r="JR121" s="679">
        <f>JT121+JV121+JY121</f>
        <v>10.39179104477612</v>
      </c>
      <c r="JS121" s="127">
        <f>JT121*$NY122/10^3</f>
        <v>0.17420000000000002</v>
      </c>
      <c r="JT121" s="84">
        <v>6.5</v>
      </c>
      <c r="JU121" s="172">
        <f>'Amortization metrics'!$B$6*JW121/10^3</f>
        <v>0.1043</v>
      </c>
      <c r="JV121" s="213">
        <f>10^3*JU121/$NY122</f>
        <v>3.8917910447761193</v>
      </c>
      <c r="JW121" s="164">
        <v>0.35</v>
      </c>
      <c r="JX121" s="127">
        <f>JY121*$NY122/10^3</f>
        <v>0</v>
      </c>
      <c r="JY121" s="84">
        <v>0</v>
      </c>
      <c r="JZ121" s="127">
        <f>KB121+KF121+KH121</f>
        <v>2.6531999999999997E-2</v>
      </c>
      <c r="KA121" s="91">
        <f>KC121+KG121+KI121</f>
        <v>0.99</v>
      </c>
      <c r="KB121" s="115">
        <f>KC121*$NY122/10^3</f>
        <v>1.6079999999999997E-2</v>
      </c>
      <c r="KC121" s="84">
        <v>0.6</v>
      </c>
      <c r="KD121" s="725">
        <v>1.9</v>
      </c>
      <c r="KE121" s="179">
        <f>KC121/KD121</f>
        <v>0.31578947368421051</v>
      </c>
      <c r="KF121" s="127">
        <f>KG121*$NY122/10^3</f>
        <v>1.0451999999999999E-2</v>
      </c>
      <c r="KG121" s="84">
        <v>0.39</v>
      </c>
      <c r="KH121" s="127">
        <f>KI121*$NY122/10^3</f>
        <v>0</v>
      </c>
      <c r="KI121" s="84">
        <v>0</v>
      </c>
      <c r="KJ121" s="74"/>
      <c r="KK121" s="74"/>
      <c r="KL121" s="74"/>
      <c r="KM121" s="74"/>
      <c r="KN121" s="74"/>
      <c r="KO121" s="74"/>
      <c r="KP121" s="74"/>
      <c r="KQ121" s="74"/>
      <c r="KR121" s="74"/>
      <c r="KS121" s="74"/>
    </row>
    <row r="122" spans="1:494" s="74" customFormat="1" x14ac:dyDescent="0.25">
      <c r="A122" s="74" t="s">
        <v>475</v>
      </c>
      <c r="B122" s="468">
        <f>C122*NT33/NT122</f>
        <v>7.3993288590604028E-2</v>
      </c>
      <c r="C122" s="104">
        <f>D122*NW33/NW122</f>
        <v>0.29597315436241611</v>
      </c>
      <c r="D122" s="134">
        <v>0.49</v>
      </c>
      <c r="E122" s="251">
        <f>X122/((Y122/D122)/NV33)/10^3</f>
        <v>9.3662390621017763E-2</v>
      </c>
      <c r="F122" s="207">
        <f>X122/((Y122/D122)/NW33)/10^3</f>
        <v>0.37464956248407105</v>
      </c>
      <c r="G122" s="460">
        <f>H122*'Crops; pasture AMORTIZED'!HB62</f>
        <v>1.9830201342281881</v>
      </c>
      <c r="H122" s="458">
        <f>F122*NZ122</f>
        <v>7.9320805369127525</v>
      </c>
      <c r="I122" s="459"/>
      <c r="K122" s="679">
        <f>10^4*($C122/$NU122)/AB33</f>
        <v>1541.1086300920697</v>
      </c>
      <c r="L122" s="73">
        <f>10^4*($C122/$NU122)/AC33</f>
        <v>1386.2033811910626</v>
      </c>
      <c r="M122" s="73">
        <f>10^4*($C122/$NU122)/AD33</f>
        <v>2772.4067623821252</v>
      </c>
      <c r="N122" s="453"/>
      <c r="V122" s="115">
        <f>W122/NT122</f>
        <v>0.01</v>
      </c>
      <c r="W122" s="252">
        <v>0.01</v>
      </c>
      <c r="X122" s="115">
        <f>V122/NU122</f>
        <v>1.2658227848101266E-2</v>
      </c>
      <c r="Y122" s="127">
        <f>W122*NW122/10^3</f>
        <v>2.9799999999999998E-4</v>
      </c>
      <c r="Z122" s="115"/>
      <c r="AA122" s="115"/>
      <c r="AB122" s="115"/>
      <c r="AE122" s="734">
        <f>AB$33*$AN122/$C122</f>
        <v>8.2137155038480518</v>
      </c>
      <c r="AF122" s="115"/>
      <c r="AG122" s="115">
        <f>AC$33*$AN122/$C122</f>
        <v>9.1315805601519884</v>
      </c>
      <c r="AH122" s="115"/>
      <c r="AI122" s="115">
        <f>AD$33*$AN122/$C122</f>
        <v>4.5657902800759942</v>
      </c>
      <c r="AJ122" s="115"/>
      <c r="AK122" s="722">
        <f>Y122/(Y122+Y123)</f>
        <v>1</v>
      </c>
      <c r="AL122" s="164"/>
      <c r="AM122" s="69"/>
      <c r="AN122" s="53">
        <f t="shared" ref="AN122" si="39">AK122</f>
        <v>1</v>
      </c>
      <c r="AO122" s="115"/>
      <c r="AP122" s="115"/>
      <c r="AQ122" s="115"/>
      <c r="AR122" s="115"/>
      <c r="AS122" s="115"/>
      <c r="AT122" s="115"/>
      <c r="AU122" s="115"/>
      <c r="AV122" s="115"/>
      <c r="AW122" s="115"/>
      <c r="AX122" s="115"/>
      <c r="AY122" s="115"/>
      <c r="AZ122" s="115"/>
      <c r="BA122" s="115"/>
      <c r="BB122" s="115"/>
      <c r="BC122" s="115"/>
      <c r="BD122" s="115"/>
      <c r="BE122" s="115"/>
      <c r="BF122" s="115"/>
      <c r="BG122" s="115"/>
      <c r="BH122" s="115"/>
      <c r="BI122" s="115"/>
      <c r="BJ122" s="115"/>
      <c r="BK122" s="115"/>
      <c r="BL122" s="115"/>
      <c r="BM122" s="115"/>
      <c r="BN122" s="115"/>
      <c r="BO122" s="115"/>
      <c r="BP122" s="115"/>
      <c r="BQ122" s="115"/>
      <c r="BR122" s="115"/>
      <c r="BS122" s="115"/>
      <c r="BT122" s="115"/>
      <c r="BU122" s="115"/>
      <c r="BV122" s="115">
        <f>BW122*$NT122</f>
        <v>1.6761392513954065</v>
      </c>
      <c r="BW122" s="115">
        <f>BP$33*$AN122/$C122</f>
        <v>1.6761392513954065</v>
      </c>
      <c r="BZ122" s="73">
        <f>10^3*BW122/$NW122</f>
        <v>56.246283603872698</v>
      </c>
      <c r="CA122" s="677">
        <f>10^3*BW122/$NY122</f>
        <v>62.542509380425614</v>
      </c>
      <c r="CB122" s="115">
        <f>BW122*$NT122*$NU122</f>
        <v>1.3241500086023712</v>
      </c>
      <c r="CC122" s="73"/>
      <c r="CD122" s="115"/>
      <c r="CE122" s="115"/>
      <c r="CF122" s="115"/>
      <c r="CG122" s="115"/>
      <c r="CH122" s="115"/>
      <c r="CI122" s="115"/>
      <c r="CJ122" s="115">
        <f>CK122*$NT122</f>
        <v>1.994118645175788</v>
      </c>
      <c r="CK122" s="115">
        <f>BQ$33*$AN122/$C122</f>
        <v>1.994118645175788</v>
      </c>
      <c r="CN122" s="73">
        <f>10^3*CK122/$NW122</f>
        <v>66.9167330595902</v>
      </c>
      <c r="CO122" s="677">
        <f>10^3*CK122/$NY122</f>
        <v>74.407412133424927</v>
      </c>
      <c r="CP122" s="115">
        <f>CK122*$NT122*$NU122</f>
        <v>1.5753537296888727</v>
      </c>
      <c r="CQ122" s="73"/>
      <c r="CR122" s="115"/>
      <c r="CS122" s="115"/>
      <c r="CT122" s="115"/>
      <c r="CU122" s="115"/>
      <c r="CV122" s="115"/>
      <c r="CW122" s="115"/>
      <c r="CX122" s="115">
        <f>CY122*$NT122</f>
        <v>0.41108153663867947</v>
      </c>
      <c r="CY122" s="115">
        <f>BR$33*$AN122/$C122</f>
        <v>0.41108153663867947</v>
      </c>
      <c r="DB122" s="73">
        <f>10^3*CY122/$NW122</f>
        <v>13.79468243753958</v>
      </c>
      <c r="DC122" s="677">
        <f>10^3*CY122/$NY122</f>
        <v>15.338863307413414</v>
      </c>
      <c r="DD122" s="115">
        <f>CY122*$NT122*$NU122</f>
        <v>0.32475441394455679</v>
      </c>
      <c r="DE122" s="73"/>
      <c r="DF122" s="115"/>
      <c r="DG122" s="115"/>
      <c r="DH122" s="115"/>
      <c r="DI122" s="115"/>
      <c r="DJ122" s="115"/>
      <c r="DK122" s="115"/>
      <c r="DL122" s="115">
        <f>DM122*$NT122</f>
        <v>2.137902749444804</v>
      </c>
      <c r="DM122" s="115">
        <f>BS$33*$AN122/$C122</f>
        <v>2.137902749444804</v>
      </c>
      <c r="DP122" s="73">
        <f>10^3*DM122/$NW122</f>
        <v>71.741703001503495</v>
      </c>
      <c r="DQ122" s="677">
        <f>10^3*DM122/$NY122</f>
        <v>79.772490650925519</v>
      </c>
      <c r="DR122" s="115">
        <f>DM122*$NT122*$NU122</f>
        <v>1.6889431720613952</v>
      </c>
      <c r="DS122" s="73"/>
      <c r="DY122" s="115"/>
      <c r="DZ122" s="115">
        <f>EA122*$NT122</f>
        <v>2.4669945025932076</v>
      </c>
      <c r="EA122" s="115">
        <f>BT$33*$AN122/$C122</f>
        <v>2.4669945025932076</v>
      </c>
      <c r="ED122" s="73">
        <f>10^3*EA122/$NW122</f>
        <v>82.785050422590857</v>
      </c>
      <c r="EE122" s="677">
        <f>10^3*EA122/$NY122</f>
        <v>92.052033678851018</v>
      </c>
      <c r="EF122" s="115">
        <f>EA122*$NT122*$NU122</f>
        <v>1.9489256570486342</v>
      </c>
      <c r="EG122" s="73"/>
      <c r="EM122" s="115"/>
      <c r="EN122" s="115">
        <f>EO122*$NT122</f>
        <v>0.82997398693191582</v>
      </c>
      <c r="EO122" s="115">
        <f>BU$33*$AN122/$C122</f>
        <v>0.82997398693191582</v>
      </c>
      <c r="ER122" s="73">
        <f>10^3*EO122/$NW122</f>
        <v>27.851476071540802</v>
      </c>
      <c r="ES122" s="677">
        <f>10^3*EO122/$NY122</f>
        <v>30.969178616862532</v>
      </c>
      <c r="ET122" s="115">
        <f>EO122*$NT122*$NU122</f>
        <v>0.6556794496762135</v>
      </c>
      <c r="EU122" s="73"/>
      <c r="FA122" s="115"/>
      <c r="FE122" s="115">
        <f>FF122*$NT122</f>
        <v>4.2574346911607588</v>
      </c>
      <c r="FF122" s="115">
        <f>FB$33*$AN122/$C122</f>
        <v>4.2574346911607588</v>
      </c>
      <c r="FI122" s="676">
        <f>10^3*FF122/$NW122</f>
        <v>142.86693594499192</v>
      </c>
      <c r="FJ122" s="73">
        <f>10^3*FE122/$NY122</f>
        <v>158.85950340152087</v>
      </c>
      <c r="FK122" s="115">
        <f>FF122*$NT122*$NU122</f>
        <v>3.3633734060169997</v>
      </c>
      <c r="FL122" s="115"/>
      <c r="FQ122" s="73"/>
      <c r="FR122" s="115"/>
      <c r="FS122" s="115">
        <f>FT122*$NT122</f>
        <v>4.9127903413617693</v>
      </c>
      <c r="FT122" s="115">
        <f>FC$33*$AN122/$C122</f>
        <v>4.9127903413617693</v>
      </c>
      <c r="FW122" s="676">
        <f>10^3*FT122/$NW122</f>
        <v>164.85873628730769</v>
      </c>
      <c r="FX122" s="73">
        <f>10^3*FS122/$NY122</f>
        <v>183.31307243887198</v>
      </c>
      <c r="FY122" s="115">
        <f>FT122*$NT122*$NU122</f>
        <v>3.8811043696757981</v>
      </c>
      <c r="FZ122" s="115"/>
      <c r="GE122" s="73"/>
      <c r="GF122" s="115"/>
      <c r="GG122" s="115">
        <f>GH122*$NT122</f>
        <v>1.6528160813875099</v>
      </c>
      <c r="GH122" s="115">
        <f>FD$33*$AN122/$C122</f>
        <v>1.6528160813875099</v>
      </c>
      <c r="GK122" s="676">
        <f>10^3*GH122/$NW122</f>
        <v>55.46362689219832</v>
      </c>
      <c r="GL122" s="73">
        <f>10^3*GG122/$NY122</f>
        <v>61.672241842817535</v>
      </c>
      <c r="GM122" s="115">
        <f>GH122*$NT122*$NU122</f>
        <v>1.3057247042961329</v>
      </c>
      <c r="GN122" s="115"/>
      <c r="GS122" s="73"/>
      <c r="GT122" s="115"/>
      <c r="GU122" s="115"/>
      <c r="GV122" s="115"/>
      <c r="GW122" s="115"/>
      <c r="GX122" s="68">
        <f>GZ122*$W122</f>
        <v>7.0722467740740955E-3</v>
      </c>
      <c r="GY122" s="26">
        <f>GZ122*$NT122</f>
        <v>0.70722467740740957</v>
      </c>
      <c r="GZ122" s="127">
        <f>$AN122*GU$33/C122</f>
        <v>0.70722467740740957</v>
      </c>
      <c r="HA122" s="133"/>
      <c r="HC122" s="115">
        <f>10^3*GZ122/$NW122</f>
        <v>23.732371725080856</v>
      </c>
      <c r="HD122" s="673">
        <f>10^3*GZ122/$NY122</f>
        <v>26.388980500276475</v>
      </c>
      <c r="HE122" s="115">
        <f>GZ122*$NT122*$NU122</f>
        <v>0.55870749515185358</v>
      </c>
      <c r="HF122" s="115"/>
      <c r="HG122" s="115"/>
      <c r="HH122" s="115"/>
      <c r="HI122" s="115"/>
      <c r="HJ122" s="115"/>
      <c r="HK122" s="115"/>
      <c r="HL122" s="115"/>
      <c r="HM122" s="115">
        <f>HN122*$NT122</f>
        <v>0.85733707114052826</v>
      </c>
      <c r="HN122" s="127">
        <f>$AN122*GV$33/C122</f>
        <v>0.85733707114052826</v>
      </c>
      <c r="HO122" s="133"/>
      <c r="HQ122" s="115">
        <f>10^3*HN122/$NW122</f>
        <v>28.769700373843229</v>
      </c>
      <c r="HR122" s="73">
        <f>10^3*HN122/$NY122</f>
        <v>31.990189221661499</v>
      </c>
      <c r="HS122" s="115">
        <f>HN122*$NT122*$NU122</f>
        <v>0.67729628620101734</v>
      </c>
      <c r="HT122" s="115"/>
      <c r="HU122" s="115"/>
      <c r="HV122" s="115"/>
      <c r="HW122" s="115"/>
      <c r="HX122" s="115"/>
      <c r="HY122" s="115"/>
      <c r="HZ122" s="115"/>
      <c r="IA122" s="115">
        <f>IB122*$NT122</f>
        <v>0.11062413821168106</v>
      </c>
      <c r="IB122" s="127">
        <f>$AN122*GW$33/C122</f>
        <v>0.11062413821168106</v>
      </c>
      <c r="IC122" s="133"/>
      <c r="IE122" s="115">
        <f>10^3*IB122/$NW122</f>
        <v>3.7122194030765456</v>
      </c>
      <c r="IF122" s="73">
        <f>10^3*IB122/$NY122</f>
        <v>4.127766351182129</v>
      </c>
      <c r="IG122" s="115">
        <f>IB122*$NT122*$NU122</f>
        <v>8.7393069187228042E-2</v>
      </c>
      <c r="IH122" s="115"/>
      <c r="II122" s="115"/>
      <c r="IJ122" s="115"/>
      <c r="IK122" s="115"/>
      <c r="IL122" s="115"/>
      <c r="IM122" s="115"/>
      <c r="IN122" s="115"/>
      <c r="IO122" s="115"/>
      <c r="IP122" s="115"/>
      <c r="IQ122" s="115"/>
      <c r="IR122" s="115"/>
      <c r="IS122" s="115"/>
      <c r="IT122" s="115"/>
      <c r="IU122" s="115"/>
      <c r="IV122" s="26">
        <f>IW122*$NT122</f>
        <v>0.30503200000000003</v>
      </c>
      <c r="IW122" s="115">
        <f>AN122*JK121</f>
        <v>0.30503200000000003</v>
      </c>
      <c r="IX122" s="73"/>
      <c r="IZ122" s="673">
        <f>AN122*JL121</f>
        <v>11.38179104477612</v>
      </c>
      <c r="JA122" s="115">
        <f>IW122*$NT122*$NU122</f>
        <v>0.24097528000000004</v>
      </c>
      <c r="JB122" s="115">
        <f>$IW122*JM121/$JK121</f>
        <v>0.19028</v>
      </c>
      <c r="JC122" s="115">
        <f>$IW122*JN121/$JK121</f>
        <v>0.11475200000000001</v>
      </c>
      <c r="JD122" s="115">
        <f>$IW122*JO121/$JK121</f>
        <v>0</v>
      </c>
      <c r="JE122" s="115"/>
      <c r="JF122" s="73"/>
      <c r="JG122" s="73"/>
      <c r="JH122" s="73"/>
      <c r="JI122" s="73"/>
      <c r="JJ122" s="73"/>
      <c r="JL122" s="179"/>
      <c r="JM122" s="133"/>
      <c r="JN122" s="133"/>
      <c r="JO122" s="133"/>
      <c r="JP122" s="133"/>
      <c r="JQ122" s="736"/>
      <c r="JS122" s="736"/>
      <c r="JU122" s="736"/>
      <c r="JX122" s="736"/>
      <c r="KD122" s="133"/>
      <c r="KE122" s="133"/>
      <c r="KF122" s="133"/>
      <c r="KG122" s="133"/>
      <c r="KH122" s="133"/>
      <c r="KI122" s="133"/>
      <c r="KJ122" s="115">
        <f>BW122*44/12+$IW122+$GZ122</f>
        <v>7.1581005991905666</v>
      </c>
      <c r="KK122" s="677">
        <f>10^3*KJ122/$NY122</f>
        <v>267.0933059399465</v>
      </c>
      <c r="KN122" s="115">
        <f>KJ122*$NT122*$NU122</f>
        <v>5.6548994733605475</v>
      </c>
      <c r="KS122" s="115"/>
      <c r="KT122" s="115">
        <f>CK122*44/12+$IW122+$HN122</f>
        <v>8.4741374367850835</v>
      </c>
      <c r="KU122" s="677">
        <f>10^3*KT122/$NY122</f>
        <v>316.19915808899566</v>
      </c>
      <c r="KX122" s="115">
        <f>KT122*$NT122*$NU122</f>
        <v>6.6945685750602166</v>
      </c>
      <c r="LC122" s="115"/>
      <c r="LD122" s="115">
        <f>CY122*44/12+$IW122+$IB122</f>
        <v>1.922955105886839</v>
      </c>
      <c r="LE122" s="677">
        <f>10^3*LD122/$NY122</f>
        <v>71.752056189807419</v>
      </c>
      <c r="LH122" s="115">
        <f>LD122*$NT122*$NU122</f>
        <v>1.5191345336506028</v>
      </c>
      <c r="LM122" s="115"/>
      <c r="LN122" s="115">
        <f>DM122*44/12+$IW122+$GZ122</f>
        <v>8.8512334253716922</v>
      </c>
      <c r="LO122" s="677">
        <f>10^3*LN122/$NY122</f>
        <v>330.2699039317796</v>
      </c>
      <c r="LR122" s="115">
        <f>LN122*$NT122*$NU122</f>
        <v>6.9924744060436375</v>
      </c>
      <c r="LW122" s="115"/>
      <c r="LX122" s="115">
        <f>EA122*44/12+$IW122+$HN122</f>
        <v>10.208015580648956</v>
      </c>
      <c r="LY122" s="677">
        <f>10^3*LX122/$NY122</f>
        <v>380.89610375555804</v>
      </c>
      <c r="MB122" s="115">
        <f>LX122*$NT122*$NU122</f>
        <v>8.0643323087126753</v>
      </c>
      <c r="MG122" s="115"/>
      <c r="MH122" s="115">
        <f>EO122*44/12+$IW122+$IB122</f>
        <v>3.4588940902953729</v>
      </c>
      <c r="MI122" s="677">
        <f>10^3*MH122/$NY122</f>
        <v>129.06321232445421</v>
      </c>
      <c r="ML122" s="115">
        <f>MH122*$NT122*$NU122</f>
        <v>2.7325263313333448</v>
      </c>
      <c r="MQ122" s="115"/>
      <c r="MR122" s="295">
        <v>86</v>
      </c>
      <c r="MS122" s="676">
        <f>KK122-$MR122</f>
        <v>181.0933059399465</v>
      </c>
      <c r="MT122" s="115">
        <f>MS122*$NZ122/10^3</f>
        <v>3.8341074733605476</v>
      </c>
      <c r="MU122" s="115"/>
      <c r="MV122" s="115"/>
      <c r="MW122" s="676">
        <f>KU122-$MR122</f>
        <v>230.19915808899566</v>
      </c>
      <c r="MX122" s="115">
        <f>MW122*$NZ122/10^3</f>
        <v>4.8737765750602167</v>
      </c>
      <c r="MY122" s="115"/>
      <c r="MZ122" s="115"/>
      <c r="NA122" s="676">
        <f>LE122-$MR122</f>
        <v>-14.247943810192581</v>
      </c>
      <c r="NB122" s="115">
        <f>NA122*$NZ122/10^3</f>
        <v>-0.30165746634939733</v>
      </c>
      <c r="NC122" s="115"/>
      <c r="ND122" s="115"/>
      <c r="NE122" s="676">
        <f>LO122-$MR122</f>
        <v>244.2699039317796</v>
      </c>
      <c r="NF122" s="115">
        <f>NE122*$NZ122/10^3</f>
        <v>5.1716824060436375</v>
      </c>
      <c r="NG122" s="115"/>
      <c r="NH122" s="115"/>
      <c r="NI122" s="676">
        <f>LY122-$MR122</f>
        <v>294.89610375555804</v>
      </c>
      <c r="NJ122" s="115">
        <f>NI122*$NZ122/10^3</f>
        <v>6.2435403087126753</v>
      </c>
      <c r="NK122" s="115"/>
      <c r="NL122" s="115"/>
      <c r="NM122" s="676">
        <f>MI122-$MR122</f>
        <v>43.063212324454213</v>
      </c>
      <c r="NN122" s="115">
        <f>NM122*$NZ122/10^3</f>
        <v>0.91173433133334458</v>
      </c>
      <c r="NO122" s="115"/>
      <c r="NP122" s="115"/>
      <c r="NQ122" s="73">
        <f>44/12*CA122*'Amortization metrics'!$D$4/($MR122-$IZ122)</f>
        <v>92.198353835792318</v>
      </c>
      <c r="NR122" s="73">
        <f>44/12*CO122*'Amortization metrics'!$D$4/($MR122-$IZ122)</f>
        <v>109.6892494376031</v>
      </c>
      <c r="NS122" s="73">
        <f>44/12*DC122*'Amortization metrics'!$D$4/($MR122-$IZ122)</f>
        <v>22.612107519599643</v>
      </c>
      <c r="NT122" s="96">
        <v>1</v>
      </c>
      <c r="NU122" s="164">
        <v>0.79</v>
      </c>
      <c r="NV122" s="97">
        <f>$NT122*NW122</f>
        <v>29.8</v>
      </c>
      <c r="NW122" s="66">
        <v>29.8</v>
      </c>
      <c r="NX122" s="115">
        <f>NV122*NU122</f>
        <v>23.542000000000002</v>
      </c>
      <c r="NY122" s="66">
        <v>26.8</v>
      </c>
      <c r="NZ122" s="26">
        <f>NY122*NT122*NU122</f>
        <v>21.172000000000001</v>
      </c>
      <c r="RK122" s="133"/>
      <c r="RL122" s="133"/>
      <c r="RU122" s="179"/>
      <c r="RV122" s="179"/>
      <c r="RW122" s="179"/>
      <c r="RX122" s="179"/>
      <c r="RY122" s="179"/>
      <c r="RZ122" s="179"/>
    </row>
    <row r="123" spans="1:494" s="74" customFormat="1" x14ac:dyDescent="0.25">
      <c r="A123" s="37" t="s">
        <v>233</v>
      </c>
      <c r="B123" s="468"/>
      <c r="C123" s="104"/>
      <c r="D123" s="453"/>
      <c r="E123" s="251"/>
      <c r="F123" s="251"/>
      <c r="G123" s="251"/>
      <c r="H123" s="251"/>
      <c r="I123" s="251"/>
      <c r="K123" s="73"/>
      <c r="L123" s="73"/>
      <c r="M123" s="73"/>
      <c r="N123" s="453"/>
      <c r="V123" s="115"/>
      <c r="W123" s="252"/>
      <c r="X123" s="115"/>
      <c r="Y123" s="127"/>
      <c r="Z123" s="115"/>
      <c r="AA123" s="115"/>
      <c r="AB123" s="115"/>
      <c r="AE123" s="115"/>
      <c r="AF123" s="115"/>
      <c r="AG123" s="115"/>
      <c r="AH123" s="115"/>
      <c r="AI123" s="115"/>
      <c r="AJ123" s="115"/>
      <c r="AK123" s="731"/>
      <c r="AL123" s="164"/>
      <c r="AM123" s="104"/>
      <c r="AN123" s="53"/>
      <c r="AO123" s="115"/>
      <c r="AP123" s="115"/>
      <c r="AQ123" s="115"/>
      <c r="AR123" s="115"/>
      <c r="AS123" s="115"/>
      <c r="AT123" s="115"/>
      <c r="AU123" s="115"/>
      <c r="AV123" s="115"/>
      <c r="AW123" s="115"/>
      <c r="AX123" s="115"/>
      <c r="AY123" s="115"/>
      <c r="AZ123" s="115"/>
      <c r="BA123" s="115"/>
      <c r="BB123" s="115"/>
      <c r="BC123" s="115"/>
      <c r="BD123" s="115"/>
      <c r="BE123" s="115"/>
      <c r="BF123" s="115"/>
      <c r="BG123" s="115"/>
      <c r="BH123" s="115"/>
      <c r="BI123" s="115"/>
      <c r="BJ123" s="115"/>
      <c r="BK123" s="115"/>
      <c r="BL123" s="115"/>
      <c r="BM123" s="115"/>
      <c r="BN123" s="115"/>
      <c r="BO123" s="115"/>
      <c r="BP123" s="115"/>
      <c r="BQ123" s="115"/>
      <c r="BR123" s="115"/>
      <c r="BS123" s="115"/>
      <c r="BT123" s="115"/>
      <c r="BU123" s="115"/>
      <c r="BV123" s="115"/>
      <c r="BW123" s="115"/>
      <c r="BZ123" s="73"/>
      <c r="CA123" s="73"/>
      <c r="CB123" s="73"/>
      <c r="CC123" s="73"/>
      <c r="CD123" s="115"/>
      <c r="CE123" s="115"/>
      <c r="CF123" s="115"/>
      <c r="CG123" s="115"/>
      <c r="CH123" s="115"/>
      <c r="CI123" s="73"/>
      <c r="CJ123" s="115"/>
      <c r="CK123" s="115"/>
      <c r="CN123" s="73"/>
      <c r="CO123" s="73"/>
      <c r="CP123" s="73"/>
      <c r="CQ123" s="73"/>
      <c r="CR123" s="115"/>
      <c r="CS123" s="115"/>
      <c r="CT123" s="115"/>
      <c r="CU123" s="115"/>
      <c r="CV123" s="115"/>
      <c r="CW123" s="73"/>
      <c r="CX123" s="115"/>
      <c r="CY123" s="115"/>
      <c r="DB123" s="73"/>
      <c r="DC123" s="73"/>
      <c r="DD123" s="73"/>
      <c r="DE123" s="73"/>
      <c r="DF123" s="115"/>
      <c r="DG123" s="115"/>
      <c r="DH123" s="115"/>
      <c r="DI123" s="115"/>
      <c r="DJ123" s="115"/>
      <c r="DK123" s="73"/>
      <c r="DL123" s="115"/>
      <c r="DM123" s="115"/>
      <c r="DP123" s="73"/>
      <c r="DQ123" s="73"/>
      <c r="DR123" s="73"/>
      <c r="DS123" s="73"/>
      <c r="DY123" s="73"/>
      <c r="DZ123" s="115"/>
      <c r="EA123" s="115"/>
      <c r="ED123" s="73"/>
      <c r="EE123" s="73"/>
      <c r="EF123" s="73"/>
      <c r="EG123" s="73"/>
      <c r="EM123" s="73"/>
      <c r="EN123" s="115"/>
      <c r="EO123" s="115"/>
      <c r="ER123" s="73"/>
      <c r="ES123" s="73"/>
      <c r="ET123" s="73"/>
      <c r="EU123" s="73"/>
      <c r="FA123" s="73"/>
      <c r="FE123" s="115"/>
      <c r="FF123" s="115"/>
      <c r="FI123" s="115"/>
      <c r="FJ123" s="73"/>
      <c r="FK123" s="73"/>
      <c r="FL123" s="115"/>
      <c r="FQ123" s="73"/>
      <c r="FR123" s="73"/>
      <c r="FS123" s="115"/>
      <c r="FT123" s="115"/>
      <c r="FW123" s="115"/>
      <c r="FX123" s="73"/>
      <c r="FY123" s="73"/>
      <c r="FZ123" s="115"/>
      <c r="GE123" s="73"/>
      <c r="GF123" s="73"/>
      <c r="GG123" s="115"/>
      <c r="GH123" s="115"/>
      <c r="GK123" s="115"/>
      <c r="GL123" s="73"/>
      <c r="GM123" s="73"/>
      <c r="GN123" s="115"/>
      <c r="GS123" s="73"/>
      <c r="GT123" s="73"/>
      <c r="GU123" s="73"/>
      <c r="GV123" s="73"/>
      <c r="GW123" s="73"/>
      <c r="GX123" s="68">
        <f>GZ123*$W123</f>
        <v>0</v>
      </c>
      <c r="GY123" s="115"/>
      <c r="GZ123" s="115"/>
      <c r="HA123" s="133"/>
      <c r="HC123" s="115"/>
      <c r="HD123" s="115"/>
      <c r="HE123" s="73"/>
      <c r="HF123" s="73"/>
      <c r="HG123" s="73"/>
      <c r="HH123" s="73"/>
      <c r="HI123" s="73"/>
      <c r="HJ123" s="73"/>
      <c r="HK123" s="73"/>
      <c r="HL123" s="73"/>
      <c r="HM123" s="115"/>
      <c r="HN123" s="115"/>
      <c r="HO123" s="133"/>
      <c r="HQ123" s="115"/>
      <c r="HR123" s="115"/>
      <c r="HS123" s="73"/>
      <c r="HT123" s="73"/>
      <c r="HU123" s="73"/>
      <c r="HV123" s="73"/>
      <c r="HW123" s="73"/>
      <c r="HX123" s="73"/>
      <c r="HY123" s="73"/>
      <c r="HZ123" s="73"/>
      <c r="IA123" s="115"/>
      <c r="IB123" s="115"/>
      <c r="IC123" s="133"/>
      <c r="IE123" s="115"/>
      <c r="IF123" s="115"/>
      <c r="IG123" s="73"/>
      <c r="IH123" s="73"/>
      <c r="II123" s="73"/>
      <c r="IJ123" s="73"/>
      <c r="IK123" s="73"/>
      <c r="IL123" s="73"/>
      <c r="IM123" s="73"/>
      <c r="IN123" s="73"/>
      <c r="IO123" s="115"/>
      <c r="IP123" s="115"/>
      <c r="IQ123" s="115"/>
      <c r="IR123" s="115"/>
      <c r="IS123" s="115"/>
      <c r="IT123" s="115"/>
      <c r="IU123" s="115"/>
      <c r="IV123" s="115"/>
      <c r="IW123" s="115"/>
      <c r="IX123" s="73"/>
      <c r="IZ123" s="179">
        <f>IZ122/3.67</f>
        <v>3.1013054617918585</v>
      </c>
      <c r="JA123" s="115"/>
      <c r="JB123" s="115"/>
      <c r="JC123" s="115"/>
      <c r="JD123" s="115"/>
      <c r="JE123" s="115"/>
      <c r="JF123" s="73"/>
      <c r="JG123" s="73"/>
      <c r="JH123" s="73"/>
      <c r="JI123" s="73"/>
      <c r="JJ123" s="73"/>
      <c r="JM123" s="133"/>
      <c r="JN123" s="133"/>
      <c r="JO123" s="133"/>
      <c r="JP123" s="133"/>
      <c r="JQ123" s="736"/>
      <c r="JS123" s="736"/>
      <c r="JU123" s="736"/>
      <c r="JX123" s="736"/>
      <c r="KD123" s="133"/>
      <c r="KE123" s="133"/>
      <c r="KF123" s="133"/>
      <c r="KG123" s="133"/>
      <c r="KH123" s="133"/>
      <c r="KI123" s="133"/>
      <c r="KJ123" s="115"/>
      <c r="KK123" s="73"/>
      <c r="KN123" s="73"/>
      <c r="KS123" s="73"/>
      <c r="KT123" s="115"/>
      <c r="KU123" s="73"/>
      <c r="KX123" s="73"/>
      <c r="LC123" s="73"/>
      <c r="LD123" s="115"/>
      <c r="LE123" s="73"/>
      <c r="LH123" s="73"/>
      <c r="LM123" s="73"/>
      <c r="LN123" s="115"/>
      <c r="LO123" s="73"/>
      <c r="LR123" s="73"/>
      <c r="LW123" s="73"/>
      <c r="LX123" s="115"/>
      <c r="LY123" s="73"/>
      <c r="MB123" s="73"/>
      <c r="MG123" s="73"/>
      <c r="MH123" s="115"/>
      <c r="MI123" s="73"/>
      <c r="ML123" s="73"/>
      <c r="MQ123" s="73"/>
      <c r="MR123" s="295"/>
      <c r="MS123" s="73"/>
      <c r="MT123" s="73"/>
      <c r="MU123" s="73"/>
      <c r="MV123" s="73"/>
      <c r="MW123" s="73"/>
      <c r="MX123" s="73"/>
      <c r="MY123" s="73"/>
      <c r="MZ123" s="73"/>
      <c r="NA123" s="73"/>
      <c r="NB123" s="73"/>
      <c r="NC123" s="73"/>
      <c r="ND123" s="73"/>
      <c r="NE123" s="73"/>
      <c r="NF123" s="73"/>
      <c r="NG123" s="73"/>
      <c r="NH123" s="73"/>
      <c r="NI123" s="73"/>
      <c r="NJ123" s="73"/>
      <c r="NK123" s="73"/>
      <c r="NL123" s="73"/>
      <c r="NM123" s="73"/>
      <c r="NN123" s="73"/>
      <c r="NO123" s="73"/>
      <c r="NP123" s="73"/>
      <c r="NQ123" s="73"/>
      <c r="NR123" s="73"/>
      <c r="NS123" s="73"/>
      <c r="NT123" s="96"/>
      <c r="NU123" s="164"/>
      <c r="NV123" s="97"/>
      <c r="NW123" s="66"/>
      <c r="NX123" s="115"/>
      <c r="NY123" s="66"/>
      <c r="NZ123" s="66"/>
      <c r="RK123" s="133"/>
      <c r="RL123" s="133"/>
      <c r="RU123" s="179"/>
      <c r="RV123" s="179"/>
      <c r="RW123" s="179"/>
      <c r="RX123" s="179"/>
      <c r="RY123" s="179"/>
      <c r="RZ123" s="179"/>
    </row>
    <row r="124" spans="1:494" x14ac:dyDescent="0.25">
      <c r="AA124" s="26"/>
      <c r="AB124" s="26"/>
      <c r="AF124" s="74"/>
      <c r="AG124" s="74"/>
      <c r="AL124" s="74"/>
      <c r="AN124" s="74"/>
      <c r="BW124" s="26"/>
      <c r="BZ124" s="74"/>
      <c r="CA124" s="74"/>
      <c r="CB124" s="74"/>
      <c r="CC124" s="74"/>
      <c r="CD124" s="115"/>
      <c r="CE124" s="115"/>
      <c r="CF124" s="115"/>
      <c r="CG124" s="115"/>
      <c r="CH124" s="115"/>
      <c r="CI124" s="74"/>
      <c r="CK124" s="26"/>
      <c r="CN124" s="74"/>
      <c r="CX124" s="37"/>
      <c r="CY124" s="26"/>
      <c r="CZ124" s="37"/>
      <c r="DA124" s="37"/>
      <c r="DF124" s="115"/>
      <c r="DG124" s="115"/>
      <c r="DH124" s="115"/>
      <c r="DI124" s="115"/>
      <c r="DJ124" s="115"/>
      <c r="DL124" s="37"/>
      <c r="DM124" s="115"/>
      <c r="DN124" s="37"/>
      <c r="DO124" s="37"/>
      <c r="DT124" s="37"/>
      <c r="DU124" s="37"/>
      <c r="DV124" s="37"/>
      <c r="DW124" s="37"/>
      <c r="DX124" s="37"/>
      <c r="EA124" s="115"/>
      <c r="ED124" s="74"/>
      <c r="EN124" s="37"/>
      <c r="EO124" s="115"/>
      <c r="EP124" s="37"/>
      <c r="EQ124" s="37"/>
      <c r="EV124" s="37"/>
      <c r="EW124" s="37"/>
      <c r="EX124" s="37"/>
      <c r="EY124" s="37"/>
      <c r="EZ124" s="37"/>
      <c r="FF124" s="26"/>
      <c r="FH124" s="74"/>
      <c r="FJ124" s="74"/>
      <c r="FK124" s="74"/>
      <c r="FQ124" s="74"/>
      <c r="FR124" s="74"/>
      <c r="FT124" s="26"/>
      <c r="FX124" s="74"/>
      <c r="FZ124" s="37"/>
      <c r="GE124" s="74"/>
      <c r="GH124" s="26"/>
      <c r="GJ124" s="74"/>
      <c r="GL124" s="74"/>
      <c r="GM124" s="74"/>
      <c r="GS124" s="74"/>
      <c r="GT124" s="74"/>
      <c r="GU124" s="74"/>
      <c r="GV124" s="74"/>
      <c r="GW124" s="74"/>
      <c r="GX124" s="74"/>
      <c r="HB124" s="74"/>
      <c r="HD124" s="74"/>
      <c r="HE124" s="74"/>
      <c r="HF124" s="74"/>
      <c r="HG124" s="74"/>
      <c r="HH124" s="74"/>
      <c r="HI124" s="74"/>
      <c r="HJ124" s="74"/>
      <c r="HK124" s="74"/>
      <c r="HL124" s="74"/>
      <c r="IA124" s="133"/>
      <c r="IB124" s="133"/>
      <c r="IC124" s="133"/>
      <c r="IE124" s="133"/>
      <c r="KJ124" s="74"/>
      <c r="KK124" s="74"/>
      <c r="KL124" s="74"/>
      <c r="KM124" s="74"/>
      <c r="KN124" s="74"/>
      <c r="KO124" s="74"/>
      <c r="KP124" s="74"/>
      <c r="KQ124" s="74"/>
      <c r="KR124" s="74"/>
      <c r="KS124" s="74"/>
    </row>
    <row r="125" spans="1:494" x14ac:dyDescent="0.25">
      <c r="A125" s="9" t="s">
        <v>235</v>
      </c>
      <c r="Y125" s="26"/>
      <c r="AA125" s="26"/>
      <c r="AB125" s="26"/>
      <c r="AE125" s="74"/>
      <c r="AF125" s="74"/>
      <c r="AG125" s="74"/>
      <c r="AL125" s="74"/>
      <c r="AN125" s="74"/>
      <c r="AO125" s="74"/>
      <c r="AP125" s="74"/>
      <c r="AQ125" s="74"/>
      <c r="AR125" s="74"/>
      <c r="AS125" s="74"/>
      <c r="AT125" s="74"/>
      <c r="AU125" s="74"/>
      <c r="AV125" s="74"/>
      <c r="AW125" s="74"/>
      <c r="AX125" s="74"/>
      <c r="AY125" s="74"/>
      <c r="BJ125" s="74"/>
      <c r="BK125" s="74"/>
      <c r="BL125" s="74"/>
      <c r="BM125" s="74"/>
      <c r="BN125" s="74"/>
      <c r="BO125" s="74"/>
      <c r="BP125" s="74"/>
      <c r="BQ125" s="74"/>
      <c r="BR125" s="74"/>
      <c r="BS125" s="74"/>
      <c r="BT125" s="74"/>
      <c r="BU125" s="74"/>
      <c r="BW125" s="26"/>
      <c r="BZ125" s="74"/>
      <c r="CA125" s="74"/>
      <c r="CB125" s="74"/>
      <c r="CC125" s="74"/>
      <c r="CD125" s="115"/>
      <c r="CE125" s="115"/>
      <c r="CF125" s="115"/>
      <c r="CG125" s="115"/>
      <c r="CH125" s="115"/>
      <c r="CI125" s="74"/>
      <c r="CK125" s="26"/>
      <c r="CN125" s="74"/>
      <c r="CX125" s="37"/>
      <c r="CY125" s="26"/>
      <c r="CZ125" s="37"/>
      <c r="DA125" s="37"/>
      <c r="DF125" s="115"/>
      <c r="DG125" s="115"/>
      <c r="DH125" s="115"/>
      <c r="DI125" s="115"/>
      <c r="DJ125" s="115"/>
      <c r="DL125" s="37"/>
      <c r="DM125" s="115"/>
      <c r="DN125" s="37"/>
      <c r="DO125" s="37"/>
      <c r="DT125" s="37"/>
      <c r="DU125" s="37"/>
      <c r="DV125" s="37"/>
      <c r="DW125" s="37"/>
      <c r="DX125" s="37"/>
      <c r="EA125" s="115"/>
      <c r="ED125" s="74"/>
      <c r="EN125" s="37"/>
      <c r="EO125" s="115"/>
      <c r="EP125" s="37"/>
      <c r="EQ125" s="37"/>
      <c r="EV125" s="37"/>
      <c r="EW125" s="37"/>
      <c r="EX125" s="37"/>
      <c r="EY125" s="37"/>
      <c r="EZ125" s="37"/>
      <c r="FF125" s="26"/>
      <c r="FH125" s="74"/>
      <c r="FJ125" s="74"/>
      <c r="FK125" s="74"/>
      <c r="FQ125" s="74"/>
      <c r="FR125" s="74"/>
      <c r="FT125" s="26"/>
      <c r="FX125" s="74"/>
      <c r="FZ125" s="37"/>
      <c r="GE125" s="74"/>
      <c r="GH125" s="26"/>
      <c r="GJ125" s="74"/>
      <c r="GL125" s="74"/>
      <c r="GM125" s="74"/>
      <c r="GS125" s="74"/>
      <c r="GT125" s="74"/>
      <c r="GU125" s="74"/>
      <c r="GV125" s="74"/>
      <c r="GW125" s="74"/>
      <c r="GX125" s="55">
        <f>GX126+GX127</f>
        <v>17.269062634457335</v>
      </c>
      <c r="HB125" s="74"/>
      <c r="HD125" s="74"/>
      <c r="HE125" s="74"/>
      <c r="HF125" s="74"/>
      <c r="HG125" s="74"/>
      <c r="HH125" s="74"/>
      <c r="HI125" s="74"/>
      <c r="HJ125" s="74"/>
      <c r="HK125" s="74"/>
      <c r="HL125" s="74"/>
      <c r="IA125" s="133"/>
      <c r="IB125" s="133"/>
      <c r="IC125" s="133"/>
      <c r="IE125" s="133"/>
      <c r="IO125" s="68">
        <f>IP125+IQ125+IR125+IS125+IT125+IU125</f>
        <v>64.658607818318671</v>
      </c>
      <c r="IP125" s="97">
        <f>JS125*$W126</f>
        <v>26.777626456527472</v>
      </c>
      <c r="IQ125" s="97">
        <f>JU125*$W126</f>
        <v>15.535141361791208</v>
      </c>
      <c r="IR125" s="97">
        <f>JX125*$W126</f>
        <v>0</v>
      </c>
      <c r="IS125" s="97">
        <f>KB125*$W126</f>
        <v>20.871839999999999</v>
      </c>
      <c r="IT125" s="97">
        <f>KF125*$W126</f>
        <v>0.17687999999999998</v>
      </c>
      <c r="IU125" s="97">
        <f>KH125*$W126</f>
        <v>1.2971200000000001</v>
      </c>
      <c r="IW125" s="37"/>
      <c r="IX125" s="37"/>
      <c r="IZ125" s="37"/>
      <c r="JK125" s="115">
        <f>JM125+JN125+JO125</f>
        <v>2.9390276281053946</v>
      </c>
      <c r="JM125" s="179">
        <f>JS125+KB125</f>
        <v>2.1658848389330672</v>
      </c>
      <c r="JN125" s="179">
        <f>JU125+KF125</f>
        <v>0.71418278917232769</v>
      </c>
      <c r="JO125" s="179">
        <f>JX125+KH125</f>
        <v>5.8960000000000005E-2</v>
      </c>
      <c r="JQ125" s="127">
        <f>JS125+JU125+JX125</f>
        <v>1.9233076281053947</v>
      </c>
      <c r="JS125" s="172">
        <f>'Crops; pasture AMORTIZED'!FY23/$C126</f>
        <v>1.2171648389330669</v>
      </c>
      <c r="JU125" s="172">
        <f>'Crops; pasture AMORTIZED'!FW23/$C126</f>
        <v>0.70614278917232765</v>
      </c>
      <c r="JV125" s="37"/>
      <c r="JW125" s="37"/>
      <c r="JX125" s="37"/>
      <c r="JY125" s="37"/>
      <c r="JZ125" s="115">
        <f>KB125+KF125+KH125</f>
        <v>1.01572</v>
      </c>
      <c r="KA125" s="679">
        <f>KC125+KG125+KI125</f>
        <v>37.9</v>
      </c>
      <c r="KB125" s="115">
        <f>KC125*$NY126/10^3</f>
        <v>0.94872000000000001</v>
      </c>
      <c r="KC125" s="80">
        <v>35.4</v>
      </c>
      <c r="KD125" s="725">
        <v>1.5</v>
      </c>
      <c r="KE125" s="474">
        <f>KC125/KD125</f>
        <v>23.599999999999998</v>
      </c>
      <c r="KF125" s="127">
        <f>KG125*$NY126/10^3</f>
        <v>8.0399999999999985E-3</v>
      </c>
      <c r="KG125" s="84">
        <v>0.3</v>
      </c>
      <c r="KH125" s="127">
        <f>KI125*$NY126/10^3</f>
        <v>5.8960000000000005E-2</v>
      </c>
      <c r="KI125" s="84">
        <v>2.2000000000000002</v>
      </c>
      <c r="KJ125" s="74"/>
      <c r="KK125" s="74"/>
      <c r="KL125" s="74"/>
      <c r="KM125" s="74"/>
      <c r="KN125" s="74"/>
      <c r="KO125" s="74"/>
      <c r="KP125" s="74"/>
      <c r="KQ125" s="74"/>
      <c r="KR125" s="74"/>
      <c r="KS125" s="74"/>
    </row>
    <row r="126" spans="1:494" x14ac:dyDescent="0.25">
      <c r="A126" s="37" t="s">
        <v>234</v>
      </c>
      <c r="B126" s="53">
        <f>C126*NT17/NT126</f>
        <v>0.27992170022371365</v>
      </c>
      <c r="C126" s="69">
        <f>D126*NW17/NW126</f>
        <v>0.30536912751677853</v>
      </c>
      <c r="D126" s="141">
        <v>0.5</v>
      </c>
      <c r="E126" s="453"/>
      <c r="F126" s="453"/>
      <c r="G126" s="453"/>
      <c r="H126" s="453"/>
      <c r="I126" s="453"/>
      <c r="J126" s="453"/>
      <c r="K126" s="453"/>
      <c r="L126" s="453"/>
      <c r="M126" s="453"/>
      <c r="N126" s="141"/>
      <c r="V126" s="26">
        <f>W126/NT126</f>
        <v>22.916666666666668</v>
      </c>
      <c r="W126" s="72">
        <v>22</v>
      </c>
      <c r="X126" s="110">
        <f>V126/NU126</f>
        <v>28.292181069958847</v>
      </c>
      <c r="Y126" s="26">
        <f>W126*NW126/10^3</f>
        <v>0.65560000000000007</v>
      </c>
      <c r="Z126" s="26"/>
      <c r="AA126" s="26"/>
      <c r="AB126" s="26"/>
      <c r="AE126" s="115">
        <f>AB$17*$AN126/$C126</f>
        <v>8.4884714786333682</v>
      </c>
      <c r="AF126" s="115"/>
      <c r="AG126" s="115">
        <f>AC$17*$AN126/$C126</f>
        <v>8.6864582662901988</v>
      </c>
      <c r="AH126" s="115"/>
      <c r="AI126" s="115">
        <f>AD$17*$AN126/$C126</f>
        <v>6.6737423265400313</v>
      </c>
      <c r="AJ126" s="115"/>
      <c r="AK126" s="722">
        <f>Y126/(Y126+Y127)</f>
        <v>0.58823529411764708</v>
      </c>
      <c r="AL126" s="164">
        <v>1</v>
      </c>
      <c r="AM126" s="69">
        <f>V126*AL126/(V126*AL126+V127*AL127)</f>
        <v>0.78148158879525353</v>
      </c>
      <c r="AN126" s="53">
        <f t="shared" ref="AN126:AN127" si="40">AK126</f>
        <v>0.58823529411764708</v>
      </c>
      <c r="AO126" s="115"/>
      <c r="AP126" s="115"/>
      <c r="AQ126" s="115"/>
      <c r="AR126" s="115"/>
      <c r="AS126" s="115"/>
      <c r="AT126" s="115"/>
      <c r="AU126" s="115"/>
      <c r="AV126" s="115"/>
      <c r="AW126" s="115"/>
      <c r="AX126" s="115"/>
      <c r="AY126" s="115"/>
      <c r="AZ126" s="115"/>
      <c r="BA126" s="115"/>
      <c r="BB126" s="115"/>
      <c r="BC126" s="115"/>
      <c r="BD126" s="115"/>
      <c r="BE126" s="115"/>
      <c r="BF126" s="115"/>
      <c r="BG126" s="115"/>
      <c r="BH126" s="115"/>
      <c r="BI126" s="115"/>
      <c r="BJ126" s="115"/>
      <c r="BK126" s="115"/>
      <c r="BL126" s="115"/>
      <c r="BM126" s="115"/>
      <c r="BN126" s="115"/>
      <c r="BO126" s="115"/>
      <c r="BP126" s="115"/>
      <c r="BQ126" s="115"/>
      <c r="BR126" s="115"/>
      <c r="BS126" s="115"/>
      <c r="BT126" s="115"/>
      <c r="BU126" s="115"/>
      <c r="BV126" s="26">
        <f>BW126*$NT126</f>
        <v>1.5083622187166905</v>
      </c>
      <c r="BW126" s="115">
        <f>BP$17*$AN126/$C126</f>
        <v>1.5712106444965526</v>
      </c>
      <c r="BX126" s="677">
        <f>10^3*BW126/$OB126</f>
        <v>106.88507785690834</v>
      </c>
      <c r="BZ126" s="74"/>
      <c r="CA126" s="74"/>
      <c r="CB126" s="74"/>
      <c r="CC126" s="74"/>
      <c r="CD126" s="115"/>
      <c r="CE126" s="115"/>
      <c r="CF126" s="115"/>
      <c r="CG126" s="115"/>
      <c r="CH126" s="115"/>
      <c r="CI126" s="74"/>
      <c r="CJ126" s="26">
        <f>CK126*$NT126</f>
        <v>1.6079850422628585</v>
      </c>
      <c r="CK126" s="115">
        <f>BQ$17*$AN126/$C126</f>
        <v>1.674984419023811</v>
      </c>
      <c r="CL126" s="677">
        <f>10^3*CK126/$OB126</f>
        <v>113.94451830093952</v>
      </c>
      <c r="CN126" s="74"/>
      <c r="CX126" s="26">
        <f>CY126*$NT126</f>
        <v>0.59173054386585422</v>
      </c>
      <c r="CY126" s="115">
        <f>BR$17*$AN126/$C126</f>
        <v>0.61638598319359816</v>
      </c>
      <c r="CZ126" s="677">
        <f>10^3*CY126/$OB126</f>
        <v>41.931019264870621</v>
      </c>
      <c r="DA126" s="37"/>
      <c r="DF126" s="115"/>
      <c r="DG126" s="115"/>
      <c r="DH126" s="115"/>
      <c r="DI126" s="115"/>
      <c r="DJ126" s="115"/>
      <c r="DL126" s="26">
        <f>DM126*$NT126</f>
        <v>1.8943310112643716</v>
      </c>
      <c r="DM126" s="115">
        <f>BS$17*$AN126/$C126</f>
        <v>1.9732614700670539</v>
      </c>
      <c r="DN126" s="677">
        <f>10^3*DM126/$OB126</f>
        <v>134.23547415422135</v>
      </c>
      <c r="DO126" s="37"/>
      <c r="DT126" s="37"/>
      <c r="DU126" s="37"/>
      <c r="DV126" s="37"/>
      <c r="DW126" s="37"/>
      <c r="DX126" s="37"/>
      <c r="DZ126" s="26">
        <f>EA126*$NT126</f>
        <v>1.9932458767410222</v>
      </c>
      <c r="EA126" s="115">
        <f>BT$17*$AN126/$C126</f>
        <v>2.0762977882718983</v>
      </c>
      <c r="EB126" s="677">
        <f>10^3*EA126/$OB126</f>
        <v>141.24474750148968</v>
      </c>
      <c r="ED126" s="74"/>
      <c r="EN126" s="26">
        <f>EO126*$NT126</f>
        <v>0.98768621905226806</v>
      </c>
      <c r="EO126" s="115">
        <f>BU$17*$AN126/$C126</f>
        <v>1.0288398115127793</v>
      </c>
      <c r="EP126" s="677">
        <f>10^3*EO126/$OB126</f>
        <v>69.989102823998593</v>
      </c>
      <c r="EQ126" s="37"/>
      <c r="EV126" s="37"/>
      <c r="EW126" s="37"/>
      <c r="EX126" s="37"/>
      <c r="EY126" s="37"/>
      <c r="EZ126" s="37"/>
      <c r="FE126" s="26">
        <f>FF126*$NT126</f>
        <v>3.7723842050313054</v>
      </c>
      <c r="FF126" s="115">
        <f>FB$17*$AN126/$C126</f>
        <v>3.9295668802409431</v>
      </c>
      <c r="FG126" s="562">
        <f>10^3*FF126/$OB126</f>
        <v>267.31747484632268</v>
      </c>
      <c r="FH126" s="73">
        <f>FF126/$OD126</f>
        <v>130.98556267469812</v>
      </c>
      <c r="FJ126" s="74"/>
      <c r="FK126" s="74"/>
      <c r="FL126" s="26"/>
      <c r="FQ126" s="74"/>
      <c r="FR126" s="74"/>
      <c r="FS126" s="26">
        <f>FT126*$NT126</f>
        <v>3.9693639693639686</v>
      </c>
      <c r="FT126" s="115">
        <f>FC$17*$AN126/$C126</f>
        <v>4.1347541347541341</v>
      </c>
      <c r="FU126" s="562">
        <f>10^3*FT126/$OB126</f>
        <v>281.27579147987308</v>
      </c>
      <c r="FV126" s="73">
        <f>FT126/$OD126</f>
        <v>137.8251378251378</v>
      </c>
      <c r="FX126" s="74"/>
      <c r="FZ126" s="26"/>
      <c r="GE126" s="74"/>
      <c r="GG126" s="26">
        <f>GH126*$NT126</f>
        <v>1.9668853384778779</v>
      </c>
      <c r="GH126" s="115">
        <f>FD$17*$AN126/$C126</f>
        <v>2.0488388942477895</v>
      </c>
      <c r="GI126" s="562">
        <f>10^3*GH126/$OB126</f>
        <v>139.37679552706052</v>
      </c>
      <c r="GJ126" s="73">
        <f>GH126/$OD126</f>
        <v>68.294629808259657</v>
      </c>
      <c r="GL126" s="74"/>
      <c r="GM126" s="74"/>
      <c r="GN126" s="26"/>
      <c r="GS126" s="74"/>
      <c r="GT126" s="74"/>
      <c r="GU126" s="74"/>
      <c r="GV126" s="74"/>
      <c r="GW126" s="74"/>
      <c r="GX126" s="68">
        <f>GZ126*$W126</f>
        <v>10.158272137916079</v>
      </c>
      <c r="GY126" s="26">
        <f>GZ126*$NT126</f>
        <v>0.44327005692724702</v>
      </c>
      <c r="GZ126" s="127">
        <f>$AN126*GU$17/C126</f>
        <v>0.46173964263254902</v>
      </c>
      <c r="HA126" s="673">
        <f>10^3*GZ126/$OB126</f>
        <v>31.410860043030546</v>
      </c>
      <c r="HB126" s="74"/>
      <c r="HC126" s="73">
        <f>10^3*GZ126/$NW126</f>
        <v>15.494618880286879</v>
      </c>
      <c r="HD126" s="74"/>
      <c r="HE126" s="74"/>
      <c r="HF126" s="74"/>
      <c r="HG126" s="74"/>
      <c r="HH126" s="74"/>
      <c r="HI126" s="74"/>
      <c r="HJ126" s="74"/>
      <c r="HK126" s="74"/>
      <c r="HL126" s="74"/>
      <c r="HM126" s="115">
        <f>HN126*$NT126</f>
        <v>0.49163078036316632</v>
      </c>
      <c r="HN126" s="127">
        <f>$AN126*GV$17/C126</f>
        <v>0.5121153962116316</v>
      </c>
      <c r="HQ126" s="73">
        <f>10^3*HN126/$NW126</f>
        <v>17.185080409786295</v>
      </c>
      <c r="IA126" s="115">
        <f>IB126*$NT126</f>
        <v>0</v>
      </c>
      <c r="IB126" s="127">
        <f>$AN126*GW$17/C126</f>
        <v>0</v>
      </c>
      <c r="IC126" s="133"/>
      <c r="IE126" s="73">
        <f>10^3*IB126/$NW126</f>
        <v>0</v>
      </c>
      <c r="IV126" s="26">
        <f>IW126*$NT126</f>
        <v>1.6596861899889288</v>
      </c>
      <c r="IW126" s="115">
        <f>AN126*JK125</f>
        <v>1.7288397812384675</v>
      </c>
      <c r="IX126" s="673">
        <f>10^3*IW126/$OB126</f>
        <v>117.60814838356923</v>
      </c>
      <c r="IY126" s="73"/>
      <c r="IZ126" s="73"/>
      <c r="JA126" s="115"/>
      <c r="JB126" s="115">
        <f>$IW126*JM125/$JK125</f>
        <v>1.2740499052547454</v>
      </c>
      <c r="JC126" s="115">
        <f>$IW126*JN125/$JK125</f>
        <v>0.42010752304254573</v>
      </c>
      <c r="JD126" s="115">
        <f>$IW126*JO125/$JK125</f>
        <v>3.4682352941176477E-2</v>
      </c>
      <c r="JK126" s="37"/>
      <c r="JL126" s="37"/>
      <c r="JQ126" s="37"/>
      <c r="JR126" s="37"/>
      <c r="JS126" s="37"/>
      <c r="JT126" s="37"/>
      <c r="JU126" s="37"/>
      <c r="JV126" s="37"/>
      <c r="JW126" s="37"/>
      <c r="JX126" s="37"/>
      <c r="JY126" s="37"/>
      <c r="KJ126" s="115">
        <f>BW126*44/12+$IW126+$GZ126</f>
        <v>7.9516851203583752</v>
      </c>
      <c r="KK126" s="74"/>
      <c r="KL126" s="677">
        <f>10^3*KJ126/$OB126</f>
        <v>540.93096056859702</v>
      </c>
      <c r="KM126" s="74"/>
      <c r="KN126" s="74"/>
      <c r="KO126" s="74"/>
      <c r="KP126" s="74"/>
      <c r="KQ126" s="74"/>
      <c r="KR126" s="74"/>
      <c r="KS126" s="74"/>
      <c r="KT126" s="115">
        <f>CK126*44/12+$IW126+$HN126</f>
        <v>8.3825647138707406</v>
      </c>
      <c r="KV126" s="677">
        <f>10^3*KT126/$OB126</f>
        <v>570.24249754222728</v>
      </c>
      <c r="LD126" s="115">
        <f>CY126*44/12+$IW126+$IB126</f>
        <v>3.9889217196149942</v>
      </c>
      <c r="LF126" s="677">
        <f>10^3*LD126/$OB126</f>
        <v>271.35521902142818</v>
      </c>
      <c r="LN126" s="115">
        <f>DM126*44/12+$IW126+$GZ126</f>
        <v>9.4258714807835471</v>
      </c>
      <c r="LP126" s="677">
        <f>10^3*LN126/$OB126</f>
        <v>641.21574699207815</v>
      </c>
      <c r="LX126" s="115">
        <f>EA126*44/12+$IW126+$HN126</f>
        <v>9.8540470677803924</v>
      </c>
      <c r="LZ126" s="677">
        <f>10^3*LX126/$OB126</f>
        <v>670.34333794424447</v>
      </c>
      <c r="MH126" s="115">
        <f>EO126*44/12+$IW126+$IB126</f>
        <v>5.5012524234519917</v>
      </c>
      <c r="MJ126" s="677">
        <f>10^3*MH126/$OB126</f>
        <v>374.23485873823074</v>
      </c>
      <c r="NT126" s="42">
        <v>0.96</v>
      </c>
      <c r="NU126" s="103">
        <v>0.81</v>
      </c>
      <c r="NV126" s="32">
        <f>$NT126*NW126</f>
        <v>28.608000000000001</v>
      </c>
      <c r="NW126" s="9">
        <v>29.8</v>
      </c>
      <c r="NX126" s="26">
        <f>NV126*NU126</f>
        <v>23.17248</v>
      </c>
      <c r="NY126" s="66">
        <v>26.8</v>
      </c>
      <c r="NZ126" s="26">
        <f>NY126*NT126*NU126</f>
        <v>20.839680000000001</v>
      </c>
      <c r="OA126" s="32">
        <f>$NT126*OB126</f>
        <v>14.111999999999998</v>
      </c>
      <c r="OB126" s="43">
        <v>14.7</v>
      </c>
      <c r="OC126" s="38">
        <f>$NT126*OD126</f>
        <v>2.8799999999999999E-2</v>
      </c>
      <c r="OD126" s="31">
        <v>0.03</v>
      </c>
    </row>
    <row r="127" spans="1:494" x14ac:dyDescent="0.25">
      <c r="A127" s="37" t="s">
        <v>302</v>
      </c>
      <c r="B127" s="53">
        <f>C127*NT17/NT127</f>
        <v>0.31308758169934631</v>
      </c>
      <c r="C127" s="69">
        <f>D127*NW17/NW127</f>
        <v>0.32020320855614964</v>
      </c>
      <c r="D127" s="141">
        <v>0.35</v>
      </c>
      <c r="E127" s="453"/>
      <c r="F127" s="453"/>
      <c r="G127" s="453"/>
      <c r="H127" s="453"/>
      <c r="I127" s="453"/>
      <c r="J127" s="453"/>
      <c r="K127" s="453"/>
      <c r="L127" s="453"/>
      <c r="M127" s="453"/>
      <c r="N127" s="45"/>
      <c r="V127" s="55">
        <f>W127/NT127</f>
        <v>25.6318954248366</v>
      </c>
      <c r="W127" s="26">
        <f>10^3*Y127/NW127</f>
        <v>23.068705882352941</v>
      </c>
      <c r="X127" s="115"/>
      <c r="Y127" s="26">
        <f>D127/D126*Y126</f>
        <v>0.45891999999999999</v>
      </c>
      <c r="Z127" s="26"/>
      <c r="AA127" s="26">
        <f>W127*OD127</f>
        <v>6.9206117647058818</v>
      </c>
      <c r="AB127" s="26"/>
      <c r="AE127" s="115">
        <f>AB$17*$AN127/$C127</f>
        <v>5.6666577413409973</v>
      </c>
      <c r="AF127" s="115"/>
      <c r="AG127" s="115">
        <f>AC$17*$AN127/$C127</f>
        <v>5.7988279872778365</v>
      </c>
      <c r="AH127" s="115"/>
      <c r="AI127" s="115">
        <f>AD$17*$AN127/$C127</f>
        <v>4.455197112176875</v>
      </c>
      <c r="AJ127" s="115"/>
      <c r="AK127" s="722">
        <f>1-AK126</f>
        <v>0.41176470588235292</v>
      </c>
      <c r="AL127" s="164">
        <v>0.25</v>
      </c>
      <c r="AM127" s="69">
        <f>V127*AL127/(V126*AL126+V127*AL127)</f>
        <v>0.21851841120474649</v>
      </c>
      <c r="AN127" s="53">
        <f t="shared" si="40"/>
        <v>0.41176470588235292</v>
      </c>
      <c r="AO127" s="104"/>
      <c r="AP127" s="104"/>
      <c r="AQ127" s="104"/>
      <c r="AR127" s="104"/>
      <c r="AS127" s="104"/>
      <c r="AT127" s="115"/>
      <c r="AU127" s="115"/>
      <c r="AV127" s="115"/>
      <c r="AW127" s="115"/>
      <c r="AX127" s="115"/>
      <c r="AY127" s="115"/>
      <c r="AZ127" s="115"/>
      <c r="BA127" s="115"/>
      <c r="BB127" s="115"/>
      <c r="BC127" s="115"/>
      <c r="BD127" s="115"/>
      <c r="BE127" s="115"/>
      <c r="BF127" s="115"/>
      <c r="BG127" s="115"/>
      <c r="BH127" s="115"/>
      <c r="BI127" s="115"/>
      <c r="BJ127" s="115"/>
      <c r="BK127" s="115"/>
      <c r="BL127" s="115"/>
      <c r="BM127" s="115"/>
      <c r="BN127" s="115"/>
      <c r="BO127" s="115"/>
      <c r="BP127" s="115"/>
      <c r="BQ127" s="115"/>
      <c r="BR127" s="115"/>
      <c r="BS127" s="115"/>
      <c r="BT127" s="115"/>
      <c r="BU127" s="115"/>
      <c r="BV127" s="26">
        <f>BW127*$NT127</f>
        <v>0.94400525299432347</v>
      </c>
      <c r="BW127" s="115">
        <f>BP$17*$AN127/$C127</f>
        <v>1.0488947255492482</v>
      </c>
      <c r="BY127" s="143">
        <f>BW127/$OD127</f>
        <v>3.4963157518308274</v>
      </c>
      <c r="BZ127" s="74"/>
      <c r="CA127" s="74"/>
      <c r="CB127" s="74"/>
      <c r="CC127" s="74"/>
      <c r="CD127" s="115"/>
      <c r="CE127" s="115"/>
      <c r="CF127" s="115"/>
      <c r="CG127" s="115"/>
      <c r="CH127" s="115"/>
      <c r="CI127" s="74"/>
      <c r="CJ127" s="26">
        <f>CK127*$NT127</f>
        <v>1.0063539830133781</v>
      </c>
      <c r="CK127" s="115">
        <f>BQ$17*$AN127/$C127</f>
        <v>1.1181710922370867</v>
      </c>
      <c r="CM127" s="143">
        <f>CK127/$OD127</f>
        <v>3.7272369741236222</v>
      </c>
      <c r="CN127" s="74"/>
      <c r="CX127" s="26">
        <f>CY127*$NT127</f>
        <v>0.37033328920277941</v>
      </c>
      <c r="CY127" s="115">
        <f>BR$17*$AN127/$C127</f>
        <v>0.41148143244753266</v>
      </c>
      <c r="CZ127" s="37"/>
      <c r="DA127" s="143">
        <f>CY127/$OD127</f>
        <v>1.371604774825109</v>
      </c>
      <c r="DF127" s="115"/>
      <c r="DG127" s="115"/>
      <c r="DH127" s="115"/>
      <c r="DI127" s="115"/>
      <c r="DJ127" s="115"/>
      <c r="DL127" s="26">
        <f>DM127*$NT127</f>
        <v>1.1855629923328761</v>
      </c>
      <c r="DM127" s="115">
        <f>BS$17*$AN127/$C127</f>
        <v>1.3172922137031957</v>
      </c>
      <c r="DN127" s="37"/>
      <c r="DO127" s="143">
        <f>DM127/$OD127</f>
        <v>4.3909740456773196</v>
      </c>
      <c r="DT127" s="37"/>
      <c r="DU127" s="37"/>
      <c r="DV127" s="37"/>
      <c r="DW127" s="37"/>
      <c r="DX127" s="37"/>
      <c r="DZ127" s="26">
        <f>EA127*$NT127</f>
        <v>1.247468648315581</v>
      </c>
      <c r="EA127" s="115">
        <f>BT$17*$AN127/$C127</f>
        <v>1.3860762759062011</v>
      </c>
      <c r="EC127" s="143">
        <f>EA127/$OD127</f>
        <v>4.6202542530206703</v>
      </c>
      <c r="ED127" s="74"/>
      <c r="EN127" s="26">
        <f>EO127*$NT127</f>
        <v>0.61814129757818348</v>
      </c>
      <c r="EO127" s="115">
        <f>BU$17*$AN127/$C127</f>
        <v>0.68682366397575945</v>
      </c>
      <c r="EP127" s="37"/>
      <c r="EQ127" s="143">
        <f>EO127/$OD127</f>
        <v>2.2894122132525316</v>
      </c>
      <c r="EV127" s="37"/>
      <c r="EW127" s="37"/>
      <c r="EX127" s="37"/>
      <c r="EY127" s="37"/>
      <c r="EZ127" s="37"/>
      <c r="FE127" s="26">
        <f>FF127*$NT127</f>
        <v>2.3609385475672955</v>
      </c>
      <c r="FF127" s="115">
        <f>FB$17*$AN127/$C127</f>
        <v>2.6232650528525503</v>
      </c>
      <c r="FH127" s="115">
        <f>FF127/$OD127</f>
        <v>8.7442168428418352</v>
      </c>
      <c r="FJ127" s="74"/>
      <c r="FK127" s="74"/>
      <c r="FL127" s="26"/>
      <c r="FQ127" s="74"/>
      <c r="FR127" s="74"/>
      <c r="FS127" s="26">
        <f>FT127*$NT127</f>
        <v>2.4842179097498249</v>
      </c>
      <c r="FT127" s="115">
        <f>FC$17*$AN127/$C127</f>
        <v>2.7602421219442497</v>
      </c>
      <c r="FV127" s="115">
        <f>FT127/$OD127</f>
        <v>9.2008070731474998</v>
      </c>
      <c r="FX127" s="74"/>
      <c r="FZ127" s="26"/>
      <c r="GE127" s="74"/>
      <c r="GG127" s="26">
        <f>GH127*$NT127</f>
        <v>1.2309709620944704</v>
      </c>
      <c r="GH127" s="115">
        <f>FD$17*$AN127/$C127</f>
        <v>1.3677455134383005</v>
      </c>
      <c r="GJ127" s="115">
        <f>GH127/$OD127</f>
        <v>4.5591517114610021</v>
      </c>
      <c r="GL127" s="74"/>
      <c r="GM127" s="74"/>
      <c r="GN127" s="26"/>
      <c r="GS127" s="74"/>
      <c r="GT127" s="74"/>
      <c r="GU127" s="74"/>
      <c r="GV127" s="74"/>
      <c r="GW127" s="74"/>
      <c r="GX127" s="68">
        <f>GZ127*$W127</f>
        <v>7.1107904965412549</v>
      </c>
      <c r="GY127" s="26">
        <f>GZ127*$NT127</f>
        <v>0.27741961250556191</v>
      </c>
      <c r="GZ127" s="330">
        <f>$AN127*GU$17/C127</f>
        <v>0.30824401389506878</v>
      </c>
      <c r="HB127" s="115">
        <f>GZ127/$OD127</f>
        <v>1.027480046316896</v>
      </c>
      <c r="HC127" s="115"/>
      <c r="HD127" s="115"/>
      <c r="HE127" s="74"/>
      <c r="HF127" s="74"/>
      <c r="HG127" s="74"/>
      <c r="HH127" s="74"/>
      <c r="HI127" s="74"/>
      <c r="HJ127" s="74"/>
      <c r="HK127" s="74"/>
      <c r="HL127" s="74"/>
      <c r="HM127" s="115">
        <f>HN127*$NT127</f>
        <v>0.3076860673369185</v>
      </c>
      <c r="HN127" s="127">
        <f>$AN127*GV$17/C127</f>
        <v>0.34187340815213163</v>
      </c>
      <c r="HP127" s="115">
        <f>HN127/$OD127</f>
        <v>1.1395780271737721</v>
      </c>
      <c r="HQ127" s="115"/>
      <c r="HR127" s="115"/>
      <c r="IA127" s="115">
        <f>IB127*$NT127</f>
        <v>0</v>
      </c>
      <c r="IB127" s="127">
        <f>$AN127*GW$17/C127</f>
        <v>0</v>
      </c>
      <c r="IC127" s="133"/>
      <c r="ID127" s="115">
        <f>IB127/$OD127</f>
        <v>0</v>
      </c>
      <c r="IE127" s="115"/>
      <c r="IF127" s="115"/>
      <c r="IV127" s="26">
        <f>IW127*$NT127</f>
        <v>1.0387110352078901</v>
      </c>
      <c r="IW127" s="91">
        <f>AN127*JK125*C126/C127</f>
        <v>1.1541233724532112</v>
      </c>
      <c r="IX127" s="73"/>
      <c r="IY127" s="115">
        <f>IW127/$OD127</f>
        <v>3.8470779081773707</v>
      </c>
      <c r="IZ127" s="73"/>
      <c r="JA127" s="115"/>
      <c r="JB127" s="115">
        <f>$IW127*JM125/$JK125</f>
        <v>0.85051882151448477</v>
      </c>
      <c r="JC127" s="115">
        <f>$IW127*JN125/$JK125</f>
        <v>0.28045161648206507</v>
      </c>
      <c r="JD127" s="115">
        <f>$IW127*JO125/$JK125</f>
        <v>2.3152934456661438E-2</v>
      </c>
      <c r="KJ127" s="115">
        <f>BW127*44/12+$IW127+$GZ127</f>
        <v>5.30831471336219</v>
      </c>
      <c r="KK127" s="74"/>
      <c r="KL127" s="74"/>
      <c r="KM127" s="143">
        <f>KJ127/$OD127</f>
        <v>17.694382377873968</v>
      </c>
      <c r="KN127" s="74"/>
      <c r="KO127" s="74"/>
      <c r="KP127" s="74"/>
      <c r="KQ127" s="74"/>
      <c r="KR127" s="74"/>
      <c r="KS127" s="74"/>
      <c r="KT127" s="115">
        <f>CK127*44/12+$IW127+$HN127</f>
        <v>5.5959574521413264</v>
      </c>
      <c r="KW127" s="143">
        <f>KT127/$OD127</f>
        <v>18.653191507137755</v>
      </c>
      <c r="LD127" s="115">
        <f>CY127*44/12+$IW127+$IB127</f>
        <v>2.6628886247608312</v>
      </c>
      <c r="LG127" s="143">
        <f>LD127/$OD127</f>
        <v>8.8762954158694374</v>
      </c>
      <c r="LN127" s="115">
        <f>DM127*44/12+$IW127+$GZ127</f>
        <v>6.2924388365933304</v>
      </c>
      <c r="LQ127" s="143">
        <f>LN127/$OD127</f>
        <v>20.974796121977768</v>
      </c>
      <c r="LX127" s="115">
        <f>EA127*44/12+$IW127+$HN127</f>
        <v>6.5782764589280793</v>
      </c>
      <c r="MA127" s="143">
        <f>LX127/$OD127</f>
        <v>21.927588196426932</v>
      </c>
      <c r="MH127" s="115">
        <f>EO127*44/12+$IW127+$IB127</f>
        <v>3.6724768070309959</v>
      </c>
      <c r="MK127" s="143">
        <f>MH127/$OD127</f>
        <v>12.241589356769987</v>
      </c>
      <c r="NT127" s="31">
        <v>0.9</v>
      </c>
      <c r="NU127" s="31"/>
      <c r="NV127" s="32">
        <f>$NT127*NW127</f>
        <v>17.904255319148938</v>
      </c>
      <c r="NW127" s="43">
        <f>18.7/0.94</f>
        <v>19.893617021276597</v>
      </c>
      <c r="OC127" s="38">
        <f>$NT127*OD127</f>
        <v>0.27</v>
      </c>
      <c r="OD127" s="31">
        <v>0.3</v>
      </c>
    </row>
    <row r="128" spans="1:494" x14ac:dyDescent="0.25">
      <c r="A128" s="37" t="s">
        <v>233</v>
      </c>
      <c r="C128" s="40">
        <f>1-C126-C127</f>
        <v>0.37442766392707189</v>
      </c>
      <c r="D128" s="40">
        <f>1-D126-D127</f>
        <v>0.15000000000000002</v>
      </c>
      <c r="E128" s="53"/>
      <c r="F128" s="53"/>
      <c r="G128" s="53"/>
      <c r="H128" s="53"/>
      <c r="I128" s="53"/>
      <c r="J128" s="53"/>
      <c r="K128" s="53"/>
      <c r="L128" s="53"/>
      <c r="M128" s="53"/>
      <c r="N128" s="40"/>
      <c r="V128" s="26"/>
      <c r="W128" s="26"/>
      <c r="X128" s="115"/>
      <c r="Y128" s="26">
        <f>D128/D126*Y126</f>
        <v>0.19668000000000005</v>
      </c>
      <c r="Z128" s="26"/>
      <c r="AA128" s="26"/>
      <c r="AB128" s="26"/>
      <c r="AC128" s="74"/>
      <c r="AD128" s="74"/>
      <c r="AE128" s="74"/>
      <c r="AF128" s="74"/>
      <c r="AG128" s="74"/>
      <c r="AK128" s="722"/>
      <c r="AN128" s="74"/>
      <c r="AO128" s="74"/>
      <c r="AP128" s="74"/>
      <c r="AQ128" s="74"/>
      <c r="AR128" s="74"/>
      <c r="AS128" s="74"/>
      <c r="AT128" s="74"/>
      <c r="AU128" s="74"/>
      <c r="AV128" s="74"/>
      <c r="AW128" s="74"/>
      <c r="AX128" s="74"/>
      <c r="AY128" s="74"/>
      <c r="BJ128" s="74"/>
      <c r="BK128" s="74"/>
      <c r="BL128" s="74"/>
      <c r="BM128" s="74"/>
      <c r="BN128" s="74"/>
      <c r="BO128" s="74"/>
      <c r="BP128" s="74"/>
      <c r="BQ128" s="74"/>
      <c r="BR128" s="74"/>
      <c r="BS128" s="74"/>
      <c r="BT128" s="74"/>
      <c r="BU128" s="74"/>
      <c r="BW128" s="26"/>
      <c r="BZ128" s="74"/>
      <c r="CA128" s="74"/>
      <c r="CB128" s="74"/>
      <c r="CC128" s="74"/>
      <c r="CD128" s="115"/>
      <c r="CE128" s="115"/>
      <c r="CF128" s="115"/>
      <c r="CG128" s="115"/>
      <c r="CH128" s="115"/>
      <c r="CI128" s="74"/>
      <c r="CK128" s="26"/>
      <c r="CN128" s="74"/>
      <c r="CX128" s="37"/>
      <c r="CY128" s="26"/>
      <c r="CZ128" s="37"/>
      <c r="DA128" s="37"/>
      <c r="DF128" s="115"/>
      <c r="DG128" s="115"/>
      <c r="DH128" s="115"/>
      <c r="DI128" s="115"/>
      <c r="DJ128" s="115"/>
      <c r="DL128" s="37"/>
      <c r="DM128" s="115"/>
      <c r="DN128" s="37"/>
      <c r="DO128" s="37"/>
      <c r="DT128" s="37"/>
      <c r="DU128" s="37"/>
      <c r="DV128" s="37"/>
      <c r="DW128" s="37"/>
      <c r="DX128" s="37"/>
      <c r="EA128" s="115"/>
      <c r="ED128" s="74"/>
      <c r="EN128" s="37"/>
      <c r="EO128" s="115"/>
      <c r="EP128" s="37"/>
      <c r="EQ128" s="37"/>
      <c r="EV128" s="37"/>
      <c r="EW128" s="37"/>
      <c r="EX128" s="37"/>
      <c r="EY128" s="37"/>
      <c r="EZ128" s="37"/>
      <c r="FF128" s="26"/>
      <c r="FH128" s="74"/>
      <c r="FJ128" s="74"/>
      <c r="FK128" s="74"/>
      <c r="FQ128" s="74"/>
      <c r="FR128" s="74"/>
      <c r="FT128" s="26"/>
      <c r="FX128" s="74"/>
      <c r="FZ128" s="37"/>
      <c r="GE128" s="74"/>
      <c r="GH128" s="26"/>
      <c r="GJ128" s="74"/>
      <c r="GL128" s="74"/>
      <c r="GM128" s="74"/>
      <c r="GS128" s="74"/>
      <c r="GT128" s="74"/>
      <c r="GU128" s="74"/>
      <c r="GV128" s="74"/>
      <c r="GW128" s="74"/>
      <c r="GX128" s="74"/>
      <c r="HB128" s="74"/>
      <c r="HD128" s="74"/>
      <c r="HE128" s="74"/>
      <c r="HF128" s="74"/>
      <c r="HG128" s="74"/>
      <c r="HH128" s="74"/>
      <c r="HI128" s="74"/>
      <c r="HJ128" s="74"/>
      <c r="HK128" s="74"/>
      <c r="HL128" s="74"/>
      <c r="IA128" s="133"/>
      <c r="IB128" s="133"/>
      <c r="IC128" s="133"/>
      <c r="IE128" s="133"/>
      <c r="KJ128" s="74"/>
      <c r="KK128" s="74"/>
      <c r="KL128" s="74"/>
      <c r="KM128" s="74"/>
      <c r="KN128" s="74"/>
      <c r="KO128" s="74"/>
      <c r="KP128" s="74"/>
      <c r="KQ128" s="74"/>
      <c r="KR128" s="74"/>
      <c r="KS128" s="74"/>
    </row>
    <row r="129" spans="1:494" x14ac:dyDescent="0.25">
      <c r="AC129" s="74"/>
      <c r="AD129" s="74"/>
      <c r="AE129" s="74"/>
      <c r="AF129" s="74"/>
      <c r="AG129" s="74"/>
      <c r="AN129" s="74"/>
      <c r="AO129" s="74"/>
      <c r="AP129" s="74"/>
      <c r="AQ129" s="74"/>
      <c r="AR129" s="74"/>
      <c r="AS129" s="74"/>
      <c r="AT129" s="74"/>
      <c r="AU129" s="74"/>
      <c r="AV129" s="74"/>
      <c r="AW129" s="74"/>
      <c r="AX129" s="74"/>
      <c r="AY129" s="74"/>
      <c r="BJ129" s="74"/>
      <c r="BK129" s="74"/>
      <c r="BL129" s="74"/>
      <c r="BM129" s="74"/>
      <c r="BN129" s="74"/>
      <c r="BO129" s="74"/>
      <c r="BP129" s="74"/>
      <c r="BQ129" s="74"/>
      <c r="BR129" s="74"/>
      <c r="BS129" s="74"/>
      <c r="BT129" s="74"/>
      <c r="BU129" s="74"/>
      <c r="BW129" s="26"/>
      <c r="BZ129" s="74"/>
      <c r="CA129" s="74"/>
      <c r="CB129" s="74"/>
      <c r="CC129" s="74"/>
      <c r="CD129" s="115"/>
      <c r="CE129" s="115"/>
      <c r="CF129" s="115"/>
      <c r="CG129" s="115"/>
      <c r="CH129" s="115"/>
      <c r="CI129" s="74"/>
      <c r="CK129" s="26"/>
      <c r="CN129" s="74"/>
      <c r="CX129" s="37"/>
      <c r="CY129" s="26"/>
      <c r="CZ129" s="37"/>
      <c r="DA129" s="37"/>
      <c r="DF129" s="115"/>
      <c r="DG129" s="115"/>
      <c r="DH129" s="115"/>
      <c r="DI129" s="115"/>
      <c r="DJ129" s="115"/>
      <c r="DL129" s="37"/>
      <c r="DM129" s="115"/>
      <c r="DN129" s="37"/>
      <c r="DO129" s="37"/>
      <c r="DT129" s="37"/>
      <c r="DU129" s="37"/>
      <c r="DV129" s="37"/>
      <c r="DW129" s="37"/>
      <c r="DX129" s="37"/>
      <c r="EA129" s="115"/>
      <c r="ED129" s="74"/>
      <c r="EN129" s="37"/>
      <c r="EO129" s="115"/>
      <c r="EP129" s="37"/>
      <c r="EQ129" s="37"/>
      <c r="EV129" s="37"/>
      <c r="EW129" s="37"/>
      <c r="EX129" s="37"/>
      <c r="EY129" s="37"/>
      <c r="EZ129" s="37"/>
      <c r="FF129" s="26"/>
      <c r="FH129" s="74"/>
      <c r="FJ129" s="74"/>
      <c r="FK129" s="74"/>
      <c r="FQ129" s="74"/>
      <c r="FR129" s="74"/>
      <c r="FT129" s="26"/>
      <c r="FX129" s="74"/>
      <c r="FZ129" s="37"/>
      <c r="GE129" s="74"/>
      <c r="GH129" s="26"/>
      <c r="GJ129" s="74"/>
      <c r="GL129" s="74"/>
      <c r="GM129" s="74"/>
      <c r="GS129" s="74"/>
      <c r="GT129" s="74"/>
      <c r="GU129" s="74"/>
      <c r="GV129" s="74"/>
      <c r="GW129" s="74"/>
      <c r="GX129" s="74"/>
      <c r="HB129" s="74"/>
      <c r="HD129" s="74"/>
      <c r="HE129" s="74"/>
      <c r="HF129" s="74"/>
      <c r="HG129" s="74"/>
      <c r="HH129" s="74"/>
      <c r="HI129" s="74"/>
      <c r="HJ129" s="74"/>
      <c r="HK129" s="74"/>
      <c r="HL129" s="74"/>
      <c r="IA129" s="133"/>
      <c r="IB129" s="133"/>
      <c r="IC129" s="133"/>
      <c r="IE129" s="133"/>
      <c r="KJ129" s="74"/>
      <c r="KK129" s="74"/>
      <c r="KL129" s="74"/>
      <c r="KM129" s="74"/>
      <c r="KN129" s="74"/>
      <c r="KO129" s="74"/>
      <c r="KP129" s="74"/>
      <c r="KQ129" s="74"/>
      <c r="KR129" s="74"/>
      <c r="KS129" s="74"/>
    </row>
    <row r="130" spans="1:494" x14ac:dyDescent="0.25">
      <c r="AF130" s="74"/>
      <c r="AG130" s="74"/>
      <c r="AN130" s="74"/>
      <c r="BW130" s="26"/>
      <c r="BZ130" s="74"/>
      <c r="CA130" s="74"/>
      <c r="CB130" s="74"/>
      <c r="CC130" s="74"/>
      <c r="CD130" s="115"/>
      <c r="CE130" s="115"/>
      <c r="CF130" s="115"/>
      <c r="CG130" s="115"/>
      <c r="CH130" s="115"/>
      <c r="CI130" s="74"/>
      <c r="CK130" s="26"/>
      <c r="CN130" s="74"/>
      <c r="CX130" s="37"/>
      <c r="CY130" s="26"/>
      <c r="CZ130" s="37"/>
      <c r="DA130" s="37"/>
      <c r="DF130" s="115"/>
      <c r="DG130" s="115"/>
      <c r="DH130" s="115"/>
      <c r="DI130" s="115"/>
      <c r="DJ130" s="115"/>
      <c r="DL130" s="37"/>
      <c r="DM130" s="115"/>
      <c r="DN130" s="37"/>
      <c r="DO130" s="37"/>
      <c r="DT130" s="37"/>
      <c r="DU130" s="37"/>
      <c r="DV130" s="37"/>
      <c r="DW130" s="37"/>
      <c r="DX130" s="37"/>
      <c r="EA130" s="115"/>
      <c r="ED130" s="74"/>
      <c r="EN130" s="37"/>
      <c r="EO130" s="115"/>
      <c r="EP130" s="37"/>
      <c r="EQ130" s="37"/>
      <c r="EV130" s="37"/>
      <c r="EW130" s="37"/>
      <c r="EX130" s="37"/>
      <c r="EY130" s="37"/>
      <c r="EZ130" s="37"/>
      <c r="FF130" s="26"/>
      <c r="FH130" s="74"/>
      <c r="FJ130" s="74"/>
      <c r="FK130" s="74"/>
      <c r="FQ130" s="74"/>
      <c r="FR130" s="74"/>
      <c r="FT130" s="26"/>
      <c r="FX130" s="74"/>
      <c r="FZ130" s="37"/>
      <c r="GE130" s="74"/>
      <c r="GH130" s="26"/>
      <c r="GJ130" s="74"/>
      <c r="GL130" s="74"/>
      <c r="GM130" s="74"/>
      <c r="GS130" s="74"/>
      <c r="GT130" s="74"/>
      <c r="GU130" s="74"/>
      <c r="GV130" s="74"/>
      <c r="GW130" s="74"/>
      <c r="GX130" s="74"/>
      <c r="HB130" s="74"/>
      <c r="HD130" s="74"/>
      <c r="HE130" s="74"/>
      <c r="HF130" s="74"/>
      <c r="HG130" s="74"/>
      <c r="HH130" s="74"/>
      <c r="HI130" s="74"/>
      <c r="HJ130" s="74"/>
      <c r="HK130" s="74"/>
      <c r="HL130" s="74"/>
      <c r="IA130" s="133"/>
      <c r="IB130" s="133"/>
      <c r="IC130" s="133"/>
      <c r="IE130" s="133"/>
      <c r="KJ130" s="74"/>
      <c r="KK130" s="74"/>
      <c r="KL130" s="74"/>
      <c r="KM130" s="74"/>
      <c r="KN130" s="74"/>
      <c r="KO130" s="74"/>
      <c r="KP130" s="74"/>
      <c r="KQ130" s="74"/>
      <c r="KR130" s="74"/>
      <c r="KS130" s="74"/>
    </row>
    <row r="131" spans="1:494" x14ac:dyDescent="0.25">
      <c r="A131" s="9" t="s">
        <v>262</v>
      </c>
      <c r="AF131" s="74"/>
      <c r="AG131" s="74"/>
      <c r="BW131" s="26"/>
      <c r="BZ131" s="74"/>
      <c r="CA131" s="74"/>
      <c r="CB131" s="74"/>
      <c r="CC131" s="74"/>
      <c r="CD131" s="115"/>
      <c r="CE131" s="115"/>
      <c r="CF131" s="115"/>
      <c r="CG131" s="115"/>
      <c r="CH131" s="115"/>
      <c r="CI131" s="74"/>
      <c r="CK131" s="26"/>
      <c r="CN131" s="74"/>
      <c r="CX131" s="37"/>
      <c r="CY131" s="26"/>
      <c r="CZ131" s="37"/>
      <c r="DA131" s="37"/>
      <c r="DF131" s="115"/>
      <c r="DG131" s="115"/>
      <c r="DH131" s="115"/>
      <c r="DI131" s="115"/>
      <c r="DJ131" s="115"/>
      <c r="DL131" s="37"/>
      <c r="DM131" s="115"/>
      <c r="DN131" s="37"/>
      <c r="DO131" s="37"/>
      <c r="DT131" s="37"/>
      <c r="DU131" s="37"/>
      <c r="DV131" s="37"/>
      <c r="DW131" s="37"/>
      <c r="DX131" s="37"/>
      <c r="EA131" s="115"/>
      <c r="ED131" s="74"/>
      <c r="EN131" s="37"/>
      <c r="EO131" s="115"/>
      <c r="EP131" s="37"/>
      <c r="EQ131" s="37"/>
      <c r="EV131" s="37"/>
      <c r="EW131" s="37"/>
      <c r="EX131" s="37"/>
      <c r="EY131" s="37"/>
      <c r="EZ131" s="37"/>
      <c r="FF131" s="26"/>
      <c r="FH131" s="74"/>
      <c r="FJ131" s="74"/>
      <c r="FK131" s="74"/>
      <c r="FQ131" s="74"/>
      <c r="FR131" s="74"/>
      <c r="FT131" s="26"/>
      <c r="FX131" s="74"/>
      <c r="FZ131" s="37"/>
      <c r="GE131" s="74"/>
      <c r="GH131" s="26"/>
      <c r="GJ131" s="74"/>
      <c r="GL131" s="74"/>
      <c r="GM131" s="74"/>
      <c r="GS131" s="74"/>
      <c r="GT131" s="74"/>
      <c r="GU131" s="74"/>
      <c r="GV131" s="74"/>
      <c r="GW131" s="74"/>
      <c r="GX131" s="390">
        <f>GX133+GX138+GX144</f>
        <v>0</v>
      </c>
      <c r="GY131" s="74"/>
      <c r="GZ131" s="74"/>
      <c r="HA131" s="74"/>
      <c r="HB131" s="74"/>
      <c r="HC131" s="74"/>
      <c r="HD131" s="74"/>
      <c r="HE131" s="74"/>
      <c r="HF131" s="74"/>
      <c r="HG131" s="74"/>
      <c r="HH131" s="74"/>
      <c r="HI131" s="74"/>
      <c r="HJ131" s="74"/>
      <c r="HK131" s="74"/>
      <c r="HL131" s="74"/>
      <c r="HM131" s="74"/>
      <c r="HN131" s="74"/>
      <c r="HO131" s="74"/>
      <c r="HQ131" s="74"/>
      <c r="IO131" s="390">
        <f t="shared" ref="IO131:IT131" si="41">IO133+IO138+IO144</f>
        <v>0</v>
      </c>
      <c r="IP131" s="115">
        <f t="shared" si="41"/>
        <v>0</v>
      </c>
      <c r="IQ131" s="115">
        <f t="shared" si="41"/>
        <v>0</v>
      </c>
      <c r="IR131" s="115">
        <f t="shared" si="41"/>
        <v>0</v>
      </c>
      <c r="IS131" s="738">
        <f t="shared" si="41"/>
        <v>0</v>
      </c>
      <c r="IT131" s="738">
        <f t="shared" si="41"/>
        <v>0</v>
      </c>
      <c r="IU131" s="738">
        <f>IU133+IU138+IU144</f>
        <v>0</v>
      </c>
      <c r="JM131" s="74"/>
      <c r="JN131" s="74"/>
      <c r="JO131" s="74"/>
      <c r="KD131" s="74"/>
      <c r="KE131" s="74"/>
      <c r="KF131" s="74"/>
      <c r="KG131" s="74"/>
      <c r="KH131" s="74"/>
      <c r="KI131" s="74"/>
      <c r="KJ131" s="74"/>
      <c r="KK131" s="74"/>
      <c r="KL131" s="74"/>
      <c r="KM131" s="74"/>
      <c r="KN131" s="74"/>
      <c r="KO131" s="74"/>
      <c r="KP131" s="74"/>
      <c r="KQ131" s="74"/>
      <c r="KR131" s="74"/>
      <c r="KS131" s="74"/>
      <c r="RK131" s="37"/>
      <c r="RL131" s="37"/>
      <c r="RU131" s="115"/>
      <c r="RV131" s="115"/>
      <c r="RW131" s="115"/>
      <c r="RX131" s="115"/>
      <c r="RY131" s="115"/>
      <c r="RZ131" s="115"/>
    </row>
    <row r="132" spans="1:494" x14ac:dyDescent="0.25">
      <c r="W132" s="74"/>
      <c r="AF132" s="74"/>
      <c r="AG132" s="74"/>
      <c r="BW132" s="26"/>
      <c r="BZ132" s="74"/>
      <c r="CA132" s="74"/>
      <c r="CB132" s="74"/>
      <c r="CC132" s="74"/>
      <c r="CD132" s="115"/>
      <c r="CE132" s="115"/>
      <c r="CF132" s="115"/>
      <c r="CG132" s="115"/>
      <c r="CH132" s="115"/>
      <c r="CI132" s="74"/>
      <c r="CK132" s="26"/>
      <c r="CN132" s="74"/>
      <c r="CX132" s="37"/>
      <c r="CY132" s="26"/>
      <c r="CZ132" s="37"/>
      <c r="DA132" s="37"/>
      <c r="DF132" s="115"/>
      <c r="DG132" s="115"/>
      <c r="DH132" s="115"/>
      <c r="DI132" s="115"/>
      <c r="DJ132" s="115"/>
      <c r="DL132" s="37"/>
      <c r="DM132" s="115"/>
      <c r="DN132" s="37"/>
      <c r="DO132" s="37"/>
      <c r="DT132" s="37"/>
      <c r="DU132" s="37"/>
      <c r="DV132" s="37"/>
      <c r="DW132" s="37"/>
      <c r="DX132" s="37"/>
      <c r="EA132" s="115"/>
      <c r="ED132" s="74"/>
      <c r="EN132" s="37"/>
      <c r="EO132" s="115"/>
      <c r="EP132" s="37"/>
      <c r="EQ132" s="37"/>
      <c r="EV132" s="37"/>
      <c r="EW132" s="37"/>
      <c r="EX132" s="37"/>
      <c r="EY132" s="37"/>
      <c r="EZ132" s="37"/>
      <c r="FF132" s="26"/>
      <c r="FH132" s="74"/>
      <c r="FJ132" s="74"/>
      <c r="FK132" s="74"/>
      <c r="FQ132" s="74"/>
      <c r="FR132" s="74"/>
      <c r="FT132" s="26"/>
      <c r="FX132" s="74"/>
      <c r="FZ132" s="37"/>
      <c r="GE132" s="74"/>
      <c r="GH132" s="26"/>
      <c r="GJ132" s="74"/>
      <c r="GL132" s="74"/>
      <c r="GM132" s="74"/>
      <c r="GS132" s="74"/>
      <c r="GT132" s="74"/>
      <c r="GU132" s="74"/>
      <c r="GV132" s="74"/>
      <c r="GW132" s="74"/>
      <c r="GX132" s="74"/>
      <c r="HB132" s="74"/>
      <c r="HD132" s="74"/>
      <c r="HE132" s="74"/>
      <c r="HF132" s="74"/>
      <c r="HG132" s="74"/>
      <c r="HH132" s="74"/>
      <c r="HI132" s="74"/>
      <c r="HJ132" s="74"/>
      <c r="HK132" s="74"/>
      <c r="HL132" s="74"/>
      <c r="IA132" s="133"/>
      <c r="IB132" s="133"/>
      <c r="IC132" s="133"/>
      <c r="IE132" s="133"/>
      <c r="KJ132" s="74"/>
      <c r="KK132" s="74"/>
      <c r="KL132" s="74"/>
      <c r="KM132" s="74"/>
      <c r="KN132" s="74"/>
      <c r="KO132" s="74"/>
      <c r="KP132" s="74"/>
      <c r="KQ132" s="74"/>
      <c r="KR132" s="74"/>
      <c r="KS132" s="74"/>
    </row>
    <row r="133" spans="1:494" x14ac:dyDescent="0.25">
      <c r="A133" s="9" t="s">
        <v>263</v>
      </c>
      <c r="W133" s="74"/>
      <c r="AF133" s="74"/>
      <c r="AG133" s="74"/>
      <c r="BW133" s="26"/>
      <c r="BZ133" s="74"/>
      <c r="CA133" s="74"/>
      <c r="CB133" s="74"/>
      <c r="CC133" s="74"/>
      <c r="CD133" s="115"/>
      <c r="CE133" s="115"/>
      <c r="CF133" s="115"/>
      <c r="CG133" s="115"/>
      <c r="CH133" s="115"/>
      <c r="CI133" s="74"/>
      <c r="CK133" s="26"/>
      <c r="CN133" s="74"/>
      <c r="CX133" s="37"/>
      <c r="CY133" s="26"/>
      <c r="CZ133" s="37"/>
      <c r="DA133" s="37"/>
      <c r="DF133" s="115"/>
      <c r="DG133" s="115"/>
      <c r="DH133" s="115"/>
      <c r="DI133" s="115"/>
      <c r="DJ133" s="115"/>
      <c r="DL133" s="37"/>
      <c r="DM133" s="115"/>
      <c r="DN133" s="37"/>
      <c r="DO133" s="37"/>
      <c r="DT133" s="37"/>
      <c r="DU133" s="37"/>
      <c r="DV133" s="37"/>
      <c r="DW133" s="37"/>
      <c r="DX133" s="37"/>
      <c r="EA133" s="115"/>
      <c r="ED133" s="74"/>
      <c r="EN133" s="37"/>
      <c r="EO133" s="115"/>
      <c r="EP133" s="37"/>
      <c r="EQ133" s="37"/>
      <c r="EV133" s="37"/>
      <c r="EW133" s="37"/>
      <c r="EX133" s="37"/>
      <c r="EY133" s="37"/>
      <c r="EZ133" s="37"/>
      <c r="FF133" s="26"/>
      <c r="FH133" s="74"/>
      <c r="FJ133" s="74"/>
      <c r="FK133" s="74"/>
      <c r="FQ133" s="74"/>
      <c r="FR133" s="74"/>
      <c r="FT133" s="26"/>
      <c r="FX133" s="74"/>
      <c r="FZ133" s="37"/>
      <c r="GE133" s="74"/>
      <c r="GH133" s="26"/>
      <c r="GJ133" s="74"/>
      <c r="GL133" s="74"/>
      <c r="GM133" s="74"/>
      <c r="GS133" s="74"/>
      <c r="GT133" s="74"/>
      <c r="GU133" s="74"/>
      <c r="GV133" s="74"/>
      <c r="GW133" s="74"/>
      <c r="GX133" s="55">
        <f>GX134+GX135</f>
        <v>0</v>
      </c>
      <c r="HB133" s="74"/>
      <c r="HD133" s="74"/>
      <c r="HE133" s="74"/>
      <c r="HF133" s="74"/>
      <c r="HG133" s="74"/>
      <c r="HH133" s="74"/>
      <c r="HI133" s="74"/>
      <c r="HJ133" s="74"/>
      <c r="HK133" s="74"/>
      <c r="HL133" s="74"/>
      <c r="IA133" s="133"/>
      <c r="IB133" s="133"/>
      <c r="IC133" s="133"/>
      <c r="IE133" s="133"/>
      <c r="IO133" s="68">
        <f>IP133+IQ133+IR133+IS133+IT133+IU133</f>
        <v>0</v>
      </c>
      <c r="IP133" s="97">
        <f>JS133*$W134</f>
        <v>0</v>
      </c>
      <c r="IQ133" s="97">
        <f>JU133*$W134</f>
        <v>0</v>
      </c>
      <c r="IR133" s="97">
        <f>JX133*$W134</f>
        <v>0</v>
      </c>
      <c r="IS133" s="97">
        <f>KB133*$W134</f>
        <v>0</v>
      </c>
      <c r="IT133" s="97">
        <f>KF133*$W134</f>
        <v>0</v>
      </c>
      <c r="IU133" s="97">
        <f>KH133*$W134</f>
        <v>0</v>
      </c>
      <c r="JK133" s="127">
        <f>JM133+JN133+JO133</f>
        <v>1.0225634335544251</v>
      </c>
      <c r="JL133" s="679">
        <f>10^3*JK133/NY134</f>
        <v>27.488264342860891</v>
      </c>
      <c r="JM133" s="179">
        <f>JS133+KB133</f>
        <v>0.96369133325567014</v>
      </c>
      <c r="JN133" s="179">
        <f>JU133+KF133</f>
        <v>2.0704519736095117E-2</v>
      </c>
      <c r="JO133" s="179">
        <f>JX133+KH133</f>
        <v>3.8167580562659849E-2</v>
      </c>
      <c r="JP133" s="469">
        <f>JK133*C134</f>
        <v>1.0215408701208708</v>
      </c>
      <c r="JQ133" s="115">
        <f>JR133*$NY134/10^3</f>
        <v>0.75472343355442506</v>
      </c>
      <c r="JR133" s="73">
        <f>JT133+JV133+JY133</f>
        <v>20.288264342860884</v>
      </c>
      <c r="JS133" s="115">
        <f>JB79</f>
        <v>0.71445133325567012</v>
      </c>
      <c r="JT133" s="213">
        <f>10^3*JS133/$NY134</f>
        <v>19.205681001496504</v>
      </c>
      <c r="JU133" s="115">
        <f>JC79</f>
        <v>2.0704519736095117E-2</v>
      </c>
      <c r="JV133" s="213">
        <f>10^3*JU133/$NY134</f>
        <v>0.55657311118535246</v>
      </c>
      <c r="JX133" s="115">
        <f>JD79</f>
        <v>1.9567580562659847E-2</v>
      </c>
      <c r="JY133" s="213">
        <f>10^3*JX133/$NY134</f>
        <v>0.52601023017902804</v>
      </c>
      <c r="JZ133" s="115">
        <f>KB133+KF133+KH133</f>
        <v>0.26784000000000002</v>
      </c>
      <c r="KA133" s="115">
        <f>KC133+KG133+KI133</f>
        <v>7.2</v>
      </c>
      <c r="KB133" s="127">
        <f>KC133*$NY134/10^3</f>
        <v>0.24924000000000004</v>
      </c>
      <c r="KC133" s="84">
        <v>6.7</v>
      </c>
      <c r="KD133" s="725">
        <v>0.15</v>
      </c>
      <c r="KE133" s="474">
        <f>KC133/KD133</f>
        <v>44.666666666666671</v>
      </c>
      <c r="KF133" s="127">
        <f>KG133*$NY134/10^3</f>
        <v>0</v>
      </c>
      <c r="KG133" s="84">
        <v>0</v>
      </c>
      <c r="KH133" s="127">
        <f>KI133*$NY134/10^3</f>
        <v>1.8600000000000002E-2</v>
      </c>
      <c r="KI133" s="84">
        <v>0.5</v>
      </c>
      <c r="KJ133" s="74"/>
      <c r="KK133" s="74"/>
      <c r="KL133" s="74"/>
      <c r="KM133" s="74"/>
      <c r="KN133" s="74"/>
      <c r="KO133" s="74"/>
      <c r="KP133" s="74"/>
      <c r="KQ133" s="74"/>
      <c r="KR133" s="74"/>
      <c r="KS133" s="74"/>
    </row>
    <row r="134" spans="1:494" x14ac:dyDescent="0.25">
      <c r="A134" s="37" t="s">
        <v>519</v>
      </c>
      <c r="C134" s="52">
        <f>D134</f>
        <v>0.999</v>
      </c>
      <c r="D134" s="134">
        <v>0.999</v>
      </c>
      <c r="E134" s="83"/>
      <c r="F134" s="83"/>
      <c r="G134" s="460">
        <f>H134*'Crops; pasture AMORTIZED'!HB38</f>
        <v>6.7636295999999989</v>
      </c>
      <c r="H134" s="458">
        <f>K134*NZ134*AB26/10^4</f>
        <v>7.4325599999999987</v>
      </c>
      <c r="I134" s="459"/>
      <c r="J134" s="83"/>
      <c r="K134" s="679">
        <f>10^4*$C79*($C134/$NU134)/AB26</f>
        <v>488.764698740668</v>
      </c>
      <c r="L134" s="73">
        <f>10^4*$C79*($C134/$NU134)/AC26</f>
        <v>486.20993258426961</v>
      </c>
      <c r="M134" s="73">
        <f>10^4*$C79*($C134/$NU134)/AD26</f>
        <v>539.32530337078651</v>
      </c>
      <c r="W134" s="74"/>
      <c r="AE134" s="734">
        <f>AE79*$AN134/$D134</f>
        <v>7.7020210346385252</v>
      </c>
      <c r="AF134" s="74"/>
      <c r="AG134" s="115">
        <f>AG79*$AN134/$D134</f>
        <v>7.7424909250222491</v>
      </c>
      <c r="AI134" s="115">
        <f>AI79*$AN134/$D134</f>
        <v>6.9799728793761187</v>
      </c>
      <c r="AN134" s="39">
        <v>1</v>
      </c>
      <c r="BV134" s="26">
        <f>BW134*$NT134</f>
        <v>3.240492786331937</v>
      </c>
      <c r="BW134" s="26">
        <f>BZ134*$NW134/10^3</f>
        <v>3.240492786331937</v>
      </c>
      <c r="BZ134" s="73">
        <f>BZ79*$AN134/$D134</f>
        <v>81.012319658298424</v>
      </c>
      <c r="CA134" s="677">
        <f>10^3*BW134/$NY134</f>
        <v>87.1100211379553</v>
      </c>
      <c r="CB134" s="115">
        <f>BW134*$NT134*$NU134</f>
        <v>2.884038579835424</v>
      </c>
      <c r="CC134" s="73"/>
      <c r="CD134" s="115"/>
      <c r="CE134" s="115"/>
      <c r="CF134" s="115"/>
      <c r="CG134" s="115"/>
      <c r="CH134" s="115"/>
      <c r="CI134" s="115"/>
      <c r="CJ134" s="26">
        <f>CK134*$NT134</f>
        <v>3.2853081052490745</v>
      </c>
      <c r="CK134" s="26">
        <f>CN134*$NW134/10^3</f>
        <v>3.2853081052490745</v>
      </c>
      <c r="CN134" s="73">
        <f>CN79*$AN134/$D134</f>
        <v>82.132702631226863</v>
      </c>
      <c r="CO134" s="677">
        <f>10^3*CK134/$NY134</f>
        <v>88.314734012071881</v>
      </c>
      <c r="CP134" s="115">
        <f>CK134*$NT134*$NU134</f>
        <v>2.9239242136716763</v>
      </c>
      <c r="CQ134" s="73"/>
      <c r="CW134" s="115"/>
      <c r="CX134" s="26">
        <f>CY134*$NT134</f>
        <v>2.4409558581468729</v>
      </c>
      <c r="CY134" s="26">
        <f>DB134*$NW134/10^3</f>
        <v>2.4409558581468729</v>
      </c>
      <c r="CZ134" s="37"/>
      <c r="DA134" s="37"/>
      <c r="DB134" s="73">
        <f>DB79*$AN134/$D134</f>
        <v>61.023896453671817</v>
      </c>
      <c r="DC134" s="677">
        <f>10^3*CY134/$NY134</f>
        <v>65.617092960937441</v>
      </c>
      <c r="DD134" s="115">
        <f>CY134*$NT134*$NU134</f>
        <v>2.1724507137507167</v>
      </c>
      <c r="DE134" s="73"/>
      <c r="DF134" s="115"/>
      <c r="DG134" s="115"/>
      <c r="DH134" s="115"/>
      <c r="DI134" s="115"/>
      <c r="DJ134" s="115"/>
      <c r="DK134" s="115"/>
      <c r="DL134" s="26">
        <f>DM134*$NT134</f>
        <v>2.7291729018091151</v>
      </c>
      <c r="DM134" s="115">
        <f>DP134*$NW134/10^3</f>
        <v>2.7291729018091151</v>
      </c>
      <c r="DN134" s="37"/>
      <c r="DO134" s="37"/>
      <c r="DP134" s="73">
        <f>DP79*$AN134/$D134</f>
        <v>68.229322545227873</v>
      </c>
      <c r="DQ134" s="677">
        <f>10^3*DM134/$NY134</f>
        <v>73.36486295185793</v>
      </c>
      <c r="DR134" s="115">
        <f>DM134*$NT134*$NU134</f>
        <v>2.4289638826101125</v>
      </c>
      <c r="DS134" s="73"/>
      <c r="DT134" s="37"/>
      <c r="DU134" s="37"/>
      <c r="DV134" s="37"/>
      <c r="DW134" s="37"/>
      <c r="DX134" s="37"/>
      <c r="DY134" s="115"/>
      <c r="DZ134" s="26">
        <f>EA134*$NT134</f>
        <v>2.7581690142122599</v>
      </c>
      <c r="EA134" s="115">
        <f>ED134*$NW134/10^3</f>
        <v>2.7581690142122599</v>
      </c>
      <c r="ED134" s="73">
        <f>ED79*$AN134/$D134</f>
        <v>68.954225355306491</v>
      </c>
      <c r="EE134" s="677">
        <f>10^3*EA134/$NY134</f>
        <v>74.144328339039234</v>
      </c>
      <c r="EF134" s="115">
        <f>EA134*$NT134*$NU134</f>
        <v>2.4547704226489113</v>
      </c>
      <c r="EG134" s="73"/>
      <c r="EM134" s="115"/>
      <c r="EN134" s="26">
        <f>EO134*$NT134</f>
        <v>2.2118354622470822</v>
      </c>
      <c r="EO134" s="115">
        <f>ER134*$NW134/10^3</f>
        <v>2.2118354622470822</v>
      </c>
      <c r="EP134" s="37"/>
      <c r="EQ134" s="37"/>
      <c r="ER134" s="73">
        <f>ER79*$AN134/$D134</f>
        <v>55.295886556177052</v>
      </c>
      <c r="ES134" s="677">
        <f>10^3*EO134/$NY134</f>
        <v>59.457942533523706</v>
      </c>
      <c r="ET134" s="115">
        <f>EO134*$NT134*$NU134</f>
        <v>1.9685335613999031</v>
      </c>
      <c r="EU134" s="73"/>
      <c r="EV134" s="37"/>
      <c r="EW134" s="37"/>
      <c r="EX134" s="37"/>
      <c r="EY134" s="37"/>
      <c r="EZ134" s="37"/>
      <c r="FA134" s="115"/>
      <c r="FE134" s="26">
        <f>FF134*$NT134</f>
        <v>5.4348942641827049</v>
      </c>
      <c r="FF134" s="26">
        <f>FI134*$NW134/10^3</f>
        <v>5.4348942641827049</v>
      </c>
      <c r="FH134" s="74"/>
      <c r="FI134" s="562">
        <f>FI79*$AN134/$D134</f>
        <v>135.87235660456764</v>
      </c>
      <c r="FJ134" s="73">
        <f>10^3*FE134/$NY134</f>
        <v>146.09930817695442</v>
      </c>
      <c r="FK134" s="115">
        <f>FF134*$NT134*$NU134</f>
        <v>4.8370558951226075</v>
      </c>
      <c r="FL134" s="26"/>
      <c r="FQ134" s="73"/>
      <c r="FR134" s="115"/>
      <c r="FS134" s="26">
        <f>FT134*$NT134</f>
        <v>5.4926373279801606</v>
      </c>
      <c r="FT134" s="26">
        <f>FW134*$NW134/10^3</f>
        <v>5.4926373279801606</v>
      </c>
      <c r="FW134" s="562">
        <f>FW79*$AN134/$D134</f>
        <v>137.31593319950403</v>
      </c>
      <c r="FX134" s="73">
        <f>10^3*FS134/$NY134</f>
        <v>147.65154107473549</v>
      </c>
      <c r="FY134" s="115">
        <f>FT134*$NT134*$NU134</f>
        <v>4.8884472219023429</v>
      </c>
      <c r="FZ134" s="26"/>
      <c r="GE134" s="73"/>
      <c r="GF134" s="115"/>
      <c r="GG134" s="26">
        <f>GH134*$NT134</f>
        <v>4.4046648195554123</v>
      </c>
      <c r="GH134" s="26">
        <f>GK134*$NW134/10^3</f>
        <v>4.4046648195554123</v>
      </c>
      <c r="GJ134" s="74"/>
      <c r="GK134" s="562">
        <f>GK79*$AN134/$D134</f>
        <v>110.11662048888532</v>
      </c>
      <c r="GL134" s="73">
        <f>10^3*GG134/$NY134</f>
        <v>118.40496826761861</v>
      </c>
      <c r="GM134" s="115">
        <f>GH134*$NT134*$NU134</f>
        <v>3.9201516894043169</v>
      </c>
      <c r="GN134" s="26"/>
      <c r="GS134" s="73"/>
      <c r="GT134" s="115"/>
      <c r="GU134" s="115"/>
      <c r="GV134" s="115"/>
      <c r="GW134" s="115"/>
      <c r="GX134" s="68">
        <f>GZ134*$W134</f>
        <v>0</v>
      </c>
      <c r="GY134" s="26">
        <f>GZ134*$NT134</f>
        <v>0.31116376086389708</v>
      </c>
      <c r="GZ134" s="26">
        <f>HC134*$NW134/10^3</f>
        <v>0.31116376086389708</v>
      </c>
      <c r="HA134" s="474"/>
      <c r="HB134" s="74"/>
      <c r="HC134" s="673">
        <f>HC79*$AN134/$D134</f>
        <v>7.7790940215974267</v>
      </c>
      <c r="HD134" s="73">
        <f>10^3*GZ134/$NY134</f>
        <v>8.3646172275241142</v>
      </c>
      <c r="HE134" s="115">
        <f>GZ134*$NT134*$NU134</f>
        <v>0.27693574716886843</v>
      </c>
      <c r="HF134" s="115"/>
      <c r="HG134" s="115"/>
      <c r="HH134" s="115"/>
      <c r="HI134" s="115"/>
      <c r="HJ134" s="115"/>
      <c r="HK134" s="115"/>
      <c r="HL134" s="115"/>
      <c r="HM134" s="115">
        <f>HN134*$NT134</f>
        <v>0.30840051340814295</v>
      </c>
      <c r="HN134" s="115">
        <f>HQ134*$NW134/10^3</f>
        <v>0.30840051340814295</v>
      </c>
      <c r="HO134" s="474"/>
      <c r="HQ134" s="73">
        <f>HQ79*$AN134/$D134</f>
        <v>7.7100128352035737</v>
      </c>
      <c r="HR134" s="73">
        <f>10^3*HN134/$NY134</f>
        <v>8.2903363819393263</v>
      </c>
      <c r="HS134" s="115">
        <f>HN134*$NT134*$NU134</f>
        <v>0.27447645693324724</v>
      </c>
      <c r="HT134" s="115"/>
      <c r="HU134" s="115"/>
      <c r="HV134" s="115"/>
      <c r="HW134" s="115"/>
      <c r="HX134" s="115"/>
      <c r="HY134" s="115"/>
      <c r="HZ134" s="115"/>
      <c r="IA134" s="115">
        <f>IB134*$NT134</f>
        <v>0.36046455483795636</v>
      </c>
      <c r="IB134" s="115">
        <f>IE134*$NW134/10^3</f>
        <v>0.36046455483795636</v>
      </c>
      <c r="IC134" s="474"/>
      <c r="IE134" s="73">
        <f>IE79*$AN134/$D134</f>
        <v>9.01161387094891</v>
      </c>
      <c r="IF134" s="73">
        <f>10^3*IB134/$NY134</f>
        <v>9.6899073881171063</v>
      </c>
      <c r="IG134" s="115">
        <f>IB134*$NT134*$NU134</f>
        <v>0.32081345380578119</v>
      </c>
      <c r="IH134" s="115"/>
      <c r="II134" s="115"/>
      <c r="IJ134" s="115"/>
      <c r="IK134" s="115"/>
      <c r="IL134" s="115"/>
      <c r="IM134" s="115"/>
      <c r="IN134" s="115"/>
      <c r="IV134" s="26">
        <f>IW134*$NT134</f>
        <v>1.0225634335544251</v>
      </c>
      <c r="IW134" s="115">
        <f>AN134*JK133</f>
        <v>1.0225634335544251</v>
      </c>
      <c r="IX134" s="73"/>
      <c r="IZ134" s="673">
        <f>AN134*JL133</f>
        <v>27.488264342860891</v>
      </c>
      <c r="JA134" s="115">
        <f>IW134*$NT134*$NU134</f>
        <v>0.91008145586343836</v>
      </c>
      <c r="JB134" s="115">
        <f>$IW134*JM133/$JK133</f>
        <v>0.96369133325567014</v>
      </c>
      <c r="JC134" s="115">
        <f>$IW134*JN133/$JK133</f>
        <v>2.0704519736095117E-2</v>
      </c>
      <c r="JD134" s="115">
        <f>$IW134*JO133/$JK133</f>
        <v>3.8167580562659849E-2</v>
      </c>
      <c r="JE134" s="115"/>
      <c r="JF134" s="73"/>
      <c r="JG134" s="73"/>
      <c r="JH134" s="73"/>
      <c r="JI134" s="73"/>
      <c r="JJ134" s="73"/>
      <c r="JQ134" s="115"/>
      <c r="JR134" s="73"/>
      <c r="JS134" s="115"/>
      <c r="JT134" s="115"/>
      <c r="JU134" s="115"/>
      <c r="KA134" s="115"/>
      <c r="KB134" s="115"/>
      <c r="KC134" s="66"/>
      <c r="KD134" s="725"/>
      <c r="KE134" s="474"/>
      <c r="KF134" s="474"/>
      <c r="KG134" s="474"/>
      <c r="KJ134" s="115">
        <f>BW134*44/12+$IW134+$GZ134</f>
        <v>13.215534077635423</v>
      </c>
      <c r="KK134" s="677">
        <f>10^3*KJ134/$NY134</f>
        <v>355.25629240955436</v>
      </c>
      <c r="KL134" s="74"/>
      <c r="KM134" s="74"/>
      <c r="KN134" s="115">
        <f>KJ134*$NT134*$NU134</f>
        <v>11.761825329095528</v>
      </c>
      <c r="KO134" s="74"/>
      <c r="KP134" s="74"/>
      <c r="KQ134" s="74"/>
      <c r="KR134" s="74"/>
      <c r="KS134" s="115"/>
      <c r="KT134" s="115">
        <f>CK134*44/12+$IW134+$HN134</f>
        <v>13.377093666209175</v>
      </c>
      <c r="KU134" s="677">
        <f>10^3*KT134/$NY134</f>
        <v>359.59929210239716</v>
      </c>
      <c r="KX134" s="115">
        <f>KT134*$NT134*$NU134</f>
        <v>11.905613362926166</v>
      </c>
      <c r="LC134" s="115"/>
      <c r="LD134" s="115">
        <f>CY134*44/12+$IW134+$IB134</f>
        <v>10.333199468264251</v>
      </c>
      <c r="LE134" s="677">
        <f>10^3*LD134/$NY134</f>
        <v>277.77417925441534</v>
      </c>
      <c r="LH134" s="115">
        <f>LD134*$NT134*$NU134</f>
        <v>9.1965475267551842</v>
      </c>
      <c r="LM134" s="115"/>
      <c r="LN134" s="115">
        <f>DM134*44/12+$IW134+$GZ134</f>
        <v>11.340694501051745</v>
      </c>
      <c r="LO134" s="677">
        <f>10^3*LN134/$NY134</f>
        <v>304.85737906053077</v>
      </c>
      <c r="LR134" s="115">
        <f>LN134*$NT134*$NU134</f>
        <v>10.093218105936053</v>
      </c>
      <c r="LW134" s="115"/>
      <c r="LX134" s="115">
        <f>EA134*44/12+$IW134+$HN134</f>
        <v>11.444250332407522</v>
      </c>
      <c r="LY134" s="677">
        <f>10^3*LX134/$NY134</f>
        <v>307.64113796794413</v>
      </c>
      <c r="MB134" s="115">
        <f>LX134*$NT134*$NU134</f>
        <v>10.185382795842695</v>
      </c>
      <c r="MG134" s="115"/>
      <c r="MH134" s="115">
        <f>EO134*44/12+$IW134+$IB134</f>
        <v>9.4930913499650167</v>
      </c>
      <c r="MI134" s="677">
        <f>10^3*MH134/$NY134</f>
        <v>255.1906276872316</v>
      </c>
      <c r="ML134" s="115">
        <f>MH134*$NT134*$NU134</f>
        <v>8.4488513014688653</v>
      </c>
      <c r="MQ134" s="115"/>
      <c r="MR134" s="295">
        <v>88</v>
      </c>
      <c r="MS134" s="676">
        <f>KK134-$MR134</f>
        <v>267.25629240955436</v>
      </c>
      <c r="MT134" s="115">
        <f>MS134*$NZ134/10^3</f>
        <v>8.8483213290955263</v>
      </c>
      <c r="MU134" s="115"/>
      <c r="MV134" s="115"/>
      <c r="MW134" s="676">
        <f>KU134-$MR134</f>
        <v>271.59929210239716</v>
      </c>
      <c r="MX134" s="115">
        <f>MW134*$NZ134/10^3</f>
        <v>8.9921093629261666</v>
      </c>
      <c r="MY134" s="115"/>
      <c r="MZ134" s="115"/>
      <c r="NA134" s="676">
        <f>LE134-$MR134</f>
        <v>189.77417925441534</v>
      </c>
      <c r="NB134" s="115">
        <f>NA134*$NZ134/10^3</f>
        <v>6.2830435267551836</v>
      </c>
      <c r="NC134" s="115"/>
      <c r="ND134" s="115"/>
      <c r="NE134" s="676">
        <f>LO134-$MR134</f>
        <v>216.85737906053077</v>
      </c>
      <c r="NF134" s="115">
        <f>NE134*$NZ134/10^3</f>
        <v>7.1797141059360534</v>
      </c>
      <c r="NG134" s="115"/>
      <c r="NH134" s="115"/>
      <c r="NI134" s="676">
        <f>LY134-$MR134</f>
        <v>219.64113796794413</v>
      </c>
      <c r="NJ134" s="115">
        <f>NI134*$NZ134/10^3</f>
        <v>7.2718787958426958</v>
      </c>
      <c r="NK134" s="115"/>
      <c r="NL134" s="115"/>
      <c r="NM134" s="676">
        <f>MI134-$MR134</f>
        <v>167.1906276872316</v>
      </c>
      <c r="NN134" s="115">
        <f>NM134*$NZ134/10^3</f>
        <v>5.5353473014688639</v>
      </c>
      <c r="NO134" s="115"/>
      <c r="NP134" s="115"/>
      <c r="NQ134" s="73">
        <f>44/12*CA134*'Amortization metrics'!$D$4/($MR134-$IZ134)</f>
        <v>158.35114000807204</v>
      </c>
      <c r="NR134" s="73">
        <f>44/12*CO134*'Amortization metrics'!$D$4/($MR134-$IZ134)</f>
        <v>160.54110224785438</v>
      </c>
      <c r="NS134" s="73">
        <f>44/12*DC134*'Amortization metrics'!$D$4/($MR134-$IZ134)</f>
        <v>119.28066758157118</v>
      </c>
      <c r="NT134" s="31">
        <v>1</v>
      </c>
      <c r="NU134" s="103">
        <v>0.89</v>
      </c>
      <c r="NV134" s="32">
        <f>$NT134*NW134</f>
        <v>40</v>
      </c>
      <c r="NW134" s="9">
        <v>40</v>
      </c>
      <c r="NX134" s="26">
        <f>NV134*NU134</f>
        <v>35.6</v>
      </c>
      <c r="NY134" s="9">
        <v>37.200000000000003</v>
      </c>
      <c r="NZ134" s="26">
        <f>NY134*NT134*NU134</f>
        <v>33.108000000000004</v>
      </c>
    </row>
    <row r="135" spans="1:494" s="74" customFormat="1" x14ac:dyDescent="0.25">
      <c r="A135" s="74" t="s">
        <v>293</v>
      </c>
      <c r="D135" s="134">
        <v>0</v>
      </c>
      <c r="E135" s="83"/>
      <c r="F135" s="83"/>
      <c r="G135" s="83"/>
      <c r="H135" s="83"/>
      <c r="I135" s="83"/>
      <c r="J135" s="83"/>
      <c r="K135" s="83"/>
      <c r="L135" s="83"/>
      <c r="M135" s="83"/>
      <c r="AN135" s="69">
        <f>1-AN134</f>
        <v>0</v>
      </c>
      <c r="BW135" s="115"/>
      <c r="BZ135" s="73"/>
      <c r="CA135" s="73"/>
      <c r="CB135" s="73"/>
      <c r="CC135" s="73"/>
      <c r="CD135" s="115"/>
      <c r="CE135" s="115"/>
      <c r="CF135" s="115"/>
      <c r="CG135" s="115"/>
      <c r="CH135" s="115"/>
      <c r="CI135" s="73"/>
      <c r="CK135" s="115"/>
      <c r="CN135" s="73"/>
      <c r="CO135" s="73"/>
      <c r="CP135" s="73"/>
      <c r="CQ135" s="73"/>
      <c r="CR135" s="115"/>
      <c r="CS135" s="115"/>
      <c r="CT135" s="115"/>
      <c r="CU135" s="115"/>
      <c r="CV135" s="115"/>
      <c r="CW135" s="73"/>
      <c r="CY135" s="115"/>
      <c r="DB135" s="73"/>
      <c r="DC135" s="73"/>
      <c r="DD135" s="73"/>
      <c r="DE135" s="73"/>
      <c r="DF135" s="115"/>
      <c r="DG135" s="115"/>
      <c r="DH135" s="115"/>
      <c r="DI135" s="115"/>
      <c r="DJ135" s="115"/>
      <c r="DK135" s="73"/>
      <c r="DM135" s="115"/>
      <c r="DP135" s="73"/>
      <c r="DQ135" s="73"/>
      <c r="DR135" s="73"/>
      <c r="DS135" s="73"/>
      <c r="DY135" s="73"/>
      <c r="EA135" s="115"/>
      <c r="ED135" s="73"/>
      <c r="EE135" s="73"/>
      <c r="EF135" s="73"/>
      <c r="EG135" s="73"/>
      <c r="EM135" s="73"/>
      <c r="EO135" s="115"/>
      <c r="ER135" s="73"/>
      <c r="ES135" s="73"/>
      <c r="ET135" s="73"/>
      <c r="EU135" s="73"/>
      <c r="FA135" s="73"/>
      <c r="FF135" s="115"/>
      <c r="FI135" s="73"/>
      <c r="FJ135" s="73"/>
      <c r="FK135" s="73"/>
      <c r="FQ135" s="73"/>
      <c r="FR135" s="73"/>
      <c r="FT135" s="115"/>
      <c r="FW135" s="73"/>
      <c r="FX135" s="73"/>
      <c r="FY135" s="73"/>
      <c r="GE135" s="73"/>
      <c r="GF135" s="73"/>
      <c r="GH135" s="115"/>
      <c r="GK135" s="73"/>
      <c r="GL135" s="73"/>
      <c r="GM135" s="73"/>
      <c r="GS135" s="73"/>
      <c r="GT135" s="73"/>
      <c r="GU135" s="73"/>
      <c r="GV135" s="73"/>
      <c r="GW135" s="73"/>
      <c r="GX135" s="68">
        <f>GZ135*$W135</f>
        <v>0</v>
      </c>
      <c r="GY135" s="133"/>
      <c r="GZ135" s="133"/>
      <c r="HA135" s="133"/>
      <c r="HC135" s="133"/>
      <c r="HE135" s="73"/>
      <c r="HF135" s="73"/>
      <c r="HG135" s="73"/>
      <c r="HH135" s="73"/>
      <c r="HI135" s="73"/>
      <c r="HJ135" s="73"/>
      <c r="HK135" s="73"/>
      <c r="HL135" s="73"/>
      <c r="HM135" s="133"/>
      <c r="HN135" s="133"/>
      <c r="HO135" s="133"/>
      <c r="HQ135" s="133"/>
      <c r="HS135" s="73"/>
      <c r="HT135" s="73"/>
      <c r="HU135" s="73"/>
      <c r="HV135" s="73"/>
      <c r="HW135" s="73"/>
      <c r="HX135" s="73"/>
      <c r="HY135" s="73"/>
      <c r="HZ135" s="73"/>
      <c r="IA135" s="133"/>
      <c r="IB135" s="133"/>
      <c r="IC135" s="133"/>
      <c r="IE135" s="133"/>
      <c r="IG135" s="73"/>
      <c r="IH135" s="73"/>
      <c r="II135" s="73"/>
      <c r="IJ135" s="73"/>
      <c r="IK135" s="73"/>
      <c r="IL135" s="73"/>
      <c r="IM135" s="73"/>
      <c r="IN135" s="73"/>
      <c r="IO135" s="115"/>
      <c r="IP135" s="115"/>
      <c r="IQ135" s="115"/>
      <c r="IR135" s="115"/>
      <c r="IS135" s="115"/>
      <c r="IT135" s="115"/>
      <c r="IU135" s="115"/>
      <c r="JM135" s="133"/>
      <c r="JN135" s="133"/>
      <c r="JO135" s="133"/>
      <c r="JP135" s="133"/>
      <c r="JQ135" s="115"/>
      <c r="JS135" s="115"/>
      <c r="JT135" s="115"/>
      <c r="JU135" s="115"/>
      <c r="KA135" s="115"/>
      <c r="KD135" s="133"/>
      <c r="KE135" s="133"/>
      <c r="KF135" s="133"/>
      <c r="KG135" s="133"/>
      <c r="KH135" s="133"/>
      <c r="KI135" s="133"/>
      <c r="KK135" s="73"/>
      <c r="KN135" s="73"/>
      <c r="KS135" s="73"/>
      <c r="KU135" s="73"/>
      <c r="KX135" s="73"/>
      <c r="LC135" s="73"/>
      <c r="LE135" s="73"/>
      <c r="LH135" s="73"/>
      <c r="LM135" s="73"/>
      <c r="LO135" s="73"/>
      <c r="LR135" s="73"/>
      <c r="LW135" s="73"/>
      <c r="LY135" s="73"/>
      <c r="MB135" s="73"/>
      <c r="MG135" s="73"/>
      <c r="MI135" s="73"/>
      <c r="ML135" s="73"/>
      <c r="MQ135" s="73"/>
      <c r="MS135" s="73"/>
      <c r="MT135" s="73"/>
      <c r="MU135" s="73"/>
      <c r="MV135" s="73"/>
      <c r="MW135" s="73"/>
      <c r="MX135" s="73"/>
      <c r="MY135" s="73"/>
      <c r="MZ135" s="73"/>
      <c r="NA135" s="73"/>
      <c r="NB135" s="73"/>
      <c r="NC135" s="73"/>
      <c r="ND135" s="73"/>
      <c r="NE135" s="73"/>
      <c r="NF135" s="73"/>
      <c r="NG135" s="73"/>
      <c r="NH135" s="73"/>
      <c r="NI135" s="73"/>
      <c r="NJ135" s="73"/>
      <c r="NK135" s="73"/>
      <c r="NL135" s="73"/>
      <c r="NM135" s="73"/>
      <c r="NN135" s="73"/>
      <c r="NO135" s="73"/>
      <c r="NP135" s="73"/>
      <c r="NW135" s="66"/>
      <c r="NY135" s="66"/>
      <c r="NZ135" s="66"/>
      <c r="RK135" s="133"/>
      <c r="RL135" s="133"/>
      <c r="RU135" s="179"/>
      <c r="RV135" s="179"/>
      <c r="RW135" s="179"/>
      <c r="RX135" s="179"/>
      <c r="RY135" s="179"/>
      <c r="RZ135" s="179"/>
    </row>
    <row r="136" spans="1:494" s="133" customFormat="1" x14ac:dyDescent="0.25">
      <c r="A136" s="133" t="s">
        <v>836</v>
      </c>
      <c r="D136" s="465"/>
      <c r="E136" s="461"/>
      <c r="F136" s="461"/>
      <c r="G136" s="461"/>
      <c r="H136" s="461"/>
      <c r="I136" s="469">
        <f>J136*NZ134</f>
        <v>3.8734386560473522</v>
      </c>
      <c r="J136" s="462">
        <f>(C80/C79/C134)/NT80/NY134</f>
        <v>0.11699403938768127</v>
      </c>
      <c r="K136" s="461"/>
      <c r="L136" s="461"/>
      <c r="M136" s="461"/>
      <c r="AN136" s="57"/>
      <c r="BW136" s="179"/>
      <c r="BZ136" s="474"/>
      <c r="CA136" s="474"/>
      <c r="CB136" s="474"/>
      <c r="CC136" s="474"/>
      <c r="CD136" s="179"/>
      <c r="CE136" s="179"/>
      <c r="CF136" s="179"/>
      <c r="CG136" s="179"/>
      <c r="CH136" s="179"/>
      <c r="CI136" s="474"/>
      <c r="CK136" s="179"/>
      <c r="CN136" s="474"/>
      <c r="CO136" s="474"/>
      <c r="CP136" s="474"/>
      <c r="CQ136" s="474"/>
      <c r="CR136" s="179"/>
      <c r="CS136" s="179"/>
      <c r="CT136" s="179"/>
      <c r="CU136" s="179"/>
      <c r="CV136" s="179"/>
      <c r="CW136" s="474"/>
      <c r="CY136" s="179"/>
      <c r="DB136" s="474"/>
      <c r="DC136" s="474"/>
      <c r="DD136" s="474"/>
      <c r="DE136" s="474"/>
      <c r="DF136" s="179"/>
      <c r="DG136" s="179"/>
      <c r="DH136" s="179"/>
      <c r="DI136" s="179"/>
      <c r="DJ136" s="179"/>
      <c r="DK136" s="474"/>
      <c r="DM136" s="179"/>
      <c r="DP136" s="474"/>
      <c r="DQ136" s="474"/>
      <c r="DR136" s="474"/>
      <c r="DS136" s="474"/>
      <c r="DY136" s="474"/>
      <c r="EA136" s="179"/>
      <c r="ED136" s="474"/>
      <c r="EE136" s="474"/>
      <c r="EF136" s="474"/>
      <c r="EG136" s="474"/>
      <c r="EM136" s="474"/>
      <c r="EO136" s="179"/>
      <c r="ER136" s="474"/>
      <c r="ES136" s="474"/>
      <c r="ET136" s="474"/>
      <c r="EU136" s="474"/>
      <c r="FA136" s="474"/>
      <c r="FF136" s="179"/>
      <c r="FI136" s="474"/>
      <c r="FJ136" s="474"/>
      <c r="FK136" s="474"/>
      <c r="FQ136" s="474"/>
      <c r="FR136" s="474"/>
      <c r="FT136" s="179"/>
      <c r="FW136" s="474"/>
      <c r="FX136" s="474"/>
      <c r="FY136" s="474"/>
      <c r="GE136" s="474"/>
      <c r="GF136" s="474"/>
      <c r="GH136" s="179"/>
      <c r="GK136" s="474"/>
      <c r="GL136" s="474"/>
      <c r="GM136" s="474"/>
      <c r="GS136" s="474"/>
      <c r="GT136" s="474"/>
      <c r="GU136" s="474"/>
      <c r="GV136" s="474"/>
      <c r="GW136" s="474"/>
      <c r="GX136" s="474"/>
      <c r="HE136" s="474"/>
      <c r="HF136" s="474"/>
      <c r="HG136" s="474"/>
      <c r="HH136" s="474"/>
      <c r="HI136" s="474"/>
      <c r="HJ136" s="474"/>
      <c r="HK136" s="474"/>
      <c r="HL136" s="474"/>
      <c r="HS136" s="474"/>
      <c r="HT136" s="474"/>
      <c r="HU136" s="474"/>
      <c r="HV136" s="474"/>
      <c r="HW136" s="474"/>
      <c r="HX136" s="474"/>
      <c r="HY136" s="474"/>
      <c r="HZ136" s="474"/>
      <c r="IG136" s="474"/>
      <c r="IH136" s="474"/>
      <c r="II136" s="474"/>
      <c r="IJ136" s="474"/>
      <c r="IK136" s="474"/>
      <c r="IL136" s="474"/>
      <c r="IM136" s="474"/>
      <c r="IN136" s="474"/>
      <c r="IO136" s="115"/>
      <c r="IP136" s="115"/>
      <c r="IQ136" s="115"/>
      <c r="IR136" s="115"/>
      <c r="IS136" s="115"/>
      <c r="IT136" s="115"/>
      <c r="IU136" s="115"/>
      <c r="JQ136" s="179"/>
      <c r="JS136" s="179"/>
      <c r="JT136" s="179"/>
      <c r="JU136" s="179"/>
      <c r="KA136" s="179"/>
      <c r="KK136" s="474"/>
      <c r="KN136" s="474"/>
      <c r="KS136" s="474"/>
      <c r="KU136" s="474"/>
      <c r="KX136" s="474"/>
      <c r="LC136" s="474"/>
      <c r="LE136" s="474"/>
      <c r="LH136" s="474"/>
      <c r="LM136" s="474"/>
      <c r="LO136" s="474"/>
      <c r="LR136" s="474"/>
      <c r="LW136" s="474"/>
      <c r="LY136" s="474"/>
      <c r="MB136" s="474"/>
      <c r="MG136" s="474"/>
      <c r="MI136" s="474"/>
      <c r="ML136" s="474"/>
      <c r="MQ136" s="474"/>
      <c r="MS136" s="474"/>
      <c r="MT136" s="474"/>
      <c r="MU136" s="474"/>
      <c r="MV136" s="474"/>
      <c r="MW136" s="474"/>
      <c r="MX136" s="474"/>
      <c r="MY136" s="474"/>
      <c r="MZ136" s="474"/>
      <c r="NA136" s="474"/>
      <c r="NB136" s="474"/>
      <c r="NC136" s="474"/>
      <c r="ND136" s="474"/>
      <c r="NE136" s="474"/>
      <c r="NF136" s="474"/>
      <c r="NG136" s="474"/>
      <c r="NH136" s="474"/>
      <c r="NI136" s="474"/>
      <c r="NJ136" s="474"/>
      <c r="NK136" s="474"/>
      <c r="NL136" s="474"/>
      <c r="NM136" s="474"/>
      <c r="NN136" s="474"/>
      <c r="NO136" s="474"/>
      <c r="NP136" s="474"/>
      <c r="NW136" s="466"/>
      <c r="NY136" s="466"/>
      <c r="NZ136" s="466"/>
      <c r="RU136" s="179"/>
      <c r="RV136" s="179"/>
      <c r="RW136" s="179"/>
      <c r="RX136" s="179"/>
      <c r="RY136" s="179"/>
      <c r="RZ136" s="179"/>
    </row>
    <row r="137" spans="1:494" x14ac:dyDescent="0.25">
      <c r="A137" s="74"/>
      <c r="W137" s="74"/>
      <c r="AF137" s="74"/>
      <c r="AG137" s="74"/>
      <c r="BW137" s="26"/>
      <c r="BZ137" s="73"/>
      <c r="CA137" s="73"/>
      <c r="CB137" s="73"/>
      <c r="CC137" s="73"/>
      <c r="CD137" s="115"/>
      <c r="CE137" s="115"/>
      <c r="CF137" s="115"/>
      <c r="CG137" s="115"/>
      <c r="CH137" s="115"/>
      <c r="CI137" s="73"/>
      <c r="CK137" s="26"/>
      <c r="CN137" s="73"/>
      <c r="CO137" s="73"/>
      <c r="CP137" s="73"/>
      <c r="CQ137" s="73"/>
      <c r="CW137" s="73"/>
      <c r="CX137" s="37"/>
      <c r="CY137" s="26"/>
      <c r="CZ137" s="37"/>
      <c r="DA137" s="37"/>
      <c r="DB137" s="73"/>
      <c r="DC137" s="73"/>
      <c r="DD137" s="73"/>
      <c r="DE137" s="73"/>
      <c r="DF137" s="115"/>
      <c r="DG137" s="115"/>
      <c r="DH137" s="115"/>
      <c r="DI137" s="115"/>
      <c r="DJ137" s="115"/>
      <c r="DK137" s="73"/>
      <c r="DL137" s="37"/>
      <c r="DM137" s="115"/>
      <c r="DN137" s="37"/>
      <c r="DO137" s="37"/>
      <c r="DP137" s="73"/>
      <c r="DQ137" s="73"/>
      <c r="DR137" s="73"/>
      <c r="DS137" s="73"/>
      <c r="DT137" s="37"/>
      <c r="DU137" s="37"/>
      <c r="DV137" s="37"/>
      <c r="DW137" s="37"/>
      <c r="DX137" s="37"/>
      <c r="DY137" s="73"/>
      <c r="EA137" s="115"/>
      <c r="ED137" s="73"/>
      <c r="EE137" s="73"/>
      <c r="EF137" s="73"/>
      <c r="EG137" s="73"/>
      <c r="EM137" s="73"/>
      <c r="EN137" s="37"/>
      <c r="EO137" s="115"/>
      <c r="EP137" s="37"/>
      <c r="EQ137" s="37"/>
      <c r="ER137" s="73"/>
      <c r="ES137" s="73"/>
      <c r="ET137" s="73"/>
      <c r="EU137" s="73"/>
      <c r="EV137" s="37"/>
      <c r="EW137" s="37"/>
      <c r="EX137" s="37"/>
      <c r="EY137" s="37"/>
      <c r="EZ137" s="37"/>
      <c r="FA137" s="73"/>
      <c r="FF137" s="26"/>
      <c r="FH137" s="74"/>
      <c r="FI137" s="55"/>
      <c r="FJ137" s="73"/>
      <c r="FK137" s="73"/>
      <c r="FQ137" s="73"/>
      <c r="FR137" s="73"/>
      <c r="FT137" s="26"/>
      <c r="FW137" s="55"/>
      <c r="FX137" s="73"/>
      <c r="FY137" s="73"/>
      <c r="FZ137" s="37"/>
      <c r="GE137" s="73"/>
      <c r="GF137" s="73"/>
      <c r="GH137" s="26"/>
      <c r="GJ137" s="74"/>
      <c r="GK137" s="55"/>
      <c r="GL137" s="73"/>
      <c r="GM137" s="73"/>
      <c r="GS137" s="73"/>
      <c r="GT137" s="73"/>
      <c r="GU137" s="73"/>
      <c r="GV137" s="73"/>
      <c r="GW137" s="73"/>
      <c r="GX137" s="73"/>
      <c r="HB137" s="74"/>
      <c r="HD137" s="74"/>
      <c r="HE137" s="73"/>
      <c r="HF137" s="73"/>
      <c r="HG137" s="73"/>
      <c r="HH137" s="73"/>
      <c r="HI137" s="73"/>
      <c r="HJ137" s="73"/>
      <c r="HK137" s="73"/>
      <c r="HL137" s="73"/>
      <c r="HS137" s="73"/>
      <c r="HT137" s="73"/>
      <c r="HU137" s="73"/>
      <c r="HV137" s="73"/>
      <c r="HW137" s="73"/>
      <c r="HX137" s="73"/>
      <c r="HY137" s="73"/>
      <c r="HZ137" s="73"/>
      <c r="IA137" s="133"/>
      <c r="IB137" s="133"/>
      <c r="IC137" s="133"/>
      <c r="IE137" s="133"/>
      <c r="IG137" s="73"/>
      <c r="IH137" s="73"/>
      <c r="II137" s="73"/>
      <c r="IJ137" s="73"/>
      <c r="IK137" s="73"/>
      <c r="IL137" s="73"/>
      <c r="IM137" s="73"/>
      <c r="IN137" s="73"/>
      <c r="JQ137" s="115"/>
      <c r="JS137" s="115"/>
      <c r="JT137" s="115"/>
      <c r="JU137" s="115"/>
      <c r="KA137" s="115"/>
      <c r="KJ137" s="74"/>
      <c r="KK137" s="74"/>
      <c r="KL137" s="74"/>
      <c r="KM137" s="74"/>
      <c r="KN137" s="73"/>
      <c r="KO137" s="74"/>
      <c r="KP137" s="74"/>
      <c r="KQ137" s="74"/>
      <c r="KR137" s="74"/>
      <c r="KS137" s="73"/>
      <c r="KX137" s="73"/>
      <c r="LC137" s="73"/>
      <c r="LH137" s="73"/>
      <c r="LM137" s="73"/>
      <c r="LR137" s="73"/>
      <c r="LW137" s="73"/>
      <c r="MB137" s="73"/>
      <c r="MG137" s="73"/>
      <c r="ML137" s="73"/>
      <c r="MQ137" s="73"/>
      <c r="MS137" s="73"/>
      <c r="MT137" s="73"/>
      <c r="MU137" s="73"/>
      <c r="MV137" s="73"/>
      <c r="MW137" s="73"/>
      <c r="MX137" s="73"/>
      <c r="MY137" s="73"/>
      <c r="MZ137" s="73"/>
      <c r="NA137" s="73"/>
      <c r="NB137" s="73"/>
      <c r="NC137" s="73"/>
      <c r="ND137" s="73"/>
      <c r="NE137" s="73"/>
      <c r="NF137" s="73"/>
      <c r="NG137" s="73"/>
      <c r="NH137" s="73"/>
      <c r="NI137" s="73"/>
      <c r="NJ137" s="73"/>
      <c r="NK137" s="73"/>
      <c r="NL137" s="73"/>
      <c r="NM137" s="73"/>
      <c r="NN137" s="73"/>
      <c r="NO137" s="73"/>
      <c r="NP137" s="73"/>
    </row>
    <row r="138" spans="1:494" x14ac:dyDescent="0.25">
      <c r="A138" s="66" t="s">
        <v>265</v>
      </c>
      <c r="W138" s="74"/>
      <c r="AF138" s="74"/>
      <c r="AG138" s="74"/>
      <c r="BW138" s="26"/>
      <c r="BZ138" s="73"/>
      <c r="CA138" s="73"/>
      <c r="CB138" s="73"/>
      <c r="CC138" s="73"/>
      <c r="CD138" s="115"/>
      <c r="CE138" s="115"/>
      <c r="CF138" s="115"/>
      <c r="CG138" s="115"/>
      <c r="CH138" s="115"/>
      <c r="CI138" s="73"/>
      <c r="CK138" s="26"/>
      <c r="CN138" s="73"/>
      <c r="CO138" s="73"/>
      <c r="CP138" s="73"/>
      <c r="CQ138" s="73"/>
      <c r="CW138" s="73"/>
      <c r="CX138" s="37"/>
      <c r="CY138" s="26"/>
      <c r="CZ138" s="37"/>
      <c r="DA138" s="37"/>
      <c r="DB138" s="73"/>
      <c r="DC138" s="73"/>
      <c r="DD138" s="73"/>
      <c r="DE138" s="73"/>
      <c r="DF138" s="115"/>
      <c r="DG138" s="115"/>
      <c r="DH138" s="115"/>
      <c r="DI138" s="115"/>
      <c r="DJ138" s="115"/>
      <c r="DK138" s="73"/>
      <c r="DL138" s="37"/>
      <c r="DM138" s="115"/>
      <c r="DN138" s="37"/>
      <c r="DO138" s="37"/>
      <c r="DP138" s="73"/>
      <c r="DQ138" s="73"/>
      <c r="DR138" s="73"/>
      <c r="DS138" s="73"/>
      <c r="DT138" s="37"/>
      <c r="DU138" s="37"/>
      <c r="DV138" s="37"/>
      <c r="DW138" s="37"/>
      <c r="DX138" s="37"/>
      <c r="DY138" s="73"/>
      <c r="EA138" s="115"/>
      <c r="ED138" s="73"/>
      <c r="EE138" s="73"/>
      <c r="EF138" s="73"/>
      <c r="EG138" s="73"/>
      <c r="EM138" s="73"/>
      <c r="EN138" s="37"/>
      <c r="EO138" s="115"/>
      <c r="EP138" s="37"/>
      <c r="EQ138" s="37"/>
      <c r="ER138" s="73"/>
      <c r="ES138" s="73"/>
      <c r="ET138" s="73"/>
      <c r="EU138" s="73"/>
      <c r="EV138" s="37"/>
      <c r="EW138" s="37"/>
      <c r="EX138" s="37"/>
      <c r="EY138" s="37"/>
      <c r="EZ138" s="37"/>
      <c r="FA138" s="73"/>
      <c r="FF138" s="26"/>
      <c r="FH138" s="74"/>
      <c r="FI138" s="55"/>
      <c r="FJ138" s="73"/>
      <c r="FK138" s="73"/>
      <c r="FQ138" s="73"/>
      <c r="FR138" s="73"/>
      <c r="FT138" s="26"/>
      <c r="FW138" s="55"/>
      <c r="FX138" s="73"/>
      <c r="FY138" s="73"/>
      <c r="FZ138" s="37"/>
      <c r="GE138" s="73"/>
      <c r="GF138" s="73"/>
      <c r="GH138" s="26"/>
      <c r="GJ138" s="74"/>
      <c r="GK138" s="55"/>
      <c r="GL138" s="73"/>
      <c r="GM138" s="73"/>
      <c r="GS138" s="73"/>
      <c r="GT138" s="73"/>
      <c r="GU138" s="73"/>
      <c r="GV138" s="73"/>
      <c r="GW138" s="73"/>
      <c r="GX138" s="55">
        <f>GX139+GX140</f>
        <v>0</v>
      </c>
      <c r="GY138" s="474"/>
      <c r="GZ138" s="474"/>
      <c r="HA138" s="474"/>
      <c r="HB138" s="74"/>
      <c r="HC138" s="474"/>
      <c r="HD138" s="74"/>
      <c r="HE138" s="73"/>
      <c r="HF138" s="73"/>
      <c r="HG138" s="73"/>
      <c r="HH138" s="73"/>
      <c r="HI138" s="73"/>
      <c r="HJ138" s="73"/>
      <c r="HK138" s="73"/>
      <c r="HL138" s="73"/>
      <c r="HM138" s="474"/>
      <c r="HN138" s="474"/>
      <c r="HO138" s="474"/>
      <c r="HQ138" s="474"/>
      <c r="HS138" s="73"/>
      <c r="HT138" s="73"/>
      <c r="HU138" s="73"/>
      <c r="HV138" s="73"/>
      <c r="HW138" s="73"/>
      <c r="HX138" s="73"/>
      <c r="HY138" s="73"/>
      <c r="HZ138" s="73"/>
      <c r="IA138" s="474"/>
      <c r="IB138" s="474"/>
      <c r="IC138" s="474"/>
      <c r="IE138" s="474"/>
      <c r="IG138" s="73"/>
      <c r="IH138" s="73"/>
      <c r="II138" s="73"/>
      <c r="IJ138" s="73"/>
      <c r="IK138" s="73"/>
      <c r="IL138" s="73"/>
      <c r="IM138" s="73"/>
      <c r="IN138" s="73"/>
      <c r="IO138" s="68">
        <f>IP138+IQ138+IR138+IS138+IT138+IU138</f>
        <v>0</v>
      </c>
      <c r="IP138" s="97">
        <f>JS138*$W139</f>
        <v>0</v>
      </c>
      <c r="IQ138" s="97">
        <f>JU138*$W139</f>
        <v>0</v>
      </c>
      <c r="IR138" s="97">
        <f>JX138*$W139</f>
        <v>0</v>
      </c>
      <c r="IS138" s="97">
        <f>KB138*$W139</f>
        <v>0</v>
      </c>
      <c r="IT138" s="97">
        <f>KF138*$W139</f>
        <v>0</v>
      </c>
      <c r="IU138" s="97">
        <f>KH138*$W139</f>
        <v>0</v>
      </c>
      <c r="JK138" s="127">
        <f>JM138+JN138+JO138</f>
        <v>2.0276289823371405</v>
      </c>
      <c r="JL138" s="679">
        <f>10^3*JK138/NY139</f>
        <v>54.506155439170442</v>
      </c>
      <c r="JM138" s="179">
        <f>JS138+KB138</f>
        <v>0.44400888305888997</v>
      </c>
      <c r="JN138" s="179">
        <f>JU138+KF138</f>
        <v>0.17164689662325819</v>
      </c>
      <c r="JO138" s="179">
        <f>JX138+KH138</f>
        <v>1.4119732026549923</v>
      </c>
      <c r="JP138" s="469">
        <f>JK138*C139</f>
        <v>2.0256013533548032</v>
      </c>
      <c r="JQ138" s="115">
        <f>JR138*$NY139/10^3</f>
        <v>1.7672289823371408</v>
      </c>
      <c r="JR138" s="73">
        <f>JT138+JV138+JY138</f>
        <v>47.506155439170442</v>
      </c>
      <c r="JS138" s="115">
        <f>JB83</f>
        <v>0.20220888305888998</v>
      </c>
      <c r="JT138" s="213">
        <f>10^3*JS138/$NY139</f>
        <v>5.4357226628733866</v>
      </c>
      <c r="JU138" s="115">
        <f>JC83</f>
        <v>0.17164689662325819</v>
      </c>
      <c r="JV138" s="213">
        <f>10^3*JU138/$NY139</f>
        <v>4.6141638877219942</v>
      </c>
      <c r="JX138" s="115">
        <f>JD83</f>
        <v>1.3933732026549923</v>
      </c>
      <c r="JY138" s="213">
        <f>10^3*JX138/$NY139</f>
        <v>37.45626888857506</v>
      </c>
      <c r="JZ138" s="115">
        <f>KB138+KF138+KH138</f>
        <v>0.26040000000000002</v>
      </c>
      <c r="KA138" s="115">
        <f>KC138+KG138+KI138</f>
        <v>7</v>
      </c>
      <c r="KB138" s="127">
        <f>KC138*$NY139/10^3</f>
        <v>0.24180000000000001</v>
      </c>
      <c r="KC138" s="84">
        <v>6.5</v>
      </c>
      <c r="KD138" s="725">
        <v>0.15</v>
      </c>
      <c r="KE138" s="474">
        <f>KC138/KD138</f>
        <v>43.333333333333336</v>
      </c>
      <c r="KF138" s="127">
        <f>KG138*$NY139/10^3</f>
        <v>0</v>
      </c>
      <c r="KG138" s="84">
        <v>0</v>
      </c>
      <c r="KH138" s="127">
        <f>KI138*$NY139/10^3</f>
        <v>1.8600000000000002E-2</v>
      </c>
      <c r="KI138" s="84">
        <v>0.5</v>
      </c>
      <c r="KJ138" s="74"/>
      <c r="KK138" s="74"/>
      <c r="KL138" s="74"/>
      <c r="KM138" s="74"/>
      <c r="KN138" s="73"/>
      <c r="KO138" s="74"/>
      <c r="KP138" s="74"/>
      <c r="KQ138" s="74"/>
      <c r="KR138" s="74"/>
      <c r="KS138" s="73"/>
      <c r="KX138" s="73"/>
      <c r="LC138" s="73"/>
      <c r="LH138" s="73"/>
      <c r="LM138" s="73"/>
      <c r="LR138" s="73"/>
      <c r="LW138" s="73"/>
      <c r="MB138" s="73"/>
      <c r="MG138" s="73"/>
      <c r="ML138" s="73"/>
      <c r="MQ138" s="73"/>
      <c r="MS138" s="73"/>
      <c r="MT138" s="73"/>
      <c r="MU138" s="73"/>
      <c r="MV138" s="73"/>
      <c r="MW138" s="73"/>
      <c r="MX138" s="73"/>
      <c r="MY138" s="73"/>
      <c r="MZ138" s="73"/>
      <c r="NA138" s="73"/>
      <c r="NB138" s="73"/>
      <c r="NC138" s="73"/>
      <c r="ND138" s="73"/>
      <c r="NE138" s="73"/>
      <c r="NF138" s="73"/>
      <c r="NG138" s="73"/>
      <c r="NH138" s="73"/>
      <c r="NI138" s="73"/>
      <c r="NJ138" s="73"/>
      <c r="NK138" s="73"/>
      <c r="NL138" s="73"/>
      <c r="NM138" s="73"/>
      <c r="NN138" s="73"/>
      <c r="NO138" s="73"/>
      <c r="NP138" s="73"/>
    </row>
    <row r="139" spans="1:494" x14ac:dyDescent="0.25">
      <c r="A139" s="74" t="s">
        <v>520</v>
      </c>
      <c r="C139" s="52">
        <f>D139</f>
        <v>0.999</v>
      </c>
      <c r="D139" s="134">
        <v>0.999</v>
      </c>
      <c r="E139" s="83"/>
      <c r="F139" s="83"/>
      <c r="G139" s="460">
        <f>H139*'Crops; pasture AMORTIZED'!HB39</f>
        <v>7.343369280000001</v>
      </c>
      <c r="H139" s="458">
        <f>K139*NZ139*AB27/10^4</f>
        <v>14.121864000000002</v>
      </c>
      <c r="I139" s="459"/>
      <c r="J139" s="83"/>
      <c r="K139" s="679">
        <f>10^4*$C83*($C139/$NU139)/AB27</f>
        <v>3238.2865617977523</v>
      </c>
      <c r="L139" s="73">
        <f>10^4*$C83*($C139/$NU139)/AC27</f>
        <v>3238.2865617977523</v>
      </c>
      <c r="M139" s="73">
        <f>10^4*$C83*($C139/$NU139)/AD27</f>
        <v>2528.5251235955056</v>
      </c>
      <c r="W139" s="74"/>
      <c r="AE139" s="734">
        <f>AE83*$AN139/$D139</f>
        <v>2.9270912378901541</v>
      </c>
      <c r="AF139" s="74"/>
      <c r="AG139" s="115">
        <f>AG83*$AN139/$D139</f>
        <v>2.9270912378901541</v>
      </c>
      <c r="AI139" s="115">
        <f>AI83*$AN139/$D139</f>
        <v>3.748730883613705</v>
      </c>
      <c r="AN139" s="39">
        <v>1</v>
      </c>
      <c r="BV139" s="26">
        <f>BW139*$NT139</f>
        <v>1.9797781228670772</v>
      </c>
      <c r="BW139" s="26">
        <f>BZ139*$NW139/10^3</f>
        <v>1.9797781228670772</v>
      </c>
      <c r="BZ139" s="73">
        <f>BZ83*$AN139/$D139</f>
        <v>49.494453071676929</v>
      </c>
      <c r="CA139" s="677">
        <f>10^3*BW139/$NY139</f>
        <v>53.219842012555837</v>
      </c>
      <c r="CB139" s="115">
        <f>BW139*$NT139*$NU139</f>
        <v>1.7620025293516988</v>
      </c>
      <c r="CC139" s="73"/>
      <c r="CD139" s="115"/>
      <c r="CE139" s="115"/>
      <c r="CF139" s="115"/>
      <c r="CG139" s="115"/>
      <c r="CH139" s="115"/>
      <c r="CI139" s="115"/>
      <c r="CJ139" s="26">
        <f>CK139*$NT139</f>
        <v>1.9797781228670779</v>
      </c>
      <c r="CK139" s="26">
        <f>CN139*$NW139/10^3</f>
        <v>1.9797781228670779</v>
      </c>
      <c r="CN139" s="73">
        <f>CN83*$AN139/$D139</f>
        <v>49.494453071676944</v>
      </c>
      <c r="CO139" s="677">
        <f>10^3*CK139/$NY139</f>
        <v>53.219842012555851</v>
      </c>
      <c r="CP139" s="115">
        <f>CK139*$NT139*$NU139</f>
        <v>1.7620025293516994</v>
      </c>
      <c r="CQ139" s="73"/>
      <c r="CW139" s="115"/>
      <c r="CX139" s="26">
        <f>CY139*$NT139</f>
        <v>1.0209668566328942</v>
      </c>
      <c r="CY139" s="26">
        <f>DB139*$NW139/10^3</f>
        <v>1.0209668566328942</v>
      </c>
      <c r="CZ139" s="37"/>
      <c r="DA139" s="37"/>
      <c r="DB139" s="73">
        <f>DB83*$AN139/$D139</f>
        <v>25.524171415822355</v>
      </c>
      <c r="DC139" s="677">
        <f>10^3*CY139/$NY139</f>
        <v>27.445345608411131</v>
      </c>
      <c r="DD139" s="115">
        <f>CY139*$NT139*$NU139</f>
        <v>0.90866050240327589</v>
      </c>
      <c r="DE139" s="73"/>
      <c r="DF139" s="115"/>
      <c r="DG139" s="115"/>
      <c r="DH139" s="115"/>
      <c r="DI139" s="115"/>
      <c r="DJ139" s="115"/>
      <c r="DK139" s="115"/>
      <c r="DL139" s="26">
        <f>DM139*$NT139</f>
        <v>1.5259623680455698</v>
      </c>
      <c r="DM139" s="115">
        <f>DP139*$NW139/10^3</f>
        <v>1.5259623680455698</v>
      </c>
      <c r="DN139" s="37"/>
      <c r="DO139" s="37"/>
      <c r="DP139" s="73">
        <f>DP83*$AN139/$D139</f>
        <v>38.149059201139245</v>
      </c>
      <c r="DQ139" s="677">
        <f>10^3*DM139/$NY139</f>
        <v>41.020493764665851</v>
      </c>
      <c r="DR139" s="115">
        <f>DM139*$NT139*$NU139</f>
        <v>1.3581065075605572</v>
      </c>
      <c r="DS139" s="73"/>
      <c r="DT139" s="37"/>
      <c r="DU139" s="37"/>
      <c r="DV139" s="37"/>
      <c r="DW139" s="37"/>
      <c r="DX139" s="37"/>
      <c r="DY139" s="115"/>
      <c r="DZ139" s="26">
        <f>EA139*$NT139</f>
        <v>1.5259623680455698</v>
      </c>
      <c r="EA139" s="115">
        <f>ED139*$NW139/10^3</f>
        <v>1.5259623680455698</v>
      </c>
      <c r="ED139" s="73">
        <f>ED83*$AN139/$D139</f>
        <v>38.149059201139245</v>
      </c>
      <c r="EE139" s="677">
        <f>10^3*EA139/$NY139</f>
        <v>41.020493764665851</v>
      </c>
      <c r="EF139" s="115">
        <f>EA139*$NT139*$NU139</f>
        <v>1.3581065075605572</v>
      </c>
      <c r="EG139" s="73"/>
      <c r="EM139" s="115"/>
      <c r="EN139" s="26">
        <f>EO139*$NT139</f>
        <v>1.4944667567339998</v>
      </c>
      <c r="EO139" s="115">
        <f>ER139*$NW139/10^3</f>
        <v>1.4944667567339998</v>
      </c>
      <c r="EP139" s="37"/>
      <c r="EQ139" s="37"/>
      <c r="ER139" s="73">
        <f>ER83*$AN139/$D139</f>
        <v>37.361668918349991</v>
      </c>
      <c r="ES139" s="677">
        <f>10^3*EO139/$NY139</f>
        <v>40.173837546612894</v>
      </c>
      <c r="ET139" s="115">
        <f>EO139*$NT139*$NU139</f>
        <v>1.3300754134932598</v>
      </c>
      <c r="EU139" s="73"/>
      <c r="EV139" s="37"/>
      <c r="EW139" s="37"/>
      <c r="EX139" s="37"/>
      <c r="EY139" s="37"/>
      <c r="EZ139" s="37"/>
      <c r="FA139" s="115"/>
      <c r="FE139" s="26">
        <f>FF139*$NT139</f>
        <v>3.038812277504281</v>
      </c>
      <c r="FF139" s="26">
        <f>FI139*$NW139/10^3</f>
        <v>3.038812277504281</v>
      </c>
      <c r="FH139" s="74"/>
      <c r="FI139" s="562">
        <f>FI83*$AN139/$D139</f>
        <v>75.970306937607035</v>
      </c>
      <c r="FJ139" s="73">
        <f>10^3*FE139/$NY139</f>
        <v>81.688502083448412</v>
      </c>
      <c r="FK139" s="115">
        <f>FF139*$NT139*$NU139</f>
        <v>2.7045429269788102</v>
      </c>
      <c r="FL139" s="26"/>
      <c r="FQ139" s="73"/>
      <c r="FR139" s="115"/>
      <c r="FS139" s="26">
        <f>FT139*$NT139</f>
        <v>3.038812277504281</v>
      </c>
      <c r="FT139" s="26">
        <f>FW139*$NW139/10^3</f>
        <v>3.038812277504281</v>
      </c>
      <c r="FW139" s="562">
        <f>FW83*$AN139/$D139</f>
        <v>75.970306937607035</v>
      </c>
      <c r="FX139" s="73">
        <f>10^3*FS139/$NY139</f>
        <v>81.688502083448412</v>
      </c>
      <c r="FY139" s="115">
        <f>FT139*$NT139*$NU139</f>
        <v>2.7045429269788102</v>
      </c>
      <c r="FZ139" s="26"/>
      <c r="GE139" s="73"/>
      <c r="GF139" s="115"/>
      <c r="GG139" s="26">
        <f>GH139*$NT139</f>
        <v>2.976091693861262</v>
      </c>
      <c r="GH139" s="26">
        <f>GK139*$NW139/10^3</f>
        <v>2.976091693861262</v>
      </c>
      <c r="GJ139" s="74"/>
      <c r="GK139" s="562">
        <f>GK83*$AN139/$D139</f>
        <v>74.402292346531553</v>
      </c>
      <c r="GL139" s="73">
        <f>10^3*GG139/$NY139</f>
        <v>80.002464888743603</v>
      </c>
      <c r="GM139" s="115">
        <f>GH139*$NT139*$NU139</f>
        <v>2.6487216075365234</v>
      </c>
      <c r="GN139" s="26"/>
      <c r="GS139" s="73"/>
      <c r="GT139" s="115"/>
      <c r="GU139" s="115"/>
      <c r="GV139" s="115"/>
      <c r="GW139" s="115"/>
      <c r="GX139" s="68">
        <f>GZ139*$W139</f>
        <v>0</v>
      </c>
      <c r="GY139" s="26">
        <f>GZ139*$NT139</f>
        <v>2.3289488755437566</v>
      </c>
      <c r="GZ139" s="26">
        <f>HC139*$NW139/10^3</f>
        <v>2.3289488755437566</v>
      </c>
      <c r="HA139" s="474"/>
      <c r="HB139" s="74"/>
      <c r="HC139" s="673">
        <f>HC83*$AN139/$D139</f>
        <v>58.223721888593914</v>
      </c>
      <c r="HD139" s="73">
        <f>10^3*GZ139/$NY139</f>
        <v>62.606152568380544</v>
      </c>
      <c r="HE139" s="115">
        <f>GZ139*$NT139*$NU139</f>
        <v>2.0727644992339433</v>
      </c>
      <c r="HF139" s="115"/>
      <c r="HG139" s="115"/>
      <c r="HH139" s="115"/>
      <c r="HI139" s="115"/>
      <c r="HJ139" s="115"/>
      <c r="HK139" s="115"/>
      <c r="HL139" s="115"/>
      <c r="HM139" s="115">
        <f>HN139*$NT139</f>
        <v>2.3289488755437566</v>
      </c>
      <c r="HN139" s="115">
        <f>HQ139*$NW139/10^3</f>
        <v>2.3289488755437566</v>
      </c>
      <c r="HO139" s="474"/>
      <c r="HQ139" s="73">
        <f>HQ83*$AN139/$D139</f>
        <v>58.223721888593914</v>
      </c>
      <c r="HR139" s="73">
        <f>10^3*HN139/$NY139</f>
        <v>62.606152568380544</v>
      </c>
      <c r="HS139" s="115">
        <f>HN139*$NT139*$NU139</f>
        <v>2.0727644992339433</v>
      </c>
      <c r="HT139" s="115"/>
      <c r="HU139" s="115"/>
      <c r="HV139" s="115"/>
      <c r="HW139" s="115"/>
      <c r="HX139" s="115"/>
      <c r="HY139" s="115"/>
      <c r="HZ139" s="115"/>
      <c r="IA139" s="115">
        <f>IB139*$NT139</f>
        <v>0</v>
      </c>
      <c r="IB139" s="115">
        <f>IE139*$NW139/10^3</f>
        <v>0</v>
      </c>
      <c r="IC139" s="474"/>
      <c r="IE139" s="73">
        <f>IE83*$AN139/$D139</f>
        <v>0</v>
      </c>
      <c r="IF139" s="73">
        <f>10^3*IB139/$NY139</f>
        <v>0</v>
      </c>
      <c r="IG139" s="115">
        <f>IB139*$NT139*$NU139</f>
        <v>0</v>
      </c>
      <c r="IH139" s="115"/>
      <c r="II139" s="115"/>
      <c r="IJ139" s="115"/>
      <c r="IK139" s="115"/>
      <c r="IL139" s="115"/>
      <c r="IM139" s="115"/>
      <c r="IN139" s="115"/>
      <c r="IV139" s="26">
        <f>IW139*$NT139</f>
        <v>2.0276289823371405</v>
      </c>
      <c r="IW139" s="115">
        <f>AN139*JK138</f>
        <v>2.0276289823371405</v>
      </c>
      <c r="IX139" s="73"/>
      <c r="IZ139" s="673">
        <f>AN139*JL138</f>
        <v>54.506155439170442</v>
      </c>
      <c r="JA139" s="115">
        <f>IW139*$NT139*$NU139</f>
        <v>1.8045897942800551</v>
      </c>
      <c r="JB139" s="115">
        <f>$IW139*JM138/$JK138</f>
        <v>0.44400888305888997</v>
      </c>
      <c r="JC139" s="115">
        <f>$IW139*JN138/$JK138</f>
        <v>0.17164689662325819</v>
      </c>
      <c r="JD139" s="115">
        <f>$IW139*JO138/$JK138</f>
        <v>1.4119732026549923</v>
      </c>
      <c r="JE139" s="115"/>
      <c r="JF139" s="73"/>
      <c r="JG139" s="73"/>
      <c r="JH139" s="73"/>
      <c r="JI139" s="73"/>
      <c r="JJ139" s="73"/>
      <c r="JQ139" s="115"/>
      <c r="JR139" s="73"/>
      <c r="JS139" s="115"/>
      <c r="JT139" s="115"/>
      <c r="JU139" s="115"/>
      <c r="KB139" s="115"/>
      <c r="KC139" s="66"/>
      <c r="KD139" s="725"/>
      <c r="KE139" s="474"/>
      <c r="KF139" s="474"/>
      <c r="KG139" s="474"/>
      <c r="KH139" s="474"/>
      <c r="KI139" s="474"/>
      <c r="KJ139" s="115">
        <f>BW139*44/12+$IW139+$GZ139</f>
        <v>11.615764308393514</v>
      </c>
      <c r="KK139" s="677">
        <f>10^3*KJ139/$NY139</f>
        <v>312.25172872025576</v>
      </c>
      <c r="KL139" s="74"/>
      <c r="KM139" s="74"/>
      <c r="KN139" s="115">
        <f>KJ139*$NT139*$NU139</f>
        <v>10.338030234470228</v>
      </c>
      <c r="KO139" s="74"/>
      <c r="KP139" s="74"/>
      <c r="KQ139" s="74"/>
      <c r="KR139" s="74"/>
      <c r="KS139" s="115"/>
      <c r="KT139" s="115">
        <f>CK139*44/12+$IW139+$HN139</f>
        <v>11.615764308393517</v>
      </c>
      <c r="KU139" s="677">
        <f>10^3*KT139/$NY139</f>
        <v>312.25172872025581</v>
      </c>
      <c r="KX139" s="115">
        <f>KT139*$NT139*$NU139</f>
        <v>10.33803023447023</v>
      </c>
      <c r="LC139" s="115"/>
      <c r="LD139" s="115">
        <f>CY139*44/12+$IW139+$IB139</f>
        <v>5.7711741233244194</v>
      </c>
      <c r="LE139" s="677">
        <f>10^3*LD139/$NY139</f>
        <v>155.13908933667793</v>
      </c>
      <c r="LH139" s="115">
        <f>LD139*$NT139*$NU139</f>
        <v>5.1363449697587331</v>
      </c>
      <c r="LM139" s="115"/>
      <c r="LN139" s="115">
        <f>DM139*44/12+$IW139+$GZ139</f>
        <v>9.9517732073813203</v>
      </c>
      <c r="LO139" s="677">
        <f>10^3*LN139/$NY139</f>
        <v>267.52078514465916</v>
      </c>
      <c r="LR139" s="115">
        <f>LN139*$NT139*$NU139</f>
        <v>8.8570781545693755</v>
      </c>
      <c r="LW139" s="115"/>
      <c r="LX139" s="115">
        <f>EA139*44/12+$IW139+$HN139</f>
        <v>9.9517732073813203</v>
      </c>
      <c r="LY139" s="677">
        <f>10^3*LX139/$NY139</f>
        <v>267.52078514465916</v>
      </c>
      <c r="MB139" s="115">
        <f>LX139*$NT139*$NU139</f>
        <v>8.8570781545693755</v>
      </c>
      <c r="MG139" s="115"/>
      <c r="MH139" s="115">
        <f>EO139*44/12+$IW139+$IB139</f>
        <v>7.5073404236951395</v>
      </c>
      <c r="MI139" s="677">
        <f>10^3*MH139/$NY139</f>
        <v>201.81022644341772</v>
      </c>
      <c r="ML139" s="115">
        <f>MH139*$NT139*$NU139</f>
        <v>6.6815329770886747</v>
      </c>
      <c r="MQ139" s="115"/>
      <c r="MR139" s="295">
        <v>88</v>
      </c>
      <c r="MS139" s="676">
        <f>KK139-$MR139</f>
        <v>224.25172872025576</v>
      </c>
      <c r="MT139" s="115">
        <f>MS139*$NZ139/10^3</f>
        <v>7.4245262344702283</v>
      </c>
      <c r="MU139" s="115"/>
      <c r="MV139" s="115"/>
      <c r="MW139" s="676">
        <f>KU139-$MR139</f>
        <v>224.25172872025581</v>
      </c>
      <c r="MX139" s="115">
        <f>MW139*$NZ139/10^3</f>
        <v>7.4245262344702301</v>
      </c>
      <c r="MY139" s="115"/>
      <c r="MZ139" s="115"/>
      <c r="NA139" s="676">
        <f>LE139-$MR139</f>
        <v>67.139089336677927</v>
      </c>
      <c r="NB139" s="115">
        <f>NA139*$NZ139/10^3</f>
        <v>2.222840969758733</v>
      </c>
      <c r="NC139" s="115"/>
      <c r="ND139" s="115"/>
      <c r="NE139" s="676">
        <f>LO139-$MR139</f>
        <v>179.52078514465916</v>
      </c>
      <c r="NF139" s="115">
        <f>NE139*$NZ139/10^3</f>
        <v>5.9435741545693768</v>
      </c>
      <c r="NG139" s="115"/>
      <c r="NH139" s="115"/>
      <c r="NI139" s="676">
        <f>LY139-$MR139</f>
        <v>179.52078514465916</v>
      </c>
      <c r="NJ139" s="115">
        <f>NI139*$NZ139/10^3</f>
        <v>5.9435741545693768</v>
      </c>
      <c r="NK139" s="115"/>
      <c r="NL139" s="115"/>
      <c r="NM139" s="676">
        <f>MI139-$MR139</f>
        <v>113.81022644341772</v>
      </c>
      <c r="NN139" s="115">
        <f>NM139*$NZ139/10^3</f>
        <v>3.7680289770886741</v>
      </c>
      <c r="NO139" s="115"/>
      <c r="NP139" s="115"/>
      <c r="NQ139" s="73">
        <f>44/12*CA139*'Amortization metrics'!$D$4/($MR139-$IZ139)</f>
        <v>174.78383560146756</v>
      </c>
      <c r="NR139" s="73">
        <f>44/12*CO139*'Amortization metrics'!$D$4/($MR139-$IZ139)</f>
        <v>174.78383560146762</v>
      </c>
      <c r="NS139" s="73">
        <f>44/12*DC139*'Amortization metrics'!$D$4/($MR139-$IZ139)</f>
        <v>90.135607199177002</v>
      </c>
      <c r="NT139" s="31">
        <v>1</v>
      </c>
      <c r="NU139" s="103">
        <v>0.89</v>
      </c>
      <c r="NV139" s="32">
        <f>$NT139*NW139</f>
        <v>40</v>
      </c>
      <c r="NW139" s="9">
        <v>40</v>
      </c>
      <c r="NX139" s="26">
        <f>NV139*NU139</f>
        <v>35.6</v>
      </c>
      <c r="NY139" s="9">
        <v>37.200000000000003</v>
      </c>
      <c r="NZ139" s="26">
        <f>NY139*NT139*NU139</f>
        <v>33.108000000000004</v>
      </c>
    </row>
    <row r="140" spans="1:494" x14ac:dyDescent="0.25">
      <c r="A140" s="74" t="s">
        <v>293</v>
      </c>
      <c r="D140" s="134">
        <v>0</v>
      </c>
      <c r="E140" s="83"/>
      <c r="F140" s="83"/>
      <c r="G140" s="83"/>
      <c r="H140" s="83"/>
      <c r="I140" s="83"/>
      <c r="J140" s="83"/>
      <c r="K140" s="83"/>
      <c r="L140" s="83"/>
      <c r="M140" s="83"/>
      <c r="W140" s="74"/>
      <c r="AF140" s="74"/>
      <c r="AG140" s="74"/>
      <c r="AN140" s="69">
        <f>1-AN139</f>
        <v>0</v>
      </c>
      <c r="BW140" s="26"/>
      <c r="BZ140" s="73"/>
      <c r="CA140" s="73"/>
      <c r="CB140" s="73"/>
      <c r="CC140" s="73"/>
      <c r="CD140" s="115"/>
      <c r="CE140" s="115"/>
      <c r="CF140" s="115"/>
      <c r="CG140" s="115"/>
      <c r="CH140" s="115"/>
      <c r="CI140" s="73"/>
      <c r="CK140" s="26"/>
      <c r="CN140" s="73"/>
      <c r="CO140" s="73"/>
      <c r="CP140" s="73"/>
      <c r="CQ140" s="73"/>
      <c r="CW140" s="73"/>
      <c r="CX140" s="37"/>
      <c r="CY140" s="26"/>
      <c r="CZ140" s="37"/>
      <c r="DA140" s="37"/>
      <c r="DB140" s="73"/>
      <c r="DC140" s="73"/>
      <c r="DD140" s="73"/>
      <c r="DE140" s="73"/>
      <c r="DF140" s="115"/>
      <c r="DG140" s="115"/>
      <c r="DH140" s="115"/>
      <c r="DI140" s="115"/>
      <c r="DJ140" s="115"/>
      <c r="DK140" s="73"/>
      <c r="DL140" s="37"/>
      <c r="DM140" s="115"/>
      <c r="DN140" s="37"/>
      <c r="DO140" s="37"/>
      <c r="DP140" s="73"/>
      <c r="DQ140" s="73"/>
      <c r="DR140" s="73"/>
      <c r="DS140" s="73"/>
      <c r="DT140" s="37"/>
      <c r="DU140" s="37"/>
      <c r="DV140" s="37"/>
      <c r="DW140" s="37"/>
      <c r="DX140" s="37"/>
      <c r="DY140" s="73"/>
      <c r="EA140" s="115"/>
      <c r="ED140" s="73"/>
      <c r="EE140" s="73"/>
      <c r="EF140" s="73"/>
      <c r="EG140" s="73"/>
      <c r="EM140" s="73"/>
      <c r="EN140" s="37"/>
      <c r="EO140" s="115"/>
      <c r="EP140" s="37"/>
      <c r="EQ140" s="37"/>
      <c r="ER140" s="73"/>
      <c r="ES140" s="73"/>
      <c r="ET140" s="73"/>
      <c r="EU140" s="73"/>
      <c r="EV140" s="37"/>
      <c r="EW140" s="37"/>
      <c r="EX140" s="37"/>
      <c r="EY140" s="37"/>
      <c r="EZ140" s="37"/>
      <c r="FA140" s="73"/>
      <c r="FF140" s="26"/>
      <c r="FH140" s="74"/>
      <c r="FI140" s="55"/>
      <c r="FJ140" s="73"/>
      <c r="FK140" s="73"/>
      <c r="FQ140" s="73"/>
      <c r="FR140" s="73"/>
      <c r="FT140" s="26"/>
      <c r="FW140" s="55"/>
      <c r="FX140" s="73"/>
      <c r="FY140" s="73"/>
      <c r="FZ140" s="37"/>
      <c r="GE140" s="73"/>
      <c r="GF140" s="73"/>
      <c r="GH140" s="26"/>
      <c r="GJ140" s="74"/>
      <c r="GK140" s="55"/>
      <c r="GL140" s="73"/>
      <c r="GM140" s="73"/>
      <c r="GS140" s="73"/>
      <c r="GT140" s="73"/>
      <c r="GU140" s="73"/>
      <c r="GV140" s="73"/>
      <c r="GW140" s="73"/>
      <c r="GX140" s="68">
        <f>GZ140*$W140</f>
        <v>0</v>
      </c>
      <c r="HB140" s="74"/>
      <c r="HD140" s="74"/>
      <c r="HE140" s="73"/>
      <c r="HF140" s="73"/>
      <c r="HG140" s="73"/>
      <c r="HH140" s="73"/>
      <c r="HI140" s="73"/>
      <c r="HJ140" s="73"/>
      <c r="HK140" s="73"/>
      <c r="HL140" s="73"/>
      <c r="HS140" s="73"/>
      <c r="HT140" s="73"/>
      <c r="HU140" s="73"/>
      <c r="HV140" s="73"/>
      <c r="HW140" s="73"/>
      <c r="HX140" s="73"/>
      <c r="HY140" s="73"/>
      <c r="HZ140" s="73"/>
      <c r="IA140" s="133"/>
      <c r="IB140" s="133"/>
      <c r="IC140" s="133"/>
      <c r="IE140" s="133"/>
      <c r="IG140" s="73"/>
      <c r="IH140" s="73"/>
      <c r="II140" s="73"/>
      <c r="IJ140" s="73"/>
      <c r="IK140" s="73"/>
      <c r="IL140" s="73"/>
      <c r="IM140" s="73"/>
      <c r="IN140" s="73"/>
      <c r="JQ140" s="115"/>
      <c r="JS140" s="115"/>
      <c r="JT140" s="115"/>
      <c r="JU140" s="115"/>
      <c r="KJ140" s="74"/>
      <c r="KK140" s="74"/>
      <c r="KL140" s="74"/>
      <c r="KM140" s="74"/>
      <c r="KN140" s="73"/>
      <c r="KO140" s="74"/>
      <c r="KP140" s="74"/>
      <c r="KQ140" s="74"/>
      <c r="KR140" s="74"/>
      <c r="KS140" s="73"/>
      <c r="KX140" s="73"/>
      <c r="LC140" s="73"/>
      <c r="LH140" s="73"/>
      <c r="LM140" s="73"/>
      <c r="LR140" s="73"/>
      <c r="LW140" s="73"/>
      <c r="MB140" s="73"/>
      <c r="MG140" s="73"/>
      <c r="ML140" s="73"/>
      <c r="MQ140" s="73"/>
      <c r="MS140" s="73"/>
      <c r="MT140" s="73"/>
      <c r="MU140" s="73"/>
      <c r="MV140" s="73"/>
      <c r="MW140" s="73"/>
      <c r="MX140" s="73"/>
      <c r="MY140" s="73"/>
      <c r="MZ140" s="73"/>
      <c r="NA140" s="73"/>
      <c r="NB140" s="73"/>
      <c r="NC140" s="73"/>
      <c r="ND140" s="73"/>
      <c r="NE140" s="73"/>
      <c r="NF140" s="73"/>
      <c r="NG140" s="73"/>
      <c r="NH140" s="73"/>
      <c r="NI140" s="73"/>
      <c r="NJ140" s="73"/>
      <c r="NK140" s="73"/>
      <c r="NL140" s="73"/>
      <c r="NM140" s="73"/>
      <c r="NN140" s="73"/>
      <c r="NO140" s="73"/>
      <c r="NP140" s="73"/>
    </row>
    <row r="141" spans="1:494" s="54" customFormat="1" x14ac:dyDescent="0.25">
      <c r="A141" s="133" t="s">
        <v>838</v>
      </c>
      <c r="D141" s="465"/>
      <c r="E141" s="461"/>
      <c r="F141" s="461"/>
      <c r="G141" s="461"/>
      <c r="H141" s="461"/>
      <c r="I141" s="469">
        <f>J141*NZ139</f>
        <v>0.10550023707918445</v>
      </c>
      <c r="J141" s="464">
        <f>(C84/C$83/C$139)/NT84/NY$139</f>
        <v>3.1865481780592132E-3</v>
      </c>
      <c r="K141" s="461"/>
      <c r="L141" s="461"/>
      <c r="M141" s="461"/>
      <c r="W141" s="133"/>
      <c r="X141" s="133"/>
      <c r="AF141" s="133"/>
      <c r="AG141" s="133"/>
      <c r="AH141" s="133"/>
      <c r="AI141" s="133"/>
      <c r="AJ141" s="133"/>
      <c r="AN141" s="57"/>
      <c r="AZ141" s="133"/>
      <c r="BA141" s="133"/>
      <c r="BB141" s="133"/>
      <c r="BC141" s="133"/>
      <c r="BD141" s="133"/>
      <c r="BE141" s="133"/>
      <c r="BF141" s="133"/>
      <c r="BG141" s="133"/>
      <c r="BH141" s="133"/>
      <c r="BI141" s="133"/>
      <c r="BW141" s="693"/>
      <c r="BZ141" s="474"/>
      <c r="CA141" s="474"/>
      <c r="CB141" s="474"/>
      <c r="CC141" s="474"/>
      <c r="CD141" s="179"/>
      <c r="CE141" s="179"/>
      <c r="CF141" s="179"/>
      <c r="CG141" s="179"/>
      <c r="CH141" s="179"/>
      <c r="CI141" s="474"/>
      <c r="CK141" s="693"/>
      <c r="CN141" s="474"/>
      <c r="CO141" s="474"/>
      <c r="CP141" s="474"/>
      <c r="CQ141" s="474"/>
      <c r="CR141" s="179"/>
      <c r="CS141" s="179"/>
      <c r="CT141" s="179"/>
      <c r="CU141" s="179"/>
      <c r="CV141" s="179"/>
      <c r="CW141" s="474"/>
      <c r="CY141" s="693"/>
      <c r="DB141" s="474"/>
      <c r="DC141" s="474"/>
      <c r="DD141" s="474"/>
      <c r="DE141" s="474"/>
      <c r="DF141" s="179"/>
      <c r="DG141" s="179"/>
      <c r="DH141" s="179"/>
      <c r="DI141" s="179"/>
      <c r="DJ141" s="179"/>
      <c r="DK141" s="474"/>
      <c r="DM141" s="179"/>
      <c r="DP141" s="474"/>
      <c r="DQ141" s="474"/>
      <c r="DR141" s="474"/>
      <c r="DS141" s="474"/>
      <c r="DY141" s="474"/>
      <c r="EA141" s="179"/>
      <c r="ED141" s="474"/>
      <c r="EE141" s="474"/>
      <c r="EF141" s="474"/>
      <c r="EG141" s="474"/>
      <c r="EM141" s="474"/>
      <c r="EO141" s="179"/>
      <c r="ER141" s="474"/>
      <c r="ES141" s="474"/>
      <c r="ET141" s="474"/>
      <c r="EU141" s="474"/>
      <c r="FA141" s="474"/>
      <c r="FF141" s="693"/>
      <c r="FH141" s="133"/>
      <c r="FI141" s="689"/>
      <c r="FJ141" s="474"/>
      <c r="FK141" s="474"/>
      <c r="FQ141" s="474"/>
      <c r="FR141" s="474"/>
      <c r="FT141" s="693"/>
      <c r="FV141" s="133"/>
      <c r="FW141" s="689"/>
      <c r="FX141" s="474"/>
      <c r="FY141" s="474"/>
      <c r="GE141" s="474"/>
      <c r="GF141" s="474"/>
      <c r="GH141" s="693"/>
      <c r="GJ141" s="133"/>
      <c r="GK141" s="689"/>
      <c r="GL141" s="474"/>
      <c r="GM141" s="474"/>
      <c r="GS141" s="474"/>
      <c r="GT141" s="474"/>
      <c r="GU141" s="474"/>
      <c r="GV141" s="474"/>
      <c r="GW141" s="474"/>
      <c r="GX141" s="474"/>
      <c r="GY141" s="133"/>
      <c r="GZ141" s="133"/>
      <c r="HA141" s="133"/>
      <c r="HB141" s="133"/>
      <c r="HC141" s="133"/>
      <c r="HD141" s="133"/>
      <c r="HE141" s="474"/>
      <c r="HF141" s="474"/>
      <c r="HG141" s="474"/>
      <c r="HH141" s="474"/>
      <c r="HI141" s="474"/>
      <c r="HJ141" s="474"/>
      <c r="HK141" s="474"/>
      <c r="HL141" s="474"/>
      <c r="HM141" s="133"/>
      <c r="HN141" s="133"/>
      <c r="HO141" s="133"/>
      <c r="HP141" s="133"/>
      <c r="HQ141" s="133"/>
      <c r="HR141" s="133"/>
      <c r="HS141" s="474"/>
      <c r="HT141" s="474"/>
      <c r="HU141" s="474"/>
      <c r="HV141" s="474"/>
      <c r="HW141" s="474"/>
      <c r="HX141" s="474"/>
      <c r="HY141" s="474"/>
      <c r="HZ141" s="474"/>
      <c r="IA141" s="133"/>
      <c r="IB141" s="133"/>
      <c r="IC141" s="133"/>
      <c r="ID141" s="133"/>
      <c r="IE141" s="133"/>
      <c r="IF141" s="133"/>
      <c r="IG141" s="474"/>
      <c r="IH141" s="474"/>
      <c r="II141" s="474"/>
      <c r="IJ141" s="474"/>
      <c r="IK141" s="474"/>
      <c r="IL141" s="474"/>
      <c r="IM141" s="474"/>
      <c r="IN141" s="474"/>
      <c r="IO141" s="115"/>
      <c r="IP141" s="115"/>
      <c r="IQ141" s="115"/>
      <c r="IR141" s="115"/>
      <c r="IS141" s="115"/>
      <c r="IT141" s="115"/>
      <c r="IU141" s="115"/>
      <c r="IW141" s="133"/>
      <c r="IX141" s="133"/>
      <c r="IY141" s="133"/>
      <c r="IZ141" s="133"/>
      <c r="JA141" s="133"/>
      <c r="JB141" s="133"/>
      <c r="JC141" s="133"/>
      <c r="JD141" s="133"/>
      <c r="JE141" s="133"/>
      <c r="JF141" s="133"/>
      <c r="JG141" s="133"/>
      <c r="JH141" s="133"/>
      <c r="JI141" s="133"/>
      <c r="JJ141" s="133"/>
      <c r="JK141" s="133"/>
      <c r="JL141" s="133"/>
      <c r="JM141" s="133"/>
      <c r="JN141" s="133"/>
      <c r="JO141" s="133"/>
      <c r="JP141" s="133"/>
      <c r="JQ141" s="179"/>
      <c r="JR141" s="133"/>
      <c r="JS141" s="179"/>
      <c r="JT141" s="179"/>
      <c r="JU141" s="179"/>
      <c r="JV141" s="133"/>
      <c r="JW141" s="133"/>
      <c r="JX141" s="133"/>
      <c r="JY141" s="133"/>
      <c r="JZ141" s="133"/>
      <c r="KA141" s="133"/>
      <c r="KB141" s="133"/>
      <c r="KC141" s="133"/>
      <c r="KD141" s="133"/>
      <c r="KE141" s="133"/>
      <c r="KF141" s="133"/>
      <c r="KG141" s="133"/>
      <c r="KH141" s="133"/>
      <c r="KI141" s="133"/>
      <c r="KJ141" s="133"/>
      <c r="KK141" s="133"/>
      <c r="KL141" s="133"/>
      <c r="KM141" s="133"/>
      <c r="KN141" s="474"/>
      <c r="KO141" s="133"/>
      <c r="KP141" s="133"/>
      <c r="KQ141" s="133"/>
      <c r="KR141" s="133"/>
      <c r="KS141" s="474"/>
      <c r="KT141" s="133"/>
      <c r="KU141" s="133"/>
      <c r="KV141" s="133"/>
      <c r="KW141" s="133"/>
      <c r="KX141" s="474"/>
      <c r="KY141" s="133"/>
      <c r="KZ141" s="133"/>
      <c r="LA141" s="133"/>
      <c r="LB141" s="133"/>
      <c r="LC141" s="474"/>
      <c r="LD141" s="133"/>
      <c r="LE141" s="133"/>
      <c r="LF141" s="133"/>
      <c r="LG141" s="133"/>
      <c r="LH141" s="474"/>
      <c r="LI141" s="133"/>
      <c r="LJ141" s="133"/>
      <c r="LK141" s="133"/>
      <c r="LL141" s="133"/>
      <c r="LM141" s="474"/>
      <c r="LN141" s="133"/>
      <c r="LO141" s="133"/>
      <c r="LP141" s="133"/>
      <c r="LQ141" s="133"/>
      <c r="LR141" s="474"/>
      <c r="LS141" s="133"/>
      <c r="LT141" s="133"/>
      <c r="LU141" s="133"/>
      <c r="LV141" s="133"/>
      <c r="LW141" s="474"/>
      <c r="LX141" s="133"/>
      <c r="LY141" s="133"/>
      <c r="LZ141" s="133"/>
      <c r="MA141" s="133"/>
      <c r="MB141" s="474"/>
      <c r="MC141" s="133"/>
      <c r="MD141" s="133"/>
      <c r="ME141" s="133"/>
      <c r="MF141" s="133"/>
      <c r="MG141" s="474"/>
      <c r="MH141" s="133"/>
      <c r="MI141" s="133"/>
      <c r="MJ141" s="133"/>
      <c r="MK141" s="133"/>
      <c r="ML141" s="474"/>
      <c r="MM141" s="133"/>
      <c r="MN141" s="133"/>
      <c r="MO141" s="133"/>
      <c r="MP141" s="133"/>
      <c r="MQ141" s="474"/>
      <c r="MR141" s="133"/>
      <c r="MS141" s="474"/>
      <c r="MT141" s="474"/>
      <c r="MU141" s="474"/>
      <c r="MV141" s="474"/>
      <c r="MW141" s="474"/>
      <c r="MX141" s="474"/>
      <c r="MY141" s="474"/>
      <c r="MZ141" s="474"/>
      <c r="NA141" s="474"/>
      <c r="NB141" s="474"/>
      <c r="NC141" s="474"/>
      <c r="ND141" s="474"/>
      <c r="NE141" s="474"/>
      <c r="NF141" s="474"/>
      <c r="NG141" s="474"/>
      <c r="NH141" s="474"/>
      <c r="NI141" s="474"/>
      <c r="NJ141" s="474"/>
      <c r="NK141" s="474"/>
      <c r="NL141" s="474"/>
      <c r="NM141" s="474"/>
      <c r="NN141" s="474"/>
      <c r="NO141" s="474"/>
      <c r="NP141" s="474"/>
      <c r="NQ141" s="133"/>
      <c r="NR141" s="133"/>
      <c r="NS141" s="133"/>
      <c r="RU141" s="179"/>
      <c r="RV141" s="179"/>
      <c r="RW141" s="179"/>
      <c r="RX141" s="179"/>
      <c r="RY141" s="179"/>
      <c r="RZ141" s="179"/>
    </row>
    <row r="142" spans="1:494" s="54" customFormat="1" x14ac:dyDescent="0.25">
      <c r="A142" s="133" t="s">
        <v>839</v>
      </c>
      <c r="D142" s="465"/>
      <c r="E142" s="461"/>
      <c r="F142" s="461"/>
      <c r="G142" s="461"/>
      <c r="H142" s="461"/>
      <c r="I142" s="469">
        <f>J142*NZ139</f>
        <v>0.1274157452647155</v>
      </c>
      <c r="J142" s="464">
        <f>(C85/C$83/C$139)/NT85/NY$139</f>
        <v>3.8484881377526727E-3</v>
      </c>
      <c r="K142" s="461"/>
      <c r="L142" s="461"/>
      <c r="M142" s="461"/>
      <c r="W142" s="133"/>
      <c r="X142" s="133"/>
      <c r="AF142" s="133"/>
      <c r="AG142" s="133"/>
      <c r="AH142" s="133"/>
      <c r="AI142" s="133"/>
      <c r="AJ142" s="133"/>
      <c r="AN142" s="57"/>
      <c r="AZ142" s="133"/>
      <c r="BA142" s="133"/>
      <c r="BB142" s="133"/>
      <c r="BC142" s="133"/>
      <c r="BD142" s="133"/>
      <c r="BE142" s="133"/>
      <c r="BF142" s="133"/>
      <c r="BG142" s="133"/>
      <c r="BH142" s="133"/>
      <c r="BI142" s="133"/>
      <c r="BW142" s="693"/>
      <c r="BZ142" s="474"/>
      <c r="CA142" s="474"/>
      <c r="CB142" s="474"/>
      <c r="CC142" s="474"/>
      <c r="CD142" s="179"/>
      <c r="CE142" s="179"/>
      <c r="CF142" s="179"/>
      <c r="CG142" s="179"/>
      <c r="CH142" s="179"/>
      <c r="CI142" s="474"/>
      <c r="CK142" s="693"/>
      <c r="CN142" s="474"/>
      <c r="CO142" s="474"/>
      <c r="CP142" s="474"/>
      <c r="CQ142" s="474"/>
      <c r="CR142" s="179"/>
      <c r="CS142" s="179"/>
      <c r="CT142" s="179"/>
      <c r="CU142" s="179"/>
      <c r="CV142" s="179"/>
      <c r="CW142" s="474"/>
      <c r="CY142" s="693"/>
      <c r="DB142" s="474"/>
      <c r="DC142" s="474"/>
      <c r="DD142" s="474"/>
      <c r="DE142" s="474"/>
      <c r="DF142" s="179"/>
      <c r="DG142" s="179"/>
      <c r="DH142" s="179"/>
      <c r="DI142" s="179"/>
      <c r="DJ142" s="179"/>
      <c r="DK142" s="474"/>
      <c r="DM142" s="179"/>
      <c r="DP142" s="474"/>
      <c r="DQ142" s="474"/>
      <c r="DR142" s="474"/>
      <c r="DS142" s="474"/>
      <c r="DY142" s="474"/>
      <c r="EA142" s="179"/>
      <c r="ED142" s="474"/>
      <c r="EE142" s="474"/>
      <c r="EF142" s="474"/>
      <c r="EG142" s="474"/>
      <c r="EM142" s="474"/>
      <c r="EO142" s="179"/>
      <c r="ER142" s="474"/>
      <c r="ES142" s="474"/>
      <c r="ET142" s="474"/>
      <c r="EU142" s="474"/>
      <c r="FA142" s="474"/>
      <c r="FF142" s="693"/>
      <c r="FH142" s="133"/>
      <c r="FI142" s="689"/>
      <c r="FJ142" s="474"/>
      <c r="FK142" s="474"/>
      <c r="FQ142" s="474"/>
      <c r="FR142" s="474"/>
      <c r="FT142" s="693"/>
      <c r="FV142" s="133"/>
      <c r="FW142" s="689"/>
      <c r="FX142" s="474"/>
      <c r="FY142" s="474"/>
      <c r="GE142" s="474"/>
      <c r="GF142" s="474"/>
      <c r="GH142" s="693"/>
      <c r="GJ142" s="133"/>
      <c r="GK142" s="689"/>
      <c r="GL142" s="474"/>
      <c r="GM142" s="474"/>
      <c r="GS142" s="474"/>
      <c r="GT142" s="474"/>
      <c r="GU142" s="474"/>
      <c r="GV142" s="474"/>
      <c r="GW142" s="474"/>
      <c r="GX142" s="474"/>
      <c r="GY142" s="133"/>
      <c r="GZ142" s="133"/>
      <c r="HA142" s="133"/>
      <c r="HB142" s="133"/>
      <c r="HC142" s="133"/>
      <c r="HD142" s="133"/>
      <c r="HE142" s="474"/>
      <c r="HF142" s="474"/>
      <c r="HG142" s="474"/>
      <c r="HH142" s="474"/>
      <c r="HI142" s="474"/>
      <c r="HJ142" s="474"/>
      <c r="HK142" s="474"/>
      <c r="HL142" s="474"/>
      <c r="HM142" s="133"/>
      <c r="HN142" s="133"/>
      <c r="HO142" s="133"/>
      <c r="HP142" s="133"/>
      <c r="HQ142" s="133"/>
      <c r="HR142" s="133"/>
      <c r="HS142" s="474"/>
      <c r="HT142" s="474"/>
      <c r="HU142" s="474"/>
      <c r="HV142" s="474"/>
      <c r="HW142" s="474"/>
      <c r="HX142" s="474"/>
      <c r="HY142" s="474"/>
      <c r="HZ142" s="474"/>
      <c r="IA142" s="133"/>
      <c r="IB142" s="133"/>
      <c r="IC142" s="133"/>
      <c r="ID142" s="133"/>
      <c r="IE142" s="133"/>
      <c r="IF142" s="133"/>
      <c r="IG142" s="474"/>
      <c r="IH142" s="474"/>
      <c r="II142" s="474"/>
      <c r="IJ142" s="474"/>
      <c r="IK142" s="474"/>
      <c r="IL142" s="474"/>
      <c r="IM142" s="474"/>
      <c r="IN142" s="474"/>
      <c r="IO142" s="115"/>
      <c r="IP142" s="115"/>
      <c r="IQ142" s="115"/>
      <c r="IR142" s="115"/>
      <c r="IS142" s="115"/>
      <c r="IT142" s="115"/>
      <c r="IU142" s="115"/>
      <c r="IW142" s="133"/>
      <c r="IX142" s="133"/>
      <c r="IY142" s="133"/>
      <c r="IZ142" s="133"/>
      <c r="JA142" s="133"/>
      <c r="JB142" s="133"/>
      <c r="JC142" s="133"/>
      <c r="JD142" s="133"/>
      <c r="JE142" s="133"/>
      <c r="JF142" s="133"/>
      <c r="JG142" s="133"/>
      <c r="JH142" s="133"/>
      <c r="JI142" s="133"/>
      <c r="JJ142" s="133"/>
      <c r="JK142" s="133"/>
      <c r="JL142" s="133"/>
      <c r="JM142" s="133"/>
      <c r="JN142" s="133"/>
      <c r="JO142" s="133"/>
      <c r="JP142" s="133"/>
      <c r="JQ142" s="179"/>
      <c r="JR142" s="133"/>
      <c r="JS142" s="179"/>
      <c r="JT142" s="179"/>
      <c r="JU142" s="179"/>
      <c r="JV142" s="133"/>
      <c r="JW142" s="133"/>
      <c r="JX142" s="133"/>
      <c r="JY142" s="133"/>
      <c r="JZ142" s="133"/>
      <c r="KA142" s="133"/>
      <c r="KB142" s="133"/>
      <c r="KC142" s="133"/>
      <c r="KD142" s="133"/>
      <c r="KE142" s="133"/>
      <c r="KF142" s="133"/>
      <c r="KG142" s="133"/>
      <c r="KH142" s="133"/>
      <c r="KI142" s="133"/>
      <c r="KJ142" s="133"/>
      <c r="KK142" s="133"/>
      <c r="KL142" s="133"/>
      <c r="KM142" s="133"/>
      <c r="KN142" s="474"/>
      <c r="KO142" s="133"/>
      <c r="KP142" s="133"/>
      <c r="KQ142" s="133"/>
      <c r="KR142" s="133"/>
      <c r="KS142" s="474"/>
      <c r="KT142" s="133"/>
      <c r="KU142" s="133"/>
      <c r="KV142" s="133"/>
      <c r="KW142" s="133"/>
      <c r="KX142" s="474"/>
      <c r="KY142" s="133"/>
      <c r="KZ142" s="133"/>
      <c r="LA142" s="133"/>
      <c r="LB142" s="133"/>
      <c r="LC142" s="474"/>
      <c r="LD142" s="133"/>
      <c r="LE142" s="133"/>
      <c r="LF142" s="133"/>
      <c r="LG142" s="133"/>
      <c r="LH142" s="474"/>
      <c r="LI142" s="133"/>
      <c r="LJ142" s="133"/>
      <c r="LK142" s="133"/>
      <c r="LL142" s="133"/>
      <c r="LM142" s="474"/>
      <c r="LN142" s="133"/>
      <c r="LO142" s="133"/>
      <c r="LP142" s="133"/>
      <c r="LQ142" s="133"/>
      <c r="LR142" s="474"/>
      <c r="LS142" s="133"/>
      <c r="LT142" s="133"/>
      <c r="LU142" s="133"/>
      <c r="LV142" s="133"/>
      <c r="LW142" s="474"/>
      <c r="LX142" s="133"/>
      <c r="LY142" s="133"/>
      <c r="LZ142" s="133"/>
      <c r="MA142" s="133"/>
      <c r="MB142" s="474"/>
      <c r="MC142" s="133"/>
      <c r="MD142" s="133"/>
      <c r="ME142" s="133"/>
      <c r="MF142" s="133"/>
      <c r="MG142" s="474"/>
      <c r="MH142" s="133"/>
      <c r="MI142" s="133"/>
      <c r="MJ142" s="133"/>
      <c r="MK142" s="133"/>
      <c r="ML142" s="474"/>
      <c r="MM142" s="133"/>
      <c r="MN142" s="133"/>
      <c r="MO142" s="133"/>
      <c r="MP142" s="133"/>
      <c r="MQ142" s="474"/>
      <c r="MR142" s="133"/>
      <c r="MS142" s="474"/>
      <c r="MT142" s="474"/>
      <c r="MU142" s="474"/>
      <c r="MV142" s="474"/>
      <c r="MW142" s="474"/>
      <c r="MX142" s="474"/>
      <c r="MY142" s="474"/>
      <c r="MZ142" s="474"/>
      <c r="NA142" s="474"/>
      <c r="NB142" s="474"/>
      <c r="NC142" s="474"/>
      <c r="ND142" s="474"/>
      <c r="NE142" s="474"/>
      <c r="NF142" s="474"/>
      <c r="NG142" s="474"/>
      <c r="NH142" s="474"/>
      <c r="NI142" s="474"/>
      <c r="NJ142" s="474"/>
      <c r="NK142" s="474"/>
      <c r="NL142" s="474"/>
      <c r="NM142" s="474"/>
      <c r="NN142" s="474"/>
      <c r="NO142" s="474"/>
      <c r="NP142" s="474"/>
      <c r="NQ142" s="133"/>
      <c r="NR142" s="133"/>
      <c r="NS142" s="133"/>
      <c r="RU142" s="179"/>
      <c r="RV142" s="179"/>
      <c r="RW142" s="179"/>
      <c r="RX142" s="179"/>
      <c r="RY142" s="179"/>
      <c r="RZ142" s="179"/>
    </row>
    <row r="143" spans="1:494" x14ac:dyDescent="0.25">
      <c r="A143" s="74"/>
      <c r="W143" s="74"/>
      <c r="AF143" s="74"/>
      <c r="AG143" s="74"/>
      <c r="BW143" s="26"/>
      <c r="BZ143" s="73"/>
      <c r="CA143" s="73"/>
      <c r="CB143" s="73"/>
      <c r="CC143" s="73"/>
      <c r="CD143" s="115"/>
      <c r="CE143" s="115"/>
      <c r="CF143" s="115"/>
      <c r="CG143" s="115"/>
      <c r="CH143" s="115"/>
      <c r="CI143" s="73"/>
      <c r="CK143" s="26"/>
      <c r="CN143" s="73"/>
      <c r="CO143" s="73"/>
      <c r="CP143" s="73"/>
      <c r="CQ143" s="73"/>
      <c r="CW143" s="73"/>
      <c r="CX143" s="37"/>
      <c r="CY143" s="26"/>
      <c r="CZ143" s="37"/>
      <c r="DA143" s="37"/>
      <c r="DB143" s="73"/>
      <c r="DC143" s="73"/>
      <c r="DD143" s="73"/>
      <c r="DE143" s="73"/>
      <c r="DF143" s="115"/>
      <c r="DG143" s="115"/>
      <c r="DH143" s="115"/>
      <c r="DI143" s="115"/>
      <c r="DJ143" s="115"/>
      <c r="DK143" s="73"/>
      <c r="DL143" s="37"/>
      <c r="DM143" s="115"/>
      <c r="DN143" s="37"/>
      <c r="DO143" s="37"/>
      <c r="DP143" s="73"/>
      <c r="DQ143" s="73"/>
      <c r="DR143" s="73"/>
      <c r="DS143" s="73"/>
      <c r="DT143" s="37"/>
      <c r="DU143" s="37"/>
      <c r="DV143" s="37"/>
      <c r="DW143" s="37"/>
      <c r="DX143" s="37"/>
      <c r="DY143" s="73"/>
      <c r="EA143" s="115"/>
      <c r="ED143" s="73"/>
      <c r="EE143" s="73"/>
      <c r="EF143" s="73"/>
      <c r="EG143" s="73"/>
      <c r="EM143" s="73"/>
      <c r="EN143" s="37"/>
      <c r="EO143" s="115"/>
      <c r="EP143" s="37"/>
      <c r="EQ143" s="37"/>
      <c r="ER143" s="73"/>
      <c r="ES143" s="73"/>
      <c r="ET143" s="73"/>
      <c r="EU143" s="73"/>
      <c r="EV143" s="37"/>
      <c r="EW143" s="37"/>
      <c r="EX143" s="37"/>
      <c r="EY143" s="37"/>
      <c r="EZ143" s="37"/>
      <c r="FA143" s="73"/>
      <c r="FF143" s="26"/>
      <c r="FH143" s="74"/>
      <c r="FI143" s="55"/>
      <c r="FJ143" s="73"/>
      <c r="FK143" s="73"/>
      <c r="FQ143" s="73"/>
      <c r="FR143" s="73"/>
      <c r="FT143" s="26"/>
      <c r="FW143" s="55"/>
      <c r="FX143" s="73"/>
      <c r="FY143" s="73"/>
      <c r="FZ143" s="37"/>
      <c r="GE143" s="73"/>
      <c r="GF143" s="73"/>
      <c r="GH143" s="26"/>
      <c r="GJ143" s="74"/>
      <c r="GK143" s="55"/>
      <c r="GL143" s="73"/>
      <c r="GM143" s="73"/>
      <c r="GS143" s="73"/>
      <c r="GT143" s="73"/>
      <c r="GU143" s="73"/>
      <c r="GV143" s="73"/>
      <c r="GW143" s="73"/>
      <c r="GX143" s="73"/>
      <c r="HB143" s="74"/>
      <c r="HD143" s="74"/>
      <c r="HE143" s="73"/>
      <c r="HF143" s="73"/>
      <c r="HG143" s="73"/>
      <c r="HH143" s="73"/>
      <c r="HI143" s="73"/>
      <c r="HJ143" s="73"/>
      <c r="HK143" s="73"/>
      <c r="HL143" s="73"/>
      <c r="HS143" s="73"/>
      <c r="HT143" s="73"/>
      <c r="HU143" s="73"/>
      <c r="HV143" s="73"/>
      <c r="HW143" s="73"/>
      <c r="HX143" s="73"/>
      <c r="HY143" s="73"/>
      <c r="HZ143" s="73"/>
      <c r="IA143" s="133"/>
      <c r="IB143" s="133"/>
      <c r="IC143" s="133"/>
      <c r="IE143" s="133"/>
      <c r="IG143" s="73"/>
      <c r="IH143" s="73"/>
      <c r="II143" s="73"/>
      <c r="IJ143" s="73"/>
      <c r="IK143" s="73"/>
      <c r="IL143" s="73"/>
      <c r="IM143" s="73"/>
      <c r="IN143" s="73"/>
      <c r="JQ143" s="115"/>
      <c r="JS143" s="115"/>
      <c r="JT143" s="115"/>
      <c r="JU143" s="115"/>
      <c r="KJ143" s="74"/>
      <c r="KK143" s="74"/>
      <c r="KL143" s="74"/>
      <c r="KM143" s="74"/>
      <c r="KN143" s="73"/>
      <c r="KO143" s="74"/>
      <c r="KP143" s="74"/>
      <c r="KQ143" s="74"/>
      <c r="KR143" s="74"/>
      <c r="KS143" s="73"/>
      <c r="KX143" s="73"/>
      <c r="LC143" s="73"/>
      <c r="LH143" s="73"/>
      <c r="LM143" s="73"/>
      <c r="LR143" s="73"/>
      <c r="LW143" s="73"/>
      <c r="MB143" s="73"/>
      <c r="MG143" s="73"/>
      <c r="ML143" s="73"/>
      <c r="MQ143" s="73"/>
      <c r="MS143" s="73"/>
      <c r="MT143" s="73"/>
      <c r="MU143" s="73"/>
      <c r="MV143" s="73"/>
      <c r="MW143" s="73"/>
      <c r="MX143" s="73"/>
      <c r="MY143" s="73"/>
      <c r="MZ143" s="73"/>
      <c r="NA143" s="73"/>
      <c r="NB143" s="73"/>
      <c r="NC143" s="73"/>
      <c r="ND143" s="73"/>
      <c r="NE143" s="73"/>
      <c r="NF143" s="73"/>
      <c r="NG143" s="73"/>
      <c r="NH143" s="73"/>
      <c r="NI143" s="73"/>
      <c r="NJ143" s="73"/>
      <c r="NK143" s="73"/>
      <c r="NL143" s="73"/>
      <c r="NM143" s="73"/>
      <c r="NN143" s="73"/>
      <c r="NO143" s="73"/>
      <c r="NP143" s="73"/>
    </row>
    <row r="144" spans="1:494" x14ac:dyDescent="0.25">
      <c r="A144" s="66" t="s">
        <v>264</v>
      </c>
      <c r="W144" s="74"/>
      <c r="AF144" s="74"/>
      <c r="AG144" s="74"/>
      <c r="BW144" s="26"/>
      <c r="BZ144" s="73"/>
      <c r="CA144" s="73"/>
      <c r="CB144" s="73"/>
      <c r="CC144" s="73"/>
      <c r="CD144" s="115"/>
      <c r="CE144" s="115"/>
      <c r="CF144" s="115"/>
      <c r="CG144" s="115"/>
      <c r="CH144" s="115"/>
      <c r="CI144" s="73"/>
      <c r="CK144" s="26"/>
      <c r="CN144" s="73"/>
      <c r="CO144" s="73"/>
      <c r="CP144" s="73"/>
      <c r="CQ144" s="73"/>
      <c r="CW144" s="73"/>
      <c r="CX144" s="37"/>
      <c r="CY144" s="26"/>
      <c r="CZ144" s="37"/>
      <c r="DA144" s="37"/>
      <c r="DB144" s="73"/>
      <c r="DC144" s="73"/>
      <c r="DD144" s="73"/>
      <c r="DE144" s="73"/>
      <c r="DF144" s="115"/>
      <c r="DG144" s="115"/>
      <c r="DH144" s="115"/>
      <c r="DI144" s="115"/>
      <c r="DJ144" s="115"/>
      <c r="DK144" s="73"/>
      <c r="DL144" s="37"/>
      <c r="DM144" s="115"/>
      <c r="DN144" s="37"/>
      <c r="DO144" s="37"/>
      <c r="DP144" s="73"/>
      <c r="DQ144" s="73"/>
      <c r="DR144" s="73"/>
      <c r="DS144" s="73"/>
      <c r="DT144" s="37"/>
      <c r="DU144" s="37"/>
      <c r="DV144" s="37"/>
      <c r="DW144" s="37"/>
      <c r="DX144" s="37"/>
      <c r="DY144" s="73"/>
      <c r="EA144" s="115"/>
      <c r="ED144" s="73"/>
      <c r="EE144" s="73"/>
      <c r="EF144" s="73"/>
      <c r="EG144" s="73"/>
      <c r="EM144" s="73"/>
      <c r="EN144" s="37"/>
      <c r="EO144" s="115"/>
      <c r="EP144" s="37"/>
      <c r="EQ144" s="37"/>
      <c r="ER144" s="73"/>
      <c r="ES144" s="73"/>
      <c r="ET144" s="73"/>
      <c r="EU144" s="73"/>
      <c r="EV144" s="37"/>
      <c r="EW144" s="37"/>
      <c r="EX144" s="37"/>
      <c r="EY144" s="37"/>
      <c r="EZ144" s="37"/>
      <c r="FA144" s="73"/>
      <c r="FF144" s="26"/>
      <c r="FH144" s="74"/>
      <c r="FI144" s="55"/>
      <c r="FJ144" s="73"/>
      <c r="FK144" s="73"/>
      <c r="FQ144" s="73"/>
      <c r="FR144" s="73"/>
      <c r="FT144" s="26"/>
      <c r="FW144" s="55"/>
      <c r="FX144" s="73"/>
      <c r="FY144" s="73"/>
      <c r="FZ144" s="37"/>
      <c r="GE144" s="73"/>
      <c r="GF144" s="73"/>
      <c r="GH144" s="26"/>
      <c r="GJ144" s="74"/>
      <c r="GK144" s="55"/>
      <c r="GL144" s="73"/>
      <c r="GM144" s="73"/>
      <c r="GS144" s="73"/>
      <c r="GT144" s="73"/>
      <c r="GU144" s="73"/>
      <c r="GV144" s="73"/>
      <c r="GW144" s="73"/>
      <c r="GX144" s="55">
        <f>GX145+GX146</f>
        <v>0</v>
      </c>
      <c r="GY144" s="474"/>
      <c r="GZ144" s="474"/>
      <c r="HA144" s="474"/>
      <c r="HB144" s="74"/>
      <c r="HC144" s="474"/>
      <c r="HD144" s="74"/>
      <c r="HE144" s="73"/>
      <c r="HF144" s="73"/>
      <c r="HG144" s="73"/>
      <c r="HH144" s="73"/>
      <c r="HI144" s="73"/>
      <c r="HJ144" s="73"/>
      <c r="HK144" s="73"/>
      <c r="HL144" s="73"/>
      <c r="HM144" s="474"/>
      <c r="HN144" s="474"/>
      <c r="HO144" s="474"/>
      <c r="HQ144" s="474"/>
      <c r="HS144" s="73"/>
      <c r="HT144" s="73"/>
      <c r="HU144" s="73"/>
      <c r="HV144" s="73"/>
      <c r="HW144" s="73"/>
      <c r="HX144" s="73"/>
      <c r="HY144" s="73"/>
      <c r="HZ144" s="73"/>
      <c r="IA144" s="474"/>
      <c r="IB144" s="474"/>
      <c r="IC144" s="474"/>
      <c r="IE144" s="474"/>
      <c r="IG144" s="73"/>
      <c r="IH144" s="73"/>
      <c r="II144" s="73"/>
      <c r="IJ144" s="73"/>
      <c r="IK144" s="73"/>
      <c r="IL144" s="73"/>
      <c r="IM144" s="73"/>
      <c r="IN144" s="73"/>
      <c r="IO144" s="68">
        <f>IP144+IQ144+IR144+IS144+IT144+IU144</f>
        <v>0</v>
      </c>
      <c r="IP144" s="97">
        <f>JS144*$W145</f>
        <v>0</v>
      </c>
      <c r="IQ144" s="97">
        <f>JU144*$W145</f>
        <v>0</v>
      </c>
      <c r="IR144" s="97">
        <f>JX144*$W145</f>
        <v>0</v>
      </c>
      <c r="IS144" s="97">
        <f>KB144*$W145</f>
        <v>0</v>
      </c>
      <c r="IT144" s="97">
        <f>KF144*$W145</f>
        <v>0</v>
      </c>
      <c r="IU144" s="97">
        <f>KH144*$W145</f>
        <v>0</v>
      </c>
      <c r="JK144" s="127">
        <f>JM144+JN144+JO144</f>
        <v>2.0491770466832495</v>
      </c>
      <c r="JL144" s="679">
        <f>10^3*JK144/NY145</f>
        <v>55.085404480732507</v>
      </c>
      <c r="JM144" s="179">
        <f>JS144+KB144</f>
        <v>1.3793364861457016</v>
      </c>
      <c r="JN144" s="179">
        <f>JU144+KF144</f>
        <v>0.62360505717223191</v>
      </c>
      <c r="JO144" s="179">
        <f>JX144+KH144</f>
        <v>4.6235503365315768E-2</v>
      </c>
      <c r="JP144" s="469">
        <f>JK144*C145</f>
        <v>2.0471278696365665</v>
      </c>
      <c r="JQ144" s="115">
        <f>JR144*$NY145/10^3</f>
        <v>1.6846170466832493</v>
      </c>
      <c r="JR144" s="73">
        <f>JT144+JV144+JY144</f>
        <v>45.285404480732502</v>
      </c>
      <c r="JS144" s="115">
        <f>JB89</f>
        <v>1.0333764861457015</v>
      </c>
      <c r="JT144" s="213">
        <f>10^3*JS144/$NY145</f>
        <v>27.778937799615633</v>
      </c>
      <c r="JU144" s="115">
        <f>JC89</f>
        <v>0.62360505717223191</v>
      </c>
      <c r="JV144" s="213">
        <f>10^3*JU144/$NY145</f>
        <v>16.763576805705156</v>
      </c>
      <c r="JX144" s="115">
        <f>JD89</f>
        <v>2.7635503365315766E-2</v>
      </c>
      <c r="JY144" s="213">
        <f>10^3*JX144/$NY145</f>
        <v>0.74288987541171414</v>
      </c>
      <c r="JZ144" s="115">
        <f>KB144+KF144+KH144</f>
        <v>0.36456000000000005</v>
      </c>
      <c r="KA144" s="73">
        <f>KC144+KG144+KI144</f>
        <v>9.8000000000000007</v>
      </c>
      <c r="KB144" s="127">
        <f>KC144*$NY145/10^3</f>
        <v>0.34596000000000005</v>
      </c>
      <c r="KC144" s="80">
        <v>9.3000000000000007</v>
      </c>
      <c r="KD144" s="725">
        <v>0.68</v>
      </c>
      <c r="KE144" s="474">
        <f>KC144/KD144</f>
        <v>13.676470588235293</v>
      </c>
      <c r="KF144" s="127">
        <f>KG144*$NY145/10^3</f>
        <v>0</v>
      </c>
      <c r="KG144" s="84">
        <v>0</v>
      </c>
      <c r="KH144" s="127">
        <f>KI144*$NY145/10^3</f>
        <v>1.8600000000000002E-2</v>
      </c>
      <c r="KI144" s="84">
        <v>0.5</v>
      </c>
      <c r="KJ144" s="74"/>
      <c r="KK144" s="74"/>
      <c r="KL144" s="74"/>
      <c r="KM144" s="74"/>
      <c r="KN144" s="73"/>
      <c r="KO144" s="74"/>
      <c r="KP144" s="74"/>
      <c r="KQ144" s="74"/>
      <c r="KR144" s="74"/>
      <c r="KS144" s="73"/>
      <c r="KX144" s="73"/>
      <c r="LC144" s="73"/>
      <c r="LH144" s="73"/>
      <c r="LM144" s="73"/>
      <c r="LR144" s="73"/>
      <c r="LW144" s="73"/>
      <c r="MB144" s="73"/>
      <c r="MG144" s="73"/>
      <c r="ML144" s="73"/>
      <c r="MQ144" s="73"/>
      <c r="MS144" s="73"/>
      <c r="MT144" s="73"/>
      <c r="MU144" s="73"/>
      <c r="MV144" s="73"/>
      <c r="MW144" s="73"/>
      <c r="MX144" s="73"/>
      <c r="MY144" s="73"/>
      <c r="MZ144" s="73"/>
      <c r="NA144" s="73"/>
      <c r="NB144" s="73"/>
      <c r="NC144" s="73"/>
      <c r="ND144" s="73"/>
      <c r="NE144" s="73"/>
      <c r="NF144" s="73"/>
      <c r="NG144" s="73"/>
      <c r="NH144" s="73"/>
      <c r="NI144" s="73"/>
      <c r="NJ144" s="73"/>
      <c r="NK144" s="73"/>
      <c r="NL144" s="73"/>
      <c r="NM144" s="73"/>
      <c r="NN144" s="73"/>
      <c r="NO144" s="73"/>
      <c r="NP144" s="73"/>
    </row>
    <row r="145" spans="1:494" x14ac:dyDescent="0.25">
      <c r="A145" s="74" t="s">
        <v>521</v>
      </c>
      <c r="C145" s="52">
        <f>D145</f>
        <v>0.999</v>
      </c>
      <c r="D145" s="134">
        <v>0.999</v>
      </c>
      <c r="E145" s="318"/>
      <c r="F145" s="318"/>
      <c r="G145" s="460">
        <f>H145*'Crops; pasture AMORTIZED'!HB40</f>
        <v>15.043501440000002</v>
      </c>
      <c r="H145" s="458">
        <f>K145*NZ145*AB28/10^4</f>
        <v>16.351632000000002</v>
      </c>
      <c r="I145" s="459"/>
      <c r="J145" s="83"/>
      <c r="K145" s="679">
        <f>10^4*$C89*($C145/$NU145)/AB28</f>
        <v>811.50334470922337</v>
      </c>
      <c r="L145" s="73">
        <f>10^4*$C89*($C145/$NU145)/AC28</f>
        <v>822.42169887640455</v>
      </c>
      <c r="M145" s="73">
        <f>10^4*$C89*($C145/$NU145)/AD28</f>
        <v>749.72143820224721</v>
      </c>
      <c r="W145" s="74"/>
      <c r="AE145" s="734">
        <f>AE89*$AN145/$D145</f>
        <v>8.5716192732883147</v>
      </c>
      <c r="AF145" s="74"/>
      <c r="AG145" s="115">
        <f>AG89*$AN145/$D145</f>
        <v>8.4578236680168857</v>
      </c>
      <c r="AI145" s="115">
        <f>AI89*$AN145/$D145</f>
        <v>9.2779762661276148</v>
      </c>
      <c r="AN145" s="39">
        <v>1</v>
      </c>
      <c r="BV145" s="26">
        <f>BW145*$NT145</f>
        <v>2.5056008462329151</v>
      </c>
      <c r="BW145" s="26">
        <f>BZ145*$NW145/10^3</f>
        <v>2.5056008462329151</v>
      </c>
      <c r="BZ145" s="73">
        <f>BZ89*$AN145/$D145</f>
        <v>62.640021155822879</v>
      </c>
      <c r="CA145" s="677">
        <f>10^3*BW145/$NY145</f>
        <v>67.354861457874051</v>
      </c>
      <c r="CB145" s="115">
        <f>BW145*$NT145*$NU145</f>
        <v>2.2299847531472943</v>
      </c>
      <c r="CC145" s="73"/>
      <c r="CD145" s="115"/>
      <c r="CE145" s="115"/>
      <c r="CF145" s="115"/>
      <c r="CG145" s="115"/>
      <c r="CH145" s="115"/>
      <c r="CI145" s="115"/>
      <c r="CJ145" s="26">
        <f>CK145*$NT145</f>
        <v>2.587426153930144</v>
      </c>
      <c r="CK145" s="26">
        <f>CN145*$NW145/10^3</f>
        <v>2.587426153930144</v>
      </c>
      <c r="CN145" s="73">
        <f>CN89*$AN145/$D145</f>
        <v>64.685653848253594</v>
      </c>
      <c r="CO145" s="677">
        <f>10^3*CK145/$NY145</f>
        <v>69.554466503498489</v>
      </c>
      <c r="CP145" s="115">
        <f>CK145*$NT145*$NU145</f>
        <v>2.3028092769978281</v>
      </c>
      <c r="CQ145" s="73"/>
      <c r="CW145" s="115"/>
      <c r="CX145" s="26">
        <f>CY145*$NT145</f>
        <v>1.9873778071278454</v>
      </c>
      <c r="CY145" s="26">
        <f>DB145*$NW145/10^3</f>
        <v>1.9873778071278454</v>
      </c>
      <c r="CZ145" s="37"/>
      <c r="DA145" s="37"/>
      <c r="DB145" s="73">
        <f>DB89*$AN145/$D145</f>
        <v>49.684445178196135</v>
      </c>
      <c r="DC145" s="677">
        <f>10^3*CY145/$NY145</f>
        <v>53.424134600210898</v>
      </c>
      <c r="DD145" s="115">
        <f>CY145*$NT145*$NU145</f>
        <v>1.7687662483437825</v>
      </c>
      <c r="DE145" s="73"/>
      <c r="DF145" s="115"/>
      <c r="DG145" s="115"/>
      <c r="DH145" s="115"/>
      <c r="DI145" s="115"/>
      <c r="DJ145" s="115"/>
      <c r="DK145" s="115"/>
      <c r="DL145" s="26">
        <f>DM145*$NT145</f>
        <v>2.139983417640122</v>
      </c>
      <c r="DM145" s="115">
        <f>DP145*$NW145/10^3</f>
        <v>2.139983417640122</v>
      </c>
      <c r="DN145" s="37"/>
      <c r="DO145" s="37"/>
      <c r="DP145" s="73">
        <f>DP89*$AN145/$D145</f>
        <v>53.499585441003049</v>
      </c>
      <c r="DQ145" s="677">
        <f>10^3*DM145/$NY145</f>
        <v>57.526435958067786</v>
      </c>
      <c r="DR145" s="115">
        <f>DM145*$NT145*$NU145</f>
        <v>1.9045852416997087</v>
      </c>
      <c r="DS145" s="73"/>
      <c r="DT145" s="37"/>
      <c r="DU145" s="37"/>
      <c r="DV145" s="37"/>
      <c r="DW145" s="37"/>
      <c r="DX145" s="37"/>
      <c r="DY145" s="115"/>
      <c r="DZ145" s="26">
        <f>EA145*$NT145</f>
        <v>2.2089552550683464</v>
      </c>
      <c r="EA145" s="115">
        <f>ED145*$NW145/10^3</f>
        <v>2.2089552550683464</v>
      </c>
      <c r="ED145" s="73">
        <f>ED89*$AN145/$D145</f>
        <v>55.223881376708668</v>
      </c>
      <c r="EE145" s="677">
        <f>10^3*EA145/$NY145</f>
        <v>59.380517609364148</v>
      </c>
      <c r="EF145" s="115">
        <f>EA145*$NT145*$NU145</f>
        <v>1.9659701770108284</v>
      </c>
      <c r="EG145" s="73"/>
      <c r="EM145" s="115"/>
      <c r="EN145" s="26">
        <f>EO145*$NT145</f>
        <v>1.7118584513007273</v>
      </c>
      <c r="EO145" s="115">
        <f>ER145*$NW145/10^3</f>
        <v>1.7118584513007273</v>
      </c>
      <c r="EP145" s="37"/>
      <c r="EQ145" s="37"/>
      <c r="ER145" s="73">
        <f>ER89*$AN145/$D145</f>
        <v>42.796461282518187</v>
      </c>
      <c r="ES145" s="677">
        <f>10^3*EO145/$NY145</f>
        <v>46.017700303782995</v>
      </c>
      <c r="ET145" s="115">
        <f>EO145*$NT145*$NU145</f>
        <v>1.5235540216576473</v>
      </c>
      <c r="EU145" s="73"/>
      <c r="EV145" s="37"/>
      <c r="EW145" s="37"/>
      <c r="EX145" s="37"/>
      <c r="EY145" s="37"/>
      <c r="EZ145" s="37"/>
      <c r="FA145" s="115"/>
      <c r="FE145" s="26">
        <f>FF145*$NT145</f>
        <v>4.2615781485550874</v>
      </c>
      <c r="FF145" s="26">
        <f>FI145*$NW145/10^3</f>
        <v>4.2615781485550874</v>
      </c>
      <c r="FH145" s="74"/>
      <c r="FI145" s="562">
        <f>FI89*$AN145/$D145</f>
        <v>106.53945371387719</v>
      </c>
      <c r="FJ145" s="73">
        <f>10^3*FE145/$NY145</f>
        <v>114.55855238051311</v>
      </c>
      <c r="FK145" s="115">
        <f>FF145*$NT145*$NU145</f>
        <v>3.7928045522140277</v>
      </c>
      <c r="FL145" s="26"/>
      <c r="FQ145" s="73"/>
      <c r="FR145" s="115"/>
      <c r="FS145" s="26">
        <f>FT145*$NT145</f>
        <v>4.3989291545614551</v>
      </c>
      <c r="FT145" s="26">
        <f>FW145*$NW145/10^3</f>
        <v>4.3989291545614551</v>
      </c>
      <c r="FW145" s="562">
        <f>FW89*$AN145/$D145</f>
        <v>109.97322886403637</v>
      </c>
      <c r="FX145" s="73">
        <f>10^3*FS145/$NY145</f>
        <v>118.25078372477029</v>
      </c>
      <c r="FY145" s="115">
        <f>FT145*$NT145*$NU145</f>
        <v>3.915046947559695</v>
      </c>
      <c r="FZ145" s="26"/>
      <c r="GE145" s="73"/>
      <c r="GF145" s="115"/>
      <c r="GG145" s="26">
        <f>GH145*$NT145</f>
        <v>3.4090070555440906</v>
      </c>
      <c r="GH145" s="26">
        <f>GK145*$NW145/10^3</f>
        <v>3.4090070555440906</v>
      </c>
      <c r="GJ145" s="74"/>
      <c r="GK145" s="562">
        <f>GK89*$AN145/$D145</f>
        <v>85.225176388602264</v>
      </c>
      <c r="GL145" s="73">
        <f>10^3*GG145/$NY145</f>
        <v>91.639974611400277</v>
      </c>
      <c r="GM145" s="115">
        <f>GH145*$NT145*$NU145</f>
        <v>3.0340162794342405</v>
      </c>
      <c r="GN145" s="26"/>
      <c r="GS145" s="73"/>
      <c r="GT145" s="115"/>
      <c r="GU145" s="115"/>
      <c r="GV145" s="115"/>
      <c r="GW145" s="115"/>
      <c r="GX145" s="68">
        <f>GZ145*$W145</f>
        <v>0</v>
      </c>
      <c r="GY145" s="26">
        <f>GZ145*$NT145</f>
        <v>0.95111543093174444</v>
      </c>
      <c r="GZ145" s="26">
        <f>HC145*$NW145/10^3</f>
        <v>0.95111543093174444</v>
      </c>
      <c r="HA145" s="474"/>
      <c r="HB145" s="74"/>
      <c r="HC145" s="673">
        <f>HC89*$AN145/$D145</f>
        <v>23.777885773293612</v>
      </c>
      <c r="HD145" s="73">
        <f>10^3*GZ145/$NY145</f>
        <v>25.567619111068396</v>
      </c>
      <c r="HE145" s="115">
        <f>GZ145*$NT145*$NU145</f>
        <v>0.84649273352925258</v>
      </c>
      <c r="HF145" s="115"/>
      <c r="HG145" s="115"/>
      <c r="HH145" s="115"/>
      <c r="HI145" s="115"/>
      <c r="HJ145" s="115"/>
      <c r="HK145" s="115"/>
      <c r="HL145" s="115"/>
      <c r="HM145" s="115">
        <f>HN145*$NT145</f>
        <v>1.0844220332023473</v>
      </c>
      <c r="HN145" s="115">
        <f>HQ145*$NW145/10^3</f>
        <v>1.0844220332023473</v>
      </c>
      <c r="HO145" s="474"/>
      <c r="HQ145" s="73">
        <f>HQ89*$AN145/$D145</f>
        <v>27.110550830058685</v>
      </c>
      <c r="HR145" s="73">
        <f>10^3*HN145/$NY145</f>
        <v>29.151129924794283</v>
      </c>
      <c r="HS145" s="115">
        <f>HN145*$NT145*$NU145</f>
        <v>0.96513560955008915</v>
      </c>
      <c r="HT145" s="115"/>
      <c r="HU145" s="115"/>
      <c r="HV145" s="115"/>
      <c r="HW145" s="115"/>
      <c r="HX145" s="115"/>
      <c r="HY145" s="115"/>
      <c r="HZ145" s="115"/>
      <c r="IA145" s="115">
        <f>IB145*$NT145</f>
        <v>0.12364893535936253</v>
      </c>
      <c r="IB145" s="115">
        <f>IE145*$NW145/10^3</f>
        <v>0.12364893535936253</v>
      </c>
      <c r="IC145" s="474"/>
      <c r="IE145" s="73">
        <f>IE89*$AN145/$D145</f>
        <v>3.091223383984063</v>
      </c>
      <c r="IF145" s="73">
        <f>10^3*IB145/$NY145</f>
        <v>3.3238961118108201</v>
      </c>
      <c r="IG145" s="115">
        <f>IB145*$NT145*$NU145</f>
        <v>0.11004755246983265</v>
      </c>
      <c r="IH145" s="115"/>
      <c r="II145" s="115"/>
      <c r="IJ145" s="115"/>
      <c r="IK145" s="115"/>
      <c r="IL145" s="115"/>
      <c r="IM145" s="115"/>
      <c r="IN145" s="115"/>
      <c r="IV145" s="26">
        <f>IW145*$NT145</f>
        <v>2.0491770466832495</v>
      </c>
      <c r="IW145" s="115">
        <f>AN145*JK144</f>
        <v>2.0491770466832495</v>
      </c>
      <c r="IX145" s="73"/>
      <c r="IZ145" s="673">
        <f>AN145*JL144</f>
        <v>55.085404480732507</v>
      </c>
      <c r="JA145" s="115">
        <f>IW145*$NT145*$NU145</f>
        <v>1.8237675715480921</v>
      </c>
      <c r="JB145" s="115">
        <f>$IW145*JM144/$JK144</f>
        <v>1.3793364861457016</v>
      </c>
      <c r="JC145" s="115">
        <f>$IW145*JN144/$JK144</f>
        <v>0.62360505717223191</v>
      </c>
      <c r="JD145" s="115">
        <f>$IW145*JO144/$JK144</f>
        <v>4.6235503365315768E-2</v>
      </c>
      <c r="JE145" s="115"/>
      <c r="JF145" s="73"/>
      <c r="JG145" s="73"/>
      <c r="JH145" s="73"/>
      <c r="JI145" s="73"/>
      <c r="JJ145" s="73"/>
      <c r="JR145" s="73"/>
      <c r="KB145" s="115"/>
      <c r="KC145" s="66"/>
      <c r="KD145" s="725"/>
      <c r="KE145" s="474"/>
      <c r="KF145" s="474"/>
      <c r="KG145" s="474"/>
      <c r="KH145" s="474"/>
      <c r="KI145" s="474"/>
      <c r="KJ145" s="115">
        <f>BW145*44/12+$IW145+$GZ145</f>
        <v>12.187495580469017</v>
      </c>
      <c r="KK145" s="677">
        <f>10^3*KJ145/$NY145</f>
        <v>327.62084893733913</v>
      </c>
      <c r="KL145" s="74"/>
      <c r="KM145" s="74"/>
      <c r="KN145" s="115">
        <f>KJ145*$NT145*$NU145</f>
        <v>10.846871066617425</v>
      </c>
      <c r="KO145" s="74"/>
      <c r="KP145" s="74"/>
      <c r="KQ145" s="74"/>
      <c r="KR145" s="74"/>
      <c r="KS145" s="115"/>
      <c r="KT145" s="115">
        <f>CK145*44/12+$IW145+$HN145</f>
        <v>12.620828310962791</v>
      </c>
      <c r="KU145" s="677">
        <f>10^3*KT145/$NY145</f>
        <v>339.2695782516879</v>
      </c>
      <c r="KX145" s="115">
        <f>KT145*$NT145*$NU145</f>
        <v>11.232537196756883</v>
      </c>
      <c r="LC145" s="115"/>
      <c r="LD145" s="115">
        <f>CY145*44/12+$IW145+$IB145</f>
        <v>9.4598779415113796</v>
      </c>
      <c r="LE145" s="677">
        <f>10^3*LD145/$NY145</f>
        <v>254.29779412664999</v>
      </c>
      <c r="LH145" s="115">
        <f>LD145*$NT145*$NU145</f>
        <v>8.419291367945128</v>
      </c>
      <c r="LM145" s="115"/>
      <c r="LN145" s="115">
        <f>DM145*44/12+$IW145+$GZ145</f>
        <v>10.846898342295441</v>
      </c>
      <c r="LO145" s="677">
        <f>10^3*LN145/$NY145</f>
        <v>291.5832887713828</v>
      </c>
      <c r="LR145" s="115">
        <f>LN145*$NT145*$NU145</f>
        <v>9.6537395246429423</v>
      </c>
      <c r="LW145" s="115"/>
      <c r="LX145" s="115">
        <f>EA145*44/12+$IW145+$HN145</f>
        <v>11.233101681802868</v>
      </c>
      <c r="LY145" s="677">
        <f>10^3*LX145/$NY145</f>
        <v>301.96509897319532</v>
      </c>
      <c r="MB145" s="115">
        <f>LX145*$NT145*$NU145</f>
        <v>9.9974604968045533</v>
      </c>
      <c r="MG145" s="115"/>
      <c r="MH145" s="115">
        <f>EO145*44/12+$IW145+$IB145</f>
        <v>8.4496403034786134</v>
      </c>
      <c r="MI145" s="677">
        <f>10^3*MH145/$NY145</f>
        <v>227.14086837308096</v>
      </c>
      <c r="ML145" s="115">
        <f>MH145*$NT145*$NU145</f>
        <v>7.5201798700959657</v>
      </c>
      <c r="MQ145" s="115"/>
      <c r="MR145" s="295">
        <v>88</v>
      </c>
      <c r="MS145" s="676">
        <f>KK145-$MR145</f>
        <v>239.62084893733913</v>
      </c>
      <c r="MT145" s="115">
        <f>MS145*$NZ145/10^3</f>
        <v>7.933367066617425</v>
      </c>
      <c r="MU145" s="115"/>
      <c r="MV145" s="115"/>
      <c r="MW145" s="676">
        <f>KU145-$MR145</f>
        <v>251.2695782516879</v>
      </c>
      <c r="MX145" s="115">
        <f>MW145*$NZ145/10^3</f>
        <v>8.3190331967568838</v>
      </c>
      <c r="MY145" s="115"/>
      <c r="MZ145" s="115"/>
      <c r="NA145" s="676">
        <f>LE145-$MR145</f>
        <v>166.29779412664999</v>
      </c>
      <c r="NB145" s="115">
        <f>NA145*$NZ145/10^3</f>
        <v>5.5057873679451284</v>
      </c>
      <c r="NC145" s="115"/>
      <c r="ND145" s="115"/>
      <c r="NE145" s="676">
        <f>LO145-$MR145</f>
        <v>203.5832887713828</v>
      </c>
      <c r="NF145" s="115">
        <f>NE145*$NZ145/10^3</f>
        <v>6.7402355246429426</v>
      </c>
      <c r="NG145" s="115"/>
      <c r="NH145" s="115"/>
      <c r="NI145" s="676">
        <f>LY145-$MR145</f>
        <v>213.96509897319532</v>
      </c>
      <c r="NJ145" s="115">
        <f>NI145*$NZ145/10^3</f>
        <v>7.0839564968045519</v>
      </c>
      <c r="NK145" s="115"/>
      <c r="NL145" s="115"/>
      <c r="NM145" s="676">
        <f>MI145-$MR145</f>
        <v>139.14086837308096</v>
      </c>
      <c r="NN145" s="115">
        <f>NM145*$NZ145/10^3</f>
        <v>4.6066758700959651</v>
      </c>
      <c r="NO145" s="115"/>
      <c r="NP145" s="115"/>
      <c r="NQ145" s="73">
        <f>44/12*CA145*'Amortization metrics'!$D$4/($MR145-$IZ145)</f>
        <v>225.09876373929788</v>
      </c>
      <c r="NR145" s="73">
        <f>44/12*CO145*'Amortization metrics'!$D$4/($MR145-$IZ145)</f>
        <v>232.44980516033104</v>
      </c>
      <c r="NS145" s="73">
        <f>44/12*DC145*'Amortization metrics'!$D$4/($MR145-$IZ145)</f>
        <v>178.54251930828474</v>
      </c>
      <c r="NT145" s="31">
        <v>1</v>
      </c>
      <c r="NU145" s="103">
        <v>0.89</v>
      </c>
      <c r="NV145" s="32">
        <f>$NT145*NW145</f>
        <v>40</v>
      </c>
      <c r="NW145" s="9">
        <v>40</v>
      </c>
      <c r="NX145" s="26">
        <f>NV145*NU145</f>
        <v>35.6</v>
      </c>
      <c r="NY145" s="9">
        <v>37.200000000000003</v>
      </c>
      <c r="NZ145" s="26">
        <f>NY145*NT145*NU145</f>
        <v>33.108000000000004</v>
      </c>
    </row>
    <row r="146" spans="1:494" x14ac:dyDescent="0.25">
      <c r="A146" s="74" t="s">
        <v>293</v>
      </c>
      <c r="D146" s="134">
        <v>0</v>
      </c>
      <c r="E146" s="83"/>
      <c r="F146" s="83"/>
      <c r="G146" s="83"/>
      <c r="H146" s="83"/>
      <c r="I146" s="83"/>
      <c r="J146" s="83"/>
      <c r="K146" s="83"/>
      <c r="L146" s="83"/>
      <c r="M146" s="83"/>
      <c r="W146" s="74"/>
      <c r="AF146" s="74"/>
      <c r="AG146" s="74"/>
      <c r="AN146" s="69">
        <f>1-AN145</f>
        <v>0</v>
      </c>
      <c r="BW146" s="26"/>
      <c r="CA146" s="74"/>
      <c r="CB146" s="74"/>
      <c r="CC146" s="74"/>
      <c r="CD146" s="115"/>
      <c r="CE146" s="115"/>
      <c r="CF146" s="115"/>
      <c r="CG146" s="115"/>
      <c r="CH146" s="115"/>
      <c r="CI146" s="74"/>
      <c r="CK146" s="26"/>
      <c r="CX146" s="37"/>
      <c r="CY146" s="26"/>
      <c r="CZ146" s="37"/>
      <c r="DA146" s="37"/>
      <c r="DB146" s="37"/>
      <c r="DF146" s="115"/>
      <c r="DG146" s="115"/>
      <c r="DH146" s="115"/>
      <c r="DI146" s="115"/>
      <c r="DJ146" s="115"/>
      <c r="DL146" s="37"/>
      <c r="DM146" s="115"/>
      <c r="DN146" s="37"/>
      <c r="DO146" s="37"/>
      <c r="DP146" s="37"/>
      <c r="DT146" s="37"/>
      <c r="DU146" s="37"/>
      <c r="DV146" s="37"/>
      <c r="DW146" s="37"/>
      <c r="DX146" s="37"/>
      <c r="EA146" s="115"/>
      <c r="EN146" s="37"/>
      <c r="EO146" s="115"/>
      <c r="EP146" s="37"/>
      <c r="EQ146" s="37"/>
      <c r="ER146" s="37"/>
      <c r="EV146" s="37"/>
      <c r="EW146" s="37"/>
      <c r="EX146" s="37"/>
      <c r="EY146" s="37"/>
      <c r="EZ146" s="37"/>
      <c r="FF146" s="26"/>
      <c r="FH146" s="74"/>
      <c r="FK146" s="74"/>
      <c r="FR146" s="74"/>
      <c r="FT146" s="26"/>
      <c r="FZ146" s="37"/>
      <c r="GH146" s="26"/>
      <c r="GJ146" s="74"/>
      <c r="GM146" s="74"/>
      <c r="GT146" s="74"/>
      <c r="GU146" s="74"/>
      <c r="GV146" s="74"/>
      <c r="GW146" s="74"/>
      <c r="GX146" s="68">
        <f>GZ146*$W146</f>
        <v>0</v>
      </c>
      <c r="HB146" s="74"/>
      <c r="HD146" s="74"/>
      <c r="HE146" s="74"/>
      <c r="HF146" s="74"/>
      <c r="HG146" s="74"/>
      <c r="HH146" s="74"/>
      <c r="HI146" s="74"/>
      <c r="HJ146" s="74"/>
      <c r="HK146" s="74"/>
      <c r="HL146" s="74"/>
      <c r="IA146" s="133"/>
      <c r="IB146" s="133"/>
      <c r="IC146" s="133"/>
      <c r="IE146" s="133"/>
      <c r="KJ146" s="74"/>
      <c r="KK146" s="74"/>
      <c r="KL146" s="74"/>
      <c r="KM146" s="74"/>
      <c r="KN146" s="74"/>
      <c r="KO146" s="74"/>
      <c r="KP146" s="74"/>
      <c r="KQ146" s="74"/>
      <c r="KR146" s="74"/>
      <c r="KS146" s="74"/>
    </row>
    <row r="147" spans="1:494" s="54" customFormat="1" x14ac:dyDescent="0.25">
      <c r="A147" s="133" t="s">
        <v>837</v>
      </c>
      <c r="D147" s="465"/>
      <c r="E147" s="461"/>
      <c r="F147" s="461"/>
      <c r="G147" s="461"/>
      <c r="H147" s="461"/>
      <c r="I147" s="469">
        <f>J147*NZ145</f>
        <v>1.2324577541968851</v>
      </c>
      <c r="J147" s="463">
        <f>(C90/C89/C145)/NT90/NY145</f>
        <v>3.7225376168807688E-2</v>
      </c>
      <c r="K147" s="461"/>
      <c r="L147" s="461"/>
      <c r="M147" s="461"/>
      <c r="X147" s="133"/>
      <c r="AF147" s="133"/>
      <c r="AG147" s="133"/>
      <c r="AH147" s="133"/>
      <c r="AI147" s="133"/>
      <c r="AJ147" s="133"/>
      <c r="AN147" s="57"/>
      <c r="AZ147" s="133"/>
      <c r="BA147" s="133"/>
      <c r="BB147" s="133"/>
      <c r="BC147" s="133"/>
      <c r="BD147" s="133"/>
      <c r="BE147" s="133"/>
      <c r="BF147" s="133"/>
      <c r="BG147" s="133"/>
      <c r="BH147" s="133"/>
      <c r="BI147" s="133"/>
      <c r="BW147" s="693"/>
      <c r="CA147" s="133"/>
      <c r="CB147" s="133"/>
      <c r="CC147" s="133"/>
      <c r="CD147" s="179"/>
      <c r="CE147" s="179"/>
      <c r="CF147" s="179"/>
      <c r="CG147" s="179"/>
      <c r="CH147" s="179"/>
      <c r="CI147" s="133"/>
      <c r="CK147" s="693"/>
      <c r="CO147" s="133"/>
      <c r="CP147" s="133"/>
      <c r="CQ147" s="133"/>
      <c r="CR147" s="179"/>
      <c r="CS147" s="179"/>
      <c r="CT147" s="179"/>
      <c r="CU147" s="179"/>
      <c r="CV147" s="179"/>
      <c r="CW147" s="133"/>
      <c r="CY147" s="693"/>
      <c r="DC147" s="133"/>
      <c r="DD147" s="133"/>
      <c r="DE147" s="133"/>
      <c r="DF147" s="179"/>
      <c r="DG147" s="179"/>
      <c r="DH147" s="179"/>
      <c r="DI147" s="179"/>
      <c r="DJ147" s="179"/>
      <c r="DK147" s="133"/>
      <c r="DM147" s="179"/>
      <c r="DQ147" s="133"/>
      <c r="DR147" s="133"/>
      <c r="DS147" s="133"/>
      <c r="DY147" s="133"/>
      <c r="EA147" s="179"/>
      <c r="EE147" s="133"/>
      <c r="EF147" s="133"/>
      <c r="EG147" s="133"/>
      <c r="EM147" s="133"/>
      <c r="EO147" s="179"/>
      <c r="ES147" s="133"/>
      <c r="ET147" s="133"/>
      <c r="EU147" s="133"/>
      <c r="FA147" s="133"/>
      <c r="FF147" s="693"/>
      <c r="FH147" s="133"/>
      <c r="FK147" s="133"/>
      <c r="FR147" s="133"/>
      <c r="FT147" s="693"/>
      <c r="FV147" s="133"/>
      <c r="FY147" s="133"/>
      <c r="GF147" s="133"/>
      <c r="GH147" s="693"/>
      <c r="GJ147" s="133"/>
      <c r="GM147" s="133"/>
      <c r="GT147" s="133"/>
      <c r="GU147" s="133"/>
      <c r="GV147" s="133"/>
      <c r="GW147" s="133"/>
      <c r="GX147" s="133"/>
      <c r="GY147" s="133"/>
      <c r="GZ147" s="133"/>
      <c r="HA147" s="133"/>
      <c r="HB147" s="133"/>
      <c r="HC147" s="133"/>
      <c r="HD147" s="133"/>
      <c r="HE147" s="133"/>
      <c r="HF147" s="133"/>
      <c r="HG147" s="133"/>
      <c r="HH147" s="133"/>
      <c r="HI147" s="133"/>
      <c r="HJ147" s="133"/>
      <c r="HK147" s="133"/>
      <c r="HL147" s="133"/>
      <c r="HM147" s="133"/>
      <c r="HN147" s="133"/>
      <c r="HO147" s="133"/>
      <c r="HP147" s="133"/>
      <c r="HQ147" s="133"/>
      <c r="HR147" s="133"/>
      <c r="HS147" s="133"/>
      <c r="HT147" s="133"/>
      <c r="HU147" s="133"/>
      <c r="HV147" s="133"/>
      <c r="HW147" s="133"/>
      <c r="HX147" s="133"/>
      <c r="HY147" s="133"/>
      <c r="HZ147" s="133"/>
      <c r="IA147" s="133"/>
      <c r="IB147" s="133"/>
      <c r="IC147" s="133"/>
      <c r="ID147" s="133"/>
      <c r="IE147" s="133"/>
      <c r="IF147" s="133"/>
      <c r="IG147" s="133"/>
      <c r="IH147" s="133"/>
      <c r="II147" s="133"/>
      <c r="IJ147" s="133"/>
      <c r="IK147" s="133"/>
      <c r="IL147" s="133"/>
      <c r="IM147" s="133"/>
      <c r="IN147" s="133"/>
      <c r="IO147" s="115"/>
      <c r="IP147" s="115"/>
      <c r="IQ147" s="115"/>
      <c r="IR147" s="115"/>
      <c r="IS147" s="115"/>
      <c r="IT147" s="115"/>
      <c r="IU147" s="115"/>
      <c r="IW147" s="133"/>
      <c r="IX147" s="133"/>
      <c r="IY147" s="133"/>
      <c r="IZ147" s="133"/>
      <c r="JA147" s="133"/>
      <c r="JB147" s="133"/>
      <c r="JC147" s="133"/>
      <c r="JD147" s="133"/>
      <c r="JE147" s="133"/>
      <c r="JF147" s="133"/>
      <c r="JG147" s="133"/>
      <c r="JH147" s="133"/>
      <c r="JI147" s="133"/>
      <c r="JJ147" s="133"/>
      <c r="JK147" s="133"/>
      <c r="JL147" s="133"/>
      <c r="JM147" s="133"/>
      <c r="JN147" s="133"/>
      <c r="JO147" s="133"/>
      <c r="JP147" s="133"/>
      <c r="JQ147" s="133"/>
      <c r="JR147" s="133"/>
      <c r="JS147" s="133"/>
      <c r="JT147" s="133"/>
      <c r="JU147" s="133"/>
      <c r="JV147" s="133"/>
      <c r="JW147" s="133"/>
      <c r="JX147" s="133"/>
      <c r="JY147" s="133"/>
      <c r="JZ147" s="133"/>
      <c r="KA147" s="133"/>
      <c r="KB147" s="133"/>
      <c r="KC147" s="133"/>
      <c r="KD147" s="133"/>
      <c r="KE147" s="133"/>
      <c r="KF147" s="133"/>
      <c r="KG147" s="133"/>
      <c r="KH147" s="133"/>
      <c r="KI147" s="133"/>
      <c r="KJ147" s="133"/>
      <c r="KK147" s="133"/>
      <c r="KL147" s="133"/>
      <c r="KM147" s="133"/>
      <c r="KN147" s="133"/>
      <c r="KO147" s="133"/>
      <c r="KP147" s="133"/>
      <c r="KQ147" s="133"/>
      <c r="KR147" s="133"/>
      <c r="KS147" s="133"/>
      <c r="KT147" s="133"/>
      <c r="KU147" s="133"/>
      <c r="KV147" s="133"/>
      <c r="KW147" s="133"/>
      <c r="KX147" s="133"/>
      <c r="KY147" s="133"/>
      <c r="KZ147" s="133"/>
      <c r="LA147" s="133"/>
      <c r="LB147" s="133"/>
      <c r="LC147" s="133"/>
      <c r="LD147" s="133"/>
      <c r="LE147" s="133"/>
      <c r="LF147" s="133"/>
      <c r="LG147" s="133"/>
      <c r="LH147" s="133"/>
      <c r="LI147" s="133"/>
      <c r="LJ147" s="133"/>
      <c r="LK147" s="133"/>
      <c r="LL147" s="133"/>
      <c r="LM147" s="133"/>
      <c r="LN147" s="133"/>
      <c r="LO147" s="133"/>
      <c r="LP147" s="133"/>
      <c r="LQ147" s="133"/>
      <c r="LR147" s="133"/>
      <c r="LS147" s="133"/>
      <c r="LT147" s="133"/>
      <c r="LU147" s="133"/>
      <c r="LV147" s="133"/>
      <c r="LW147" s="133"/>
      <c r="LX147" s="133"/>
      <c r="LY147" s="133"/>
      <c r="LZ147" s="133"/>
      <c r="MA147" s="133"/>
      <c r="MB147" s="133"/>
      <c r="MC147" s="133"/>
      <c r="MD147" s="133"/>
      <c r="ME147" s="133"/>
      <c r="MF147" s="133"/>
      <c r="MG147" s="133"/>
      <c r="MH147" s="133"/>
      <c r="MI147" s="133"/>
      <c r="MJ147" s="133"/>
      <c r="MK147" s="133"/>
      <c r="ML147" s="133"/>
      <c r="MM147" s="133"/>
      <c r="MN147" s="133"/>
      <c r="MO147" s="133"/>
      <c r="MP147" s="133"/>
      <c r="MQ147" s="133"/>
      <c r="MR147" s="133"/>
      <c r="MS147" s="133"/>
      <c r="MT147" s="133"/>
      <c r="MU147" s="133"/>
      <c r="MV147" s="133"/>
      <c r="MW147" s="133"/>
      <c r="MX147" s="133"/>
      <c r="MY147" s="133"/>
      <c r="MZ147" s="133"/>
      <c r="NA147" s="133"/>
      <c r="NB147" s="133"/>
      <c r="NC147" s="133"/>
      <c r="ND147" s="133"/>
      <c r="NE147" s="133"/>
      <c r="NF147" s="133"/>
      <c r="NG147" s="133"/>
      <c r="NH147" s="133"/>
      <c r="NI147" s="133"/>
      <c r="NJ147" s="133"/>
      <c r="NK147" s="133"/>
      <c r="NL147" s="133"/>
      <c r="NM147" s="133"/>
      <c r="NN147" s="133"/>
      <c r="NO147" s="133"/>
      <c r="NP147" s="133"/>
      <c r="NQ147" s="133"/>
      <c r="NR147" s="133"/>
      <c r="NS147" s="133"/>
      <c r="RU147" s="179"/>
      <c r="RV147" s="179"/>
      <c r="RW147" s="179"/>
      <c r="RX147" s="179"/>
      <c r="RY147" s="179"/>
      <c r="RZ147" s="179"/>
    </row>
    <row r="148" spans="1:494" x14ac:dyDescent="0.25">
      <c r="AF148" s="74"/>
      <c r="AG148" s="74"/>
      <c r="BW148" s="26"/>
      <c r="CA148" s="74"/>
      <c r="CB148" s="74"/>
      <c r="CC148" s="74"/>
      <c r="CD148" s="115"/>
      <c r="CE148" s="115"/>
      <c r="CF148" s="115"/>
      <c r="CG148" s="115"/>
      <c r="CH148" s="115"/>
      <c r="CI148" s="74"/>
      <c r="CK148" s="26"/>
      <c r="CX148" s="37"/>
      <c r="CY148" s="26"/>
      <c r="CZ148" s="37"/>
      <c r="DA148" s="37"/>
      <c r="DB148" s="37"/>
      <c r="DF148" s="115"/>
      <c r="DG148" s="115"/>
      <c r="DH148" s="115"/>
      <c r="DI148" s="115"/>
      <c r="DJ148" s="115"/>
      <c r="DL148" s="37"/>
      <c r="DM148" s="115"/>
      <c r="DN148" s="37"/>
      <c r="DO148" s="37"/>
      <c r="DP148" s="37"/>
      <c r="DT148" s="37"/>
      <c r="DU148" s="37"/>
      <c r="DV148" s="37"/>
      <c r="DW148" s="37"/>
      <c r="DX148" s="37"/>
      <c r="EA148" s="115"/>
      <c r="EN148" s="37"/>
      <c r="EO148" s="115"/>
      <c r="EP148" s="37"/>
      <c r="EQ148" s="37"/>
      <c r="ER148" s="37"/>
      <c r="EV148" s="37"/>
      <c r="EW148" s="37"/>
      <c r="EX148" s="37"/>
      <c r="EY148" s="37"/>
      <c r="EZ148" s="37"/>
      <c r="FF148" s="26"/>
      <c r="FH148" s="74"/>
      <c r="FK148" s="74"/>
      <c r="FR148" s="74"/>
      <c r="FT148" s="26"/>
      <c r="FZ148" s="37"/>
      <c r="GH148" s="26"/>
      <c r="GJ148" s="74"/>
      <c r="GM148" s="74"/>
      <c r="GT148" s="74"/>
      <c r="GU148" s="74"/>
      <c r="GV148" s="74"/>
      <c r="GW148" s="74"/>
      <c r="GX148" s="74"/>
      <c r="HB148" s="74"/>
      <c r="HD148" s="74"/>
      <c r="HE148" s="74"/>
      <c r="HF148" s="74"/>
      <c r="HG148" s="74"/>
      <c r="HH148" s="74"/>
      <c r="HI148" s="74"/>
      <c r="HJ148" s="74"/>
      <c r="HK148" s="74"/>
      <c r="HL148" s="74"/>
      <c r="IA148" s="133"/>
      <c r="IB148" s="133"/>
      <c r="IC148" s="133"/>
      <c r="IE148" s="133"/>
      <c r="KJ148" s="74"/>
      <c r="KK148" s="74"/>
      <c r="KL148" s="74"/>
      <c r="KM148" s="74"/>
      <c r="KN148" s="74"/>
      <c r="KO148" s="74"/>
      <c r="KP148" s="74"/>
      <c r="KQ148" s="74"/>
      <c r="KR148" s="74"/>
      <c r="KS148" s="74"/>
    </row>
    <row r="149" spans="1:494" x14ac:dyDescent="0.25">
      <c r="AF149" s="74"/>
      <c r="AG149" s="74"/>
      <c r="BW149" s="26"/>
      <c r="CA149" s="74"/>
      <c r="CB149" s="74"/>
      <c r="CC149" s="74"/>
      <c r="CD149" s="115"/>
      <c r="CE149" s="115"/>
      <c r="CF149" s="115"/>
      <c r="CG149" s="115"/>
      <c r="CH149" s="115"/>
      <c r="CI149" s="74"/>
      <c r="CK149" s="26"/>
      <c r="CX149" s="37"/>
      <c r="CY149" s="26"/>
      <c r="CZ149" s="37"/>
      <c r="DA149" s="37"/>
      <c r="DB149" s="37"/>
      <c r="DF149" s="115"/>
      <c r="DG149" s="115"/>
      <c r="DH149" s="115"/>
      <c r="DI149" s="115"/>
      <c r="DJ149" s="115"/>
      <c r="DL149" s="37"/>
      <c r="DM149" s="115"/>
      <c r="DN149" s="37"/>
      <c r="DO149" s="37"/>
      <c r="DP149" s="37"/>
      <c r="DT149" s="37"/>
      <c r="DU149" s="37"/>
      <c r="DV149" s="37"/>
      <c r="DW149" s="37"/>
      <c r="DX149" s="37"/>
      <c r="EA149" s="115"/>
      <c r="EN149" s="37"/>
      <c r="EO149" s="115"/>
      <c r="EP149" s="37"/>
      <c r="EQ149" s="37"/>
      <c r="ER149" s="37"/>
      <c r="EV149" s="37"/>
      <c r="EW149" s="37"/>
      <c r="EX149" s="37"/>
      <c r="EY149" s="37"/>
      <c r="EZ149" s="37"/>
      <c r="FF149" s="26"/>
      <c r="FH149" s="74"/>
      <c r="FK149" s="74"/>
      <c r="FR149" s="74"/>
      <c r="FT149" s="26"/>
      <c r="FZ149" s="37"/>
      <c r="GH149" s="26"/>
      <c r="GJ149" s="74"/>
      <c r="GM149" s="74"/>
      <c r="GT149" s="74"/>
      <c r="GU149" s="74"/>
      <c r="GV149" s="74"/>
      <c r="GW149" s="74"/>
      <c r="GX149" s="74"/>
      <c r="HB149" s="74"/>
      <c r="HD149" s="74"/>
      <c r="HE149" s="74"/>
      <c r="HF149" s="74"/>
      <c r="HG149" s="74"/>
      <c r="HH149" s="74"/>
      <c r="HI149" s="74"/>
      <c r="HJ149" s="74"/>
      <c r="HK149" s="74"/>
      <c r="HL149" s="74"/>
      <c r="IA149" s="133"/>
      <c r="IB149" s="133"/>
      <c r="IC149" s="133"/>
      <c r="IE149" s="133"/>
      <c r="KJ149" s="74"/>
      <c r="KK149" s="74"/>
      <c r="KL149" s="74"/>
      <c r="KM149" s="74"/>
      <c r="KN149" s="74"/>
      <c r="KO149" s="74"/>
      <c r="KP149" s="74"/>
      <c r="KQ149" s="74"/>
      <c r="KR149" s="74"/>
      <c r="KS149" s="74"/>
    </row>
    <row r="150" spans="1:494" x14ac:dyDescent="0.25">
      <c r="A150" s="9" t="s">
        <v>327</v>
      </c>
      <c r="AF150" s="74"/>
      <c r="AG150" s="74"/>
      <c r="BW150" s="26"/>
      <c r="CA150" s="74"/>
      <c r="CB150" s="74"/>
      <c r="CC150" s="74"/>
      <c r="CD150" s="115"/>
      <c r="CE150" s="115"/>
      <c r="CF150" s="115"/>
      <c r="CG150" s="115"/>
      <c r="CH150" s="115"/>
      <c r="CI150" s="74"/>
      <c r="CK150" s="26"/>
      <c r="CX150" s="37"/>
      <c r="CY150" s="26"/>
      <c r="CZ150" s="37"/>
      <c r="DA150" s="37"/>
      <c r="DB150" s="37"/>
      <c r="DF150" s="115"/>
      <c r="DG150" s="115"/>
      <c r="DH150" s="115"/>
      <c r="DI150" s="115"/>
      <c r="DJ150" s="115"/>
      <c r="DL150" s="37"/>
      <c r="DM150" s="115"/>
      <c r="DN150" s="37"/>
      <c r="DO150" s="37"/>
      <c r="DP150" s="37"/>
      <c r="DT150" s="37"/>
      <c r="DU150" s="37"/>
      <c r="DV150" s="37"/>
      <c r="DW150" s="37"/>
      <c r="DX150" s="37"/>
      <c r="EA150" s="115"/>
      <c r="EN150" s="37"/>
      <c r="EO150" s="115"/>
      <c r="EP150" s="37"/>
      <c r="EQ150" s="37"/>
      <c r="ER150" s="37"/>
      <c r="EV150" s="37"/>
      <c r="EW150" s="37"/>
      <c r="EX150" s="37"/>
      <c r="EY150" s="37"/>
      <c r="EZ150" s="37"/>
      <c r="FF150" s="26"/>
      <c r="FH150" s="74"/>
      <c r="FK150" s="74"/>
      <c r="FR150" s="74"/>
      <c r="FT150" s="26"/>
      <c r="FZ150" s="37"/>
      <c r="GH150" s="26"/>
      <c r="GJ150" s="74"/>
      <c r="GM150" s="74"/>
      <c r="GT150" s="74"/>
      <c r="GU150" s="74"/>
      <c r="GV150" s="74"/>
      <c r="GW150" s="74"/>
      <c r="GX150" s="74"/>
      <c r="HB150" s="74"/>
      <c r="HD150" s="74"/>
      <c r="HE150" s="74"/>
      <c r="HF150" s="74"/>
      <c r="HG150" s="74"/>
      <c r="HH150" s="74"/>
      <c r="HI150" s="74"/>
      <c r="HJ150" s="74"/>
      <c r="HK150" s="74"/>
      <c r="HL150" s="74"/>
      <c r="IA150" s="133"/>
      <c r="IB150" s="133"/>
      <c r="IC150" s="133"/>
      <c r="IE150" s="133"/>
      <c r="KJ150" s="74"/>
      <c r="KK150" s="74"/>
      <c r="KL150" s="74"/>
      <c r="KM150" s="74"/>
      <c r="KN150" s="74"/>
      <c r="KO150" s="74"/>
      <c r="KP150" s="74"/>
      <c r="KQ150" s="74"/>
      <c r="KR150" s="74"/>
      <c r="KS150" s="74"/>
    </row>
    <row r="151" spans="1:494" x14ac:dyDescent="0.25">
      <c r="AF151" s="74"/>
      <c r="AG151" s="74"/>
      <c r="BW151" s="26"/>
      <c r="CA151" s="74"/>
      <c r="CB151" s="74"/>
      <c r="CC151" s="74"/>
      <c r="CD151" s="115"/>
      <c r="CE151" s="115"/>
      <c r="CF151" s="115"/>
      <c r="CG151" s="115"/>
      <c r="CH151" s="115"/>
      <c r="CI151" s="74"/>
      <c r="CK151" s="26"/>
      <c r="CX151" s="37"/>
      <c r="CY151" s="26"/>
      <c r="CZ151" s="37"/>
      <c r="DA151" s="37"/>
      <c r="DB151" s="37"/>
      <c r="DF151" s="115"/>
      <c r="DG151" s="115"/>
      <c r="DH151" s="115"/>
      <c r="DI151" s="115"/>
      <c r="DJ151" s="115"/>
      <c r="DL151" s="37"/>
      <c r="DM151" s="115"/>
      <c r="DN151" s="37"/>
      <c r="DO151" s="37"/>
      <c r="DP151" s="37"/>
      <c r="DT151" s="37"/>
      <c r="DU151" s="37"/>
      <c r="DV151" s="37"/>
      <c r="DW151" s="37"/>
      <c r="DX151" s="37"/>
      <c r="EA151" s="115"/>
      <c r="EN151" s="37"/>
      <c r="EO151" s="115"/>
      <c r="EP151" s="37"/>
      <c r="EQ151" s="37"/>
      <c r="ER151" s="37"/>
      <c r="EV151" s="37"/>
      <c r="EW151" s="37"/>
      <c r="EX151" s="37"/>
      <c r="EY151" s="37"/>
      <c r="EZ151" s="37"/>
      <c r="FF151" s="26"/>
      <c r="FH151" s="74"/>
      <c r="FK151" s="74"/>
      <c r="FR151" s="74"/>
      <c r="FT151" s="26"/>
      <c r="FZ151" s="37"/>
      <c r="GH151" s="26"/>
      <c r="GJ151" s="74"/>
      <c r="GM151" s="74"/>
      <c r="GT151" s="74"/>
      <c r="GU151" s="74"/>
      <c r="GV151" s="74"/>
      <c r="GW151" s="74"/>
      <c r="GX151" s="74"/>
      <c r="HB151" s="74"/>
      <c r="HD151" s="74"/>
      <c r="HE151" s="74"/>
      <c r="HF151" s="74"/>
      <c r="HG151" s="74"/>
      <c r="HH151" s="74"/>
      <c r="HI151" s="74"/>
      <c r="HJ151" s="74"/>
      <c r="HK151" s="74"/>
      <c r="HL151" s="74"/>
      <c r="IA151" s="133"/>
      <c r="IB151" s="133"/>
      <c r="IC151" s="133"/>
      <c r="IE151" s="133"/>
      <c r="KJ151" s="74"/>
      <c r="KK151" s="74"/>
      <c r="KL151" s="74"/>
      <c r="KM151" s="74"/>
      <c r="KN151" s="74"/>
      <c r="KO151" s="74"/>
      <c r="KP151" s="74"/>
      <c r="KQ151" s="74"/>
      <c r="KR151" s="74"/>
      <c r="KS151" s="74"/>
    </row>
    <row r="152" spans="1:494" x14ac:dyDescent="0.25">
      <c r="A152" s="9" t="s">
        <v>354</v>
      </c>
      <c r="AF152" s="74"/>
      <c r="AG152" s="74"/>
      <c r="BW152" s="26"/>
      <c r="CA152" s="74"/>
      <c r="CB152" s="74"/>
      <c r="CC152" s="74"/>
      <c r="CD152" s="115"/>
      <c r="CE152" s="115"/>
      <c r="CF152" s="115"/>
      <c r="CG152" s="115"/>
      <c r="CH152" s="115"/>
      <c r="CI152" s="74"/>
      <c r="CK152" s="26"/>
      <c r="CX152" s="37"/>
      <c r="CY152" s="26"/>
      <c r="CZ152" s="37"/>
      <c r="DA152" s="37"/>
      <c r="DB152" s="37"/>
      <c r="DF152" s="115"/>
      <c r="DG152" s="115"/>
      <c r="DH152" s="115"/>
      <c r="DI152" s="115"/>
      <c r="DJ152" s="115"/>
      <c r="DL152" s="37"/>
      <c r="DM152" s="115"/>
      <c r="DN152" s="37"/>
      <c r="DO152" s="37"/>
      <c r="DP152" s="37"/>
      <c r="DT152" s="37"/>
      <c r="DU152" s="37"/>
      <c r="DV152" s="37"/>
      <c r="DW152" s="37"/>
      <c r="DX152" s="37"/>
      <c r="EA152" s="115"/>
      <c r="EN152" s="37"/>
      <c r="EO152" s="115"/>
      <c r="EP152" s="37"/>
      <c r="EQ152" s="37"/>
      <c r="ER152" s="37"/>
      <c r="EV152" s="37"/>
      <c r="EW152" s="37"/>
      <c r="EX152" s="37"/>
      <c r="EY152" s="37"/>
      <c r="EZ152" s="37"/>
      <c r="FF152" s="26"/>
      <c r="FH152" s="74"/>
      <c r="FK152" s="74"/>
      <c r="FR152" s="74"/>
      <c r="FT152" s="26"/>
      <c r="FZ152" s="37"/>
      <c r="GH152" s="26"/>
      <c r="GJ152" s="74"/>
      <c r="GM152" s="74"/>
      <c r="GT152" s="74"/>
      <c r="GU152" s="74"/>
      <c r="GV152" s="74"/>
      <c r="GW152" s="74"/>
      <c r="GX152" s="74"/>
      <c r="GY152" s="66"/>
      <c r="HB152" s="74"/>
      <c r="HD152" s="74"/>
      <c r="HE152" s="74"/>
      <c r="HF152" s="74"/>
      <c r="HG152" s="74"/>
      <c r="HH152" s="74"/>
      <c r="HI152" s="74"/>
      <c r="HJ152" s="74"/>
      <c r="HK152" s="74"/>
      <c r="HL152" s="74"/>
      <c r="HM152" s="66"/>
      <c r="IA152" s="66"/>
      <c r="IB152" s="133"/>
      <c r="IC152" s="133"/>
      <c r="IE152" s="133"/>
      <c r="IO152" s="68">
        <f>IP152+IQ152+IR152+IS152+IT152+IU152</f>
        <v>80.091627509830715</v>
      </c>
      <c r="IP152" s="97">
        <f>JS152*$W153</f>
        <v>44.70699632574992</v>
      </c>
      <c r="IQ152" s="97">
        <f>JU152*$W153</f>
        <v>35.384631184080789</v>
      </c>
      <c r="IR152" s="97">
        <f>JX152*$W153</f>
        <v>0</v>
      </c>
      <c r="IS152" s="97">
        <f>KB152*$W153</f>
        <v>0</v>
      </c>
      <c r="IT152" s="97">
        <f>KF152*$W153</f>
        <v>0</v>
      </c>
      <c r="IU152" s="97">
        <f>KH152*$W153</f>
        <v>0</v>
      </c>
      <c r="JK152" s="115">
        <f>JM152+JN152+JO152</f>
        <v>3.3371511462429462</v>
      </c>
      <c r="JM152" s="179">
        <f>JS152+KB152</f>
        <v>1.8627915135729134</v>
      </c>
      <c r="JN152" s="179">
        <f>JU152+KF152</f>
        <v>1.4743596326700328</v>
      </c>
      <c r="JO152" s="179">
        <f>JX152+KH152</f>
        <v>0</v>
      </c>
      <c r="JQ152" s="127">
        <f>JS152+JU152+JX152</f>
        <v>3.3371511462429462</v>
      </c>
      <c r="JS152" s="172">
        <f>'Crops; pasture AMORTIZED'!FY69/$C153</f>
        <v>1.8627915135729134</v>
      </c>
      <c r="JU152" s="172">
        <f>'Crops; pasture AMORTIZED'!FW69/$C153</f>
        <v>1.4743596326700328</v>
      </c>
      <c r="KD152" s="74"/>
      <c r="KE152" s="74"/>
      <c r="KF152" s="74"/>
      <c r="KG152" s="74"/>
      <c r="KH152" s="74"/>
      <c r="KI152" s="74"/>
      <c r="KJ152" s="74"/>
      <c r="KK152" s="74"/>
      <c r="KL152" s="74"/>
      <c r="KM152" s="74"/>
      <c r="KN152" s="74"/>
      <c r="KO152" s="74"/>
      <c r="KP152" s="74"/>
      <c r="KQ152" s="74"/>
      <c r="KR152" s="74"/>
      <c r="KS152" s="74"/>
    </row>
    <row r="153" spans="1:494" x14ac:dyDescent="0.25">
      <c r="A153" s="37" t="s">
        <v>348</v>
      </c>
      <c r="B153" s="53">
        <f>C153*NT36/NT153</f>
        <v>0.37411111111111112</v>
      </c>
      <c r="C153" s="90">
        <v>0.37</v>
      </c>
      <c r="D153" s="722">
        <f>C153*NW153/NW36</f>
        <v>0.31129807692307687</v>
      </c>
      <c r="V153" s="55">
        <f>W153/NT153</f>
        <v>26.666666666666664</v>
      </c>
      <c r="W153" s="112">
        <v>24</v>
      </c>
      <c r="X153" s="252"/>
      <c r="Y153" s="26">
        <f>W153*NW153/10^3</f>
        <v>0.42</v>
      </c>
      <c r="Z153" s="26"/>
      <c r="AE153" s="115">
        <f>AB$36*$AN153/$C153</f>
        <v>5.5268860388069712</v>
      </c>
      <c r="AF153" s="115"/>
      <c r="AG153" s="115">
        <f>AC$36*$AN153/$C153</f>
        <v>7.9679179750651983</v>
      </c>
      <c r="AH153" s="115"/>
      <c r="AI153" s="115">
        <f>AD$36*$AN153/$C153</f>
        <v>4.0969791006540923</v>
      </c>
      <c r="AJ153" s="115"/>
      <c r="AK153" s="722">
        <f>Y153/(Y153+Y154+Y155)</f>
        <v>0.38900570741964557</v>
      </c>
      <c r="AL153" s="164">
        <v>0.75</v>
      </c>
      <c r="AM153" s="104">
        <f>V153*AL153/(V153*AL153+V154*AL154+V155*AL155)</f>
        <v>0.65654056356022428</v>
      </c>
      <c r="AN153" s="40">
        <f t="shared" ref="AN153:AN155" si="42">AK153</f>
        <v>0.38900570741964557</v>
      </c>
      <c r="BV153" s="26">
        <f>BW153*$NT153</f>
        <v>0.8274645015444303</v>
      </c>
      <c r="BW153" s="115">
        <f>BP$36*$AN153/$C153</f>
        <v>0.91940500171603368</v>
      </c>
      <c r="CA153" s="74"/>
      <c r="CB153" s="74"/>
      <c r="CC153" s="74"/>
      <c r="CD153" s="115"/>
      <c r="CE153" s="115"/>
      <c r="CF153" s="115"/>
      <c r="CG153" s="115"/>
      <c r="CH153" s="115"/>
      <c r="CI153" s="74"/>
      <c r="CJ153" s="26">
        <f>CK153*$NT153</f>
        <v>1.564199261006922</v>
      </c>
      <c r="CK153" s="115">
        <f>BQ$36*$AN153/$C153</f>
        <v>1.7379991788965798</v>
      </c>
      <c r="CX153" s="26">
        <f>CY153*$NT153</f>
        <v>0.39568495075883903</v>
      </c>
      <c r="CY153" s="115">
        <f>BR$36*$AN153/$C153</f>
        <v>0.43964994528759893</v>
      </c>
      <c r="CZ153" s="37"/>
      <c r="DA153" s="37"/>
      <c r="DB153" s="37"/>
      <c r="DF153" s="115"/>
      <c r="DG153" s="115"/>
      <c r="DH153" s="115"/>
      <c r="DI153" s="115"/>
      <c r="DJ153" s="115"/>
      <c r="DL153" s="26">
        <f>DM153*$NT153</f>
        <v>1.1228856759564216</v>
      </c>
      <c r="DM153" s="115">
        <f>BS$36*$AN153/$C153</f>
        <v>1.2476507510626906</v>
      </c>
      <c r="DN153" s="37"/>
      <c r="DO153" s="37"/>
      <c r="DP153" s="37"/>
      <c r="DT153" s="37"/>
      <c r="DU153" s="37"/>
      <c r="DV153" s="37"/>
      <c r="DW153" s="37"/>
      <c r="DX153" s="37"/>
      <c r="DZ153" s="26">
        <f>EA153*$NT153</f>
        <v>2.1642218992748572</v>
      </c>
      <c r="EA153" s="115">
        <f>BT$36*$AN153/$C153</f>
        <v>2.4046909991942855</v>
      </c>
      <c r="EN153" s="26">
        <f>EO153*$NT153</f>
        <v>0.51289206278173871</v>
      </c>
      <c r="EO153" s="115">
        <f>BU$36*$AN153/$C153</f>
        <v>0.5698800697574874</v>
      </c>
      <c r="EP153" s="37"/>
      <c r="EQ153" s="37"/>
      <c r="ER153" s="37"/>
      <c r="EV153" s="37"/>
      <c r="EW153" s="37"/>
      <c r="EX153" s="37"/>
      <c r="EY153" s="37"/>
      <c r="EZ153" s="37"/>
      <c r="FE153" s="26">
        <f>FF153*$NT153</f>
        <v>2.236122495406236</v>
      </c>
      <c r="FF153" s="115">
        <f>FB$36*$AN153/$C153</f>
        <v>2.4845805504513732</v>
      </c>
      <c r="FH153" s="74"/>
      <c r="FK153" s="74"/>
      <c r="FL153" s="26"/>
      <c r="FR153" s="74"/>
      <c r="FS153" s="26">
        <f>FT153*$NT153</f>
        <v>4.3098468327127657</v>
      </c>
      <c r="FT153" s="115">
        <f>FC$36*$AN153/$C153</f>
        <v>4.788718703014184</v>
      </c>
      <c r="FZ153" s="26"/>
      <c r="GG153" s="26">
        <f>GH153*$NT153</f>
        <v>1.0213768897930651</v>
      </c>
      <c r="GH153" s="115">
        <f>FD$36*$AN153/$C153</f>
        <v>1.1348632108811834</v>
      </c>
      <c r="GJ153" s="74"/>
      <c r="GM153" s="74"/>
      <c r="GN153" s="26"/>
      <c r="GT153" s="74"/>
      <c r="GU153" s="74"/>
      <c r="GV153" s="74"/>
      <c r="GW153" s="74"/>
      <c r="GX153" s="74"/>
      <c r="GY153" s="26">
        <f>GZ153*$NT153</f>
        <v>8.7693404841323E-2</v>
      </c>
      <c r="GZ153" s="330">
        <f>$AN153*GU$36/C153</f>
        <v>9.7437116490358883E-2</v>
      </c>
      <c r="HB153" s="74"/>
      <c r="HD153" s="74"/>
      <c r="HE153" s="74"/>
      <c r="HF153" s="74"/>
      <c r="HG153" s="74"/>
      <c r="HH153" s="74"/>
      <c r="HI153" s="74"/>
      <c r="HJ153" s="74"/>
      <c r="HK153" s="74"/>
      <c r="HL153" s="74"/>
      <c r="HM153" s="115">
        <f>HN153*$NT153</f>
        <v>0.17214661287790842</v>
      </c>
      <c r="HN153" s="127">
        <f>$AN153*GV$36/C153</f>
        <v>0.19127401430878713</v>
      </c>
      <c r="IA153" s="115">
        <f>IB153*$NT153</f>
        <v>3.822243056726609E-2</v>
      </c>
      <c r="IB153" s="127">
        <f>$AN153*GW$36/C153</f>
        <v>4.2469367296962324E-2</v>
      </c>
      <c r="IC153" s="133"/>
      <c r="IE153" s="133"/>
      <c r="IV153" s="26">
        <f>IW153*$NT153</f>
        <v>1.1683537581694665</v>
      </c>
      <c r="IW153" s="91">
        <f>AN153*JK152</f>
        <v>1.2981708424105183</v>
      </c>
      <c r="IX153" s="73"/>
      <c r="IZ153" s="73"/>
      <c r="JA153" s="115"/>
      <c r="JB153" s="115">
        <f>$IW153*JM152/$JK152</f>
        <v>0.72463653051274335</v>
      </c>
      <c r="JC153" s="115">
        <f>$IW153*JN152/$JK152</f>
        <v>0.57353431189777482</v>
      </c>
      <c r="JD153" s="115">
        <f>$IW153*JO152/$JK152</f>
        <v>0</v>
      </c>
      <c r="KJ153" s="115">
        <f>BW153*44/12+$IW153+$GZ153</f>
        <v>4.7667596318596672</v>
      </c>
      <c r="KK153" s="74"/>
      <c r="KL153" s="74"/>
      <c r="KM153" s="74"/>
      <c r="KN153" s="74"/>
      <c r="KO153" s="74"/>
      <c r="KP153" s="74"/>
      <c r="KQ153" s="74"/>
      <c r="KR153" s="74"/>
      <c r="KS153" s="74"/>
      <c r="KT153" s="115">
        <f>CK153*44/12+$IW153+$HN153</f>
        <v>7.8621085126734318</v>
      </c>
      <c r="LD153" s="115">
        <f>CY153*44/12+$IW153+$IB153</f>
        <v>2.9526900090953432</v>
      </c>
      <c r="LN153" s="115">
        <f>DM153*44/12+$IW153+$GZ153</f>
        <v>5.9703273794640763</v>
      </c>
      <c r="LX153" s="115">
        <f>EA153*44/12+$IW153+$HN153</f>
        <v>10.306645187098352</v>
      </c>
      <c r="MH153" s="115">
        <f>EO153*44/12+$IW153+$IB153</f>
        <v>3.4302004654849343</v>
      </c>
      <c r="NT153" s="31">
        <v>0.9</v>
      </c>
      <c r="NU153" s="31"/>
      <c r="NV153" s="32">
        <f>$NT153*NW153</f>
        <v>15.75</v>
      </c>
      <c r="NW153" s="9">
        <v>17.5</v>
      </c>
    </row>
    <row r="154" spans="1:494" x14ac:dyDescent="0.25">
      <c r="A154" s="37" t="s">
        <v>349</v>
      </c>
      <c r="B154" s="468">
        <f>C154*NT36/NT154</f>
        <v>9.1000000000000011E-2</v>
      </c>
      <c r="C154" s="141">
        <v>0.1</v>
      </c>
      <c r="D154" s="722">
        <f>C154*NW154/NW36</f>
        <v>0.18894230769230766</v>
      </c>
      <c r="V154" s="26">
        <f>W154/NT154</f>
        <v>6.4864864864864868</v>
      </c>
      <c r="W154" s="26">
        <f>C154/C153*W153</f>
        <v>6.4864864864864868</v>
      </c>
      <c r="X154" s="115"/>
      <c r="Y154" s="26">
        <f>W154*NW154/10^3</f>
        <v>0.25491891891891888</v>
      </c>
      <c r="Z154" s="26">
        <f>W154*OB154/10^3</f>
        <v>0.24</v>
      </c>
      <c r="AE154" s="115">
        <f>AB$36*$AN154/$C154</f>
        <v>12.411806932863653</v>
      </c>
      <c r="AF154" s="115"/>
      <c r="AG154" s="115">
        <f>AC$36*$AN154/$C154</f>
        <v>17.893667224003558</v>
      </c>
      <c r="AH154" s="115"/>
      <c r="AI154" s="115">
        <f>AD$36*$AN154/$C154</f>
        <v>9.2006444946117583</v>
      </c>
      <c r="AJ154" s="115"/>
      <c r="AK154" s="722">
        <f>Y154/(Y153+Y154+Y155)</f>
        <v>0.23610693902072694</v>
      </c>
      <c r="AL154" s="103">
        <v>0.621</v>
      </c>
      <c r="AM154" s="104">
        <f>V154*AL154/(V153*AL153+V154*AL154+V155*AL155)</f>
        <v>0.13223081836894032</v>
      </c>
      <c r="AN154" s="40">
        <f t="shared" si="42"/>
        <v>0.23610693902072694</v>
      </c>
      <c r="BV154" s="26">
        <f>BW154*$NT154</f>
        <v>2.0647209467108638</v>
      </c>
      <c r="BW154" s="115">
        <f>BP$36*$AN154/$C154</f>
        <v>2.0647209467108638</v>
      </c>
      <c r="BX154" s="677">
        <f>10^3*BW154/$OB154</f>
        <v>55.803268830023342</v>
      </c>
      <c r="CA154" s="74"/>
      <c r="CB154" s="74"/>
      <c r="CC154" s="74"/>
      <c r="CD154" s="115"/>
      <c r="CE154" s="115"/>
      <c r="CF154" s="115"/>
      <c r="CG154" s="115"/>
      <c r="CH154" s="115"/>
      <c r="CI154" s="74"/>
      <c r="CJ154" s="26">
        <f>CK154*$NT154</f>
        <v>3.9030495846077473</v>
      </c>
      <c r="CK154" s="115">
        <f>BQ$36*$AN154/$C154</f>
        <v>3.9030495846077473</v>
      </c>
      <c r="CL154" s="677">
        <f>10^3*CK154/$OB154</f>
        <v>105.4878266110202</v>
      </c>
      <c r="CX154" s="26">
        <f>CY154*$NT154</f>
        <v>0.98732816284586489</v>
      </c>
      <c r="CY154" s="115">
        <f>BR$36*$AN154/$C154</f>
        <v>0.98732816284586489</v>
      </c>
      <c r="CZ154" s="677">
        <f>10^3*CY154/$OB154</f>
        <v>26.684544941780132</v>
      </c>
      <c r="DA154" s="37"/>
      <c r="DB154" s="37"/>
      <c r="DF154" s="115"/>
      <c r="DG154" s="115"/>
      <c r="DH154" s="115"/>
      <c r="DI154" s="115"/>
      <c r="DJ154" s="115"/>
      <c r="DL154" s="26">
        <f>DM154*$NT154</f>
        <v>2.8018671152436418</v>
      </c>
      <c r="DM154" s="115">
        <f>BS$36*$AN154/$C154</f>
        <v>2.8018671152436418</v>
      </c>
      <c r="DN154" s="677">
        <f>10^3*DM154/$OB154</f>
        <v>75.726138249828153</v>
      </c>
      <c r="DO154" s="37"/>
      <c r="DP154" s="37"/>
      <c r="DT154" s="37"/>
      <c r="DU154" s="37"/>
      <c r="DV154" s="37"/>
      <c r="DW154" s="37"/>
      <c r="DX154" s="37"/>
      <c r="DZ154" s="26">
        <f>EA154*$NT154</f>
        <v>5.4002489296191669</v>
      </c>
      <c r="EA154" s="115">
        <f>BT$36*$AN154/$C154</f>
        <v>5.4002489296191669</v>
      </c>
      <c r="EB154" s="677">
        <f>10^3*EA154/$OB154</f>
        <v>145.952673773491</v>
      </c>
      <c r="EN154" s="26">
        <f>EO154*$NT154</f>
        <v>1.2797878137982428</v>
      </c>
      <c r="EO154" s="115">
        <f>BU$36*$AN154/$C154</f>
        <v>1.2797878137982428</v>
      </c>
      <c r="EP154" s="677">
        <f>10^3*EO154/$OB154</f>
        <v>34.588859832384941</v>
      </c>
      <c r="EQ154" s="37"/>
      <c r="ER154" s="37"/>
      <c r="EV154" s="37"/>
      <c r="EW154" s="37"/>
      <c r="EX154" s="37"/>
      <c r="EY154" s="37"/>
      <c r="EZ154" s="37"/>
      <c r="FE154" s="26">
        <f>FF154*$NT154</f>
        <v>5.5796580361565118</v>
      </c>
      <c r="FF154" s="115">
        <f>FB$36*$AN154/$C154</f>
        <v>5.5796580361565118</v>
      </c>
      <c r="FG154" s="562">
        <f>10^3*FF154/$OB154</f>
        <v>150.80156854477059</v>
      </c>
      <c r="FH154" s="74"/>
      <c r="FK154" s="74"/>
      <c r="FL154" s="26"/>
      <c r="FR154" s="74"/>
      <c r="FS154" s="26">
        <f>FT154*$NT154</f>
        <v>10.754094001626138</v>
      </c>
      <c r="FT154" s="115">
        <f>FC$36*$AN154/$C154</f>
        <v>10.754094001626138</v>
      </c>
      <c r="FU154" s="562">
        <f>10^3*FT154/$OB154</f>
        <v>290.65118923313884</v>
      </c>
      <c r="FZ154" s="26"/>
      <c r="GG154" s="26">
        <f>GH154*$NT154</f>
        <v>2.5485785250074571</v>
      </c>
      <c r="GH154" s="115">
        <f>FD$36*$AN154/$C154</f>
        <v>2.5485785250074571</v>
      </c>
      <c r="GI154" s="562">
        <f>10^3*GH154/$OB154</f>
        <v>68.880500675877215</v>
      </c>
      <c r="GJ154" s="74"/>
      <c r="GM154" s="74"/>
      <c r="GN154" s="26"/>
      <c r="GT154" s="74"/>
      <c r="GU154" s="74"/>
      <c r="GV154" s="74"/>
      <c r="GW154" s="74"/>
      <c r="GX154" s="74"/>
      <c r="GY154" s="26">
        <f>GZ154*$NT154</f>
        <v>0.21881592446120593</v>
      </c>
      <c r="GZ154" s="127">
        <f>$AN154*GU$36/C154</f>
        <v>0.21881592446120593</v>
      </c>
      <c r="HA154" s="673">
        <f>10^3*GZ154/$OB154</f>
        <v>5.9139439043569171</v>
      </c>
      <c r="HB154" s="115"/>
      <c r="HD154" s="74"/>
      <c r="HE154" s="74"/>
      <c r="HF154" s="74"/>
      <c r="HG154" s="74"/>
      <c r="HH154" s="74"/>
      <c r="HI154" s="74"/>
      <c r="HJ154" s="74"/>
      <c r="HK154" s="74"/>
      <c r="HL154" s="74"/>
      <c r="HM154" s="115">
        <f>HN154*$NT154</f>
        <v>0.42954678641916194</v>
      </c>
      <c r="HN154" s="127">
        <f>$AN154*GV$36/C154</f>
        <v>0.42954678641916194</v>
      </c>
      <c r="HO154" s="73">
        <f>10^3*HN154/$OB154</f>
        <v>11.609372605923296</v>
      </c>
      <c r="HP154" s="115"/>
      <c r="IA154" s="115">
        <f>IB154*$NT154</f>
        <v>9.5374064844035378E-2</v>
      </c>
      <c r="IB154" s="127">
        <f>$AN154*GW$36/C154</f>
        <v>9.5374064844035378E-2</v>
      </c>
      <c r="IC154" s="73">
        <f>10^3*IB154/$OB154</f>
        <v>2.5776774282171724</v>
      </c>
      <c r="ID154" s="115"/>
      <c r="IE154" s="133"/>
      <c r="IV154" s="26">
        <f>IW154*$NT154</f>
        <v>2.9153208060990492</v>
      </c>
      <c r="IW154" s="115">
        <f>$AN154*JK152*$C153/$C154</f>
        <v>2.9153208060990492</v>
      </c>
      <c r="IX154" s="673">
        <f>10^3*IW154/$OB154</f>
        <v>78.792454218893226</v>
      </c>
      <c r="IY154" s="115"/>
      <c r="IZ154" s="73"/>
      <c r="JA154" s="115"/>
      <c r="JB154" s="115">
        <f>$IW154*JM152/$JK152</f>
        <v>1.6273266085229037</v>
      </c>
      <c r="JC154" s="115">
        <f>$IW154*JN152/$JK152</f>
        <v>1.2879941975761457</v>
      </c>
      <c r="JD154" s="115">
        <f>$IW154*JO152/$JK152</f>
        <v>0</v>
      </c>
      <c r="KJ154" s="115">
        <f>BW154*44/12+$IW154+$GZ154</f>
        <v>10.704780201833422</v>
      </c>
      <c r="KK154" s="74"/>
      <c r="KL154" s="74"/>
      <c r="KM154" s="74"/>
      <c r="KN154" s="74"/>
      <c r="KO154" s="74"/>
      <c r="KP154" s="74"/>
      <c r="KQ154" s="74"/>
      <c r="KR154" s="74"/>
      <c r="KS154" s="74"/>
      <c r="KT154" s="115">
        <f>CK154*44/12+$IW154+$HN154</f>
        <v>17.656049402746618</v>
      </c>
      <c r="LD154" s="115">
        <f>CY154*44/12+$IW154+$IB154</f>
        <v>6.6308981347112557</v>
      </c>
      <c r="LN154" s="115">
        <f>DM154*44/12+$IW154+$GZ154</f>
        <v>13.407649486453609</v>
      </c>
      <c r="LX154" s="115">
        <f>EA154*44/12+$IW154+$HN154</f>
        <v>23.145780334455157</v>
      </c>
      <c r="MH154" s="115">
        <f>EO154*44/12+$IW154+$IB154</f>
        <v>7.7032501882033078</v>
      </c>
      <c r="NT154" s="31">
        <v>1</v>
      </c>
      <c r="NU154" s="31"/>
      <c r="NV154" s="32">
        <f>$NT154*NW154</f>
        <v>39.299999999999997</v>
      </c>
      <c r="NW154" s="9">
        <v>39.299999999999997</v>
      </c>
      <c r="OA154" s="32">
        <f>$NT154*OB154</f>
        <v>37</v>
      </c>
      <c r="OB154" s="43">
        <v>37</v>
      </c>
      <c r="OC154" s="38"/>
      <c r="OD154" s="31"/>
      <c r="OE154" s="38">
        <f>$NT154*OF154</f>
        <v>1</v>
      </c>
      <c r="OF154" s="31">
        <v>1</v>
      </c>
      <c r="OG154" s="31"/>
    </row>
    <row r="155" spans="1:494" x14ac:dyDescent="0.25">
      <c r="A155" s="37" t="s">
        <v>350</v>
      </c>
      <c r="B155" s="53">
        <f>C155*NT36/NT155</f>
        <v>0.32355555555555554</v>
      </c>
      <c r="C155" s="141">
        <v>0.32</v>
      </c>
      <c r="D155" s="722">
        <f>C155*NW155/NW36</f>
        <v>0.3</v>
      </c>
      <c r="V155" s="55">
        <f>W155/NT155</f>
        <v>23.063063063063066</v>
      </c>
      <c r="W155" s="55">
        <f>C155/C153*W153</f>
        <v>20.756756756756758</v>
      </c>
      <c r="X155" s="115"/>
      <c r="Y155" s="26">
        <f>W155*NW155/10^3</f>
        <v>0.40475675675675676</v>
      </c>
      <c r="Z155" s="26"/>
      <c r="AA155" s="55">
        <f>W155*OD155</f>
        <v>9.7297297297297298</v>
      </c>
      <c r="AB155" s="55"/>
      <c r="AE155" s="115">
        <f>AB$36*$AN155/$C155</f>
        <v>6.1585301575277658</v>
      </c>
      <c r="AF155" s="115"/>
      <c r="AG155" s="115">
        <f>AC$36*$AN155/$C155</f>
        <v>8.8785371722155055</v>
      </c>
      <c r="AH155" s="115"/>
      <c r="AI155" s="115">
        <f>AD$36*$AN155/$C155</f>
        <v>4.5652052835859873</v>
      </c>
      <c r="AJ155" s="115"/>
      <c r="AK155" s="40">
        <f>1-AK153-AK154</f>
        <v>0.37488735355962749</v>
      </c>
      <c r="AL155" s="103">
        <v>0.27900000000000003</v>
      </c>
      <c r="AM155" s="722">
        <f>V155*AL155/(V153*AL153+V154*AL154+V155*AL155)</f>
        <v>0.21122861807083543</v>
      </c>
      <c r="AN155" s="40">
        <f t="shared" si="42"/>
        <v>0.37488735355962749</v>
      </c>
      <c r="BV155" s="26">
        <f>BW155*$NT155</f>
        <v>0.92203187314950796</v>
      </c>
      <c r="BW155" s="115">
        <f>BP$36*$AN155/$C155</f>
        <v>1.0244798590550088</v>
      </c>
      <c r="BY155" s="143">
        <f>BW155/$OD155</f>
        <v>2.1855570326506855</v>
      </c>
      <c r="CA155" s="74"/>
      <c r="CB155" s="74"/>
      <c r="CC155" s="74"/>
      <c r="CD155" s="115"/>
      <c r="CE155" s="115"/>
      <c r="CF155" s="115"/>
      <c r="CG155" s="115"/>
      <c r="CH155" s="115"/>
      <c r="CI155" s="74"/>
      <c r="CJ155" s="26">
        <f>CK155*$NT155</f>
        <v>1.742964890836284</v>
      </c>
      <c r="CK155" s="115">
        <f>BQ$36*$AN155/$C155</f>
        <v>1.93662765648476</v>
      </c>
      <c r="CM155" s="143">
        <f>CK155/$OD155</f>
        <v>4.1314723338341546</v>
      </c>
      <c r="CX155" s="26">
        <f>CY155*$NT155</f>
        <v>0.44090608798842051</v>
      </c>
      <c r="CY155" s="115">
        <f>BR$36*$AN155/$C155</f>
        <v>0.48989565332046725</v>
      </c>
      <c r="CZ155" s="37"/>
      <c r="DA155" s="143">
        <f>CY155/$OD155</f>
        <v>1.0451107270836635</v>
      </c>
      <c r="DB155" s="37"/>
      <c r="DF155" s="115"/>
      <c r="DG155" s="115"/>
      <c r="DH155" s="115"/>
      <c r="DI155" s="115"/>
      <c r="DJ155" s="115"/>
      <c r="DL155" s="26">
        <f>DM155*$NT155</f>
        <v>1.2512154674942981</v>
      </c>
      <c r="DM155" s="115">
        <f>BS$36*$AN155/$C155</f>
        <v>1.390239408326998</v>
      </c>
      <c r="DN155" s="37"/>
      <c r="DO155" s="143">
        <f>DM155/$OD155</f>
        <v>2.9658440710975955</v>
      </c>
      <c r="DP155" s="37"/>
      <c r="DT155" s="37"/>
      <c r="DU155" s="37"/>
      <c r="DV155" s="37"/>
      <c r="DW155" s="37"/>
      <c r="DX155" s="37"/>
      <c r="DZ155" s="26">
        <f>EA155*$NT155</f>
        <v>2.4115615449062688</v>
      </c>
      <c r="EA155" s="115">
        <f>BT$36*$AN155/$C155</f>
        <v>2.6795128276736322</v>
      </c>
      <c r="EC155" s="143">
        <f>EA155/$OD155</f>
        <v>5.7162940323704152</v>
      </c>
      <c r="EN155" s="26">
        <f>EO155*$NT155</f>
        <v>0.57150829852822305</v>
      </c>
      <c r="EO155" s="115">
        <f>BU$36*$AN155/$C155</f>
        <v>0.63500922058691445</v>
      </c>
      <c r="EP155" s="37"/>
      <c r="EQ155" s="143">
        <f>EO155/$OD155</f>
        <v>1.3546863372520841</v>
      </c>
      <c r="ER155" s="37"/>
      <c r="EV155" s="37"/>
      <c r="EW155" s="37"/>
      <c r="EX155" s="37"/>
      <c r="EY155" s="37"/>
      <c r="EZ155" s="37"/>
      <c r="FE155" s="26">
        <f>FF155*$NT155</f>
        <v>2.4916793520240907</v>
      </c>
      <c r="FF155" s="115">
        <f>FB$36*$AN155/$C155</f>
        <v>2.7685326133601009</v>
      </c>
      <c r="FH155" s="115">
        <f>FF155/$OD155</f>
        <v>5.9062029085015491</v>
      </c>
      <c r="FK155" s="74"/>
      <c r="FL155" s="26"/>
      <c r="FR155" s="74"/>
      <c r="FS155" s="26">
        <f>FT155*$NT155</f>
        <v>4.8024007564513669</v>
      </c>
      <c r="FT155" s="115">
        <f>FC$36*$AN155/$C155</f>
        <v>5.3360008405015185</v>
      </c>
      <c r="FV155" s="115">
        <f>FT155/$OD155</f>
        <v>11.383468459736573</v>
      </c>
      <c r="FZ155" s="26"/>
      <c r="GG155" s="26">
        <f>GH155*$NT155</f>
        <v>1.1381056771979865</v>
      </c>
      <c r="GH155" s="115">
        <f>FD$36*$AN155/$C155</f>
        <v>1.2645618635533182</v>
      </c>
      <c r="GJ155" s="115">
        <f>GH155/$OD155</f>
        <v>2.6977319755804121</v>
      </c>
      <c r="GM155" s="74"/>
      <c r="GN155" s="26"/>
      <c r="GT155" s="74"/>
      <c r="GU155" s="74"/>
      <c r="GV155" s="74"/>
      <c r="GW155" s="74"/>
      <c r="GX155" s="74"/>
      <c r="GY155" s="26">
        <f>GZ155*$NT155</f>
        <v>9.7715508251759911E-2</v>
      </c>
      <c r="GZ155" s="330">
        <f>$AN155*GU$36/C155</f>
        <v>0.10857278694639989</v>
      </c>
      <c r="HB155" s="115">
        <f>GZ155/$OD155</f>
        <v>0.2316219454856531</v>
      </c>
      <c r="HD155" s="115"/>
      <c r="HE155" s="74"/>
      <c r="HF155" s="74"/>
      <c r="HG155" s="74"/>
      <c r="HH155" s="74"/>
      <c r="HI155" s="74"/>
      <c r="HJ155" s="74"/>
      <c r="HK155" s="74"/>
      <c r="HL155" s="74"/>
      <c r="HM155" s="115">
        <f>HN155*$NT155</f>
        <v>0.19182051149252652</v>
      </c>
      <c r="HN155" s="127">
        <f>$AN155*GV$36/C155</f>
        <v>0.2131339016583628</v>
      </c>
      <c r="HP155" s="115">
        <f>HN155/$OD155</f>
        <v>0.45468565687117396</v>
      </c>
      <c r="HR155" s="115"/>
      <c r="IA155" s="115">
        <f>IB155*$NT155</f>
        <v>4.2590708346382206E-2</v>
      </c>
      <c r="IB155" s="127">
        <f>$AN155*GW$36/C155</f>
        <v>4.7323009273758009E-2</v>
      </c>
      <c r="IC155" s="133"/>
      <c r="ID155" s="115">
        <f>IB155/$OD155</f>
        <v>0.10095575311735042</v>
      </c>
      <c r="IE155" s="133"/>
      <c r="IF155" s="115"/>
      <c r="IV155" s="26">
        <f>IW155*$NT155</f>
        <v>1.3018799019602625</v>
      </c>
      <c r="IW155" s="91">
        <f>$AN155*JK152*$C153/$C155</f>
        <v>1.4465332244002915</v>
      </c>
      <c r="IY155" s="115">
        <f>IW155/$OD155</f>
        <v>3.0859375453872886</v>
      </c>
      <c r="JA155" s="115"/>
      <c r="JB155" s="115">
        <f>$IW155*JM152/$JK152</f>
        <v>0.807452133999914</v>
      </c>
      <c r="JC155" s="115">
        <f>$IW155*JN152/$JK152</f>
        <v>0.63908109040037753</v>
      </c>
      <c r="JD155" s="115">
        <f>$IW155*JO152/$JK152</f>
        <v>0</v>
      </c>
      <c r="KJ155" s="115">
        <f>BW155*44/12+$IW155+$GZ155</f>
        <v>5.311532161215057</v>
      </c>
      <c r="KK155" s="74"/>
      <c r="KL155" s="74"/>
      <c r="KM155" s="143">
        <f>KJ155/$OD155</f>
        <v>11.331268610592122</v>
      </c>
      <c r="KN155" s="74"/>
      <c r="KO155" s="74"/>
      <c r="KP155" s="74"/>
      <c r="KQ155" s="74"/>
      <c r="KR155" s="74"/>
      <c r="KS155" s="74"/>
      <c r="KT155" s="115">
        <f>CK155*44/12+$IW155+$HN155</f>
        <v>8.7606351998361074</v>
      </c>
      <c r="KW155" s="143">
        <f>KT155/$OD155</f>
        <v>18.689355092983696</v>
      </c>
      <c r="LD155" s="115">
        <f>CY155*44/12+$IW155+$IB155</f>
        <v>3.2901402958490964</v>
      </c>
      <c r="LG155" s="143">
        <f>LD155/$OD155</f>
        <v>7.0189659644780722</v>
      </c>
      <c r="LN155" s="115">
        <f>DM155*44/12+$IW155+$GZ155</f>
        <v>6.6526505085456851</v>
      </c>
      <c r="LQ155" s="143">
        <f>LN155/$OD155</f>
        <v>14.192321084897461</v>
      </c>
      <c r="LX155" s="115">
        <f>EA155*44/12+$IW155+$HN155</f>
        <v>11.484547494195306</v>
      </c>
      <c r="MA155" s="143">
        <f>LX155/$OD155</f>
        <v>24.500367987616652</v>
      </c>
      <c r="MH155" s="115">
        <f>EO155*44/12+$IW155+$IB155</f>
        <v>3.8222233758260691</v>
      </c>
      <c r="MK155" s="143">
        <f>MH155/$OD155</f>
        <v>8.1540765350956139</v>
      </c>
      <c r="NT155" s="31">
        <v>0.9</v>
      </c>
      <c r="NU155" s="31"/>
      <c r="NV155" s="32">
        <f>$NT155*NW155</f>
        <v>17.55</v>
      </c>
      <c r="NW155" s="9">
        <v>19.5</v>
      </c>
      <c r="OC155" s="38">
        <f>$NT155*OD155</f>
        <v>0.421875</v>
      </c>
      <c r="OD155" s="40">
        <f>OD36/C155</f>
        <v>0.46875</v>
      </c>
      <c r="OE155" s="38"/>
      <c r="OF155" s="31"/>
    </row>
    <row r="156" spans="1:494" x14ac:dyDescent="0.25">
      <c r="A156" s="37" t="s">
        <v>351</v>
      </c>
      <c r="B156" s="468"/>
      <c r="C156" s="69">
        <f>1-C153-C154-C155</f>
        <v>0.21000000000000002</v>
      </c>
      <c r="D156" s="722"/>
      <c r="AE156" s="115"/>
      <c r="AF156" s="115"/>
      <c r="AG156" s="115"/>
      <c r="AH156" s="115"/>
      <c r="AI156" s="115"/>
      <c r="AJ156" s="115"/>
      <c r="AK156" s="40"/>
      <c r="AN156" s="69">
        <f>1-AN153-AN154-AN155</f>
        <v>0</v>
      </c>
      <c r="BW156" s="26"/>
      <c r="CA156" s="74"/>
      <c r="CB156" s="74"/>
      <c r="CC156" s="74"/>
      <c r="CD156" s="115"/>
      <c r="CE156" s="115"/>
      <c r="CF156" s="115"/>
      <c r="CG156" s="115"/>
      <c r="CH156" s="115"/>
      <c r="CI156" s="74"/>
      <c r="CK156" s="26"/>
      <c r="CX156" s="37"/>
      <c r="CY156" s="26"/>
      <c r="CZ156" s="37"/>
      <c r="DA156" s="37"/>
      <c r="DB156" s="37"/>
      <c r="DF156" s="115"/>
      <c r="DG156" s="115"/>
      <c r="DH156" s="115"/>
      <c r="DI156" s="115"/>
      <c r="DJ156" s="115"/>
      <c r="DL156" s="37"/>
      <c r="DN156" s="37"/>
      <c r="DO156" s="37"/>
      <c r="DP156" s="37"/>
      <c r="DT156" s="37"/>
      <c r="DU156" s="37"/>
      <c r="DV156" s="37"/>
      <c r="DW156" s="37"/>
      <c r="DX156" s="37"/>
      <c r="EA156" s="74"/>
      <c r="EN156" s="37"/>
      <c r="EP156" s="37"/>
      <c r="EQ156" s="37"/>
      <c r="ER156" s="37"/>
      <c r="EV156" s="37"/>
      <c r="EW156" s="37"/>
      <c r="EX156" s="37"/>
      <c r="EY156" s="37"/>
      <c r="EZ156" s="37"/>
      <c r="FH156" s="74"/>
      <c r="FK156" s="74"/>
      <c r="FL156" s="74"/>
      <c r="FR156" s="74"/>
      <c r="GJ156" s="74"/>
      <c r="GM156" s="74"/>
      <c r="GN156" s="74"/>
      <c r="GT156" s="74"/>
      <c r="GU156" s="74"/>
      <c r="GV156" s="74"/>
      <c r="GW156" s="74"/>
      <c r="GX156" s="74"/>
      <c r="KJ156" s="74"/>
      <c r="KK156" s="74"/>
      <c r="KL156" s="74"/>
      <c r="KM156" s="74"/>
      <c r="KN156" s="74"/>
      <c r="KO156" s="74"/>
      <c r="KP156" s="74"/>
      <c r="KQ156" s="74"/>
      <c r="KR156" s="74"/>
      <c r="KS156" s="74"/>
    </row>
    <row r="157" spans="1:494" x14ac:dyDescent="0.25">
      <c r="AF157" s="74"/>
      <c r="AG157" s="74"/>
      <c r="BW157" s="26"/>
      <c r="CA157" s="74"/>
      <c r="CB157" s="74"/>
      <c r="CC157" s="74"/>
      <c r="CD157" s="115"/>
      <c r="CE157" s="115"/>
      <c r="CF157" s="115"/>
      <c r="CG157" s="115"/>
      <c r="CH157" s="115"/>
      <c r="CI157" s="74"/>
      <c r="CK157" s="26"/>
      <c r="CX157" s="37"/>
      <c r="CY157" s="26"/>
      <c r="CZ157" s="37"/>
      <c r="DA157" s="37"/>
      <c r="DB157" s="37"/>
      <c r="DF157" s="115"/>
      <c r="DG157" s="115"/>
      <c r="DH157" s="115"/>
      <c r="DI157" s="115"/>
      <c r="DJ157" s="115"/>
      <c r="DL157" s="37"/>
      <c r="DN157" s="37"/>
      <c r="DO157" s="37"/>
      <c r="DP157" s="37"/>
      <c r="DT157" s="37"/>
      <c r="DU157" s="37"/>
      <c r="DV157" s="37"/>
      <c r="DW157" s="37"/>
      <c r="DX157" s="37"/>
      <c r="EA157" s="74"/>
      <c r="EN157" s="37"/>
      <c r="EP157" s="37"/>
      <c r="EQ157" s="37"/>
      <c r="ER157" s="37"/>
      <c r="EV157" s="37"/>
      <c r="EW157" s="37"/>
      <c r="EX157" s="37"/>
      <c r="EY157" s="37"/>
      <c r="EZ157" s="37"/>
      <c r="FH157" s="74"/>
      <c r="FK157" s="74"/>
      <c r="FL157" s="74"/>
      <c r="FR157" s="74"/>
      <c r="GJ157" s="74"/>
      <c r="GM157" s="74"/>
      <c r="GN157" s="74"/>
      <c r="GT157" s="74"/>
      <c r="GU157" s="74"/>
      <c r="GV157" s="74"/>
      <c r="GW157" s="74"/>
      <c r="GX157" s="74"/>
      <c r="KJ157" s="74"/>
      <c r="KK157" s="74"/>
      <c r="KL157" s="74"/>
      <c r="KM157" s="74"/>
      <c r="KN157" s="74"/>
      <c r="KO157" s="74"/>
      <c r="KP157" s="74"/>
      <c r="KQ157" s="74"/>
      <c r="KR157" s="74"/>
      <c r="KS157" s="74"/>
    </row>
    <row r="158" spans="1:494" x14ac:dyDescent="0.25">
      <c r="AF158" s="74"/>
      <c r="AG158" s="74"/>
      <c r="BW158" s="26"/>
      <c r="CA158" s="74"/>
      <c r="CB158" s="74"/>
      <c r="CC158" s="74"/>
      <c r="CD158" s="115"/>
      <c r="CE158" s="115"/>
      <c r="CF158" s="115"/>
      <c r="CG158" s="115"/>
      <c r="CH158" s="115"/>
      <c r="CI158" s="74"/>
      <c r="CK158" s="26"/>
      <c r="CX158" s="37"/>
      <c r="CY158" s="26"/>
      <c r="CZ158" s="37"/>
      <c r="DA158" s="37"/>
      <c r="DB158" s="37"/>
      <c r="DF158" s="115"/>
      <c r="DG158" s="115"/>
      <c r="DH158" s="115"/>
      <c r="DI158" s="115"/>
      <c r="DJ158" s="115"/>
      <c r="DL158" s="37"/>
      <c r="DN158" s="37"/>
      <c r="DO158" s="37"/>
      <c r="DP158" s="37"/>
      <c r="DT158" s="37"/>
      <c r="DU158" s="37"/>
      <c r="DV158" s="37"/>
      <c r="DW158" s="37"/>
      <c r="DX158" s="37"/>
      <c r="EA158" s="74"/>
      <c r="EN158" s="37"/>
      <c r="EP158" s="37"/>
      <c r="EQ158" s="37"/>
      <c r="ER158" s="37"/>
      <c r="EV158" s="37"/>
      <c r="EW158" s="37"/>
      <c r="EX158" s="37"/>
      <c r="EY158" s="37"/>
      <c r="EZ158" s="37"/>
      <c r="FH158" s="74"/>
      <c r="FK158" s="74"/>
      <c r="FL158" s="74"/>
      <c r="FR158" s="74"/>
      <c r="GJ158" s="74"/>
      <c r="GM158" s="74"/>
      <c r="GN158" s="74"/>
      <c r="GT158" s="74"/>
      <c r="GU158" s="74"/>
      <c r="GV158" s="74"/>
      <c r="GW158" s="74"/>
      <c r="GX158" s="74"/>
      <c r="KJ158" s="74"/>
      <c r="KK158" s="74"/>
      <c r="KL158" s="74"/>
      <c r="KM158" s="74"/>
      <c r="KN158" s="74"/>
      <c r="KO158" s="74"/>
      <c r="KP158" s="74"/>
      <c r="KQ158" s="74"/>
      <c r="KR158" s="74"/>
      <c r="KS158" s="74"/>
    </row>
    <row r="159" spans="1:494" x14ac:dyDescent="0.25">
      <c r="AF159" s="74"/>
      <c r="AG159" s="74"/>
      <c r="BW159" s="26"/>
      <c r="CA159" s="74"/>
      <c r="CB159" s="74"/>
      <c r="CC159" s="74"/>
      <c r="CD159" s="115"/>
      <c r="CE159" s="115"/>
      <c r="CF159" s="115"/>
      <c r="CG159" s="115"/>
      <c r="CH159" s="115"/>
      <c r="CI159" s="74"/>
      <c r="CK159" s="26"/>
      <c r="CX159" s="37"/>
      <c r="CY159" s="26"/>
      <c r="CZ159" s="37"/>
      <c r="DA159" s="37"/>
      <c r="DB159" s="37"/>
      <c r="DF159" s="115"/>
      <c r="DG159" s="115"/>
      <c r="DH159" s="115"/>
      <c r="DI159" s="115"/>
      <c r="DJ159" s="115"/>
      <c r="DL159" s="37"/>
      <c r="DN159" s="37"/>
      <c r="DO159" s="37"/>
      <c r="DP159" s="37"/>
      <c r="DT159" s="37"/>
      <c r="DU159" s="37"/>
      <c r="DV159" s="37"/>
      <c r="DW159" s="37"/>
      <c r="DX159" s="37"/>
      <c r="EA159" s="74"/>
      <c r="EN159" s="37"/>
      <c r="EP159" s="37"/>
      <c r="EQ159" s="37"/>
      <c r="ER159" s="37"/>
      <c r="EV159" s="37"/>
      <c r="EW159" s="37"/>
      <c r="EX159" s="37"/>
      <c r="EY159" s="37"/>
      <c r="EZ159" s="37"/>
      <c r="FH159" s="74"/>
      <c r="FK159" s="74"/>
      <c r="FL159" s="74"/>
      <c r="FR159" s="74"/>
      <c r="GJ159" s="74"/>
      <c r="GM159" s="74"/>
      <c r="GN159" s="74"/>
      <c r="GT159" s="74"/>
      <c r="GU159" s="74"/>
      <c r="GV159" s="74"/>
      <c r="GW159" s="74"/>
      <c r="GX159" s="74"/>
      <c r="KJ159" s="74"/>
      <c r="KK159" s="74"/>
      <c r="KL159" s="74"/>
      <c r="KM159" s="74"/>
      <c r="KN159" s="74"/>
      <c r="KO159" s="74"/>
      <c r="KP159" s="74"/>
      <c r="KQ159" s="74"/>
      <c r="KR159" s="74"/>
      <c r="KS159" s="74"/>
    </row>
    <row r="160" spans="1:494" x14ac:dyDescent="0.25">
      <c r="AF160" s="74"/>
      <c r="AG160" s="74"/>
      <c r="BW160" s="26"/>
      <c r="CA160" s="74"/>
      <c r="CB160" s="74"/>
      <c r="CC160" s="74"/>
      <c r="CD160" s="115"/>
      <c r="CE160" s="115"/>
      <c r="CF160" s="115"/>
      <c r="CG160" s="115"/>
      <c r="CH160" s="115"/>
      <c r="CI160" s="74"/>
      <c r="CK160" s="26"/>
      <c r="CX160" s="37"/>
      <c r="CY160" s="26"/>
      <c r="CZ160" s="37"/>
      <c r="DA160" s="37"/>
      <c r="DB160" s="37"/>
      <c r="DF160" s="115"/>
      <c r="DG160" s="115"/>
      <c r="DH160" s="115"/>
      <c r="DI160" s="115"/>
      <c r="DJ160" s="115"/>
      <c r="DL160" s="37"/>
      <c r="DN160" s="37"/>
      <c r="DO160" s="37"/>
      <c r="DP160" s="37"/>
      <c r="DT160" s="37"/>
      <c r="DU160" s="37"/>
      <c r="DV160" s="37"/>
      <c r="DW160" s="37"/>
      <c r="DX160" s="37"/>
      <c r="EA160" s="74"/>
      <c r="EN160" s="37"/>
      <c r="EP160" s="37"/>
      <c r="EQ160" s="37"/>
      <c r="ER160" s="37"/>
      <c r="EV160" s="37"/>
      <c r="EW160" s="37"/>
      <c r="EX160" s="37"/>
      <c r="EY160" s="37"/>
      <c r="EZ160" s="37"/>
      <c r="FH160" s="74"/>
      <c r="FK160" s="74"/>
      <c r="FL160" s="74"/>
      <c r="FR160" s="74"/>
      <c r="GJ160" s="74"/>
      <c r="GM160" s="74"/>
      <c r="GN160" s="74"/>
      <c r="GT160" s="74"/>
      <c r="GU160" s="74"/>
      <c r="GV160" s="74"/>
      <c r="GW160" s="74"/>
      <c r="GX160" s="74"/>
      <c r="KJ160" s="74"/>
      <c r="KK160" s="74"/>
      <c r="KL160" s="74"/>
      <c r="KM160" s="74"/>
      <c r="KN160" s="74"/>
      <c r="KO160" s="74"/>
      <c r="KP160" s="74"/>
      <c r="KQ160" s="74"/>
      <c r="KR160" s="74"/>
      <c r="KS160" s="74"/>
    </row>
    <row r="161" spans="32:305" x14ac:dyDescent="0.25">
      <c r="AF161" s="74"/>
      <c r="AG161" s="74"/>
      <c r="BW161" s="26"/>
      <c r="CA161" s="74"/>
      <c r="CB161" s="74"/>
      <c r="CC161" s="74"/>
      <c r="CD161" s="115"/>
      <c r="CE161" s="115"/>
      <c r="CF161" s="115"/>
      <c r="CG161" s="115"/>
      <c r="CH161" s="115"/>
      <c r="CI161" s="74"/>
      <c r="CK161" s="26"/>
      <c r="CX161" s="37"/>
      <c r="CY161" s="26"/>
      <c r="CZ161" s="37"/>
      <c r="DA161" s="37"/>
      <c r="DB161" s="37"/>
      <c r="DF161" s="115"/>
      <c r="DG161" s="115"/>
      <c r="DH161" s="115"/>
      <c r="DI161" s="115"/>
      <c r="DJ161" s="115"/>
      <c r="DL161" s="37"/>
      <c r="DN161" s="37"/>
      <c r="DO161" s="37"/>
      <c r="DP161" s="37"/>
      <c r="DT161" s="37"/>
      <c r="DU161" s="37"/>
      <c r="DV161" s="37"/>
      <c r="DW161" s="37"/>
      <c r="DX161" s="37"/>
      <c r="EA161" s="74"/>
      <c r="EN161" s="37"/>
      <c r="EP161" s="37"/>
      <c r="EQ161" s="37"/>
      <c r="ER161" s="37"/>
      <c r="EV161" s="37"/>
      <c r="EW161" s="37"/>
      <c r="EX161" s="37"/>
      <c r="EY161" s="37"/>
      <c r="EZ161" s="37"/>
      <c r="FH161" s="74"/>
      <c r="FK161" s="74"/>
      <c r="FL161" s="74"/>
      <c r="FR161" s="74"/>
      <c r="GJ161" s="74"/>
      <c r="GM161" s="74"/>
      <c r="GN161" s="74"/>
      <c r="GT161" s="74"/>
      <c r="GU161" s="74"/>
      <c r="GV161" s="74"/>
      <c r="GW161" s="74"/>
      <c r="GX161" s="74"/>
      <c r="KJ161" s="74"/>
      <c r="KK161" s="74"/>
      <c r="KL161" s="74"/>
      <c r="KM161" s="74"/>
      <c r="KN161" s="74"/>
      <c r="KO161" s="74"/>
      <c r="KP161" s="74"/>
      <c r="KQ161" s="74"/>
      <c r="KR161" s="74"/>
      <c r="KS161" s="74"/>
    </row>
    <row r="162" spans="32:305" x14ac:dyDescent="0.25">
      <c r="AG162" s="74"/>
      <c r="BW162" s="26"/>
      <c r="CA162" s="74"/>
      <c r="CB162" s="74"/>
      <c r="CC162" s="74"/>
      <c r="CD162" s="115"/>
      <c r="CE162" s="115"/>
      <c r="CF162" s="115"/>
      <c r="CG162" s="115"/>
      <c r="CH162" s="115"/>
      <c r="CI162" s="74"/>
      <c r="CK162" s="26"/>
      <c r="CX162" s="37"/>
      <c r="CY162" s="26"/>
      <c r="CZ162" s="37"/>
      <c r="DA162" s="37"/>
      <c r="DB162" s="37"/>
      <c r="DF162" s="115"/>
      <c r="DG162" s="115"/>
      <c r="DH162" s="115"/>
      <c r="DI162" s="115"/>
      <c r="DJ162" s="115"/>
      <c r="EA162" s="74"/>
      <c r="KJ162" s="74"/>
      <c r="KK162" s="74"/>
      <c r="KL162" s="74"/>
      <c r="KM162" s="74"/>
      <c r="KN162" s="74"/>
      <c r="KO162" s="74"/>
      <c r="KP162" s="74"/>
      <c r="KQ162" s="74"/>
      <c r="KR162" s="74"/>
      <c r="KS162" s="74"/>
    </row>
    <row r="163" spans="32:305" x14ac:dyDescent="0.25">
      <c r="AG163" s="74"/>
      <c r="CK163" s="26"/>
      <c r="EA163" s="74"/>
      <c r="KJ163" s="74"/>
      <c r="KK163" s="74"/>
      <c r="KL163" s="74"/>
      <c r="KM163" s="74"/>
      <c r="KN163" s="74"/>
      <c r="KO163" s="74"/>
      <c r="KP163" s="74"/>
      <c r="KQ163" s="74"/>
      <c r="KR163" s="74"/>
      <c r="KS163" s="74"/>
    </row>
    <row r="164" spans="32:305" x14ac:dyDescent="0.25">
      <c r="AG164" s="74"/>
      <c r="CK164" s="26"/>
      <c r="EA164" s="74"/>
      <c r="KJ164" s="74"/>
      <c r="KK164" s="74"/>
      <c r="KL164" s="74"/>
      <c r="KM164" s="74"/>
      <c r="KN164" s="74"/>
      <c r="KO164" s="74"/>
      <c r="KP164" s="74"/>
      <c r="KQ164" s="74"/>
      <c r="KR164" s="74"/>
      <c r="KS164" s="74"/>
    </row>
    <row r="165" spans="32:305" x14ac:dyDescent="0.25">
      <c r="AG165" s="74"/>
      <c r="CK165" s="26"/>
      <c r="EA165" s="74"/>
      <c r="KJ165" s="74"/>
      <c r="KK165" s="74"/>
      <c r="KL165" s="74"/>
      <c r="KM165" s="74"/>
      <c r="KN165" s="74"/>
      <c r="KO165" s="74"/>
      <c r="KP165" s="74"/>
      <c r="KQ165" s="74"/>
      <c r="KR165" s="74"/>
      <c r="KS165" s="74"/>
    </row>
    <row r="166" spans="32:305" x14ac:dyDescent="0.25">
      <c r="AG166" s="74"/>
      <c r="CK166" s="26"/>
      <c r="KJ166" s="74"/>
      <c r="KK166" s="74"/>
      <c r="KL166" s="74"/>
      <c r="KM166" s="74"/>
      <c r="KN166" s="74"/>
      <c r="KO166" s="74"/>
      <c r="KP166" s="74"/>
      <c r="KQ166" s="74"/>
      <c r="KR166" s="74"/>
      <c r="KS166" s="74"/>
    </row>
    <row r="167" spans="32:305" x14ac:dyDescent="0.25">
      <c r="AG167" s="74"/>
      <c r="CK167" s="26"/>
      <c r="KJ167" s="74"/>
      <c r="KK167" s="74"/>
      <c r="KL167" s="74"/>
      <c r="KM167" s="74"/>
      <c r="KN167" s="74"/>
      <c r="KO167" s="74"/>
      <c r="KP167" s="74"/>
      <c r="KQ167" s="74"/>
      <c r="KR167" s="74"/>
      <c r="KS167" s="74"/>
    </row>
    <row r="168" spans="32:305" x14ac:dyDescent="0.25">
      <c r="AG168" s="74"/>
      <c r="KJ168" s="74"/>
      <c r="KK168" s="74"/>
      <c r="KL168" s="74"/>
      <c r="KM168" s="74"/>
      <c r="KN168" s="74"/>
      <c r="KO168" s="74"/>
      <c r="KP168" s="74"/>
      <c r="KQ168" s="74"/>
      <c r="KR168" s="74"/>
      <c r="KS168" s="74"/>
    </row>
    <row r="169" spans="32:305" x14ac:dyDescent="0.25">
      <c r="KJ169" s="74"/>
      <c r="KK169" s="74"/>
      <c r="KL169" s="74"/>
      <c r="KM169" s="74"/>
      <c r="KN169" s="74"/>
      <c r="KO169" s="74"/>
      <c r="KP169" s="74"/>
      <c r="KQ169" s="74"/>
      <c r="KR169" s="74"/>
      <c r="KS169" s="74"/>
    </row>
    <row r="170" spans="32:305" x14ac:dyDescent="0.25">
      <c r="KJ170" s="74"/>
      <c r="KK170" s="74"/>
      <c r="KL170" s="74"/>
      <c r="KM170" s="74"/>
      <c r="KN170" s="74"/>
      <c r="KO170" s="74"/>
      <c r="KP170" s="74"/>
      <c r="KQ170" s="74"/>
      <c r="KR170" s="74"/>
      <c r="KS170" s="74"/>
    </row>
    <row r="171" spans="32:305" x14ac:dyDescent="0.25">
      <c r="KJ171" s="74"/>
      <c r="KK171" s="74"/>
      <c r="KL171" s="74"/>
      <c r="KM171" s="74"/>
      <c r="KN171" s="74"/>
      <c r="KO171" s="74"/>
      <c r="KP171" s="74"/>
      <c r="KQ171" s="74"/>
      <c r="KR171" s="74"/>
      <c r="KS171" s="74"/>
    </row>
    <row r="172" spans="32:305" x14ac:dyDescent="0.25">
      <c r="KJ172" s="74"/>
      <c r="KK172" s="74"/>
      <c r="KL172" s="74"/>
      <c r="KM172" s="74"/>
      <c r="KN172" s="74"/>
      <c r="KO172" s="74"/>
      <c r="KP172" s="74"/>
      <c r="KQ172" s="74"/>
      <c r="KR172" s="74"/>
      <c r="KS172" s="74"/>
    </row>
    <row r="173" spans="32:305" x14ac:dyDescent="0.25">
      <c r="KJ173" s="74"/>
      <c r="KK173" s="74"/>
      <c r="KL173" s="74"/>
      <c r="KM173" s="74"/>
      <c r="KN173" s="74"/>
      <c r="KO173" s="74"/>
      <c r="KP173" s="74"/>
      <c r="KQ173" s="74"/>
      <c r="KR173" s="74"/>
      <c r="KS173" s="74"/>
    </row>
    <row r="174" spans="32:305" x14ac:dyDescent="0.25">
      <c r="KJ174" s="74"/>
      <c r="KK174" s="74"/>
      <c r="KL174" s="74"/>
      <c r="KM174" s="74"/>
      <c r="KN174" s="74"/>
      <c r="KO174" s="74"/>
      <c r="KP174" s="74"/>
      <c r="KQ174" s="74"/>
      <c r="KR174" s="74"/>
      <c r="KS174" s="74"/>
    </row>
    <row r="175" spans="32:305" x14ac:dyDescent="0.25">
      <c r="KJ175" s="74"/>
      <c r="KK175" s="74"/>
      <c r="KL175" s="74"/>
      <c r="KM175" s="74"/>
      <c r="KN175" s="74"/>
      <c r="KO175" s="74"/>
      <c r="KP175" s="74"/>
      <c r="KQ175" s="74"/>
      <c r="KR175" s="74"/>
      <c r="KS175" s="74"/>
    </row>
    <row r="176" spans="32:305" x14ac:dyDescent="0.25">
      <c r="KJ176" s="74"/>
      <c r="KK176" s="74"/>
      <c r="KL176" s="74"/>
      <c r="KM176" s="74"/>
      <c r="KN176" s="74"/>
      <c r="KO176" s="74"/>
      <c r="KP176" s="74"/>
      <c r="KQ176" s="74"/>
      <c r="KR176" s="74"/>
      <c r="KS176" s="74"/>
    </row>
    <row r="177" spans="296:305" x14ac:dyDescent="0.25">
      <c r="KJ177" s="74"/>
      <c r="KK177" s="74"/>
      <c r="KL177" s="74"/>
      <c r="KM177" s="74"/>
      <c r="KN177" s="74"/>
      <c r="KO177" s="74"/>
      <c r="KP177" s="74"/>
      <c r="KQ177" s="74"/>
      <c r="KR177" s="74"/>
      <c r="KS177" s="74"/>
    </row>
    <row r="178" spans="296:305" x14ac:dyDescent="0.25">
      <c r="KJ178" s="74"/>
      <c r="KK178" s="74"/>
      <c r="KL178" s="74"/>
      <c r="KM178" s="74"/>
      <c r="KN178" s="74"/>
      <c r="KO178" s="74"/>
      <c r="KP178" s="74"/>
      <c r="KQ178" s="74"/>
      <c r="KR178" s="74"/>
      <c r="KS178" s="74"/>
    </row>
    <row r="179" spans="296:305" x14ac:dyDescent="0.25">
      <c r="KJ179" s="74"/>
      <c r="KK179" s="74"/>
      <c r="KL179" s="74"/>
      <c r="KM179" s="74"/>
      <c r="KN179" s="74"/>
      <c r="KO179" s="74"/>
      <c r="KP179" s="74"/>
      <c r="KQ179" s="74"/>
      <c r="KR179" s="74"/>
      <c r="KS179" s="74"/>
    </row>
    <row r="180" spans="296:305" x14ac:dyDescent="0.25">
      <c r="KJ180" s="74"/>
      <c r="KK180" s="74"/>
      <c r="KL180" s="74"/>
      <c r="KM180" s="74"/>
      <c r="KN180" s="74"/>
      <c r="KO180" s="74"/>
      <c r="KP180" s="74"/>
      <c r="KQ180" s="74"/>
      <c r="KR180" s="74"/>
      <c r="KS180" s="74"/>
    </row>
    <row r="181" spans="296:305" x14ac:dyDescent="0.25">
      <c r="KJ181" s="74"/>
      <c r="KK181" s="74"/>
      <c r="KL181" s="74"/>
      <c r="KM181" s="74"/>
      <c r="KN181" s="74"/>
      <c r="KO181" s="74"/>
      <c r="KP181" s="74"/>
      <c r="KQ181" s="74"/>
      <c r="KR181" s="74"/>
      <c r="KS181" s="74"/>
    </row>
    <row r="182" spans="296:305" x14ac:dyDescent="0.25">
      <c r="KJ182" s="74"/>
      <c r="KK182" s="74"/>
      <c r="KL182" s="74"/>
      <c r="KM182" s="74"/>
      <c r="KN182" s="74"/>
      <c r="KO182" s="74"/>
      <c r="KP182" s="74"/>
      <c r="KQ182" s="74"/>
      <c r="KR182" s="74"/>
      <c r="KS182" s="74"/>
    </row>
    <row r="183" spans="296:305" x14ac:dyDescent="0.25">
      <c r="KJ183" s="74"/>
      <c r="KK183" s="74"/>
      <c r="KL183" s="74"/>
      <c r="KM183" s="74"/>
      <c r="KN183" s="74"/>
      <c r="KO183" s="74"/>
      <c r="KP183" s="74"/>
      <c r="KQ183" s="74"/>
      <c r="KR183" s="74"/>
      <c r="KS183" s="74"/>
    </row>
    <row r="184" spans="296:305" x14ac:dyDescent="0.25">
      <c r="KJ184" s="74"/>
      <c r="KK184" s="74"/>
      <c r="KL184" s="74"/>
      <c r="KM184" s="74"/>
      <c r="KN184" s="74"/>
      <c r="KO184" s="74"/>
      <c r="KP184" s="74"/>
      <c r="KQ184" s="74"/>
      <c r="KR184" s="74"/>
      <c r="KS184" s="74"/>
    </row>
    <row r="185" spans="296:305" x14ac:dyDescent="0.25">
      <c r="KJ185" s="74"/>
      <c r="KK185" s="74"/>
      <c r="KL185" s="74"/>
      <c r="KM185" s="74"/>
      <c r="KN185" s="74"/>
      <c r="KO185" s="74"/>
      <c r="KP185" s="74"/>
      <c r="KQ185" s="74"/>
      <c r="KR185" s="74"/>
      <c r="KS185" s="74"/>
    </row>
    <row r="186" spans="296:305" x14ac:dyDescent="0.25">
      <c r="KJ186" s="74"/>
      <c r="KK186" s="74"/>
      <c r="KL186" s="74"/>
      <c r="KM186" s="74"/>
      <c r="KN186" s="74"/>
      <c r="KO186" s="74"/>
      <c r="KP186" s="74"/>
      <c r="KQ186" s="74"/>
      <c r="KR186" s="74"/>
      <c r="KS186" s="74"/>
    </row>
    <row r="187" spans="296:305" x14ac:dyDescent="0.25">
      <c r="KJ187" s="74"/>
      <c r="KK187" s="74"/>
      <c r="KL187" s="74"/>
      <c r="KM187" s="74"/>
      <c r="KN187" s="74"/>
      <c r="KO187" s="74"/>
      <c r="KP187" s="74"/>
      <c r="KQ187" s="74"/>
      <c r="KR187" s="74"/>
      <c r="KS187" s="74"/>
    </row>
    <row r="188" spans="296:305" x14ac:dyDescent="0.25">
      <c r="KJ188" s="74"/>
      <c r="KK188" s="74"/>
      <c r="KL188" s="74"/>
      <c r="KM188" s="74"/>
      <c r="KN188" s="74"/>
      <c r="KO188" s="74"/>
      <c r="KP188" s="74"/>
      <c r="KQ188" s="74"/>
      <c r="KR188" s="74"/>
      <c r="KS188" s="74"/>
    </row>
    <row r="189" spans="296:305" x14ac:dyDescent="0.25">
      <c r="KJ189" s="74"/>
      <c r="KK189" s="74"/>
      <c r="KL189" s="74"/>
      <c r="KM189" s="74"/>
      <c r="KN189" s="74"/>
      <c r="KO189" s="74"/>
      <c r="KP189" s="74"/>
      <c r="KQ189" s="74"/>
      <c r="KR189" s="74"/>
      <c r="KS189" s="74"/>
    </row>
    <row r="190" spans="296:305" x14ac:dyDescent="0.25">
      <c r="KJ190" s="74"/>
      <c r="KK190" s="74"/>
      <c r="KL190" s="74"/>
      <c r="KM190" s="74"/>
      <c r="KN190" s="74"/>
      <c r="KO190" s="74"/>
      <c r="KP190" s="74"/>
      <c r="KQ190" s="74"/>
      <c r="KR190" s="74"/>
      <c r="KS190" s="74"/>
    </row>
    <row r="191" spans="296:305" x14ac:dyDescent="0.25">
      <c r="KJ191" s="74"/>
      <c r="KK191" s="74"/>
      <c r="KL191" s="74"/>
      <c r="KM191" s="74"/>
      <c r="KN191" s="74"/>
      <c r="KO191" s="74"/>
      <c r="KP191" s="74"/>
      <c r="KQ191" s="74"/>
      <c r="KR191" s="74"/>
      <c r="KS191" s="74"/>
    </row>
    <row r="192" spans="296:305" x14ac:dyDescent="0.25">
      <c r="KJ192" s="74"/>
      <c r="KK192" s="74"/>
      <c r="KL192" s="74"/>
      <c r="KM192" s="74"/>
      <c r="KN192" s="74"/>
      <c r="KO192" s="74"/>
      <c r="KP192" s="74"/>
      <c r="KQ192" s="74"/>
      <c r="KR192" s="74"/>
      <c r="KS192" s="74"/>
    </row>
    <row r="193" spans="296:305" x14ac:dyDescent="0.25">
      <c r="KJ193" s="74"/>
      <c r="KK193" s="74"/>
      <c r="KL193" s="74"/>
      <c r="KM193" s="74"/>
      <c r="KN193" s="74"/>
      <c r="KO193" s="74"/>
      <c r="KP193" s="74"/>
      <c r="KQ193" s="74"/>
      <c r="KR193" s="74"/>
      <c r="KS193" s="74"/>
    </row>
    <row r="194" spans="296:305" x14ac:dyDescent="0.25">
      <c r="KJ194" s="74"/>
      <c r="KK194" s="74"/>
      <c r="KL194" s="74"/>
      <c r="KM194" s="74"/>
      <c r="KN194" s="74"/>
      <c r="KO194" s="74"/>
      <c r="KP194" s="74"/>
      <c r="KQ194" s="74"/>
      <c r="KR194" s="74"/>
      <c r="KS194" s="74"/>
    </row>
    <row r="195" spans="296:305" x14ac:dyDescent="0.25">
      <c r="KJ195" s="74"/>
      <c r="KK195" s="74"/>
      <c r="KL195" s="74"/>
      <c r="KM195" s="74"/>
      <c r="KN195" s="74"/>
      <c r="KO195" s="74"/>
      <c r="KP195" s="74"/>
      <c r="KQ195" s="74"/>
      <c r="KR195" s="74"/>
      <c r="KS195" s="74"/>
    </row>
    <row r="196" spans="296:305" x14ac:dyDescent="0.25">
      <c r="KJ196" s="74"/>
      <c r="KK196" s="74"/>
      <c r="KL196" s="74"/>
      <c r="KM196" s="74"/>
      <c r="KN196" s="74"/>
      <c r="KO196" s="74"/>
      <c r="KP196" s="74"/>
      <c r="KQ196" s="74"/>
      <c r="KR196" s="74"/>
      <c r="KS196" s="74"/>
    </row>
    <row r="197" spans="296:305" x14ac:dyDescent="0.25">
      <c r="KJ197" s="74"/>
      <c r="KK197" s="74"/>
      <c r="KL197" s="74"/>
      <c r="KM197" s="74"/>
      <c r="KN197" s="74"/>
      <c r="KO197" s="74"/>
      <c r="KP197" s="74"/>
      <c r="KQ197" s="74"/>
      <c r="KR197" s="74"/>
      <c r="KS197" s="74"/>
    </row>
    <row r="198" spans="296:305" x14ac:dyDescent="0.25">
      <c r="KJ198" s="74"/>
      <c r="KK198" s="74"/>
      <c r="KL198" s="74"/>
      <c r="KM198" s="74"/>
      <c r="KN198" s="74"/>
      <c r="KO198" s="74"/>
      <c r="KP198" s="74"/>
      <c r="KQ198" s="74"/>
      <c r="KR198" s="74"/>
      <c r="KS198" s="74"/>
    </row>
  </sheetData>
  <printOptions gridLines="1"/>
  <pageMargins left="0.31496062992125984" right="0.31496062992125984" top="0.35433070866141736" bottom="0.35433070866141736" header="0.31496062992125984" footer="0.31496062992125984"/>
  <pageSetup paperSize="8" scale="85" orientation="landscape"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W104"/>
  <sheetViews>
    <sheetView zoomScaleNormal="100" workbookViewId="0">
      <pane xSplit="1" ySplit="7" topLeftCell="BO54" activePane="bottomRight" state="frozen"/>
      <selection activeCell="Q6" sqref="Q6"/>
      <selection pane="topRight" activeCell="Q6" sqref="Q6"/>
      <selection pane="bottomLeft" activeCell="Q6" sqref="Q6"/>
      <selection pane="bottomRight" activeCell="CX85" sqref="CX85"/>
    </sheetView>
  </sheetViews>
  <sheetFormatPr defaultColWidth="9.109375" defaultRowHeight="12" x14ac:dyDescent="0.25"/>
  <cols>
    <col min="1" max="1" width="27.6640625" style="37" customWidth="1"/>
    <col min="2" max="2" width="7.6640625" style="37" customWidth="1"/>
    <col min="3" max="9" width="5.6640625" style="37" customWidth="1"/>
    <col min="10" max="10" width="6.6640625" style="37" customWidth="1"/>
    <col min="11" max="13" width="4.6640625" style="54" customWidth="1"/>
    <col min="14" max="14" width="6.6640625" style="37" customWidth="1"/>
    <col min="15" max="17" width="4.6640625" style="54" customWidth="1"/>
    <col min="18" max="18" width="6.6640625" style="37" customWidth="1"/>
    <col min="19" max="20" width="4.6640625" style="54" customWidth="1"/>
    <col min="21" max="21" width="6.6640625" style="37" customWidth="1"/>
    <col min="22" max="23" width="4.6640625" style="54" customWidth="1"/>
    <col min="24" max="24" width="6.6640625" style="37" customWidth="1"/>
    <col min="25" max="25" width="4.6640625" style="54" customWidth="1"/>
    <col min="26" max="26" width="6.6640625" style="37" customWidth="1"/>
    <col min="27" max="27" width="5.6640625" style="37" customWidth="1"/>
    <col min="28" max="30" width="4.6640625" style="54" customWidth="1"/>
    <col min="31" max="31" width="5.6640625" style="54" customWidth="1"/>
    <col min="32" max="34" width="4.6640625" style="54" customWidth="1"/>
    <col min="35" max="35" width="5.6640625" style="37" customWidth="1"/>
    <col min="36" max="40" width="4.6640625" style="54" customWidth="1"/>
    <col min="41" max="41" width="4.6640625" style="133" customWidth="1"/>
    <col min="42" max="42" width="5.6640625" style="54" customWidth="1"/>
    <col min="43" max="45" width="4.6640625" style="54" customWidth="1"/>
    <col min="46" max="47" width="6.6640625" style="37" customWidth="1"/>
    <col min="48" max="49" width="7.33203125" style="37" customWidth="1"/>
    <col min="50" max="50" width="7.33203125" style="74" customWidth="1"/>
    <col min="51" max="53" width="4.6640625" style="37" customWidth="1"/>
    <col min="54" max="54" width="5.6640625" style="37" customWidth="1"/>
    <col min="55" max="57" width="4.6640625" style="74" customWidth="1"/>
    <col min="58" max="58" width="5.6640625" style="74" customWidth="1"/>
    <col min="59" max="61" width="4.6640625" style="74" customWidth="1"/>
    <col min="62" max="62" width="5.6640625" style="74" customWidth="1"/>
    <col min="63" max="64" width="4.6640625" style="74" customWidth="1"/>
    <col min="65" max="65" width="5.6640625" style="74" customWidth="1"/>
    <col min="66" max="67" width="4.6640625" style="74" customWidth="1"/>
    <col min="68" max="68" width="5.6640625" style="74" customWidth="1"/>
    <col min="69" max="90" width="4.6640625" style="74" customWidth="1"/>
    <col min="91" max="94" width="5.6640625" style="37" customWidth="1"/>
    <col min="95" max="96" width="8.6640625" style="37" customWidth="1"/>
    <col min="97" max="100" width="5.6640625" style="37" customWidth="1"/>
    <col min="101" max="101" width="5.6640625" style="54" customWidth="1"/>
    <col min="102" max="113" width="4.6640625" style="37" customWidth="1"/>
    <col min="114" max="117" width="6.6640625" style="37" customWidth="1"/>
    <col min="118" max="119" width="10.6640625" style="37" customWidth="1"/>
    <col min="120" max="121" width="7.6640625" style="37" customWidth="1"/>
    <col min="122" max="129" width="5.6640625" style="37" customWidth="1"/>
    <col min="130" max="133" width="6.6640625" style="37" customWidth="1"/>
    <col min="134" max="134" width="7.6640625" style="37" customWidth="1"/>
    <col min="135" max="139" width="6.109375" style="37" customWidth="1"/>
    <col min="140" max="143" width="5.6640625" style="37" customWidth="1"/>
    <col min="144" max="148" width="5.6640625" style="74" customWidth="1"/>
    <col min="149" max="156" width="6.6640625" style="74" customWidth="1"/>
    <col min="157" max="157" width="5.33203125" style="74" customWidth="1"/>
    <col min="158" max="159" width="5.6640625" style="74" customWidth="1"/>
    <col min="160" max="182" width="5.33203125" style="74" customWidth="1"/>
    <col min="183" max="188" width="6.6640625" style="74" customWidth="1"/>
    <col min="189" max="274" width="5.6640625" style="37" customWidth="1"/>
    <col min="275" max="277" width="8.33203125" style="37" customWidth="1"/>
    <col min="278" max="279" width="6.33203125" style="37" customWidth="1"/>
    <col min="280" max="281" width="4.6640625" style="54" customWidth="1"/>
    <col min="282" max="289" width="5.6640625" style="37" customWidth="1"/>
    <col min="290" max="295" width="6.6640625" style="179" customWidth="1"/>
    <col min="296" max="336" width="5.6640625" style="37" customWidth="1"/>
    <col min="337" max="16384" width="9.109375" style="37"/>
  </cols>
  <sheetData>
    <row r="1" spans="1:335" s="17" customFormat="1" ht="20.100000000000001" customHeight="1" x14ac:dyDescent="0.3">
      <c r="A1" s="17" t="s">
        <v>996</v>
      </c>
      <c r="AO1" s="58"/>
      <c r="AX1" s="58"/>
      <c r="AY1" s="113"/>
      <c r="BC1" s="58"/>
      <c r="BD1" s="58"/>
      <c r="BE1" s="58"/>
      <c r="BF1" s="58"/>
      <c r="BG1" s="58"/>
      <c r="BH1" s="58"/>
      <c r="BI1" s="58"/>
      <c r="BJ1" s="58"/>
      <c r="BK1" s="58"/>
      <c r="BL1" s="58"/>
      <c r="BM1" s="58"/>
      <c r="BN1" s="58"/>
      <c r="BO1" s="58"/>
      <c r="BP1" s="58"/>
      <c r="BQ1" s="58"/>
      <c r="BR1" s="58"/>
      <c r="BS1" s="58"/>
      <c r="BT1" s="58"/>
      <c r="BU1" s="58"/>
      <c r="BV1" s="58"/>
      <c r="BW1" s="58"/>
      <c r="BX1" s="58"/>
      <c r="BY1" s="58"/>
      <c r="BZ1" s="58"/>
      <c r="CA1" s="58"/>
      <c r="CB1" s="58"/>
      <c r="CC1" s="58"/>
      <c r="CD1" s="58"/>
      <c r="CE1" s="58"/>
      <c r="CF1" s="58"/>
      <c r="CG1" s="58"/>
      <c r="CH1" s="58"/>
      <c r="CI1" s="58"/>
      <c r="CJ1" s="58"/>
      <c r="CK1" s="58"/>
      <c r="CL1" s="58"/>
      <c r="CM1" s="513"/>
      <c r="CN1" s="58"/>
      <c r="CO1" s="58"/>
      <c r="CP1" s="58"/>
      <c r="CS1" s="58"/>
      <c r="CT1" s="58"/>
      <c r="CU1" s="58"/>
      <c r="CV1" s="58"/>
      <c r="CW1" s="58"/>
      <c r="DO1" s="513"/>
      <c r="DP1" s="113"/>
      <c r="DQ1" s="513"/>
      <c r="DR1" s="513"/>
      <c r="DS1" s="513"/>
      <c r="DT1" s="698"/>
      <c r="DU1" s="698"/>
      <c r="DV1" s="513"/>
      <c r="DW1" s="513"/>
      <c r="DX1" s="513"/>
      <c r="DY1" s="513"/>
      <c r="DZ1" s="513"/>
      <c r="EA1" s="513"/>
      <c r="EB1" s="513"/>
      <c r="EC1" s="513"/>
      <c r="ED1" s="58"/>
      <c r="EE1" s="58"/>
      <c r="EF1" s="513"/>
      <c r="EG1" s="513"/>
      <c r="EH1" s="513"/>
      <c r="EI1" s="513"/>
      <c r="EJ1" s="513"/>
      <c r="EK1" s="513"/>
      <c r="EL1" s="513"/>
      <c r="EM1" s="513"/>
      <c r="EN1" s="58"/>
      <c r="EO1" s="513"/>
      <c r="EP1" s="513"/>
      <c r="EQ1" s="513"/>
      <c r="ER1" s="513"/>
      <c r="ES1" s="513"/>
      <c r="ET1" s="513"/>
      <c r="EU1" s="513"/>
      <c r="EV1" s="513"/>
      <c r="EW1" s="513"/>
      <c r="EX1" s="513"/>
      <c r="EY1" s="513"/>
      <c r="EZ1" s="513"/>
      <c r="FA1" s="513"/>
      <c r="FB1" s="513"/>
      <c r="FC1" s="513"/>
      <c r="FD1" s="513"/>
      <c r="FE1" s="513"/>
      <c r="FF1" s="513"/>
      <c r="FG1" s="513"/>
      <c r="FH1" s="513"/>
      <c r="FI1" s="513"/>
      <c r="FJ1" s="513"/>
      <c r="FK1" s="513"/>
      <c r="FL1" s="513"/>
      <c r="FM1" s="513"/>
      <c r="FN1" s="513"/>
      <c r="FO1" s="513"/>
      <c r="FP1" s="513"/>
      <c r="FQ1" s="513"/>
      <c r="FR1" s="513"/>
      <c r="FS1" s="513"/>
      <c r="FT1" s="513"/>
      <c r="FU1" s="513"/>
      <c r="FV1" s="513"/>
      <c r="FW1" s="513"/>
      <c r="FX1" s="513"/>
      <c r="FY1" s="113"/>
      <c r="FZ1" s="513"/>
      <c r="GA1" s="513"/>
      <c r="GB1" s="513"/>
      <c r="GC1" s="513"/>
      <c r="GD1" s="513"/>
      <c r="GE1" s="58"/>
      <c r="GF1" s="58"/>
      <c r="KE1" s="271"/>
      <c r="KF1" s="271"/>
      <c r="KG1" s="271"/>
      <c r="KH1" s="271"/>
      <c r="KI1" s="271"/>
      <c r="KJ1" s="271"/>
    </row>
    <row r="2" spans="1:335" s="19" customFormat="1" ht="18" customHeight="1" x14ac:dyDescent="0.3">
      <c r="A2" s="19" t="s">
        <v>87</v>
      </c>
      <c r="B2" s="18" t="s">
        <v>251</v>
      </c>
      <c r="C2" s="18" t="s">
        <v>247</v>
      </c>
      <c r="D2" s="18"/>
      <c r="E2" s="18"/>
      <c r="F2" s="18"/>
      <c r="G2" s="18"/>
      <c r="H2" s="18" t="s">
        <v>119</v>
      </c>
      <c r="I2" s="18"/>
      <c r="J2" s="18"/>
      <c r="K2" s="92"/>
      <c r="L2" s="92"/>
      <c r="M2" s="92"/>
      <c r="N2" s="18"/>
      <c r="O2" s="92"/>
      <c r="P2" s="92"/>
      <c r="Q2" s="92"/>
      <c r="R2" s="18"/>
      <c r="S2" s="92"/>
      <c r="T2" s="92"/>
      <c r="U2" s="18"/>
      <c r="V2" s="92"/>
      <c r="W2" s="92"/>
      <c r="X2" s="18"/>
      <c r="Y2" s="92"/>
      <c r="Z2" s="18"/>
      <c r="AA2" s="18"/>
      <c r="AB2" s="92"/>
      <c r="AC2" s="92"/>
      <c r="AD2" s="92"/>
      <c r="AE2" s="92"/>
      <c r="AF2" s="92"/>
      <c r="AG2" s="92"/>
      <c r="AH2" s="92"/>
      <c r="AI2" s="18"/>
      <c r="AJ2" s="92"/>
      <c r="AK2" s="92"/>
      <c r="AL2" s="92"/>
      <c r="AM2" s="92"/>
      <c r="AN2" s="92"/>
      <c r="AO2" s="92"/>
      <c r="AP2" s="92"/>
      <c r="AQ2" s="92"/>
      <c r="AR2" s="92"/>
      <c r="AS2" s="92"/>
      <c r="AT2" s="18"/>
      <c r="AU2" s="18"/>
      <c r="AV2" s="18" t="s">
        <v>30</v>
      </c>
      <c r="AW2" s="18"/>
      <c r="AX2" s="18"/>
      <c r="AY2" s="18" t="s">
        <v>191</v>
      </c>
      <c r="AZ2" s="18"/>
      <c r="BA2" s="18"/>
      <c r="BB2" s="18"/>
      <c r="BC2" s="18"/>
      <c r="BD2" s="18"/>
      <c r="BE2" s="18"/>
      <c r="BF2" s="18"/>
      <c r="BG2" s="18"/>
      <c r="BH2" s="18"/>
      <c r="BI2" s="18"/>
      <c r="BJ2" s="18"/>
      <c r="BK2" s="18"/>
      <c r="BL2" s="18"/>
      <c r="BM2" s="18"/>
      <c r="BN2" s="18"/>
      <c r="BO2" s="18"/>
      <c r="BP2" s="18"/>
      <c r="BQ2" s="18"/>
      <c r="BR2" s="18"/>
      <c r="BS2" s="18"/>
      <c r="BT2" s="18"/>
      <c r="BU2" s="18"/>
      <c r="BV2" s="18"/>
      <c r="BW2" s="18"/>
      <c r="BX2" s="18"/>
      <c r="BY2" s="18"/>
      <c r="BZ2" s="18"/>
      <c r="CA2" s="18"/>
      <c r="CB2" s="18"/>
      <c r="CC2" s="18"/>
      <c r="CD2" s="18"/>
      <c r="CE2" s="18"/>
      <c r="CF2" s="18"/>
      <c r="CG2" s="18"/>
      <c r="CH2" s="18"/>
      <c r="CI2" s="18"/>
      <c r="CJ2" s="18"/>
      <c r="CK2" s="18"/>
      <c r="CL2" s="18"/>
      <c r="CM2" s="18" t="s">
        <v>224</v>
      </c>
      <c r="CN2" s="18"/>
      <c r="CO2" s="18"/>
      <c r="CP2" s="18"/>
      <c r="CQ2" s="18"/>
      <c r="CR2" s="18"/>
      <c r="CS2" s="18"/>
      <c r="CT2" s="18"/>
      <c r="CU2" s="18"/>
      <c r="CV2" s="18"/>
      <c r="CW2" s="92"/>
      <c r="CX2" s="18" t="s">
        <v>1003</v>
      </c>
      <c r="CY2" s="18"/>
      <c r="CZ2" s="18"/>
      <c r="DA2" s="18"/>
      <c r="DB2" s="18"/>
      <c r="DC2" s="18"/>
      <c r="DD2" s="18"/>
      <c r="DE2" s="18"/>
      <c r="DF2" s="18"/>
      <c r="DG2" s="18"/>
      <c r="DH2" s="18"/>
      <c r="DI2" s="18"/>
      <c r="DJ2" s="18" t="s">
        <v>796</v>
      </c>
      <c r="DK2" s="18"/>
      <c r="DL2" s="18"/>
      <c r="DM2" s="18"/>
      <c r="DN2" s="71" t="s">
        <v>420</v>
      </c>
      <c r="DO2" s="71"/>
      <c r="DP2" s="619" t="s">
        <v>98</v>
      </c>
      <c r="DQ2" s="619"/>
      <c r="DR2" s="619" t="s">
        <v>378</v>
      </c>
      <c r="DS2" s="619"/>
      <c r="DT2" s="619"/>
      <c r="DU2" s="619"/>
      <c r="DV2" s="619"/>
      <c r="DW2" s="619"/>
      <c r="DX2" s="619"/>
      <c r="DY2" s="619"/>
      <c r="DZ2" s="517" t="s">
        <v>62</v>
      </c>
      <c r="EA2" s="517"/>
      <c r="EB2" s="517"/>
      <c r="EC2" s="517"/>
      <c r="ED2" s="568" t="s">
        <v>745</v>
      </c>
      <c r="EE2" s="568"/>
      <c r="EF2" s="568"/>
      <c r="EG2" s="568"/>
      <c r="EH2" s="568"/>
      <c r="EI2" s="568"/>
      <c r="EJ2" s="177" t="s">
        <v>530</v>
      </c>
      <c r="EK2" s="177"/>
      <c r="EL2" s="177"/>
      <c r="EM2" s="177"/>
      <c r="EN2" s="177" t="s">
        <v>527</v>
      </c>
      <c r="EO2" s="177"/>
      <c r="EP2" s="177"/>
      <c r="EQ2" s="177"/>
      <c r="ER2" s="177"/>
      <c r="ES2" s="177"/>
      <c r="ET2" s="177"/>
      <c r="EU2" s="177"/>
      <c r="EV2" s="177"/>
      <c r="EW2" s="177"/>
      <c r="EX2" s="177"/>
      <c r="EY2" s="177"/>
      <c r="EZ2" s="177"/>
      <c r="FA2" s="177"/>
      <c r="FB2" s="177"/>
      <c r="FC2" s="177"/>
      <c r="FD2" s="177"/>
      <c r="FE2" s="177"/>
      <c r="FF2" s="177"/>
      <c r="FG2" s="177"/>
      <c r="FH2" s="177"/>
      <c r="FI2" s="177"/>
      <c r="FJ2" s="177"/>
      <c r="FK2" s="177"/>
      <c r="FL2" s="177"/>
      <c r="FM2" s="177"/>
      <c r="FN2" s="177"/>
      <c r="FO2" s="177"/>
      <c r="FP2" s="177"/>
      <c r="FQ2" s="177"/>
      <c r="FR2" s="177"/>
      <c r="FS2" s="177"/>
      <c r="FT2" s="177"/>
      <c r="FU2" s="177"/>
      <c r="FV2" s="177"/>
      <c r="FW2" s="177"/>
      <c r="FX2" s="177"/>
      <c r="FY2" s="177"/>
      <c r="FZ2" s="177"/>
      <c r="GA2" s="571" t="s">
        <v>297</v>
      </c>
      <c r="GB2" s="571"/>
      <c r="GC2" s="571"/>
      <c r="GD2" s="571"/>
      <c r="GE2" s="571"/>
      <c r="GF2" s="571"/>
      <c r="GG2" s="19" t="s">
        <v>88</v>
      </c>
      <c r="JO2" s="19" t="s">
        <v>8</v>
      </c>
      <c r="JP2" s="19" t="s">
        <v>35</v>
      </c>
      <c r="JR2" s="19" t="s">
        <v>0</v>
      </c>
      <c r="JT2" s="19" t="s">
        <v>19</v>
      </c>
      <c r="JV2" s="19" t="s">
        <v>1</v>
      </c>
      <c r="KD2" s="620"/>
      <c r="KE2" s="620"/>
      <c r="KF2" s="620"/>
      <c r="KG2" s="620"/>
      <c r="KH2" s="620"/>
      <c r="KI2" s="620"/>
      <c r="LP2" s="19" t="s">
        <v>5</v>
      </c>
    </row>
    <row r="3" spans="1:335" s="25" customFormat="1" ht="15" customHeight="1" x14ac:dyDescent="0.3">
      <c r="A3" s="621"/>
      <c r="B3" s="25" t="s">
        <v>249</v>
      </c>
      <c r="C3" s="12" t="s">
        <v>93</v>
      </c>
      <c r="E3" s="12" t="s">
        <v>248</v>
      </c>
      <c r="J3" s="25" t="s">
        <v>74</v>
      </c>
      <c r="K3" s="93"/>
      <c r="L3" s="93"/>
      <c r="M3" s="93"/>
      <c r="N3" s="25" t="s">
        <v>75</v>
      </c>
      <c r="O3" s="93"/>
      <c r="P3" s="93"/>
      <c r="Q3" s="93"/>
      <c r="R3" s="25" t="s">
        <v>202</v>
      </c>
      <c r="S3" s="93"/>
      <c r="T3" s="93"/>
      <c r="U3" s="25" t="s">
        <v>86</v>
      </c>
      <c r="V3" s="93"/>
      <c r="W3" s="93"/>
      <c r="X3" s="25" t="s">
        <v>108</v>
      </c>
      <c r="Y3" s="93"/>
      <c r="Z3" s="25" t="s">
        <v>101</v>
      </c>
      <c r="AB3" s="93"/>
      <c r="AC3" s="93"/>
      <c r="AD3" s="93"/>
      <c r="AE3" s="93"/>
      <c r="AF3" s="93"/>
      <c r="AG3" s="93"/>
      <c r="AH3" s="93"/>
      <c r="AJ3" s="93"/>
      <c r="AK3" s="93"/>
      <c r="AL3" s="93"/>
      <c r="AM3" s="93"/>
      <c r="AN3" s="93"/>
      <c r="AO3" s="178"/>
      <c r="AP3" s="93"/>
      <c r="AQ3" s="93"/>
      <c r="AR3" s="93"/>
      <c r="AS3" s="93"/>
      <c r="AX3" s="89"/>
      <c r="AY3" s="25" t="s">
        <v>211</v>
      </c>
      <c r="BC3" s="89"/>
      <c r="BD3" s="89"/>
      <c r="BE3" s="89"/>
      <c r="BF3" s="89"/>
      <c r="BG3" s="89"/>
      <c r="BH3" s="89"/>
      <c r="BI3" s="89"/>
      <c r="BJ3" s="89"/>
      <c r="BK3" s="89"/>
      <c r="BL3" s="89"/>
      <c r="BM3" s="89"/>
      <c r="BN3" s="89"/>
      <c r="BO3" s="89"/>
      <c r="BP3" s="89"/>
      <c r="BQ3" s="89"/>
      <c r="BR3" s="89"/>
      <c r="BS3" s="89"/>
      <c r="BT3" s="89"/>
      <c r="BU3" s="89"/>
      <c r="BV3" s="89"/>
      <c r="BW3" s="89"/>
      <c r="BX3" s="89"/>
      <c r="BY3" s="89"/>
      <c r="BZ3" s="89"/>
      <c r="CA3" s="89"/>
      <c r="CB3" s="89"/>
      <c r="CC3" s="89"/>
      <c r="CD3" s="89"/>
      <c r="CE3" s="89"/>
      <c r="CF3" s="89"/>
      <c r="CG3" s="89"/>
      <c r="CH3" s="89"/>
      <c r="CI3" s="89"/>
      <c r="CJ3" s="89"/>
      <c r="CK3" s="89"/>
      <c r="CL3" s="89"/>
      <c r="CM3" s="25" t="s">
        <v>376</v>
      </c>
      <c r="CQ3" s="25" t="s">
        <v>746</v>
      </c>
      <c r="CS3" s="25" t="s">
        <v>382</v>
      </c>
      <c r="CW3" s="93"/>
      <c r="CX3" s="25" t="s">
        <v>6</v>
      </c>
      <c r="DB3" s="25" t="s">
        <v>25</v>
      </c>
      <c r="DF3" s="25" t="s">
        <v>26</v>
      </c>
      <c r="DJ3" s="25" t="s">
        <v>793</v>
      </c>
      <c r="DN3" s="25" t="s">
        <v>987</v>
      </c>
      <c r="DO3" s="25" t="s">
        <v>421</v>
      </c>
      <c r="DP3" s="25" t="s">
        <v>987</v>
      </c>
      <c r="DQ3" s="25" t="s">
        <v>421</v>
      </c>
      <c r="DR3" s="25" t="s">
        <v>988</v>
      </c>
      <c r="DV3" s="25" t="s">
        <v>512</v>
      </c>
      <c r="DZ3" s="25" t="s">
        <v>383</v>
      </c>
      <c r="EA3" s="25" t="s">
        <v>112</v>
      </c>
      <c r="ED3" s="25" t="s">
        <v>383</v>
      </c>
      <c r="EE3" s="25" t="s">
        <v>112</v>
      </c>
      <c r="EN3" s="89" t="s">
        <v>274</v>
      </c>
      <c r="EO3" s="89"/>
      <c r="EP3" s="89"/>
      <c r="EQ3" s="89"/>
      <c r="ER3" s="89"/>
      <c r="EU3" s="89"/>
      <c r="EW3" s="89"/>
      <c r="EZ3" s="89"/>
      <c r="FA3" s="89" t="s">
        <v>272</v>
      </c>
      <c r="FB3" s="89"/>
      <c r="FC3" s="89"/>
      <c r="FD3" s="89"/>
      <c r="FE3" s="89"/>
      <c r="FH3" s="89"/>
      <c r="FI3" s="89"/>
      <c r="FJ3" s="89"/>
      <c r="FK3" s="89"/>
      <c r="FL3" s="25" t="s">
        <v>271</v>
      </c>
      <c r="FM3" s="89"/>
      <c r="FN3" s="89"/>
      <c r="FO3" s="89"/>
      <c r="FP3" s="89"/>
      <c r="FR3" s="89"/>
      <c r="FS3" s="25" t="s">
        <v>218</v>
      </c>
      <c r="FT3" s="89"/>
      <c r="FW3" s="89"/>
      <c r="FX3" s="89"/>
      <c r="FZ3" s="89"/>
      <c r="GA3" s="25" t="s">
        <v>988</v>
      </c>
      <c r="GD3" s="25" t="s">
        <v>512</v>
      </c>
      <c r="KD3" s="180"/>
      <c r="KE3" s="180"/>
      <c r="KF3" s="180"/>
      <c r="KG3" s="180"/>
      <c r="KH3" s="180"/>
      <c r="KI3" s="180"/>
    </row>
    <row r="4" spans="1:335" s="20" customFormat="1" ht="15" customHeight="1" x14ac:dyDescent="0.3">
      <c r="A4" s="622"/>
      <c r="BS4" s="65"/>
      <c r="BT4" s="65"/>
      <c r="BV4" s="65"/>
      <c r="BW4" s="65"/>
      <c r="BX4" s="65"/>
      <c r="BY4" s="65"/>
      <c r="BZ4" s="65"/>
      <c r="CA4" s="65"/>
      <c r="CB4" s="65"/>
      <c r="CC4" s="65"/>
      <c r="CD4" s="65"/>
      <c r="CE4" s="65"/>
      <c r="CF4" s="65"/>
      <c r="CG4" s="65"/>
      <c r="CH4" s="65"/>
      <c r="CI4" s="65"/>
      <c r="CJ4" s="65"/>
      <c r="CK4" s="65"/>
      <c r="CL4" s="65"/>
      <c r="CM4" s="20" t="s">
        <v>491</v>
      </c>
      <c r="CX4" s="20" t="s">
        <v>149</v>
      </c>
      <c r="DB4" s="20" t="s">
        <v>149</v>
      </c>
      <c r="DF4" s="20" t="s">
        <v>149</v>
      </c>
      <c r="DN4" s="20" t="s">
        <v>46</v>
      </c>
      <c r="DO4" s="20" t="s">
        <v>46</v>
      </c>
      <c r="DP4" s="20" t="s">
        <v>46</v>
      </c>
      <c r="DQ4" s="20" t="s">
        <v>46</v>
      </c>
      <c r="DR4" s="20" t="s">
        <v>504</v>
      </c>
      <c r="DV4" s="20" t="s">
        <v>504</v>
      </c>
      <c r="DZ4" s="20" t="s">
        <v>46</v>
      </c>
      <c r="EA4" s="20" t="s">
        <v>504</v>
      </c>
      <c r="ED4" s="20" t="s">
        <v>46</v>
      </c>
      <c r="EE4" s="20" t="s">
        <v>504</v>
      </c>
      <c r="EJ4" s="65" t="s">
        <v>2</v>
      </c>
      <c r="EK4" s="65" t="s">
        <v>529</v>
      </c>
      <c r="EL4" s="65" t="s">
        <v>528</v>
      </c>
      <c r="EM4" s="65" t="s">
        <v>269</v>
      </c>
      <c r="EN4" s="65" t="s">
        <v>273</v>
      </c>
      <c r="EO4" s="65"/>
      <c r="EP4" s="65"/>
      <c r="EQ4" s="65"/>
      <c r="ER4" s="65"/>
      <c r="ES4" s="65" t="s">
        <v>848</v>
      </c>
      <c r="ET4" s="65"/>
      <c r="EU4" s="65"/>
      <c r="EV4" s="65"/>
      <c r="EW4" s="65"/>
      <c r="EX4" s="65"/>
      <c r="EY4" s="65"/>
      <c r="EZ4" s="65"/>
      <c r="FA4" s="65" t="s">
        <v>2</v>
      </c>
      <c r="FB4" s="65"/>
      <c r="FC4" s="65"/>
      <c r="FD4" s="65" t="s">
        <v>865</v>
      </c>
      <c r="FF4" s="65" t="s">
        <v>866</v>
      </c>
      <c r="FH4" s="65"/>
      <c r="FI4" s="65" t="s">
        <v>218</v>
      </c>
      <c r="FJ4" s="65"/>
      <c r="FK4" s="65"/>
      <c r="FL4" s="65" t="s">
        <v>864</v>
      </c>
      <c r="FN4" s="65"/>
      <c r="FO4" s="65" t="s">
        <v>863</v>
      </c>
      <c r="FP4" s="65"/>
      <c r="FR4" s="65"/>
      <c r="FS4" s="65" t="s">
        <v>862</v>
      </c>
      <c r="FU4" s="65" t="s">
        <v>861</v>
      </c>
      <c r="FW4" s="65"/>
      <c r="FX4" s="65"/>
      <c r="FZ4" s="65"/>
      <c r="GA4" s="20" t="s">
        <v>504</v>
      </c>
      <c r="GB4" s="65"/>
      <c r="GC4" s="65"/>
      <c r="GD4" s="20" t="s">
        <v>504</v>
      </c>
      <c r="GE4" s="65"/>
      <c r="GF4" s="65"/>
      <c r="GG4" s="20" t="s">
        <v>33</v>
      </c>
      <c r="GH4" s="20" t="s">
        <v>127</v>
      </c>
      <c r="GJ4" s="20" t="s">
        <v>130</v>
      </c>
      <c r="GL4" s="20" t="s">
        <v>16</v>
      </c>
      <c r="JP4" s="20" t="s">
        <v>36</v>
      </c>
      <c r="JQ4" s="20" t="s">
        <v>37</v>
      </c>
      <c r="JV4" s="20" t="s">
        <v>9</v>
      </c>
      <c r="KD4" s="119" t="s">
        <v>31</v>
      </c>
      <c r="KE4" s="119"/>
      <c r="KF4" s="119"/>
      <c r="KG4" s="119" t="s">
        <v>32</v>
      </c>
      <c r="KH4" s="119"/>
      <c r="KI4" s="119"/>
      <c r="KJ4" s="20" t="s">
        <v>968</v>
      </c>
      <c r="KR4" s="20" t="s">
        <v>12</v>
      </c>
      <c r="KZ4" s="20" t="s">
        <v>13</v>
      </c>
      <c r="LH4" s="20" t="s">
        <v>14</v>
      </c>
      <c r="LP4" s="20" t="s">
        <v>2</v>
      </c>
      <c r="LR4" s="20" t="s">
        <v>3</v>
      </c>
      <c r="LU4" s="20" t="s">
        <v>4</v>
      </c>
    </row>
    <row r="5" spans="1:335" s="94" customFormat="1" ht="15" customHeight="1" x14ac:dyDescent="0.3">
      <c r="A5" s="573"/>
      <c r="K5" s="94" t="s">
        <v>107</v>
      </c>
      <c r="O5" s="94" t="s">
        <v>107</v>
      </c>
      <c r="S5" s="94" t="s">
        <v>107</v>
      </c>
      <c r="V5" s="94" t="s">
        <v>107</v>
      </c>
      <c r="Y5" s="94" t="s">
        <v>107</v>
      </c>
      <c r="Z5" s="94" t="s">
        <v>6</v>
      </c>
      <c r="AA5" s="94" t="s">
        <v>207</v>
      </c>
      <c r="AE5" s="94" t="s">
        <v>210</v>
      </c>
      <c r="AI5" s="94" t="s">
        <v>208</v>
      </c>
      <c r="AO5" s="114"/>
      <c r="AP5" s="94" t="s">
        <v>255</v>
      </c>
      <c r="AT5" s="94" t="s">
        <v>969</v>
      </c>
      <c r="AV5" s="94" t="s">
        <v>111</v>
      </c>
      <c r="AX5" s="114"/>
      <c r="AY5" s="94" t="s">
        <v>6</v>
      </c>
      <c r="BB5" s="114" t="s">
        <v>74</v>
      </c>
      <c r="BD5" s="114"/>
      <c r="BE5" s="114"/>
      <c r="BF5" s="114" t="s">
        <v>75</v>
      </c>
      <c r="BH5" s="114"/>
      <c r="BI5" s="114"/>
      <c r="BJ5" s="114" t="s">
        <v>192</v>
      </c>
      <c r="BL5" s="114"/>
      <c r="BM5" s="114" t="s">
        <v>86</v>
      </c>
      <c r="BO5" s="114"/>
      <c r="BP5" s="114" t="s">
        <v>201</v>
      </c>
      <c r="BR5" s="114" t="s">
        <v>157</v>
      </c>
      <c r="BS5" s="114"/>
      <c r="BT5" s="114"/>
      <c r="BV5" s="114"/>
      <c r="BW5" s="114"/>
      <c r="BX5" s="114"/>
      <c r="BY5" s="114"/>
      <c r="BZ5" s="114"/>
      <c r="CA5" s="114"/>
      <c r="CB5" s="114"/>
      <c r="CC5" s="114"/>
      <c r="CD5" s="114"/>
      <c r="CE5" s="114"/>
      <c r="CF5" s="114"/>
      <c r="CG5" s="114"/>
      <c r="CH5" s="114"/>
      <c r="CI5" s="114"/>
      <c r="CJ5" s="114"/>
      <c r="CK5" s="114"/>
      <c r="CL5" s="114"/>
      <c r="CM5" s="114" t="s">
        <v>377</v>
      </c>
      <c r="DJ5" s="94" t="s">
        <v>792</v>
      </c>
      <c r="DN5" s="114" t="s">
        <v>411</v>
      </c>
      <c r="DO5" s="114" t="s">
        <v>411</v>
      </c>
      <c r="DP5" s="114" t="s">
        <v>411</v>
      </c>
      <c r="DQ5" s="114" t="s">
        <v>411</v>
      </c>
      <c r="DR5" s="114" t="s">
        <v>411</v>
      </c>
      <c r="DS5" s="114"/>
      <c r="DV5" s="114" t="s">
        <v>411</v>
      </c>
      <c r="DW5" s="114"/>
      <c r="DZ5" s="114" t="s">
        <v>333</v>
      </c>
      <c r="EA5" s="114" t="s">
        <v>411</v>
      </c>
      <c r="ED5" s="114" t="s">
        <v>411</v>
      </c>
      <c r="EE5" s="114" t="s">
        <v>6</v>
      </c>
      <c r="EF5" s="114" t="s">
        <v>363</v>
      </c>
      <c r="EG5" s="114"/>
      <c r="EN5" s="114" t="s">
        <v>6</v>
      </c>
      <c r="EO5" s="114" t="s">
        <v>363</v>
      </c>
      <c r="EP5" s="114"/>
      <c r="EQ5" s="114"/>
      <c r="ER5" s="114"/>
      <c r="ES5" s="94" t="s">
        <v>970</v>
      </c>
      <c r="EV5" s="114" t="s">
        <v>859</v>
      </c>
      <c r="EW5" s="114" t="s">
        <v>858</v>
      </c>
      <c r="EX5" s="114" t="s">
        <v>857</v>
      </c>
      <c r="EY5" s="114" t="s">
        <v>856</v>
      </c>
      <c r="EZ5" s="114"/>
      <c r="FA5" s="114" t="s">
        <v>6</v>
      </c>
      <c r="FB5" s="114" t="s">
        <v>363</v>
      </c>
      <c r="FC5" s="114"/>
      <c r="FD5" s="114" t="s">
        <v>529</v>
      </c>
      <c r="FF5" s="114" t="s">
        <v>867</v>
      </c>
      <c r="FH5" s="114"/>
      <c r="FI5" s="114" t="s">
        <v>269</v>
      </c>
      <c r="FJ5" s="114"/>
      <c r="FK5" s="114"/>
      <c r="FL5" s="94" t="s">
        <v>528</v>
      </c>
      <c r="FN5" s="114"/>
      <c r="FO5" s="114" t="s">
        <v>269</v>
      </c>
      <c r="FP5" s="114"/>
      <c r="FQ5" s="114"/>
      <c r="FR5" s="114"/>
      <c r="FS5" s="114" t="s">
        <v>529</v>
      </c>
      <c r="FU5" s="114" t="s">
        <v>528</v>
      </c>
      <c r="FW5" s="114"/>
      <c r="FX5" s="114" t="s">
        <v>269</v>
      </c>
      <c r="FZ5" s="114"/>
      <c r="GA5" s="114" t="s">
        <v>411</v>
      </c>
      <c r="GD5" s="114" t="s">
        <v>411</v>
      </c>
      <c r="KD5" s="120"/>
      <c r="KE5" s="120"/>
      <c r="KF5" s="120"/>
      <c r="KG5" s="120"/>
      <c r="KH5" s="120"/>
      <c r="KI5" s="120"/>
    </row>
    <row r="6" spans="1:335" s="94" customFormat="1" ht="15" customHeight="1" x14ac:dyDescent="0.3">
      <c r="A6" s="573"/>
      <c r="AO6" s="114"/>
      <c r="AX6" s="114"/>
      <c r="BB6" s="114"/>
      <c r="BD6" s="114"/>
      <c r="BE6" s="114"/>
      <c r="BF6" s="114"/>
      <c r="BH6" s="114"/>
      <c r="BI6" s="114"/>
      <c r="BJ6" s="114"/>
      <c r="BL6" s="114"/>
      <c r="BM6" s="114"/>
      <c r="BO6" s="114"/>
      <c r="BP6" s="114"/>
      <c r="BR6" s="114"/>
      <c r="BS6" s="114"/>
      <c r="BT6" s="114"/>
      <c r="BV6" s="114"/>
      <c r="BW6" s="114"/>
      <c r="BX6" s="114"/>
      <c r="BY6" s="114"/>
      <c r="BZ6" s="114"/>
      <c r="CA6" s="114"/>
      <c r="CB6" s="114"/>
      <c r="CC6" s="114"/>
      <c r="CD6" s="114"/>
      <c r="CE6" s="114"/>
      <c r="CF6" s="114"/>
      <c r="CG6" s="114"/>
      <c r="CH6" s="114"/>
      <c r="CI6" s="114"/>
      <c r="CJ6" s="114"/>
      <c r="CK6" s="114"/>
      <c r="CL6" s="114"/>
      <c r="ED6" s="94" t="s">
        <v>273</v>
      </c>
      <c r="EE6" s="94" t="s">
        <v>273</v>
      </c>
      <c r="EF6" s="94" t="s">
        <v>273</v>
      </c>
      <c r="EN6" s="114"/>
      <c r="EO6" s="114"/>
      <c r="EP6" s="114"/>
      <c r="EQ6" s="114"/>
      <c r="ER6" s="114"/>
      <c r="ES6" s="114" t="s">
        <v>869</v>
      </c>
      <c r="ET6" s="114" t="s">
        <v>868</v>
      </c>
      <c r="EU6" s="114" t="s">
        <v>269</v>
      </c>
      <c r="EV6" s="114" t="s">
        <v>528</v>
      </c>
      <c r="EW6" s="114" t="s">
        <v>269</v>
      </c>
      <c r="EX6" s="114" t="s">
        <v>529</v>
      </c>
      <c r="EY6" s="114" t="s">
        <v>854</v>
      </c>
      <c r="EZ6" s="114" t="s">
        <v>855</v>
      </c>
      <c r="FA6" s="114"/>
      <c r="FB6" s="114"/>
      <c r="FC6" s="114"/>
      <c r="FD6" s="114"/>
      <c r="FF6" s="114"/>
      <c r="FH6" s="114"/>
      <c r="FI6" s="114"/>
      <c r="FJ6" s="114"/>
      <c r="FK6" s="114"/>
      <c r="FL6" s="114"/>
      <c r="FN6" s="114"/>
      <c r="FO6" s="114"/>
      <c r="FP6" s="114"/>
      <c r="FQ6" s="114"/>
      <c r="FR6" s="114"/>
      <c r="FS6" s="114"/>
      <c r="FU6" s="114"/>
      <c r="FW6" s="114"/>
      <c r="FX6" s="114"/>
      <c r="FZ6" s="114"/>
      <c r="GA6" s="114"/>
      <c r="GB6" s="114"/>
      <c r="GC6" s="114"/>
      <c r="GD6" s="114"/>
      <c r="GE6" s="114"/>
      <c r="GF6" s="114"/>
      <c r="KD6" s="120"/>
      <c r="KE6" s="120"/>
      <c r="KF6" s="120"/>
      <c r="KG6" s="120"/>
      <c r="KH6" s="120"/>
      <c r="KI6" s="120"/>
    </row>
    <row r="7" spans="1:335" s="4" customFormat="1" ht="84" customHeight="1" x14ac:dyDescent="0.25">
      <c r="A7" s="49"/>
      <c r="B7" s="4" t="s">
        <v>133</v>
      </c>
      <c r="C7" s="4" t="s">
        <v>205</v>
      </c>
      <c r="D7" s="4" t="s">
        <v>204</v>
      </c>
      <c r="E7" s="4" t="s">
        <v>48</v>
      </c>
      <c r="F7" s="4" t="s">
        <v>50</v>
      </c>
      <c r="G7" s="4" t="s">
        <v>170</v>
      </c>
      <c r="H7" s="4" t="s">
        <v>380</v>
      </c>
      <c r="I7" s="4" t="s">
        <v>381</v>
      </c>
      <c r="J7" s="4" t="s">
        <v>96</v>
      </c>
      <c r="K7" s="49" t="s">
        <v>103</v>
      </c>
      <c r="L7" s="49" t="s">
        <v>104</v>
      </c>
      <c r="M7" s="49" t="s">
        <v>105</v>
      </c>
      <c r="N7" s="4" t="s">
        <v>96</v>
      </c>
      <c r="O7" s="49" t="s">
        <v>120</v>
      </c>
      <c r="P7" s="49" t="s">
        <v>198</v>
      </c>
      <c r="Q7" s="49" t="s">
        <v>197</v>
      </c>
      <c r="R7" s="4" t="s">
        <v>96</v>
      </c>
      <c r="S7" s="49" t="s">
        <v>195</v>
      </c>
      <c r="T7" s="49" t="s">
        <v>212</v>
      </c>
      <c r="U7" s="4" t="s">
        <v>96</v>
      </c>
      <c r="V7" s="49" t="s">
        <v>99</v>
      </c>
      <c r="W7" s="49" t="s">
        <v>100</v>
      </c>
      <c r="X7" s="4" t="s">
        <v>96</v>
      </c>
      <c r="Y7" s="49" t="s">
        <v>493</v>
      </c>
      <c r="Z7" s="4" t="s">
        <v>96</v>
      </c>
      <c r="AA7" s="4" t="s">
        <v>971</v>
      </c>
      <c r="AB7" s="49" t="s">
        <v>184</v>
      </c>
      <c r="AC7" s="49" t="s">
        <v>189</v>
      </c>
      <c r="AD7" s="49" t="s">
        <v>185</v>
      </c>
      <c r="AE7" s="4" t="s">
        <v>972</v>
      </c>
      <c r="AF7" s="49" t="s">
        <v>186</v>
      </c>
      <c r="AG7" s="49" t="s">
        <v>187</v>
      </c>
      <c r="AH7" s="49" t="s">
        <v>188</v>
      </c>
      <c r="AI7" s="4" t="s">
        <v>973</v>
      </c>
      <c r="AJ7" s="49" t="s">
        <v>102</v>
      </c>
      <c r="AK7" s="49" t="s">
        <v>183</v>
      </c>
      <c r="AL7" s="49" t="s">
        <v>121</v>
      </c>
      <c r="AM7" s="49" t="s">
        <v>190</v>
      </c>
      <c r="AN7" s="49" t="s">
        <v>182</v>
      </c>
      <c r="AO7" s="123" t="s">
        <v>373</v>
      </c>
      <c r="AP7" s="4" t="s">
        <v>974</v>
      </c>
      <c r="AQ7" s="49" t="s">
        <v>256</v>
      </c>
      <c r="AR7" s="49" t="s">
        <v>257</v>
      </c>
      <c r="AS7" s="49" t="s">
        <v>258</v>
      </c>
      <c r="AT7" s="4" t="s">
        <v>374</v>
      </c>
      <c r="AU7" s="4" t="s">
        <v>375</v>
      </c>
      <c r="AV7" s="4" t="s">
        <v>975</v>
      </c>
      <c r="AW7" s="4" t="s">
        <v>976</v>
      </c>
      <c r="AX7" s="4" t="s">
        <v>305</v>
      </c>
      <c r="AY7" s="4" t="s">
        <v>50</v>
      </c>
      <c r="AZ7" s="64" t="s">
        <v>213</v>
      </c>
      <c r="BA7" s="64" t="s">
        <v>259</v>
      </c>
      <c r="BB7" s="4" t="s">
        <v>6</v>
      </c>
      <c r="BC7" s="4" t="s">
        <v>199</v>
      </c>
      <c r="BD7" s="4" t="s">
        <v>104</v>
      </c>
      <c r="BE7" s="4" t="s">
        <v>105</v>
      </c>
      <c r="BF7" s="4" t="s">
        <v>6</v>
      </c>
      <c r="BG7" s="4" t="s">
        <v>120</v>
      </c>
      <c r="BH7" s="4" t="s">
        <v>198</v>
      </c>
      <c r="BI7" s="4" t="s">
        <v>197</v>
      </c>
      <c r="BJ7" s="4" t="s">
        <v>6</v>
      </c>
      <c r="BK7" s="4" t="s">
        <v>196</v>
      </c>
      <c r="BL7" s="4" t="s">
        <v>212</v>
      </c>
      <c r="BM7" s="4" t="s">
        <v>6</v>
      </c>
      <c r="BN7" s="4" t="s">
        <v>194</v>
      </c>
      <c r="BO7" s="4" t="s">
        <v>193</v>
      </c>
      <c r="BP7" s="4" t="s">
        <v>6</v>
      </c>
      <c r="BQ7" s="49" t="s">
        <v>493</v>
      </c>
      <c r="BR7" s="4" t="s">
        <v>6</v>
      </c>
      <c r="BS7" s="64" t="s">
        <v>214</v>
      </c>
      <c r="BT7" s="49" t="s">
        <v>200</v>
      </c>
      <c r="BU7" s="49" t="s">
        <v>184</v>
      </c>
      <c r="BV7" s="49" t="s">
        <v>185</v>
      </c>
      <c r="BW7" s="64" t="s">
        <v>215</v>
      </c>
      <c r="BX7" s="49" t="s">
        <v>186</v>
      </c>
      <c r="BY7" s="49" t="s">
        <v>187</v>
      </c>
      <c r="BZ7" s="49" t="s">
        <v>188</v>
      </c>
      <c r="CA7" s="64" t="s">
        <v>216</v>
      </c>
      <c r="CB7" s="49" t="s">
        <v>102</v>
      </c>
      <c r="CC7" s="49" t="s">
        <v>183</v>
      </c>
      <c r="CD7" s="49" t="s">
        <v>121</v>
      </c>
      <c r="CE7" s="49" t="s">
        <v>190</v>
      </c>
      <c r="CF7" s="49" t="s">
        <v>182</v>
      </c>
      <c r="CG7" s="123" t="s">
        <v>373</v>
      </c>
      <c r="CH7" s="64" t="s">
        <v>303</v>
      </c>
      <c r="CI7" s="49" t="s">
        <v>256</v>
      </c>
      <c r="CJ7" s="49" t="s">
        <v>257</v>
      </c>
      <c r="CK7" s="49" t="s">
        <v>258</v>
      </c>
      <c r="CL7" s="4" t="s">
        <v>977</v>
      </c>
      <c r="CM7" s="4" t="s">
        <v>228</v>
      </c>
      <c r="CN7" s="4" t="s">
        <v>229</v>
      </c>
      <c r="CO7" s="4" t="s">
        <v>230</v>
      </c>
      <c r="CP7" s="4" t="s">
        <v>231</v>
      </c>
      <c r="CQ7" s="4" t="s">
        <v>747</v>
      </c>
      <c r="CR7" s="4" t="s">
        <v>748</v>
      </c>
      <c r="CS7" s="4" t="s">
        <v>6</v>
      </c>
      <c r="CT7" s="4" t="s">
        <v>232</v>
      </c>
      <c r="CU7" s="4" t="s">
        <v>260</v>
      </c>
      <c r="CV7" s="4" t="s">
        <v>306</v>
      </c>
      <c r="CW7" s="49" t="s">
        <v>493</v>
      </c>
      <c r="CX7" s="4" t="s">
        <v>48</v>
      </c>
      <c r="CY7" s="4" t="s">
        <v>50</v>
      </c>
      <c r="CZ7" s="4" t="s">
        <v>150</v>
      </c>
      <c r="DA7" s="4" t="s">
        <v>110</v>
      </c>
      <c r="DB7" s="4" t="s">
        <v>48</v>
      </c>
      <c r="DC7" s="4" t="s">
        <v>50</v>
      </c>
      <c r="DD7" s="4" t="s">
        <v>150</v>
      </c>
      <c r="DE7" s="4" t="s">
        <v>110</v>
      </c>
      <c r="DF7" s="4" t="s">
        <v>48</v>
      </c>
      <c r="DG7" s="4" t="s">
        <v>50</v>
      </c>
      <c r="DH7" s="4" t="s">
        <v>150</v>
      </c>
      <c r="DI7" s="4" t="s">
        <v>110</v>
      </c>
      <c r="DJ7" s="4" t="s">
        <v>792</v>
      </c>
      <c r="DK7" s="4" t="s">
        <v>791</v>
      </c>
      <c r="DL7" s="4" t="s">
        <v>808</v>
      </c>
      <c r="DM7" s="4" t="s">
        <v>399</v>
      </c>
      <c r="DN7" s="4" t="s">
        <v>41</v>
      </c>
      <c r="DO7" s="4" t="s">
        <v>470</v>
      </c>
      <c r="DP7" s="4" t="s">
        <v>154</v>
      </c>
      <c r="DQ7" s="4" t="s">
        <v>154</v>
      </c>
      <c r="DR7" s="4" t="s">
        <v>261</v>
      </c>
      <c r="DS7" s="4" t="s">
        <v>941</v>
      </c>
      <c r="DT7" s="4" t="s">
        <v>85</v>
      </c>
      <c r="DU7" s="4" t="s">
        <v>155</v>
      </c>
      <c r="DV7" s="4" t="s">
        <v>261</v>
      </c>
      <c r="DW7" s="4" t="s">
        <v>941</v>
      </c>
      <c r="DX7" s="4" t="s">
        <v>85</v>
      </c>
      <c r="DY7" s="4" t="s">
        <v>155</v>
      </c>
      <c r="DZ7" s="4" t="s">
        <v>318</v>
      </c>
      <c r="EA7" s="4" t="s">
        <v>384</v>
      </c>
      <c r="EB7" s="4" t="s">
        <v>360</v>
      </c>
      <c r="EC7" s="4" t="s">
        <v>317</v>
      </c>
      <c r="ED7" s="4" t="s">
        <v>286</v>
      </c>
      <c r="EE7" s="60" t="s">
        <v>275</v>
      </c>
      <c r="EF7" s="4" t="s">
        <v>280</v>
      </c>
      <c r="EG7" s="4" t="s">
        <v>942</v>
      </c>
      <c r="EH7" s="4" t="s">
        <v>281</v>
      </c>
      <c r="EI7" s="60" t="s">
        <v>276</v>
      </c>
      <c r="EJ7" s="4" t="s">
        <v>286</v>
      </c>
      <c r="EK7" s="4" t="s">
        <v>287</v>
      </c>
      <c r="EL7" s="4" t="s">
        <v>286</v>
      </c>
      <c r="EM7" s="4" t="s">
        <v>286</v>
      </c>
      <c r="EN7" s="60" t="s">
        <v>275</v>
      </c>
      <c r="EO7" s="60" t="s">
        <v>843</v>
      </c>
      <c r="EP7" s="60" t="s">
        <v>943</v>
      </c>
      <c r="EQ7" s="60" t="s">
        <v>283</v>
      </c>
      <c r="ER7" s="60" t="s">
        <v>279</v>
      </c>
      <c r="ES7" s="60" t="s">
        <v>852</v>
      </c>
      <c r="ET7" s="60" t="s">
        <v>851</v>
      </c>
      <c r="EU7" s="60" t="s">
        <v>851</v>
      </c>
      <c r="EV7" s="60" t="s">
        <v>851</v>
      </c>
      <c r="EW7" s="60" t="s">
        <v>851</v>
      </c>
      <c r="EX7" s="60" t="s">
        <v>852</v>
      </c>
      <c r="EY7" s="60" t="s">
        <v>851</v>
      </c>
      <c r="EZ7" s="60" t="s">
        <v>851</v>
      </c>
      <c r="FA7" s="60" t="s">
        <v>275</v>
      </c>
      <c r="FB7" s="60" t="s">
        <v>843</v>
      </c>
      <c r="FC7" s="60" t="s">
        <v>279</v>
      </c>
      <c r="FD7" s="60" t="s">
        <v>844</v>
      </c>
      <c r="FE7" s="60" t="s">
        <v>277</v>
      </c>
      <c r="FF7" s="60" t="s">
        <v>847</v>
      </c>
      <c r="FG7" s="60" t="s">
        <v>276</v>
      </c>
      <c r="FH7" s="60" t="s">
        <v>845</v>
      </c>
      <c r="FI7" s="60" t="s">
        <v>847</v>
      </c>
      <c r="FJ7" s="60" t="s">
        <v>276</v>
      </c>
      <c r="FK7" s="60" t="s">
        <v>846</v>
      </c>
      <c r="FL7" s="60" t="s">
        <v>847</v>
      </c>
      <c r="FM7" s="60" t="s">
        <v>276</v>
      </c>
      <c r="FN7" s="60" t="s">
        <v>845</v>
      </c>
      <c r="FO7" s="60" t="s">
        <v>847</v>
      </c>
      <c r="FP7" s="60" t="s">
        <v>276</v>
      </c>
      <c r="FQ7" s="60" t="s">
        <v>278</v>
      </c>
      <c r="FR7" s="60" t="s">
        <v>846</v>
      </c>
      <c r="FS7" s="60" t="s">
        <v>844</v>
      </c>
      <c r="FT7" s="60" t="s">
        <v>277</v>
      </c>
      <c r="FU7" s="60" t="s">
        <v>847</v>
      </c>
      <c r="FV7" s="60" t="s">
        <v>276</v>
      </c>
      <c r="FW7" s="60" t="s">
        <v>845</v>
      </c>
      <c r="FX7" s="60" t="s">
        <v>847</v>
      </c>
      <c r="FY7" s="60" t="s">
        <v>276</v>
      </c>
      <c r="FZ7" s="60" t="s">
        <v>846</v>
      </c>
      <c r="GA7" s="4" t="s">
        <v>280</v>
      </c>
      <c r="GB7" s="4" t="s">
        <v>281</v>
      </c>
      <c r="GC7" s="4" t="s">
        <v>282</v>
      </c>
      <c r="GD7" s="4" t="s">
        <v>280</v>
      </c>
      <c r="GE7" s="4" t="s">
        <v>281</v>
      </c>
      <c r="GF7" s="4" t="s">
        <v>282</v>
      </c>
      <c r="GG7" s="4" t="s">
        <v>34</v>
      </c>
      <c r="GH7" s="4" t="s">
        <v>128</v>
      </c>
      <c r="GI7" s="4" t="s">
        <v>129</v>
      </c>
      <c r="GJ7" s="4" t="s">
        <v>131</v>
      </c>
      <c r="GK7" s="4" t="s">
        <v>132</v>
      </c>
      <c r="GL7" s="4" t="s">
        <v>34</v>
      </c>
      <c r="GM7" s="4" t="s">
        <v>18</v>
      </c>
      <c r="JO7" s="4" t="s">
        <v>6</v>
      </c>
      <c r="JP7" s="4" t="s">
        <v>6</v>
      </c>
      <c r="JQ7" s="4" t="s">
        <v>6</v>
      </c>
      <c r="JR7" s="4" t="s">
        <v>6</v>
      </c>
      <c r="JS7" s="4" t="s">
        <v>7</v>
      </c>
      <c r="JT7" s="49" t="s">
        <v>6</v>
      </c>
      <c r="JU7" s="49" t="s">
        <v>29</v>
      </c>
      <c r="JV7" s="4" t="s">
        <v>6</v>
      </c>
      <c r="JW7" s="4" t="s">
        <v>10</v>
      </c>
      <c r="JX7" s="4" t="s">
        <v>6</v>
      </c>
      <c r="JY7" s="4" t="s">
        <v>11</v>
      </c>
      <c r="JZ7" s="4" t="s">
        <v>10</v>
      </c>
      <c r="KA7" s="4" t="s">
        <v>7</v>
      </c>
      <c r="KB7" s="4" t="s">
        <v>6</v>
      </c>
      <c r="KC7" s="4" t="s">
        <v>11</v>
      </c>
      <c r="KD7" s="149"/>
      <c r="KE7" s="149"/>
      <c r="KF7" s="149"/>
      <c r="KG7" s="149"/>
      <c r="KH7" s="149"/>
      <c r="KI7" s="149"/>
      <c r="KJ7" s="4" t="s">
        <v>6</v>
      </c>
      <c r="KK7" s="4" t="s">
        <v>15</v>
      </c>
      <c r="KL7" s="4" t="s">
        <v>6</v>
      </c>
      <c r="KM7" s="4" t="s">
        <v>20</v>
      </c>
      <c r="KN7" s="4" t="s">
        <v>15</v>
      </c>
      <c r="KO7" s="4" t="s">
        <v>6</v>
      </c>
      <c r="KP7" s="4" t="s">
        <v>20</v>
      </c>
      <c r="KQ7" s="4" t="s">
        <v>15</v>
      </c>
      <c r="KR7" s="4" t="s">
        <v>6</v>
      </c>
      <c r="KS7" s="4" t="s">
        <v>15</v>
      </c>
      <c r="KT7" s="4" t="s">
        <v>6</v>
      </c>
      <c r="KU7" s="4" t="s">
        <v>20</v>
      </c>
      <c r="KV7" s="4" t="s">
        <v>15</v>
      </c>
      <c r="KW7" s="4" t="s">
        <v>6</v>
      </c>
      <c r="KX7" s="4" t="s">
        <v>20</v>
      </c>
      <c r="KY7" s="4" t="s">
        <v>15</v>
      </c>
      <c r="KZ7" s="4" t="s">
        <v>6</v>
      </c>
      <c r="LA7" s="4" t="s">
        <v>15</v>
      </c>
      <c r="LB7" s="4" t="s">
        <v>6</v>
      </c>
      <c r="LC7" s="4" t="s">
        <v>20</v>
      </c>
      <c r="LD7" s="4" t="s">
        <v>15</v>
      </c>
      <c r="LE7" s="4" t="s">
        <v>6</v>
      </c>
      <c r="LF7" s="4" t="s">
        <v>20</v>
      </c>
      <c r="LG7" s="4" t="s">
        <v>15</v>
      </c>
      <c r="LH7" s="4" t="s">
        <v>6</v>
      </c>
      <c r="LI7" s="4" t="s">
        <v>15</v>
      </c>
      <c r="LJ7" s="4" t="s">
        <v>6</v>
      </c>
      <c r="LK7" s="4" t="s">
        <v>20</v>
      </c>
      <c r="LL7" s="4" t="s">
        <v>15</v>
      </c>
      <c r="LM7" s="4" t="s">
        <v>6</v>
      </c>
      <c r="LN7" s="4" t="s">
        <v>20</v>
      </c>
      <c r="LO7" s="4" t="s">
        <v>15</v>
      </c>
      <c r="LP7" s="4" t="s">
        <v>6</v>
      </c>
      <c r="LQ7" s="4" t="s">
        <v>10</v>
      </c>
      <c r="LR7" s="4" t="s">
        <v>6</v>
      </c>
      <c r="LS7" s="4" t="s">
        <v>20</v>
      </c>
      <c r="LT7" s="4" t="s">
        <v>15</v>
      </c>
      <c r="LU7" s="4" t="s">
        <v>6</v>
      </c>
      <c r="LV7" s="4" t="s">
        <v>20</v>
      </c>
      <c r="LW7" s="4" t="s">
        <v>15</v>
      </c>
    </row>
    <row r="8" spans="1:335" s="4" customFormat="1" x14ac:dyDescent="0.25">
      <c r="A8" s="14"/>
      <c r="B8" s="14"/>
      <c r="C8" s="14"/>
      <c r="D8" s="14"/>
      <c r="E8" s="14"/>
      <c r="F8" s="14"/>
      <c r="G8" s="14"/>
      <c r="H8" s="14"/>
      <c r="I8" s="14"/>
      <c r="J8" s="14"/>
      <c r="K8" s="50"/>
      <c r="L8" s="50"/>
      <c r="M8" s="50"/>
      <c r="N8" s="14"/>
      <c r="O8" s="50"/>
      <c r="P8" s="50"/>
      <c r="Q8" s="50"/>
      <c r="R8" s="14"/>
      <c r="S8" s="50"/>
      <c r="T8" s="50"/>
      <c r="U8" s="14"/>
      <c r="V8" s="50"/>
      <c r="W8" s="50"/>
      <c r="X8" s="14"/>
      <c r="Y8" s="50"/>
      <c r="Z8" s="14"/>
      <c r="AA8" s="14"/>
      <c r="AB8" s="50"/>
      <c r="AC8" s="50"/>
      <c r="AD8" s="50"/>
      <c r="AE8" s="50"/>
      <c r="AF8" s="50"/>
      <c r="AG8" s="50"/>
      <c r="AH8" s="50"/>
      <c r="AI8" s="14"/>
      <c r="AJ8" s="50"/>
      <c r="AK8" s="50"/>
      <c r="AL8" s="50"/>
      <c r="AM8" s="50"/>
      <c r="AN8" s="50"/>
      <c r="AO8" s="575"/>
      <c r="AP8" s="50"/>
      <c r="AQ8" s="50"/>
      <c r="AR8" s="50"/>
      <c r="AS8" s="50"/>
      <c r="AT8" s="14"/>
      <c r="AU8" s="14"/>
      <c r="AV8" s="14"/>
      <c r="AW8" s="14"/>
      <c r="AX8" s="102"/>
      <c r="AY8" s="14"/>
      <c r="AZ8" s="14"/>
      <c r="BA8" s="14"/>
      <c r="BB8" s="14"/>
      <c r="BC8" s="102"/>
      <c r="BD8" s="102"/>
      <c r="BE8" s="102"/>
      <c r="BF8" s="102"/>
      <c r="BG8" s="102"/>
      <c r="BH8" s="102"/>
      <c r="BI8" s="102"/>
      <c r="BJ8" s="102"/>
      <c r="BK8" s="102"/>
      <c r="BL8" s="102"/>
      <c r="BM8" s="102"/>
      <c r="BN8" s="102"/>
      <c r="BO8" s="102"/>
      <c r="BP8" s="102"/>
      <c r="BQ8" s="102"/>
      <c r="BR8" s="102"/>
      <c r="BS8" s="102"/>
      <c r="BT8" s="102"/>
      <c r="BU8" s="102"/>
      <c r="BV8" s="102"/>
      <c r="BW8" s="102"/>
      <c r="BX8" s="102"/>
      <c r="BY8" s="102"/>
      <c r="BZ8" s="102"/>
      <c r="CA8" s="102"/>
      <c r="CB8" s="102"/>
      <c r="CC8" s="102"/>
      <c r="CD8" s="102"/>
      <c r="CE8" s="102"/>
      <c r="CF8" s="102"/>
      <c r="CG8" s="102"/>
      <c r="CH8" s="102"/>
      <c r="CI8" s="102"/>
      <c r="CJ8" s="102"/>
      <c r="CK8" s="102"/>
      <c r="CL8" s="102"/>
      <c r="CW8" s="49"/>
      <c r="EN8" s="60"/>
      <c r="EO8" s="60"/>
      <c r="EP8" s="60"/>
      <c r="EQ8" s="60"/>
      <c r="ER8" s="60"/>
      <c r="ES8" s="60"/>
      <c r="ET8" s="60"/>
      <c r="EU8" s="60"/>
      <c r="EV8" s="60"/>
      <c r="EW8" s="60"/>
      <c r="EX8" s="60"/>
      <c r="EY8" s="60"/>
      <c r="EZ8" s="60"/>
      <c r="FA8" s="60"/>
      <c r="FB8" s="60"/>
      <c r="FC8" s="60"/>
      <c r="FD8" s="60"/>
      <c r="FE8" s="60"/>
      <c r="FF8" s="60"/>
      <c r="FG8" s="60"/>
      <c r="FH8" s="60"/>
      <c r="FI8" s="60"/>
      <c r="FJ8" s="60"/>
      <c r="FK8" s="60"/>
      <c r="FL8" s="60"/>
      <c r="FM8" s="60"/>
      <c r="FN8" s="60"/>
      <c r="FO8" s="60"/>
      <c r="FP8" s="60"/>
      <c r="FQ8" s="60"/>
      <c r="FR8" s="60"/>
      <c r="FS8" s="60"/>
      <c r="FT8" s="60"/>
      <c r="FU8" s="60"/>
      <c r="FV8" s="60"/>
      <c r="FW8" s="60"/>
      <c r="FX8" s="60"/>
      <c r="FY8" s="60"/>
      <c r="FZ8" s="60"/>
      <c r="GA8" s="60"/>
      <c r="GB8" s="60"/>
      <c r="GC8" s="60"/>
      <c r="GD8" s="60"/>
      <c r="GE8" s="60"/>
      <c r="GF8" s="60"/>
      <c r="KD8" s="97"/>
      <c r="KE8" s="97"/>
      <c r="KF8" s="97"/>
      <c r="KG8" s="97"/>
      <c r="KH8" s="97"/>
      <c r="KI8" s="97"/>
    </row>
    <row r="9" spans="1:335" s="11" customFormat="1" ht="14.4" x14ac:dyDescent="0.3">
      <c r="A9" s="23" t="s">
        <v>123</v>
      </c>
      <c r="B9" s="13"/>
      <c r="C9" s="13"/>
      <c r="D9" s="13"/>
      <c r="E9" s="13"/>
      <c r="F9" s="13"/>
      <c r="G9" s="13"/>
      <c r="H9" s="13"/>
      <c r="I9" s="13"/>
      <c r="J9" s="13"/>
      <c r="K9" s="158"/>
      <c r="L9" s="158"/>
      <c r="M9" s="158"/>
      <c r="N9" s="13"/>
      <c r="O9" s="158"/>
      <c r="P9" s="158"/>
      <c r="Q9" s="158"/>
      <c r="R9" s="13"/>
      <c r="S9" s="158"/>
      <c r="T9" s="158"/>
      <c r="U9" s="13"/>
      <c r="V9" s="158"/>
      <c r="W9" s="158"/>
      <c r="X9" s="13"/>
      <c r="Y9" s="158"/>
      <c r="Z9" s="13"/>
      <c r="AA9" s="13"/>
      <c r="AB9" s="158"/>
      <c r="AC9" s="158"/>
      <c r="AD9" s="158"/>
      <c r="AE9" s="158"/>
      <c r="AF9" s="158"/>
      <c r="AG9" s="158"/>
      <c r="AH9" s="158"/>
      <c r="AI9" s="13"/>
      <c r="AJ9" s="158"/>
      <c r="AK9" s="158"/>
      <c r="AL9" s="158"/>
      <c r="AM9" s="158"/>
      <c r="AN9" s="158"/>
      <c r="AO9" s="356"/>
      <c r="AP9" s="158"/>
      <c r="AQ9" s="158"/>
      <c r="AR9" s="158"/>
      <c r="AS9" s="158"/>
      <c r="AT9" s="13"/>
      <c r="AU9" s="13"/>
      <c r="AV9" s="13"/>
      <c r="AW9" s="13"/>
      <c r="AX9" s="23"/>
      <c r="AY9" s="13"/>
      <c r="AZ9" s="13"/>
      <c r="BA9" s="13"/>
      <c r="BB9" s="1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c r="CJ9" s="23"/>
      <c r="CK9" s="23"/>
      <c r="CL9" s="23"/>
      <c r="CW9" s="137"/>
      <c r="EN9" s="623"/>
      <c r="EO9" s="623"/>
      <c r="EP9" s="623"/>
      <c r="EQ9" s="623"/>
      <c r="ER9" s="623"/>
      <c r="ES9" s="623"/>
      <c r="ET9" s="623"/>
      <c r="EU9" s="623"/>
      <c r="EV9" s="623"/>
      <c r="EW9" s="623"/>
      <c r="EX9" s="623"/>
      <c r="EY9" s="623"/>
      <c r="EZ9" s="623"/>
      <c r="FA9" s="623"/>
      <c r="FB9" s="623"/>
      <c r="FC9" s="623"/>
      <c r="FD9" s="623"/>
      <c r="FE9" s="623"/>
      <c r="FF9" s="623"/>
      <c r="FG9" s="623"/>
      <c r="FH9" s="623"/>
      <c r="FI9" s="623"/>
      <c r="FJ9" s="623"/>
      <c r="FK9" s="623"/>
      <c r="FL9" s="623"/>
      <c r="FM9" s="623"/>
      <c r="FN9" s="623"/>
      <c r="FO9" s="623"/>
      <c r="FP9" s="623"/>
      <c r="FQ9" s="623"/>
      <c r="FR9" s="623"/>
      <c r="FS9" s="623"/>
      <c r="FT9" s="623"/>
      <c r="FU9" s="623"/>
      <c r="FV9" s="623"/>
      <c r="FW9" s="623"/>
      <c r="FX9" s="623"/>
      <c r="FY9" s="623"/>
      <c r="FZ9" s="623"/>
      <c r="GA9" s="623"/>
      <c r="GB9" s="623"/>
      <c r="GC9" s="623"/>
      <c r="GD9" s="623"/>
      <c r="GE9" s="623"/>
      <c r="GF9" s="623"/>
      <c r="KD9" s="624"/>
      <c r="KE9" s="624"/>
      <c r="KF9" s="624"/>
      <c r="KG9" s="624"/>
      <c r="KH9" s="624"/>
      <c r="KI9" s="624"/>
    </row>
    <row r="10" spans="1:335" s="4" customFormat="1" x14ac:dyDescent="0.25">
      <c r="A10" s="14"/>
      <c r="B10" s="14"/>
      <c r="C10" s="14"/>
      <c r="D10" s="14"/>
      <c r="E10" s="14"/>
      <c r="F10" s="14"/>
      <c r="G10" s="14"/>
      <c r="H10" s="102"/>
      <c r="I10" s="102"/>
      <c r="J10" s="14"/>
      <c r="K10" s="50"/>
      <c r="L10" s="50"/>
      <c r="M10" s="50"/>
      <c r="N10" s="14"/>
      <c r="O10" s="50"/>
      <c r="P10" s="50"/>
      <c r="Q10" s="50"/>
      <c r="R10" s="14"/>
      <c r="S10" s="50"/>
      <c r="T10" s="50"/>
      <c r="U10" s="14"/>
      <c r="V10" s="50"/>
      <c r="W10" s="50"/>
      <c r="X10" s="14"/>
      <c r="Y10" s="50"/>
      <c r="Z10" s="14"/>
      <c r="AA10" s="14"/>
      <c r="AB10" s="50"/>
      <c r="AC10" s="50"/>
      <c r="AD10" s="50"/>
      <c r="AE10" s="50"/>
      <c r="AF10" s="50"/>
      <c r="AG10" s="50"/>
      <c r="AH10" s="50"/>
      <c r="AI10" s="14"/>
      <c r="AJ10" s="50"/>
      <c r="AK10" s="50"/>
      <c r="AL10" s="50"/>
      <c r="AM10" s="50"/>
      <c r="AN10" s="50"/>
      <c r="AO10" s="575"/>
      <c r="AP10" s="50"/>
      <c r="AQ10" s="50"/>
      <c r="AR10" s="50"/>
      <c r="AS10" s="50"/>
      <c r="AT10" s="14"/>
      <c r="AU10" s="14"/>
      <c r="AV10" s="14"/>
      <c r="AW10" s="14"/>
      <c r="AX10" s="102"/>
      <c r="AY10" s="14"/>
      <c r="AZ10" s="14"/>
      <c r="BA10" s="14"/>
      <c r="BB10" s="14"/>
      <c r="BC10" s="102"/>
      <c r="BD10" s="102"/>
      <c r="BE10" s="102"/>
      <c r="BF10" s="102"/>
      <c r="BG10" s="102"/>
      <c r="BH10" s="102"/>
      <c r="BI10" s="102"/>
      <c r="BJ10" s="102"/>
      <c r="BK10" s="102"/>
      <c r="BL10" s="102"/>
      <c r="BM10" s="102"/>
      <c r="BN10" s="102"/>
      <c r="BO10" s="102"/>
      <c r="BP10" s="102"/>
      <c r="BQ10" s="102"/>
      <c r="BR10" s="102"/>
      <c r="BS10" s="102"/>
      <c r="BT10" s="102"/>
      <c r="BU10" s="102"/>
      <c r="BV10" s="102"/>
      <c r="BW10" s="102"/>
      <c r="BX10" s="102"/>
      <c r="BY10" s="102"/>
      <c r="BZ10" s="102"/>
      <c r="CA10" s="102"/>
      <c r="CB10" s="102"/>
      <c r="CC10" s="102"/>
      <c r="CD10" s="102"/>
      <c r="CE10" s="102"/>
      <c r="CF10" s="102"/>
      <c r="CG10" s="102"/>
      <c r="CH10" s="102"/>
      <c r="CI10" s="102"/>
      <c r="CJ10" s="102"/>
      <c r="CK10" s="102"/>
      <c r="CL10" s="102"/>
      <c r="CW10" s="49"/>
      <c r="EN10" s="60"/>
      <c r="EO10" s="60"/>
      <c r="EP10" s="60"/>
      <c r="EQ10" s="60"/>
      <c r="ER10" s="60"/>
      <c r="ES10" s="60"/>
      <c r="ET10" s="60"/>
      <c r="EU10" s="60"/>
      <c r="EV10" s="60"/>
      <c r="EW10" s="60"/>
      <c r="EX10" s="60"/>
      <c r="EY10" s="60"/>
      <c r="EZ10" s="60"/>
      <c r="FA10" s="60"/>
      <c r="FB10" s="60"/>
      <c r="FC10" s="60"/>
      <c r="FD10" s="60"/>
      <c r="FE10" s="60"/>
      <c r="FF10" s="60"/>
      <c r="FG10" s="60"/>
      <c r="FH10" s="60"/>
      <c r="FI10" s="60"/>
      <c r="FJ10" s="60"/>
      <c r="FK10" s="60"/>
      <c r="FL10" s="60"/>
      <c r="FM10" s="60"/>
      <c r="FN10" s="60"/>
      <c r="FO10" s="60"/>
      <c r="FP10" s="60"/>
      <c r="FQ10" s="60"/>
      <c r="FR10" s="60"/>
      <c r="FS10" s="60"/>
      <c r="FT10" s="60"/>
      <c r="FU10" s="60"/>
      <c r="FV10" s="60"/>
      <c r="FW10" s="60"/>
      <c r="FX10" s="60"/>
      <c r="FY10" s="60"/>
      <c r="FZ10" s="60"/>
      <c r="GA10" s="60"/>
      <c r="GB10" s="60"/>
      <c r="GC10" s="60"/>
      <c r="GD10" s="60"/>
      <c r="GE10" s="60"/>
      <c r="GF10" s="60"/>
      <c r="KD10" s="97"/>
      <c r="KE10" s="97"/>
      <c r="KF10" s="97"/>
      <c r="KG10" s="97"/>
      <c r="KH10" s="97"/>
      <c r="KI10" s="97"/>
    </row>
    <row r="11" spans="1:335" s="4" customFormat="1" ht="13.8" x14ac:dyDescent="0.3">
      <c r="A11" s="15" t="s">
        <v>74</v>
      </c>
      <c r="B11" s="14"/>
      <c r="C11" s="14"/>
      <c r="D11" s="625">
        <f>'Crops; pasture DISCOUNTED'!V19</f>
        <v>1922.0228</v>
      </c>
      <c r="E11" s="144">
        <f>E12+E13+E14</f>
        <v>889.0279857954547</v>
      </c>
      <c r="F11" s="577">
        <f>F12+F13+F14</f>
        <v>782.34462750000012</v>
      </c>
      <c r="G11" s="626">
        <f>F11/D11</f>
        <v>0.40704232410770574</v>
      </c>
      <c r="H11" s="154"/>
      <c r="I11" s="154"/>
      <c r="J11" s="14"/>
      <c r="K11" s="50"/>
      <c r="L11" s="50"/>
      <c r="M11" s="50"/>
      <c r="N11" s="14"/>
      <c r="O11" s="50"/>
      <c r="P11" s="50"/>
      <c r="Q11" s="50"/>
      <c r="R11" s="14"/>
      <c r="S11" s="50"/>
      <c r="T11" s="50"/>
      <c r="U11" s="14"/>
      <c r="V11" s="50"/>
      <c r="W11" s="50"/>
      <c r="X11" s="14"/>
      <c r="Y11" s="50"/>
      <c r="Z11" s="14"/>
      <c r="AA11" s="14"/>
      <c r="AB11" s="50"/>
      <c r="AC11" s="50"/>
      <c r="AD11" s="50"/>
      <c r="AE11" s="50"/>
      <c r="AF11" s="50"/>
      <c r="AG11" s="50"/>
      <c r="AH11" s="50"/>
      <c r="AI11" s="14"/>
      <c r="AJ11" s="50"/>
      <c r="AK11" s="50"/>
      <c r="AL11" s="50"/>
      <c r="AM11" s="50"/>
      <c r="AN11" s="50"/>
      <c r="AO11" s="575"/>
      <c r="AP11" s="50"/>
      <c r="AQ11" s="50"/>
      <c r="AR11" s="50"/>
      <c r="AS11" s="50"/>
      <c r="AT11" s="14"/>
      <c r="AU11" s="14"/>
      <c r="AV11" s="14"/>
      <c r="AW11" s="14"/>
      <c r="AX11" s="102"/>
      <c r="AY11" s="14"/>
      <c r="AZ11" s="14"/>
      <c r="BA11" s="14"/>
      <c r="BB11" s="14"/>
      <c r="BC11" s="102"/>
      <c r="BD11" s="102"/>
      <c r="BE11" s="102"/>
      <c r="BF11" s="102"/>
      <c r="BG11" s="102"/>
      <c r="BH11" s="102"/>
      <c r="BI11" s="102"/>
      <c r="BJ11" s="102"/>
      <c r="BK11" s="102"/>
      <c r="BL11" s="102"/>
      <c r="BM11" s="102"/>
      <c r="BN11" s="102"/>
      <c r="BO11" s="102"/>
      <c r="BP11" s="102"/>
      <c r="BQ11" s="102"/>
      <c r="BR11" s="102"/>
      <c r="BS11" s="102"/>
      <c r="BT11" s="102"/>
      <c r="BU11" s="102"/>
      <c r="BV11" s="102"/>
      <c r="BW11" s="102"/>
      <c r="BX11" s="102"/>
      <c r="BY11" s="102"/>
      <c r="BZ11" s="102"/>
      <c r="CA11" s="102"/>
      <c r="CB11" s="102"/>
      <c r="CC11" s="102"/>
      <c r="CD11" s="102"/>
      <c r="CE11" s="102"/>
      <c r="CF11" s="102"/>
      <c r="CG11" s="102"/>
      <c r="CH11" s="102"/>
      <c r="CI11" s="102"/>
      <c r="CJ11" s="102"/>
      <c r="CK11" s="102"/>
      <c r="CL11" s="102"/>
      <c r="CM11" s="16"/>
      <c r="CW11" s="49"/>
      <c r="DP11" s="16"/>
      <c r="EN11" s="60"/>
      <c r="EO11" s="60"/>
      <c r="EP11" s="60"/>
      <c r="EQ11" s="60"/>
      <c r="ER11" s="60"/>
      <c r="ES11" s="60"/>
      <c r="ET11" s="60"/>
      <c r="EU11" s="60"/>
      <c r="EV11" s="60"/>
      <c r="EW11" s="60"/>
      <c r="EX11" s="60"/>
      <c r="EY11" s="60"/>
      <c r="EZ11" s="60"/>
      <c r="FA11" s="60"/>
      <c r="FB11" s="60"/>
      <c r="FC11" s="60"/>
      <c r="FD11" s="60"/>
      <c r="FE11" s="60"/>
      <c r="FF11" s="60"/>
      <c r="FG11" s="60"/>
      <c r="FH11" s="60"/>
      <c r="FI11" s="60"/>
      <c r="FJ11" s="60"/>
      <c r="FK11" s="60"/>
      <c r="FL11" s="60"/>
      <c r="FM11" s="60"/>
      <c r="FN11" s="60"/>
      <c r="FO11" s="60"/>
      <c r="FP11" s="60"/>
      <c r="FQ11" s="60"/>
      <c r="FR11" s="60"/>
      <c r="FS11" s="60"/>
      <c r="FT11" s="60"/>
      <c r="FU11" s="60"/>
      <c r="FV11" s="60"/>
      <c r="FW11" s="60"/>
      <c r="FX11" s="60"/>
      <c r="FY11" s="60"/>
      <c r="FZ11" s="60"/>
      <c r="GA11" s="60"/>
      <c r="GB11" s="60"/>
      <c r="GC11" s="60"/>
      <c r="GD11" s="60"/>
      <c r="GE11" s="60"/>
      <c r="GF11" s="60"/>
      <c r="KD11" s="97"/>
      <c r="KE11" s="97"/>
      <c r="KF11" s="97"/>
      <c r="KG11" s="97"/>
      <c r="KH11" s="97"/>
      <c r="KI11" s="97"/>
    </row>
    <row r="12" spans="1:335" s="4" customFormat="1" x14ac:dyDescent="0.25">
      <c r="A12" s="14" t="s">
        <v>52</v>
      </c>
      <c r="B12" s="14"/>
      <c r="C12" s="627"/>
      <c r="D12" s="628">
        <f>'Crops; pasture DISCOUNTED'!V20</f>
        <v>626.68319999999994</v>
      </c>
      <c r="E12" s="629">
        <f>F12/GG12</f>
        <v>613.42931019886373</v>
      </c>
      <c r="F12" s="630">
        <f>BC62</f>
        <v>539.81779297500009</v>
      </c>
      <c r="G12" s="294"/>
      <c r="H12" s="294"/>
      <c r="I12" s="294"/>
      <c r="J12" s="14"/>
      <c r="K12" s="50"/>
      <c r="L12" s="50"/>
      <c r="M12" s="50"/>
      <c r="N12" s="14"/>
      <c r="O12" s="50"/>
      <c r="P12" s="50"/>
      <c r="Q12" s="50"/>
      <c r="R12" s="14"/>
      <c r="S12" s="50"/>
      <c r="T12" s="50"/>
      <c r="U12" s="14"/>
      <c r="V12" s="50"/>
      <c r="W12" s="50"/>
      <c r="X12" s="14"/>
      <c r="Y12" s="50"/>
      <c r="Z12" s="14"/>
      <c r="AA12" s="14"/>
      <c r="AB12" s="50"/>
      <c r="AC12" s="50"/>
      <c r="AD12" s="50"/>
      <c r="AE12" s="50"/>
      <c r="AF12" s="50"/>
      <c r="AG12" s="50"/>
      <c r="AH12" s="50"/>
      <c r="AI12" s="14"/>
      <c r="AJ12" s="50"/>
      <c r="AK12" s="50"/>
      <c r="AL12" s="50"/>
      <c r="AM12" s="50"/>
      <c r="AN12" s="50"/>
      <c r="AO12" s="575"/>
      <c r="AP12" s="50"/>
      <c r="AQ12" s="50"/>
      <c r="AR12" s="50"/>
      <c r="AS12" s="50"/>
      <c r="AT12" s="14"/>
      <c r="AU12" s="14"/>
      <c r="AV12" s="14"/>
      <c r="AW12" s="14"/>
      <c r="AX12" s="102"/>
      <c r="AY12" s="14"/>
      <c r="AZ12" s="14"/>
      <c r="BA12" s="14"/>
      <c r="BB12" s="14"/>
      <c r="BC12" s="102"/>
      <c r="BD12" s="102"/>
      <c r="BE12" s="102"/>
      <c r="BF12" s="102"/>
      <c r="BG12" s="102"/>
      <c r="BH12" s="102"/>
      <c r="BI12" s="102"/>
      <c r="BJ12" s="102"/>
      <c r="BK12" s="102"/>
      <c r="BL12" s="102"/>
      <c r="BM12" s="102"/>
      <c r="BN12" s="102"/>
      <c r="BO12" s="102"/>
      <c r="BP12" s="102"/>
      <c r="BQ12" s="102"/>
      <c r="BR12" s="102"/>
      <c r="BS12" s="102"/>
      <c r="BT12" s="102"/>
      <c r="BU12" s="102"/>
      <c r="BV12" s="102"/>
      <c r="BW12" s="102"/>
      <c r="BX12" s="102"/>
      <c r="BY12" s="102"/>
      <c r="BZ12" s="102"/>
      <c r="CA12" s="102"/>
      <c r="CB12" s="102"/>
      <c r="CC12" s="102"/>
      <c r="CD12" s="102"/>
      <c r="CE12" s="102"/>
      <c r="CF12" s="102"/>
      <c r="CG12" s="102"/>
      <c r="CH12" s="102"/>
      <c r="CI12" s="102"/>
      <c r="CJ12" s="102"/>
      <c r="CK12" s="102"/>
      <c r="CL12" s="102"/>
      <c r="CM12" s="126">
        <f>'Crops; pasture DISCOUNTED'!R20</f>
        <v>2.1685598082093156</v>
      </c>
      <c r="CW12" s="49"/>
      <c r="DP12" s="126">
        <f>'Crops; pasture DISCOUNTED'!HG20</f>
        <v>0.62024617333486898</v>
      </c>
      <c r="DQ12" s="126">
        <f>'Crops; pasture DISCOUNTED'!HS20</f>
        <v>0.71814097529610543</v>
      </c>
      <c r="DZ12" s="126">
        <f>'Crops; pasture DISCOUNTED'!IE20</f>
        <v>1.4396316990785778</v>
      </c>
      <c r="ED12" s="334">
        <f>'Crops; pasture DISCOUNTED'!IR20</f>
        <v>0.12614324514635142</v>
      </c>
      <c r="EE12" s="334"/>
      <c r="EJ12" s="264">
        <f>EK12+EL12+EM12</f>
        <v>0.52477383931818178</v>
      </c>
      <c r="EK12" s="334">
        <f>'Crops; pasture DISCOUNTED'!KF20</f>
        <v>0.28117640313636361</v>
      </c>
      <c r="EL12" s="334">
        <f>'Crops; pasture DISCOUNTED'!KD20</f>
        <v>0.2435974361818182</v>
      </c>
      <c r="EM12" s="334">
        <f>'Crops; pasture DISCOUNTED'!KH20</f>
        <v>0</v>
      </c>
      <c r="EN12" s="123"/>
      <c r="EO12" s="123"/>
      <c r="EP12" s="123"/>
      <c r="EQ12" s="123"/>
      <c r="ER12" s="123"/>
      <c r="ES12" s="123"/>
      <c r="ET12" s="123"/>
      <c r="EU12" s="123"/>
      <c r="EV12" s="123"/>
      <c r="EW12" s="123"/>
      <c r="EX12" s="123"/>
      <c r="EY12" s="123"/>
      <c r="EZ12" s="123"/>
      <c r="FA12" s="123"/>
      <c r="FB12" s="123"/>
      <c r="FC12" s="123"/>
      <c r="FD12" s="123"/>
      <c r="FE12" s="123"/>
      <c r="FF12" s="123"/>
      <c r="FG12" s="123"/>
      <c r="FH12" s="123"/>
      <c r="FI12" s="123"/>
      <c r="FJ12" s="123"/>
      <c r="FK12" s="123"/>
      <c r="FL12" s="123"/>
      <c r="FM12" s="123"/>
      <c r="FN12" s="123"/>
      <c r="FO12" s="123"/>
      <c r="FP12" s="123"/>
      <c r="FQ12" s="123"/>
      <c r="FR12" s="123"/>
      <c r="FS12" s="123"/>
      <c r="FT12" s="123"/>
      <c r="FU12" s="123"/>
      <c r="FV12" s="123"/>
      <c r="FW12" s="123"/>
      <c r="FX12" s="123"/>
      <c r="FY12" s="123"/>
      <c r="FZ12" s="123"/>
      <c r="GA12" s="123"/>
      <c r="GB12" s="123"/>
      <c r="GC12" s="123"/>
      <c r="GD12" s="123"/>
      <c r="GE12" s="123"/>
      <c r="GF12" s="123"/>
      <c r="GG12" s="631">
        <f>'Crops; pasture DISCOUNTED'!LI20</f>
        <v>0.88</v>
      </c>
      <c r="GH12" s="41">
        <f>'Crops; pasture DISCOUNTED'!LJ20</f>
        <v>16.544</v>
      </c>
      <c r="GI12" s="41">
        <f>'Crops; pasture DISCOUNTED'!LK20</f>
        <v>18.8</v>
      </c>
      <c r="GJ12" s="41">
        <f>'Crops; pasture DISCOUNTED'!LL20</f>
        <v>13.2</v>
      </c>
      <c r="GK12" s="41">
        <f>'Crops; pasture DISCOUNTED'!LM20</f>
        <v>15</v>
      </c>
      <c r="GL12" s="631">
        <f>'Crops; pasture DISCOUNTED'!LN20</f>
        <v>8.8000000000000009E-2</v>
      </c>
      <c r="GM12" s="631">
        <f>'Crops; pasture DISCOUNTED'!LO20</f>
        <v>0.1</v>
      </c>
      <c r="KD12" s="97"/>
      <c r="KE12" s="97"/>
      <c r="KF12" s="97"/>
      <c r="KG12" s="97"/>
      <c r="KH12" s="97"/>
      <c r="KI12" s="97"/>
    </row>
    <row r="13" spans="1:335" s="4" customFormat="1" x14ac:dyDescent="0.25">
      <c r="A13" s="4" t="s">
        <v>65</v>
      </c>
      <c r="B13" s="14"/>
      <c r="C13" s="627"/>
      <c r="D13" s="628">
        <f>'Crops; pasture DISCOUNTED'!V22</f>
        <v>544.09431999999993</v>
      </c>
      <c r="E13" s="629">
        <f>F13/GG13</f>
        <v>151.13475758522728</v>
      </c>
      <c r="F13" s="630">
        <f>BD62</f>
        <v>132.99858667500001</v>
      </c>
      <c r="G13" s="294"/>
      <c r="H13" s="294"/>
      <c r="I13" s="294"/>
      <c r="J13" s="14"/>
      <c r="K13" s="50"/>
      <c r="L13" s="50"/>
      <c r="M13" s="50"/>
      <c r="N13" s="14"/>
      <c r="O13" s="50"/>
      <c r="P13" s="50"/>
      <c r="Q13" s="50"/>
      <c r="R13" s="14"/>
      <c r="S13" s="50"/>
      <c r="T13" s="50"/>
      <c r="U13" s="14"/>
      <c r="V13" s="50"/>
      <c r="W13" s="50"/>
      <c r="X13" s="14"/>
      <c r="Y13" s="50"/>
      <c r="Z13" s="14"/>
      <c r="AA13" s="14"/>
      <c r="AB13" s="50"/>
      <c r="AC13" s="50"/>
      <c r="AD13" s="50"/>
      <c r="AE13" s="50"/>
      <c r="AF13" s="50"/>
      <c r="AG13" s="50"/>
      <c r="AH13" s="50"/>
      <c r="AI13" s="14"/>
      <c r="AJ13" s="50"/>
      <c r="AK13" s="50"/>
      <c r="AL13" s="50"/>
      <c r="AM13" s="50"/>
      <c r="AN13" s="50"/>
      <c r="AO13" s="575"/>
      <c r="AP13" s="50"/>
      <c r="AQ13" s="50"/>
      <c r="AR13" s="50"/>
      <c r="AS13" s="50"/>
      <c r="AT13" s="14"/>
      <c r="AU13" s="14"/>
      <c r="AV13" s="14"/>
      <c r="AW13" s="14"/>
      <c r="AX13" s="102"/>
      <c r="AY13" s="14"/>
      <c r="AZ13" s="14"/>
      <c r="BA13" s="14"/>
      <c r="BB13" s="14"/>
      <c r="BC13" s="102"/>
      <c r="BD13" s="102"/>
      <c r="BE13" s="102"/>
      <c r="BF13" s="102"/>
      <c r="BG13" s="102"/>
      <c r="BH13" s="102"/>
      <c r="BI13" s="102"/>
      <c r="BJ13" s="102"/>
      <c r="BK13" s="102"/>
      <c r="BL13" s="102"/>
      <c r="BM13" s="102"/>
      <c r="BN13" s="102"/>
      <c r="BO13" s="102"/>
      <c r="BP13" s="102"/>
      <c r="BQ13" s="102"/>
      <c r="BR13" s="102"/>
      <c r="BS13" s="102"/>
      <c r="BT13" s="102"/>
      <c r="BU13" s="102"/>
      <c r="BV13" s="102"/>
      <c r="BW13" s="102"/>
      <c r="BX13" s="102"/>
      <c r="BY13" s="102"/>
      <c r="BZ13" s="102"/>
      <c r="CA13" s="102"/>
      <c r="CB13" s="102"/>
      <c r="CC13" s="102"/>
      <c r="CD13" s="102"/>
      <c r="CE13" s="102"/>
      <c r="CF13" s="102"/>
      <c r="CG13" s="102"/>
      <c r="CH13" s="102"/>
      <c r="CI13" s="102"/>
      <c r="CJ13" s="102"/>
      <c r="CK13" s="102"/>
      <c r="CL13" s="102"/>
      <c r="CM13" s="126">
        <f>'Crops; pasture DISCOUNTED'!R22</f>
        <v>3.607830348238152</v>
      </c>
      <c r="CW13" s="49"/>
      <c r="DP13" s="126">
        <f>'Crops; pasture DISCOUNTED'!HG22</f>
        <v>0.55335594962421264</v>
      </c>
      <c r="DQ13" s="126">
        <f>'Crops; pasture DISCOUNTED'!HS22</f>
        <v>0.78587616470202692</v>
      </c>
      <c r="DZ13" s="126">
        <f>'Crops; pasture DISCOUNTED'!IE22</f>
        <v>1.5754180267862383</v>
      </c>
      <c r="ED13" s="334">
        <f>'Crops; pasture DISCOUNTED'!IR22</f>
        <v>0.12730423645613503</v>
      </c>
      <c r="EE13" s="334"/>
      <c r="EJ13" s="264">
        <f t="shared" ref="EJ13:EJ14" si="0">EK13+EL13+EM13</f>
        <v>0.78242785652272728</v>
      </c>
      <c r="EK13" s="334">
        <f>'Crops; pasture DISCOUNTED'!KF22</f>
        <v>0.44639067488636364</v>
      </c>
      <c r="EL13" s="334">
        <f>'Crops; pasture DISCOUNTED'!KD22</f>
        <v>0.33603718163636365</v>
      </c>
      <c r="EM13" s="334">
        <f>'Crops; pasture DISCOUNTED'!KH22</f>
        <v>0</v>
      </c>
      <c r="EN13" s="60"/>
      <c r="EO13" s="60"/>
      <c r="EP13" s="60"/>
      <c r="EQ13" s="60"/>
      <c r="ER13" s="60"/>
      <c r="ES13" s="60"/>
      <c r="ET13" s="60"/>
      <c r="EU13" s="60"/>
      <c r="EV13" s="60"/>
      <c r="EW13" s="60"/>
      <c r="EX13" s="60"/>
      <c r="EY13" s="60"/>
      <c r="EZ13" s="60"/>
      <c r="FA13" s="60"/>
      <c r="FB13" s="60"/>
      <c r="FC13" s="60"/>
      <c r="FD13" s="60"/>
      <c r="FE13" s="60"/>
      <c r="FF13" s="60"/>
      <c r="FG13" s="60"/>
      <c r="FH13" s="60"/>
      <c r="FI13" s="60"/>
      <c r="FJ13" s="60"/>
      <c r="FK13" s="60"/>
      <c r="FL13" s="60"/>
      <c r="FM13" s="60"/>
      <c r="FN13" s="60"/>
      <c r="FO13" s="60"/>
      <c r="FP13" s="60"/>
      <c r="FQ13" s="60"/>
      <c r="FR13" s="60"/>
      <c r="FS13" s="60"/>
      <c r="FT13" s="60"/>
      <c r="FU13" s="60"/>
      <c r="FV13" s="60"/>
      <c r="FW13" s="60"/>
      <c r="FX13" s="60"/>
      <c r="FY13" s="60"/>
      <c r="FZ13" s="60"/>
      <c r="GA13" s="60"/>
      <c r="GB13" s="60"/>
      <c r="GC13" s="60"/>
      <c r="GD13" s="60"/>
      <c r="GE13" s="60"/>
      <c r="GF13" s="60"/>
      <c r="GG13" s="631">
        <f>'Crops; pasture DISCOUNTED'!LI22</f>
        <v>0.88</v>
      </c>
      <c r="GH13" s="41">
        <f>'Crops; pasture DISCOUNTED'!LJ22</f>
        <v>16.192</v>
      </c>
      <c r="GI13" s="41">
        <f>'Crops; pasture DISCOUNTED'!LK22</f>
        <v>18.399999999999999</v>
      </c>
      <c r="GJ13" s="41">
        <f>'Crops; pasture DISCOUNTED'!LL22</f>
        <v>12.32</v>
      </c>
      <c r="GK13" s="41">
        <f>'Crops; pasture DISCOUNTED'!LM22</f>
        <v>14</v>
      </c>
      <c r="GL13" s="631">
        <f>'Crops; pasture DISCOUNTED'!LN22</f>
        <v>0.1144</v>
      </c>
      <c r="GM13" s="631">
        <f>'Crops; pasture DISCOUNTED'!LO22</f>
        <v>0.13</v>
      </c>
      <c r="KD13" s="97"/>
      <c r="KE13" s="97"/>
      <c r="KF13" s="97"/>
      <c r="KG13" s="97"/>
      <c r="KH13" s="97"/>
      <c r="KI13" s="97"/>
    </row>
    <row r="14" spans="1:335" s="4" customFormat="1" x14ac:dyDescent="0.25">
      <c r="A14" s="4" t="s">
        <v>67</v>
      </c>
      <c r="B14" s="14"/>
      <c r="C14" s="627"/>
      <c r="D14" s="628">
        <f>'Crops; pasture DISCOUNTED'!V23</f>
        <v>126.17439999999999</v>
      </c>
      <c r="E14" s="629">
        <f>F14/GG14</f>
        <v>124.46391801136367</v>
      </c>
      <c r="F14" s="630">
        <f>BE62</f>
        <v>109.52824785000003</v>
      </c>
      <c r="G14" s="294"/>
      <c r="H14" s="294"/>
      <c r="I14" s="294"/>
      <c r="J14" s="14"/>
      <c r="K14" s="50"/>
      <c r="L14" s="50"/>
      <c r="M14" s="50"/>
      <c r="N14" s="14"/>
      <c r="O14" s="50"/>
      <c r="P14" s="50"/>
      <c r="Q14" s="50"/>
      <c r="R14" s="14"/>
      <c r="S14" s="50"/>
      <c r="T14" s="50"/>
      <c r="U14" s="14"/>
      <c r="V14" s="50"/>
      <c r="W14" s="50"/>
      <c r="X14" s="14"/>
      <c r="Y14" s="50"/>
      <c r="Z14" s="14"/>
      <c r="AA14" s="14"/>
      <c r="AB14" s="50"/>
      <c r="AC14" s="50"/>
      <c r="AD14" s="50"/>
      <c r="AE14" s="50"/>
      <c r="AF14" s="50"/>
      <c r="AG14" s="50"/>
      <c r="AH14" s="50"/>
      <c r="AI14" s="14"/>
      <c r="AJ14" s="50"/>
      <c r="AK14" s="50"/>
      <c r="AL14" s="50"/>
      <c r="AM14" s="50"/>
      <c r="AN14" s="50"/>
      <c r="AO14" s="575"/>
      <c r="AP14" s="50"/>
      <c r="AQ14" s="50"/>
      <c r="AR14" s="50"/>
      <c r="AS14" s="50"/>
      <c r="AT14" s="14"/>
      <c r="AU14" s="14"/>
      <c r="AV14" s="14"/>
      <c r="AW14" s="14"/>
      <c r="AX14" s="102"/>
      <c r="AY14" s="14"/>
      <c r="AZ14" s="14"/>
      <c r="BA14" s="14"/>
      <c r="BB14" s="14"/>
      <c r="BC14" s="102"/>
      <c r="BD14" s="102"/>
      <c r="BE14" s="102"/>
      <c r="BF14" s="102"/>
      <c r="BG14" s="102"/>
      <c r="BH14" s="102"/>
      <c r="BI14" s="102"/>
      <c r="BJ14" s="102"/>
      <c r="BK14" s="102"/>
      <c r="BL14" s="102"/>
      <c r="BM14" s="102"/>
      <c r="BN14" s="102"/>
      <c r="BO14" s="102"/>
      <c r="BP14" s="102"/>
      <c r="BQ14" s="102"/>
      <c r="BR14" s="102"/>
      <c r="BS14" s="102"/>
      <c r="BT14" s="102"/>
      <c r="BU14" s="102"/>
      <c r="BV14" s="102"/>
      <c r="BW14" s="102"/>
      <c r="BX14" s="102"/>
      <c r="BY14" s="102"/>
      <c r="BZ14" s="102"/>
      <c r="CA14" s="102"/>
      <c r="CB14" s="102"/>
      <c r="CC14" s="102"/>
      <c r="CD14" s="102"/>
      <c r="CE14" s="102"/>
      <c r="CF14" s="102"/>
      <c r="CG14" s="102"/>
      <c r="CH14" s="102"/>
      <c r="CI14" s="102"/>
      <c r="CJ14" s="102"/>
      <c r="CK14" s="102"/>
      <c r="CL14" s="102"/>
      <c r="CM14" s="126">
        <f>'Crops; pasture DISCOUNTED'!R23</f>
        <v>4.4065991199482619</v>
      </c>
      <c r="CW14" s="49"/>
      <c r="DP14" s="126">
        <f>'Crops; pasture DISCOUNTED'!HG23</f>
        <v>0.73105803685441206</v>
      </c>
      <c r="DQ14" s="126">
        <f>'Crops; pasture DISCOUNTED'!HS23</f>
        <v>1.017599865227367</v>
      </c>
      <c r="DZ14" s="126">
        <f>'Crops; pasture DISCOUNTED'!IE23</f>
        <v>2.0399462965546102</v>
      </c>
      <c r="ED14" s="334">
        <f>'Crops; pasture DISCOUNTED'!IR23</f>
        <v>0.23970175407803801</v>
      </c>
      <c r="EE14" s="334"/>
      <c r="EJ14" s="264">
        <f t="shared" si="0"/>
        <v>0.58731877234090912</v>
      </c>
      <c r="EK14" s="334">
        <f>'Crops; pasture DISCOUNTED'!KF23</f>
        <v>0.37168456490909091</v>
      </c>
      <c r="EL14" s="334">
        <f>'Crops; pasture DISCOUNTED'!KD23</f>
        <v>0.21563420743181819</v>
      </c>
      <c r="EM14" s="334">
        <f>'Crops; pasture DISCOUNTED'!KH23</f>
        <v>0</v>
      </c>
      <c r="EN14" s="60"/>
      <c r="EO14" s="60"/>
      <c r="EP14" s="60"/>
      <c r="EQ14" s="60"/>
      <c r="ER14" s="60"/>
      <c r="ES14" s="60"/>
      <c r="ET14" s="60"/>
      <c r="EU14" s="60"/>
      <c r="EV14" s="60"/>
      <c r="EW14" s="60"/>
      <c r="EX14" s="60"/>
      <c r="EY14" s="60"/>
      <c r="EZ14" s="60"/>
      <c r="FA14" s="60"/>
      <c r="FB14" s="60"/>
      <c r="FC14" s="60"/>
      <c r="FD14" s="60"/>
      <c r="FE14" s="60"/>
      <c r="FF14" s="60"/>
      <c r="FG14" s="60"/>
      <c r="FH14" s="60"/>
      <c r="FI14" s="60"/>
      <c r="FJ14" s="60"/>
      <c r="FK14" s="60"/>
      <c r="FL14" s="60"/>
      <c r="FM14" s="60"/>
      <c r="FN14" s="60"/>
      <c r="FO14" s="60"/>
      <c r="FP14" s="60"/>
      <c r="FQ14" s="60"/>
      <c r="FR14" s="60"/>
      <c r="FS14" s="60"/>
      <c r="FT14" s="60"/>
      <c r="FU14" s="60"/>
      <c r="FV14" s="60"/>
      <c r="FW14" s="60"/>
      <c r="FX14" s="60"/>
      <c r="FY14" s="60"/>
      <c r="FZ14" s="60"/>
      <c r="GA14" s="60"/>
      <c r="GB14" s="60"/>
      <c r="GC14" s="60"/>
      <c r="GD14" s="60"/>
      <c r="GE14" s="60"/>
      <c r="GF14" s="60"/>
      <c r="GG14" s="631">
        <f>'Crops; pasture DISCOUNTED'!LI23</f>
        <v>0.88</v>
      </c>
      <c r="GH14" s="41">
        <f>'Crops; pasture DISCOUNTED'!LJ23</f>
        <v>16.015999999999998</v>
      </c>
      <c r="GI14" s="41">
        <f>'Crops; pasture DISCOUNTED'!LK23</f>
        <v>18.2</v>
      </c>
      <c r="GJ14" s="41">
        <f>'Crops; pasture DISCOUNTED'!LL23</f>
        <v>12.32</v>
      </c>
      <c r="GK14" s="41">
        <f>'Crops; pasture DISCOUNTED'!LM23</f>
        <v>14</v>
      </c>
      <c r="GL14" s="631">
        <f>'Crops; pasture DISCOUNTED'!LN23</f>
        <v>0.1056</v>
      </c>
      <c r="GM14" s="631">
        <f>'Crops; pasture DISCOUNTED'!LO23</f>
        <v>0.12</v>
      </c>
      <c r="KD14" s="97"/>
      <c r="KE14" s="97"/>
      <c r="KF14" s="97"/>
      <c r="KG14" s="97"/>
      <c r="KH14" s="97"/>
      <c r="KI14" s="97"/>
    </row>
    <row r="15" spans="1:335" s="4" customFormat="1" x14ac:dyDescent="0.25">
      <c r="A15" s="14"/>
      <c r="B15" s="14"/>
      <c r="C15" s="14"/>
      <c r="D15" s="14"/>
      <c r="E15" s="102"/>
      <c r="F15" s="14"/>
      <c r="G15" s="14"/>
      <c r="H15" s="102"/>
      <c r="I15" s="102"/>
      <c r="J15" s="14"/>
      <c r="K15" s="50"/>
      <c r="L15" s="50"/>
      <c r="M15" s="50"/>
      <c r="N15" s="14"/>
      <c r="O15" s="50"/>
      <c r="P15" s="50"/>
      <c r="Q15" s="50"/>
      <c r="R15" s="14"/>
      <c r="S15" s="50"/>
      <c r="T15" s="50"/>
      <c r="U15" s="14"/>
      <c r="V15" s="50"/>
      <c r="W15" s="50"/>
      <c r="X15" s="14"/>
      <c r="Y15" s="50"/>
      <c r="Z15" s="14"/>
      <c r="AA15" s="14"/>
      <c r="AB15" s="50"/>
      <c r="AC15" s="50"/>
      <c r="AD15" s="50"/>
      <c r="AE15" s="50"/>
      <c r="AF15" s="50"/>
      <c r="AG15" s="50"/>
      <c r="AH15" s="50"/>
      <c r="AI15" s="14"/>
      <c r="AJ15" s="50"/>
      <c r="AK15" s="50"/>
      <c r="AL15" s="50"/>
      <c r="AM15" s="50"/>
      <c r="AN15" s="50"/>
      <c r="AO15" s="575"/>
      <c r="AP15" s="50"/>
      <c r="AQ15" s="50"/>
      <c r="AR15" s="50"/>
      <c r="AS15" s="50"/>
      <c r="AT15" s="14"/>
      <c r="AU15" s="14"/>
      <c r="AV15" s="14"/>
      <c r="AW15" s="14"/>
      <c r="AX15" s="102"/>
      <c r="AY15" s="14"/>
      <c r="AZ15" s="14"/>
      <c r="BA15" s="14"/>
      <c r="BB15" s="14"/>
      <c r="BC15" s="102"/>
      <c r="BD15" s="102"/>
      <c r="BE15" s="102"/>
      <c r="BF15" s="102"/>
      <c r="BG15" s="102"/>
      <c r="BH15" s="102"/>
      <c r="BI15" s="102"/>
      <c r="BJ15" s="102"/>
      <c r="BK15" s="102"/>
      <c r="BL15" s="102"/>
      <c r="BM15" s="102"/>
      <c r="BN15" s="102"/>
      <c r="BO15" s="102"/>
      <c r="BP15" s="102"/>
      <c r="BQ15" s="102"/>
      <c r="BR15" s="102"/>
      <c r="BS15" s="102"/>
      <c r="BT15" s="102"/>
      <c r="BU15" s="102"/>
      <c r="BV15" s="102"/>
      <c r="BW15" s="102"/>
      <c r="BX15" s="102"/>
      <c r="BY15" s="102"/>
      <c r="BZ15" s="102"/>
      <c r="CA15" s="102"/>
      <c r="CB15" s="102"/>
      <c r="CC15" s="102"/>
      <c r="CD15" s="102"/>
      <c r="CE15" s="102"/>
      <c r="CF15" s="102"/>
      <c r="CG15" s="102"/>
      <c r="CH15" s="102"/>
      <c r="CI15" s="102"/>
      <c r="CJ15" s="102"/>
      <c r="CK15" s="102"/>
      <c r="CL15" s="102"/>
      <c r="CM15" s="97"/>
      <c r="CW15" s="49"/>
      <c r="DP15" s="97"/>
      <c r="DQ15" s="97"/>
      <c r="DZ15" s="97"/>
      <c r="ED15" s="522"/>
      <c r="EE15" s="522"/>
      <c r="EK15" s="522"/>
      <c r="EL15" s="522"/>
      <c r="EM15" s="522"/>
      <c r="EN15" s="60"/>
      <c r="EO15" s="60"/>
      <c r="EP15" s="60"/>
      <c r="EQ15" s="60"/>
      <c r="ER15" s="60"/>
      <c r="ES15" s="60"/>
      <c r="ET15" s="60"/>
      <c r="EU15" s="60"/>
      <c r="EV15" s="60"/>
      <c r="EW15" s="60"/>
      <c r="EX15" s="60"/>
      <c r="EY15" s="60"/>
      <c r="EZ15" s="60"/>
      <c r="FA15" s="60"/>
      <c r="FB15" s="60"/>
      <c r="FC15" s="60"/>
      <c r="FD15" s="60"/>
      <c r="FE15" s="60"/>
      <c r="FF15" s="60"/>
      <c r="FG15" s="60"/>
      <c r="FH15" s="60"/>
      <c r="FI15" s="60"/>
      <c r="FJ15" s="60"/>
      <c r="FK15" s="60"/>
      <c r="FL15" s="60"/>
      <c r="FM15" s="60"/>
      <c r="FN15" s="60"/>
      <c r="FO15" s="60"/>
      <c r="FP15" s="60"/>
      <c r="FQ15" s="60"/>
      <c r="FR15" s="60"/>
      <c r="FS15" s="60"/>
      <c r="FT15" s="60"/>
      <c r="FU15" s="60"/>
      <c r="FV15" s="60"/>
      <c r="FW15" s="60"/>
      <c r="FX15" s="60"/>
      <c r="FY15" s="60"/>
      <c r="FZ15" s="60"/>
      <c r="GA15" s="60"/>
      <c r="GB15" s="60"/>
      <c r="GC15" s="60"/>
      <c r="GD15" s="60"/>
      <c r="GE15" s="60"/>
      <c r="GF15" s="60"/>
      <c r="KD15" s="97"/>
      <c r="KE15" s="97"/>
      <c r="KF15" s="97"/>
      <c r="KG15" s="97"/>
      <c r="KH15" s="97"/>
      <c r="KI15" s="97"/>
    </row>
    <row r="16" spans="1:335" s="4" customFormat="1" ht="13.8" x14ac:dyDescent="0.3">
      <c r="A16" s="15" t="s">
        <v>75</v>
      </c>
      <c r="B16" s="14"/>
      <c r="C16" s="14"/>
      <c r="D16" s="625">
        <f>'Crops; pasture DISCOUNTED'!V27</f>
        <v>191.29891000000001</v>
      </c>
      <c r="E16" s="144">
        <f>E17+E18+E19</f>
        <v>149.62934482758624</v>
      </c>
      <c r="F16" s="577">
        <f>F17+F18+F19</f>
        <v>44.651250000000005</v>
      </c>
      <c r="G16" s="626">
        <f>F16/D16</f>
        <v>0.23341089606835713</v>
      </c>
      <c r="H16" s="154"/>
      <c r="I16" s="154"/>
      <c r="J16" s="14"/>
      <c r="K16" s="50"/>
      <c r="L16" s="50"/>
      <c r="M16" s="50"/>
      <c r="N16" s="14"/>
      <c r="O16" s="50"/>
      <c r="P16" s="50"/>
      <c r="Q16" s="50"/>
      <c r="R16" s="14"/>
      <c r="S16" s="50"/>
      <c r="T16" s="50"/>
      <c r="U16" s="14"/>
      <c r="V16" s="50"/>
      <c r="W16" s="50"/>
      <c r="X16" s="14"/>
      <c r="Y16" s="50"/>
      <c r="Z16" s="14"/>
      <c r="AA16" s="14"/>
      <c r="AB16" s="50"/>
      <c r="AC16" s="50"/>
      <c r="AD16" s="50"/>
      <c r="AE16" s="50"/>
      <c r="AF16" s="50"/>
      <c r="AG16" s="50"/>
      <c r="AH16" s="50"/>
      <c r="AI16" s="14"/>
      <c r="AJ16" s="50"/>
      <c r="AK16" s="50"/>
      <c r="AL16" s="50"/>
      <c r="AM16" s="50"/>
      <c r="AN16" s="50"/>
      <c r="AO16" s="575"/>
      <c r="AP16" s="50"/>
      <c r="AQ16" s="50"/>
      <c r="AR16" s="50"/>
      <c r="AS16" s="50"/>
      <c r="AT16" s="14"/>
      <c r="AU16" s="14"/>
      <c r="AV16" s="14"/>
      <c r="AW16" s="14"/>
      <c r="AX16" s="102"/>
      <c r="AY16" s="14"/>
      <c r="AZ16" s="14"/>
      <c r="BA16" s="14"/>
      <c r="BB16" s="14"/>
      <c r="BC16" s="102"/>
      <c r="BD16" s="102"/>
      <c r="BE16" s="102"/>
      <c r="BF16" s="102"/>
      <c r="BG16" s="102"/>
      <c r="BH16" s="102"/>
      <c r="BI16" s="102"/>
      <c r="BJ16" s="102"/>
      <c r="BK16" s="102"/>
      <c r="BL16" s="102"/>
      <c r="BM16" s="102"/>
      <c r="BN16" s="102"/>
      <c r="BO16" s="102"/>
      <c r="BP16" s="102"/>
      <c r="BQ16" s="102"/>
      <c r="BR16" s="102"/>
      <c r="BS16" s="102"/>
      <c r="BT16" s="102"/>
      <c r="BU16" s="102"/>
      <c r="BV16" s="102"/>
      <c r="BW16" s="102"/>
      <c r="BX16" s="102"/>
      <c r="BY16" s="102"/>
      <c r="BZ16" s="102"/>
      <c r="CA16" s="102"/>
      <c r="CB16" s="102"/>
      <c r="CC16" s="102"/>
      <c r="CD16" s="102"/>
      <c r="CE16" s="102"/>
      <c r="CF16" s="102"/>
      <c r="CG16" s="102"/>
      <c r="CH16" s="102"/>
      <c r="CI16" s="102"/>
      <c r="CJ16" s="102"/>
      <c r="CK16" s="102"/>
      <c r="CL16" s="102"/>
      <c r="CM16" s="115"/>
      <c r="CW16" s="49"/>
      <c r="DP16" s="115"/>
      <c r="DQ16" s="115"/>
      <c r="DZ16" s="115"/>
      <c r="ED16" s="127"/>
      <c r="EE16" s="127"/>
      <c r="EK16" s="127"/>
      <c r="EL16" s="127"/>
      <c r="EM16" s="127"/>
      <c r="EN16" s="60"/>
      <c r="EO16" s="60"/>
      <c r="EP16" s="60"/>
      <c r="EQ16" s="60"/>
      <c r="ER16" s="60"/>
      <c r="ES16" s="60"/>
      <c r="ET16" s="60"/>
      <c r="EU16" s="60"/>
      <c r="EV16" s="60"/>
      <c r="EW16" s="60"/>
      <c r="EX16" s="60"/>
      <c r="EY16" s="60"/>
      <c r="EZ16" s="60"/>
      <c r="FA16" s="60"/>
      <c r="FB16" s="60"/>
      <c r="FC16" s="60"/>
      <c r="FD16" s="60"/>
      <c r="FE16" s="60"/>
      <c r="FF16" s="60"/>
      <c r="FG16" s="60"/>
      <c r="FH16" s="60"/>
      <c r="FI16" s="60"/>
      <c r="FJ16" s="60"/>
      <c r="FK16" s="60"/>
      <c r="FL16" s="60"/>
      <c r="FM16" s="60"/>
      <c r="FN16" s="60"/>
      <c r="FO16" s="60"/>
      <c r="FP16" s="60"/>
      <c r="FQ16" s="60"/>
      <c r="FR16" s="60"/>
      <c r="FS16" s="60"/>
      <c r="FT16" s="60"/>
      <c r="FU16" s="60"/>
      <c r="FV16" s="60"/>
      <c r="FW16" s="60"/>
      <c r="FX16" s="60"/>
      <c r="FY16" s="60"/>
      <c r="FZ16" s="60"/>
      <c r="GA16" s="60"/>
      <c r="GB16" s="60"/>
      <c r="GC16" s="60"/>
      <c r="GD16" s="60"/>
      <c r="GE16" s="60"/>
      <c r="GF16" s="60"/>
      <c r="KD16" s="97"/>
      <c r="KE16" s="97"/>
      <c r="KF16" s="97"/>
      <c r="KG16" s="97"/>
      <c r="KH16" s="97"/>
      <c r="KI16" s="97"/>
    </row>
    <row r="17" spans="1:295" s="4" customFormat="1" x14ac:dyDescent="0.25">
      <c r="A17" s="14" t="s">
        <v>68</v>
      </c>
      <c r="B17" s="14"/>
      <c r="C17" s="627"/>
      <c r="D17" s="628">
        <f>'Crops; pasture DISCOUNTED'!V28</f>
        <v>73.729600000000005</v>
      </c>
      <c r="E17" s="629">
        <f>F17/GG17</f>
        <v>66.339000000000013</v>
      </c>
      <c r="F17" s="630">
        <f>BG62</f>
        <v>23.218650000000004</v>
      </c>
      <c r="G17" s="294"/>
      <c r="H17" s="294"/>
      <c r="I17" s="294"/>
      <c r="J17" s="14"/>
      <c r="K17" s="50"/>
      <c r="L17" s="50"/>
      <c r="M17" s="50"/>
      <c r="N17" s="14"/>
      <c r="O17" s="50"/>
      <c r="P17" s="50"/>
      <c r="Q17" s="50"/>
      <c r="R17" s="14"/>
      <c r="S17" s="50"/>
      <c r="T17" s="50"/>
      <c r="U17" s="14"/>
      <c r="V17" s="50"/>
      <c r="W17" s="50"/>
      <c r="X17" s="14"/>
      <c r="Y17" s="50"/>
      <c r="Z17" s="14"/>
      <c r="AA17" s="14"/>
      <c r="AB17" s="50"/>
      <c r="AC17" s="50"/>
      <c r="AD17" s="50"/>
      <c r="AE17" s="50"/>
      <c r="AF17" s="50"/>
      <c r="AG17" s="50"/>
      <c r="AH17" s="50"/>
      <c r="AI17" s="14"/>
      <c r="AJ17" s="50"/>
      <c r="AK17" s="50"/>
      <c r="AL17" s="50"/>
      <c r="AM17" s="50"/>
      <c r="AN17" s="50"/>
      <c r="AO17" s="575"/>
      <c r="AP17" s="50"/>
      <c r="AQ17" s="50"/>
      <c r="AR17" s="50"/>
      <c r="AS17" s="50"/>
      <c r="AT17" s="14"/>
      <c r="AU17" s="14"/>
      <c r="AV17" s="14"/>
      <c r="AW17" s="14"/>
      <c r="AX17" s="102"/>
      <c r="AY17" s="14"/>
      <c r="AZ17" s="14"/>
      <c r="BA17" s="14"/>
      <c r="BB17" s="14"/>
      <c r="BC17" s="102"/>
      <c r="BD17" s="102"/>
      <c r="BE17" s="102"/>
      <c r="BF17" s="102"/>
      <c r="BG17" s="102"/>
      <c r="BH17" s="102"/>
      <c r="BI17" s="102"/>
      <c r="BJ17" s="102"/>
      <c r="BK17" s="102"/>
      <c r="BL17" s="102"/>
      <c r="BM17" s="102"/>
      <c r="BN17" s="102"/>
      <c r="BO17" s="102"/>
      <c r="BP17" s="102"/>
      <c r="BQ17" s="102"/>
      <c r="BR17" s="102"/>
      <c r="BS17" s="102"/>
      <c r="BT17" s="102"/>
      <c r="BU17" s="102"/>
      <c r="BV17" s="102"/>
      <c r="BW17" s="102"/>
      <c r="BX17" s="102"/>
      <c r="BY17" s="102"/>
      <c r="BZ17" s="102"/>
      <c r="CA17" s="102"/>
      <c r="CB17" s="102"/>
      <c r="CC17" s="102"/>
      <c r="CD17" s="102"/>
      <c r="CE17" s="102"/>
      <c r="CF17" s="102"/>
      <c r="CG17" s="102"/>
      <c r="CH17" s="102"/>
      <c r="CI17" s="102"/>
      <c r="CJ17" s="102"/>
      <c r="CK17" s="102"/>
      <c r="CL17" s="102"/>
      <c r="CM17" s="126">
        <f>'Crops; pasture DISCOUNTED'!R28</f>
        <v>2.4386406544996855</v>
      </c>
      <c r="CW17" s="49"/>
      <c r="DP17" s="126">
        <f>'Crops; pasture DISCOUNTED'!HG28</f>
        <v>1.1711067652326104</v>
      </c>
      <c r="DQ17" s="126">
        <f>'Crops; pasture DISCOUNTED'!HS28</f>
        <v>1.038269088903722</v>
      </c>
      <c r="DZ17" s="126">
        <f>'Crops; pasture DISCOUNTED'!IE28</f>
        <v>2.0813811549228536</v>
      </c>
      <c r="ED17" s="334">
        <f>'Crops; pasture DISCOUNTED'!IR28</f>
        <v>0.4652513633601702</v>
      </c>
      <c r="EE17" s="334"/>
      <c r="EJ17" s="264">
        <f t="shared" ref="EJ17:EJ19" si="1">EK17+EL17+EM17</f>
        <v>0.11665947285714287</v>
      </c>
      <c r="EK17" s="334">
        <f>'Crops; pasture DISCOUNTED'!KF28</f>
        <v>8.2058135771428578E-2</v>
      </c>
      <c r="EL17" s="334">
        <f>'Crops; pasture DISCOUNTED'!KD28</f>
        <v>3.4601337085714286E-2</v>
      </c>
      <c r="EM17" s="334">
        <f>'Crops; pasture DISCOUNTED'!KH28</f>
        <v>0</v>
      </c>
      <c r="EN17" s="60"/>
      <c r="EO17" s="60"/>
      <c r="EP17" s="60"/>
      <c r="EQ17" s="60"/>
      <c r="ER17" s="60"/>
      <c r="ES17" s="60"/>
      <c r="ET17" s="60"/>
      <c r="EU17" s="60"/>
      <c r="EV17" s="60"/>
      <c r="EW17" s="60"/>
      <c r="EX17" s="60"/>
      <c r="EY17" s="60"/>
      <c r="EZ17" s="60"/>
      <c r="FA17" s="60"/>
      <c r="FB17" s="60"/>
      <c r="FC17" s="60"/>
      <c r="FD17" s="60"/>
      <c r="FE17" s="60"/>
      <c r="FF17" s="60"/>
      <c r="FG17" s="60"/>
      <c r="FH17" s="60"/>
      <c r="FI17" s="60"/>
      <c r="FJ17" s="60"/>
      <c r="FK17" s="60"/>
      <c r="FL17" s="60"/>
      <c r="FM17" s="60"/>
      <c r="FN17" s="60"/>
      <c r="FO17" s="60"/>
      <c r="FP17" s="60"/>
      <c r="FQ17" s="60"/>
      <c r="FR17" s="60"/>
      <c r="FS17" s="60"/>
      <c r="FT17" s="60"/>
      <c r="FU17" s="60"/>
      <c r="FV17" s="60"/>
      <c r="FW17" s="60"/>
      <c r="FX17" s="60"/>
      <c r="FY17" s="60"/>
      <c r="FZ17" s="60"/>
      <c r="GA17" s="60"/>
      <c r="GB17" s="60"/>
      <c r="GC17" s="60"/>
      <c r="GD17" s="60"/>
      <c r="GE17" s="60"/>
      <c r="GF17" s="60"/>
      <c r="GG17" s="631">
        <f>'Crops; pasture DISCOUNTED'!LI28</f>
        <v>0.35</v>
      </c>
      <c r="GH17" s="41">
        <f>'Crops; pasture DISCOUNTED'!LJ28</f>
        <v>6.0549999999999997</v>
      </c>
      <c r="GI17" s="41">
        <f>'Crops; pasture DISCOUNTED'!LK28</f>
        <v>17.3</v>
      </c>
      <c r="GJ17" s="41">
        <f>'Crops; pasture DISCOUNTED'!LL28</f>
        <v>4.4799999999999995</v>
      </c>
      <c r="GK17" s="41">
        <f>'Crops; pasture DISCOUNTED'!LM28</f>
        <v>12.8</v>
      </c>
      <c r="GL17" s="631">
        <f>'Crops; pasture DISCOUNTED'!LN28</f>
        <v>1.0499999999999999E-2</v>
      </c>
      <c r="GM17" s="631">
        <f>'Crops; pasture DISCOUNTED'!LO28</f>
        <v>0.03</v>
      </c>
      <c r="KD17" s="97"/>
      <c r="KE17" s="97"/>
      <c r="KF17" s="97"/>
      <c r="KG17" s="97"/>
      <c r="KH17" s="97"/>
      <c r="KI17" s="97"/>
    </row>
    <row r="18" spans="1:295" s="4" customFormat="1" x14ac:dyDescent="0.25">
      <c r="A18" s="14" t="s">
        <v>69</v>
      </c>
      <c r="B18" s="14"/>
      <c r="C18" s="627"/>
      <c r="D18" s="628">
        <f>'Crops; pasture DISCOUNTED'!V29</f>
        <v>67.536000000000001</v>
      </c>
      <c r="E18" s="629">
        <f>F18/GG18</f>
        <v>34.020000000000003</v>
      </c>
      <c r="F18" s="630">
        <f>BH62</f>
        <v>7.1442000000000005</v>
      </c>
      <c r="G18" s="294"/>
      <c r="H18" s="294"/>
      <c r="I18" s="294"/>
      <c r="J18" s="14"/>
      <c r="K18" s="50"/>
      <c r="L18" s="50"/>
      <c r="M18" s="50"/>
      <c r="N18" s="14"/>
      <c r="O18" s="50"/>
      <c r="P18" s="50"/>
      <c r="Q18" s="50"/>
      <c r="R18" s="14"/>
      <c r="S18" s="50"/>
      <c r="T18" s="50"/>
      <c r="U18" s="14"/>
      <c r="V18" s="50"/>
      <c r="W18" s="50"/>
      <c r="X18" s="14"/>
      <c r="Y18" s="50"/>
      <c r="Z18" s="14"/>
      <c r="AA18" s="14"/>
      <c r="AB18" s="50"/>
      <c r="AC18" s="50"/>
      <c r="AD18" s="50"/>
      <c r="AE18" s="50"/>
      <c r="AF18" s="50"/>
      <c r="AG18" s="50"/>
      <c r="AH18" s="50"/>
      <c r="AI18" s="14"/>
      <c r="AJ18" s="50"/>
      <c r="AK18" s="50"/>
      <c r="AL18" s="50"/>
      <c r="AM18" s="50"/>
      <c r="AN18" s="50"/>
      <c r="AO18" s="575"/>
      <c r="AP18" s="50"/>
      <c r="AQ18" s="50"/>
      <c r="AR18" s="50"/>
      <c r="AS18" s="50"/>
      <c r="AT18" s="14"/>
      <c r="AU18" s="14"/>
      <c r="AV18" s="14"/>
      <c r="AW18" s="14"/>
      <c r="AX18" s="102"/>
      <c r="AY18" s="14"/>
      <c r="AZ18" s="14"/>
      <c r="BA18" s="14"/>
      <c r="BB18" s="14"/>
      <c r="BC18" s="102"/>
      <c r="BD18" s="102"/>
      <c r="BE18" s="102"/>
      <c r="BF18" s="102"/>
      <c r="BG18" s="102"/>
      <c r="BH18" s="102"/>
      <c r="BI18" s="102"/>
      <c r="BJ18" s="102"/>
      <c r="BK18" s="102"/>
      <c r="BL18" s="102"/>
      <c r="BM18" s="102"/>
      <c r="BN18" s="102"/>
      <c r="BO18" s="102"/>
      <c r="BP18" s="102"/>
      <c r="BQ18" s="102"/>
      <c r="BR18" s="102"/>
      <c r="BS18" s="102"/>
      <c r="BT18" s="102"/>
      <c r="BU18" s="102"/>
      <c r="BV18" s="102"/>
      <c r="BW18" s="102"/>
      <c r="BX18" s="102"/>
      <c r="BY18" s="102"/>
      <c r="BZ18" s="102"/>
      <c r="CA18" s="102"/>
      <c r="CB18" s="102"/>
      <c r="CC18" s="102"/>
      <c r="CD18" s="102"/>
      <c r="CE18" s="102"/>
      <c r="CF18" s="102"/>
      <c r="CG18" s="102"/>
      <c r="CH18" s="102"/>
      <c r="CI18" s="102"/>
      <c r="CJ18" s="102"/>
      <c r="CK18" s="102"/>
      <c r="CL18" s="102"/>
      <c r="CM18" s="126">
        <f>'Crops; pasture DISCOUNTED'!R29</f>
        <v>2.7837005448945749</v>
      </c>
      <c r="CW18" s="49"/>
      <c r="DP18" s="126">
        <f>'Crops; pasture DISCOUNTED'!HG29</f>
        <v>0.7668395903212043</v>
      </c>
      <c r="DQ18" s="126">
        <f>'Crops; pasture DISCOUNTED'!HS29</f>
        <v>0.77688393000336786</v>
      </c>
      <c r="DZ18" s="126">
        <f>'Crops; pasture DISCOUNTED'!IE29</f>
        <v>1.5573916133617627</v>
      </c>
      <c r="ED18" s="334">
        <f>'Crops; pasture DISCOUNTED'!IR29</f>
        <v>0.16247060760732057</v>
      </c>
      <c r="EE18" s="334"/>
      <c r="EJ18" s="264">
        <f t="shared" si="1"/>
        <v>0.42407291866666669</v>
      </c>
      <c r="EK18" s="334">
        <f>'Crops; pasture DISCOUNTED'!KF29</f>
        <v>0.31243669485714287</v>
      </c>
      <c r="EL18" s="334">
        <f>'Crops; pasture DISCOUNTED'!KD29</f>
        <v>0.11163622380952382</v>
      </c>
      <c r="EM18" s="334">
        <f>'Crops; pasture DISCOUNTED'!KH29</f>
        <v>0</v>
      </c>
      <c r="EN18" s="123"/>
      <c r="EO18" s="123"/>
      <c r="EP18" s="123"/>
      <c r="EQ18" s="123"/>
      <c r="ER18" s="123"/>
      <c r="ES18" s="123"/>
      <c r="ET18" s="123"/>
      <c r="EU18" s="123"/>
      <c r="EV18" s="123"/>
      <c r="EW18" s="123"/>
      <c r="EX18" s="123"/>
      <c r="EY18" s="123"/>
      <c r="EZ18" s="123"/>
      <c r="FA18" s="123"/>
      <c r="FB18" s="123"/>
      <c r="FC18" s="123"/>
      <c r="FD18" s="123"/>
      <c r="FE18" s="123"/>
      <c r="FF18" s="123"/>
      <c r="FG18" s="123"/>
      <c r="FH18" s="123"/>
      <c r="FI18" s="123"/>
      <c r="FJ18" s="123"/>
      <c r="FK18" s="123"/>
      <c r="FL18" s="123"/>
      <c r="FM18" s="123"/>
      <c r="FN18" s="123"/>
      <c r="FO18" s="123"/>
      <c r="FP18" s="123"/>
      <c r="FQ18" s="123"/>
      <c r="FR18" s="123"/>
      <c r="FS18" s="123"/>
      <c r="FT18" s="123"/>
      <c r="FU18" s="123"/>
      <c r="FV18" s="123"/>
      <c r="FW18" s="123"/>
      <c r="FX18" s="123"/>
      <c r="FY18" s="123"/>
      <c r="FZ18" s="123"/>
      <c r="GA18" s="123"/>
      <c r="GB18" s="123"/>
      <c r="GC18" s="123"/>
      <c r="GD18" s="123"/>
      <c r="GE18" s="123"/>
      <c r="GF18" s="123"/>
      <c r="GG18" s="631">
        <f>'Crops; pasture DISCOUNTED'!LI29</f>
        <v>0.21</v>
      </c>
      <c r="GH18" s="41">
        <f>'Crops; pasture DISCOUNTED'!LJ29</f>
        <v>3.633</v>
      </c>
      <c r="GI18" s="41">
        <f>'Crops; pasture DISCOUNTED'!LK29</f>
        <v>17.3</v>
      </c>
      <c r="GJ18" s="41">
        <f>'Crops; pasture DISCOUNTED'!LL29</f>
        <v>2.835</v>
      </c>
      <c r="GK18" s="41">
        <f>'Crops; pasture DISCOUNTED'!LM29</f>
        <v>13.5</v>
      </c>
      <c r="GL18" s="631">
        <f>'Crops; pasture DISCOUNTED'!LN29</f>
        <v>1.89E-2</v>
      </c>
      <c r="GM18" s="631">
        <f>'Crops; pasture DISCOUNTED'!LO29</f>
        <v>0.09</v>
      </c>
      <c r="KD18" s="97"/>
      <c r="KE18" s="97"/>
      <c r="KF18" s="97"/>
      <c r="KG18" s="97"/>
      <c r="KH18" s="97"/>
      <c r="KI18" s="97"/>
    </row>
    <row r="19" spans="1:295" s="4" customFormat="1" x14ac:dyDescent="0.25">
      <c r="A19" s="14" t="s">
        <v>70</v>
      </c>
      <c r="B19" s="14"/>
      <c r="C19" s="627"/>
      <c r="D19" s="628">
        <f>'Crops; pasture DISCOUNTED'!V30</f>
        <v>34.985309999999991</v>
      </c>
      <c r="E19" s="629">
        <f>F19/GG19</f>
        <v>49.270344827586214</v>
      </c>
      <c r="F19" s="630">
        <f>BI62</f>
        <v>14.288400000000001</v>
      </c>
      <c r="G19" s="294"/>
      <c r="H19" s="294"/>
      <c r="I19" s="294"/>
      <c r="J19" s="14"/>
      <c r="K19" s="50"/>
      <c r="L19" s="50"/>
      <c r="M19" s="50"/>
      <c r="N19" s="14"/>
      <c r="O19" s="50"/>
      <c r="P19" s="50"/>
      <c r="Q19" s="50"/>
      <c r="R19" s="14"/>
      <c r="S19" s="50"/>
      <c r="T19" s="50"/>
      <c r="U19" s="14"/>
      <c r="V19" s="50"/>
      <c r="W19" s="50"/>
      <c r="X19" s="14"/>
      <c r="Y19" s="50"/>
      <c r="Z19" s="14"/>
      <c r="AA19" s="14"/>
      <c r="AB19" s="50"/>
      <c r="AC19" s="50"/>
      <c r="AD19" s="50"/>
      <c r="AE19" s="50"/>
      <c r="AF19" s="50"/>
      <c r="AG19" s="50"/>
      <c r="AH19" s="50"/>
      <c r="AI19" s="14"/>
      <c r="AJ19" s="50"/>
      <c r="AK19" s="50"/>
      <c r="AL19" s="50"/>
      <c r="AM19" s="50"/>
      <c r="AN19" s="50"/>
      <c r="AO19" s="575"/>
      <c r="AP19" s="50"/>
      <c r="AQ19" s="50"/>
      <c r="AR19" s="50"/>
      <c r="AS19" s="50"/>
      <c r="AT19" s="14"/>
      <c r="AU19" s="14"/>
      <c r="AV19" s="14"/>
      <c r="AW19" s="14"/>
      <c r="AX19" s="102"/>
      <c r="AY19" s="14"/>
      <c r="AZ19" s="14"/>
      <c r="BA19" s="14"/>
      <c r="BB19" s="14"/>
      <c r="BC19" s="102"/>
      <c r="BD19" s="102"/>
      <c r="BE19" s="102"/>
      <c r="BF19" s="102"/>
      <c r="BG19" s="102"/>
      <c r="BH19" s="102"/>
      <c r="BI19" s="102"/>
      <c r="BJ19" s="102"/>
      <c r="BK19" s="102"/>
      <c r="BL19" s="102"/>
      <c r="BM19" s="102"/>
      <c r="BN19" s="102"/>
      <c r="BO19" s="102"/>
      <c r="BP19" s="102"/>
      <c r="BQ19" s="102"/>
      <c r="BR19" s="102"/>
      <c r="BS19" s="102"/>
      <c r="BT19" s="102"/>
      <c r="BU19" s="102"/>
      <c r="BV19" s="102"/>
      <c r="BW19" s="102"/>
      <c r="BX19" s="102"/>
      <c r="BY19" s="102"/>
      <c r="BZ19" s="102"/>
      <c r="CA19" s="102"/>
      <c r="CB19" s="102"/>
      <c r="CC19" s="102"/>
      <c r="CD19" s="102"/>
      <c r="CE19" s="102"/>
      <c r="CF19" s="102"/>
      <c r="CG19" s="102"/>
      <c r="CH19" s="102"/>
      <c r="CI19" s="102"/>
      <c r="CJ19" s="102"/>
      <c r="CK19" s="102"/>
      <c r="CL19" s="102"/>
      <c r="CM19" s="126">
        <f>'Crops; pasture DISCOUNTED'!R30</f>
        <v>2.4038660797917761</v>
      </c>
      <c r="CW19" s="49"/>
      <c r="DP19" s="126">
        <f>'Crops; pasture DISCOUNTED'!HG30</f>
        <v>1.0882484812016735</v>
      </c>
      <c r="DQ19" s="126">
        <f>'Crops; pasture DISCOUNTED'!HS30</f>
        <v>0.87324076286168573</v>
      </c>
      <c r="DZ19" s="126">
        <f>'Crops; pasture DISCOUNTED'!IE30</f>
        <v>1.7505547328292934</v>
      </c>
      <c r="ED19" s="334">
        <f>'Crops; pasture DISCOUNTED'!IR30</f>
        <v>0.21942928680637677</v>
      </c>
      <c r="EE19" s="334"/>
      <c r="EJ19" s="264">
        <f t="shared" si="1"/>
        <v>0.26957596724138616</v>
      </c>
      <c r="EK19" s="334">
        <f>'Crops; pasture DISCOUNTED'!KF30</f>
        <v>0.23103510096551721</v>
      </c>
      <c r="EL19" s="334">
        <f>'Crops; pasture DISCOUNTED'!KD30</f>
        <v>3.8540866275868967E-2</v>
      </c>
      <c r="EM19" s="334">
        <f>'Crops; pasture DISCOUNTED'!KH30</f>
        <v>0</v>
      </c>
      <c r="EN19" s="60"/>
      <c r="EO19" s="60"/>
      <c r="EP19" s="60"/>
      <c r="EQ19" s="60"/>
      <c r="ER19" s="60"/>
      <c r="ES19" s="60"/>
      <c r="ET19" s="60"/>
      <c r="EU19" s="60"/>
      <c r="EV19" s="60"/>
      <c r="EW19" s="60"/>
      <c r="EX19" s="60"/>
      <c r="EY19" s="60"/>
      <c r="EZ19" s="60"/>
      <c r="FA19" s="60"/>
      <c r="FB19" s="60"/>
      <c r="FC19" s="60"/>
      <c r="FD19" s="60"/>
      <c r="FE19" s="60"/>
      <c r="FF19" s="60"/>
      <c r="FG19" s="60"/>
      <c r="FH19" s="60"/>
      <c r="FI19" s="60"/>
      <c r="FJ19" s="60"/>
      <c r="FK19" s="60"/>
      <c r="FL19" s="60"/>
      <c r="FM19" s="60"/>
      <c r="FN19" s="60"/>
      <c r="FO19" s="60"/>
      <c r="FP19" s="60"/>
      <c r="FQ19" s="60"/>
      <c r="FR19" s="60"/>
      <c r="FS19" s="60"/>
      <c r="FT19" s="60"/>
      <c r="FU19" s="60"/>
      <c r="FV19" s="60"/>
      <c r="FW19" s="60"/>
      <c r="FX19" s="60"/>
      <c r="FY19" s="60"/>
      <c r="FZ19" s="60"/>
      <c r="GA19" s="60"/>
      <c r="GB19" s="60"/>
      <c r="GC19" s="60"/>
      <c r="GD19" s="60"/>
      <c r="GE19" s="60"/>
      <c r="GF19" s="60"/>
      <c r="GG19" s="631">
        <f>'Crops; pasture DISCOUNTED'!LI30</f>
        <v>0.28999999999999998</v>
      </c>
      <c r="GH19" s="41">
        <f>'Crops; pasture DISCOUNTED'!LJ30</f>
        <v>5.0169999999999995</v>
      </c>
      <c r="GI19" s="41">
        <f>'Crops; pasture DISCOUNTED'!LK30</f>
        <v>17.3</v>
      </c>
      <c r="GJ19" s="41">
        <f>'Crops; pasture DISCOUNTED'!LL30</f>
        <v>3.9149999999999996</v>
      </c>
      <c r="GK19" s="41">
        <f>'Crops; pasture DISCOUNTED'!LM30</f>
        <v>13.5</v>
      </c>
      <c r="GL19" s="631">
        <f>'Crops; pasture DISCOUNTED'!LN30</f>
        <v>1.4499999999999999E-2</v>
      </c>
      <c r="GM19" s="631">
        <f>'Crops; pasture DISCOUNTED'!LO30</f>
        <v>0.05</v>
      </c>
      <c r="KD19" s="97"/>
      <c r="KE19" s="97"/>
      <c r="KF19" s="97"/>
      <c r="KG19" s="97"/>
      <c r="KH19" s="97"/>
      <c r="KI19" s="97"/>
    </row>
    <row r="20" spans="1:295" s="4" customFormat="1" x14ac:dyDescent="0.25">
      <c r="A20" s="14"/>
      <c r="B20" s="14"/>
      <c r="C20" s="14"/>
      <c r="D20" s="14"/>
      <c r="E20" s="102"/>
      <c r="F20" s="14"/>
      <c r="G20" s="14"/>
      <c r="H20" s="102"/>
      <c r="I20" s="102"/>
      <c r="J20" s="14"/>
      <c r="K20" s="50"/>
      <c r="L20" s="50"/>
      <c r="M20" s="50"/>
      <c r="N20" s="14"/>
      <c r="O20" s="50"/>
      <c r="P20" s="50"/>
      <c r="Q20" s="50"/>
      <c r="R20" s="14"/>
      <c r="S20" s="50"/>
      <c r="T20" s="50"/>
      <c r="U20" s="14"/>
      <c r="V20" s="50"/>
      <c r="W20" s="50"/>
      <c r="X20" s="14"/>
      <c r="Y20" s="50"/>
      <c r="Z20" s="14"/>
      <c r="AA20" s="14"/>
      <c r="AB20" s="50"/>
      <c r="AC20" s="50"/>
      <c r="AD20" s="50"/>
      <c r="AE20" s="50"/>
      <c r="AF20" s="50"/>
      <c r="AG20" s="50"/>
      <c r="AH20" s="50"/>
      <c r="AI20" s="14"/>
      <c r="AJ20" s="50"/>
      <c r="AK20" s="50"/>
      <c r="AL20" s="50"/>
      <c r="AM20" s="50"/>
      <c r="AN20" s="50"/>
      <c r="AO20" s="575"/>
      <c r="AP20" s="50"/>
      <c r="AQ20" s="50"/>
      <c r="AR20" s="50"/>
      <c r="AS20" s="50"/>
      <c r="AT20" s="14"/>
      <c r="AU20" s="14"/>
      <c r="AV20" s="14"/>
      <c r="AW20" s="14"/>
      <c r="AX20" s="102"/>
      <c r="AY20" s="14"/>
      <c r="AZ20" s="14"/>
      <c r="BA20" s="14"/>
      <c r="BB20" s="14"/>
      <c r="BC20" s="102"/>
      <c r="BD20" s="102"/>
      <c r="BE20" s="102"/>
      <c r="BF20" s="102"/>
      <c r="BG20" s="102"/>
      <c r="BH20" s="102"/>
      <c r="BI20" s="102"/>
      <c r="BJ20" s="102"/>
      <c r="BK20" s="102"/>
      <c r="BL20" s="102"/>
      <c r="BM20" s="102"/>
      <c r="BN20" s="102"/>
      <c r="BO20" s="102"/>
      <c r="BP20" s="102"/>
      <c r="BQ20" s="102"/>
      <c r="BR20" s="102"/>
      <c r="BS20" s="102"/>
      <c r="BT20" s="102"/>
      <c r="BU20" s="102"/>
      <c r="BV20" s="102"/>
      <c r="BW20" s="102"/>
      <c r="BX20" s="102"/>
      <c r="BY20" s="102"/>
      <c r="BZ20" s="102"/>
      <c r="CA20" s="102"/>
      <c r="CB20" s="102"/>
      <c r="CC20" s="102"/>
      <c r="CD20" s="102"/>
      <c r="CE20" s="102"/>
      <c r="CF20" s="102"/>
      <c r="CG20" s="102"/>
      <c r="CH20" s="102"/>
      <c r="CI20" s="102"/>
      <c r="CJ20" s="102"/>
      <c r="CK20" s="102"/>
      <c r="CL20" s="102"/>
      <c r="CM20" s="97"/>
      <c r="CW20" s="49"/>
      <c r="DP20" s="97"/>
      <c r="DQ20" s="97"/>
      <c r="DZ20" s="97"/>
      <c r="ED20" s="522"/>
      <c r="EE20" s="522"/>
      <c r="EK20" s="522"/>
      <c r="EL20" s="522"/>
      <c r="EM20" s="522"/>
      <c r="EN20" s="60"/>
      <c r="EO20" s="60"/>
      <c r="EP20" s="60"/>
      <c r="EQ20" s="60"/>
      <c r="ER20" s="60"/>
      <c r="ES20" s="60"/>
      <c r="ET20" s="60"/>
      <c r="EU20" s="60"/>
      <c r="EV20" s="60"/>
      <c r="EW20" s="60"/>
      <c r="EX20" s="60"/>
      <c r="EY20" s="60"/>
      <c r="EZ20" s="60"/>
      <c r="FA20" s="60"/>
      <c r="FB20" s="60"/>
      <c r="FC20" s="60"/>
      <c r="FD20" s="60"/>
      <c r="FE20" s="60"/>
      <c r="FF20" s="60"/>
      <c r="FG20" s="60"/>
      <c r="FH20" s="60"/>
      <c r="FI20" s="60"/>
      <c r="FJ20" s="60"/>
      <c r="FK20" s="60"/>
      <c r="FL20" s="60"/>
      <c r="FM20" s="60"/>
      <c r="FN20" s="60"/>
      <c r="FO20" s="60"/>
      <c r="FP20" s="60"/>
      <c r="FQ20" s="60"/>
      <c r="FR20" s="60"/>
      <c r="FS20" s="60"/>
      <c r="FT20" s="60"/>
      <c r="FU20" s="60"/>
      <c r="FV20" s="60"/>
      <c r="FW20" s="60"/>
      <c r="FX20" s="60"/>
      <c r="FY20" s="60"/>
      <c r="FZ20" s="60"/>
      <c r="GA20" s="60"/>
      <c r="GB20" s="60"/>
      <c r="GC20" s="60"/>
      <c r="GD20" s="60"/>
      <c r="GE20" s="60"/>
      <c r="GF20" s="60"/>
      <c r="KD20" s="97"/>
      <c r="KE20" s="97"/>
      <c r="KF20" s="97"/>
      <c r="KG20" s="97"/>
      <c r="KH20" s="97"/>
      <c r="KI20" s="97"/>
    </row>
    <row r="21" spans="1:295" s="4" customFormat="1" ht="13.8" x14ac:dyDescent="0.3">
      <c r="A21" s="15" t="s">
        <v>97</v>
      </c>
      <c r="B21" s="14"/>
      <c r="C21" s="14"/>
      <c r="D21" s="625">
        <f>'Crops; pasture DISCOUNTED'!V37+'Crops; pasture DISCOUNTED'!V45</f>
        <v>454.23196300000001</v>
      </c>
      <c r="E21" s="607">
        <f>E22+E23</f>
        <v>43.242707366941609</v>
      </c>
      <c r="F21" s="632">
        <f>F22+F23</f>
        <v>39.315172499999996</v>
      </c>
      <c r="G21" s="633">
        <f>F21/D21</f>
        <v>8.6553073544936771E-2</v>
      </c>
      <c r="H21" s="594"/>
      <c r="I21" s="594"/>
      <c r="J21" s="14"/>
      <c r="K21" s="50"/>
      <c r="L21" s="50"/>
      <c r="M21" s="50"/>
      <c r="N21" s="14"/>
      <c r="O21" s="50"/>
      <c r="P21" s="50"/>
      <c r="Q21" s="50"/>
      <c r="R21" s="14"/>
      <c r="S21" s="50"/>
      <c r="T21" s="50"/>
      <c r="U21" s="14"/>
      <c r="V21" s="50"/>
      <c r="W21" s="50"/>
      <c r="X21" s="14"/>
      <c r="Y21" s="50"/>
      <c r="Z21" s="14"/>
      <c r="AA21" s="14"/>
      <c r="AB21" s="50"/>
      <c r="AC21" s="50"/>
      <c r="AD21" s="50"/>
      <c r="AE21" s="50"/>
      <c r="AF21" s="50"/>
      <c r="AG21" s="50"/>
      <c r="AH21" s="50"/>
      <c r="AI21" s="14"/>
      <c r="AJ21" s="50"/>
      <c r="AK21" s="50"/>
      <c r="AL21" s="50"/>
      <c r="AM21" s="50"/>
      <c r="AN21" s="50"/>
      <c r="AO21" s="575"/>
      <c r="AP21" s="50"/>
      <c r="AQ21" s="50"/>
      <c r="AR21" s="50"/>
      <c r="AS21" s="50"/>
      <c r="AT21" s="14"/>
      <c r="AU21" s="14"/>
      <c r="AV21" s="14"/>
      <c r="AW21" s="14"/>
      <c r="AX21" s="102"/>
      <c r="AY21" s="14"/>
      <c r="AZ21" s="14"/>
      <c r="BA21" s="14"/>
      <c r="BB21" s="14"/>
      <c r="BC21" s="102"/>
      <c r="BD21" s="102"/>
      <c r="BE21" s="102"/>
      <c r="BF21" s="102"/>
      <c r="BG21" s="102"/>
      <c r="BH21" s="102"/>
      <c r="BI21" s="102"/>
      <c r="BJ21" s="102"/>
      <c r="BK21" s="102"/>
      <c r="BL21" s="102"/>
      <c r="BM21" s="102"/>
      <c r="BN21" s="102"/>
      <c r="BO21" s="102"/>
      <c r="BP21" s="102"/>
      <c r="BQ21" s="102"/>
      <c r="BR21" s="102"/>
      <c r="BS21" s="102"/>
      <c r="BT21" s="102"/>
      <c r="BU21" s="102"/>
      <c r="BV21" s="102"/>
      <c r="BW21" s="102"/>
      <c r="BX21" s="102"/>
      <c r="BY21" s="102"/>
      <c r="BZ21" s="102"/>
      <c r="CA21" s="102"/>
      <c r="CB21" s="102"/>
      <c r="CC21" s="102"/>
      <c r="CD21" s="102"/>
      <c r="CE21" s="102"/>
      <c r="CF21" s="102"/>
      <c r="CG21" s="102"/>
      <c r="CH21" s="102"/>
      <c r="CI21" s="102"/>
      <c r="CJ21" s="102"/>
      <c r="CK21" s="102"/>
      <c r="CL21" s="102"/>
      <c r="CM21" s="115"/>
      <c r="CW21" s="49"/>
      <c r="DP21" s="115"/>
      <c r="DQ21" s="115"/>
      <c r="DZ21" s="115"/>
      <c r="ED21" s="127"/>
      <c r="EE21" s="127"/>
      <c r="EK21" s="127"/>
      <c r="EL21" s="127"/>
      <c r="EM21" s="127"/>
      <c r="EN21" s="60"/>
      <c r="EO21" s="60"/>
      <c r="EP21" s="60"/>
      <c r="EQ21" s="60"/>
      <c r="ER21" s="60"/>
      <c r="ES21" s="60"/>
      <c r="ET21" s="60"/>
      <c r="EU21" s="60"/>
      <c r="EV21" s="60"/>
      <c r="EW21" s="60"/>
      <c r="EX21" s="60"/>
      <c r="EY21" s="60"/>
      <c r="EZ21" s="60"/>
      <c r="FA21" s="60"/>
      <c r="FB21" s="60"/>
      <c r="FC21" s="60"/>
      <c r="FD21" s="60"/>
      <c r="FE21" s="60"/>
      <c r="FF21" s="60"/>
      <c r="FG21" s="60"/>
      <c r="FH21" s="60"/>
      <c r="FI21" s="60"/>
      <c r="FJ21" s="60"/>
      <c r="FK21" s="60"/>
      <c r="FL21" s="60"/>
      <c r="FM21" s="60"/>
      <c r="FN21" s="60"/>
      <c r="FO21" s="60"/>
      <c r="FP21" s="60"/>
      <c r="FQ21" s="60"/>
      <c r="FR21" s="60"/>
      <c r="FS21" s="60"/>
      <c r="FT21" s="60"/>
      <c r="FU21" s="60"/>
      <c r="FV21" s="60"/>
      <c r="FW21" s="60"/>
      <c r="FX21" s="60"/>
      <c r="FY21" s="60"/>
      <c r="FZ21" s="60"/>
      <c r="GA21" s="60"/>
      <c r="GB21" s="60"/>
      <c r="GC21" s="60"/>
      <c r="GD21" s="60"/>
      <c r="GE21" s="60"/>
      <c r="GF21" s="60"/>
      <c r="KD21" s="97"/>
      <c r="KE21" s="97"/>
      <c r="KF21" s="97"/>
      <c r="KG21" s="97"/>
      <c r="KH21" s="97"/>
      <c r="KI21" s="97"/>
    </row>
    <row r="22" spans="1:295" s="4" customFormat="1" x14ac:dyDescent="0.25">
      <c r="A22" s="14" t="s">
        <v>106</v>
      </c>
      <c r="B22" s="14"/>
      <c r="C22" s="627">
        <f>D22/(D22+D23)</f>
        <v>0.91829596188296059</v>
      </c>
      <c r="D22" s="628">
        <f>'Crops; pasture DISCOUNTED'!V38</f>
        <v>194.63989999999998</v>
      </c>
      <c r="E22" s="630">
        <f>F22/GG22</f>
        <v>39.673586975254963</v>
      </c>
      <c r="F22" s="630">
        <f>BK62</f>
        <v>36.10296414748202</v>
      </c>
      <c r="G22" s="294"/>
      <c r="H22" s="294"/>
      <c r="I22" s="294"/>
      <c r="J22" s="14"/>
      <c r="K22" s="50"/>
      <c r="L22" s="50"/>
      <c r="M22" s="50"/>
      <c r="N22" s="14"/>
      <c r="O22" s="50"/>
      <c r="P22" s="50"/>
      <c r="Q22" s="50"/>
      <c r="R22" s="14"/>
      <c r="S22" s="50"/>
      <c r="T22" s="50"/>
      <c r="U22" s="14"/>
      <c r="V22" s="50"/>
      <c r="W22" s="50"/>
      <c r="X22" s="14"/>
      <c r="Y22" s="50"/>
      <c r="Z22" s="14"/>
      <c r="AA22" s="14"/>
      <c r="AB22" s="50"/>
      <c r="AC22" s="50"/>
      <c r="AD22" s="50"/>
      <c r="AE22" s="50"/>
      <c r="AF22" s="50"/>
      <c r="AG22" s="50"/>
      <c r="AH22" s="50"/>
      <c r="AI22" s="14"/>
      <c r="AJ22" s="50"/>
      <c r="AK22" s="50"/>
      <c r="AL22" s="50"/>
      <c r="AM22" s="50"/>
      <c r="AN22" s="50"/>
      <c r="AO22" s="575"/>
      <c r="AP22" s="50"/>
      <c r="AQ22" s="50"/>
      <c r="AR22" s="50"/>
      <c r="AS22" s="50"/>
      <c r="AT22" s="14"/>
      <c r="AU22" s="14"/>
      <c r="AV22" s="14"/>
      <c r="AW22" s="14"/>
      <c r="AX22" s="102"/>
      <c r="AY22" s="14"/>
      <c r="AZ22" s="14"/>
      <c r="BA22" s="14"/>
      <c r="BB22" s="14"/>
      <c r="BC22" s="102"/>
      <c r="BD22" s="102"/>
      <c r="BE22" s="102"/>
      <c r="BF22" s="102"/>
      <c r="BG22" s="102"/>
      <c r="BH22" s="102"/>
      <c r="BI22" s="102"/>
      <c r="BJ22" s="102"/>
      <c r="BK22" s="102"/>
      <c r="BL22" s="102"/>
      <c r="BM22" s="102"/>
      <c r="BN22" s="102"/>
      <c r="BO22" s="102"/>
      <c r="BP22" s="102"/>
      <c r="BQ22" s="102"/>
      <c r="BR22" s="102"/>
      <c r="BS22" s="102"/>
      <c r="BT22" s="102"/>
      <c r="BU22" s="102"/>
      <c r="BV22" s="102"/>
      <c r="BW22" s="102"/>
      <c r="BX22" s="102"/>
      <c r="BY22" s="102"/>
      <c r="BZ22" s="102"/>
      <c r="CA22" s="102"/>
      <c r="CB22" s="102"/>
      <c r="CC22" s="102"/>
      <c r="CD22" s="102"/>
      <c r="CE22" s="102"/>
      <c r="CF22" s="102"/>
      <c r="CG22" s="102"/>
      <c r="CH22" s="102"/>
      <c r="CI22" s="102"/>
      <c r="CJ22" s="102"/>
      <c r="CK22" s="102"/>
      <c r="CL22" s="102"/>
      <c r="CM22" s="126">
        <f>'Crops; pasture DISCOUNTED'!R38</f>
        <v>4.593097304304</v>
      </c>
      <c r="CW22" s="49"/>
      <c r="DP22" s="126">
        <f>'Crops; pasture DISCOUNTED'!HG38</f>
        <v>1.7045153723483117</v>
      </c>
      <c r="DQ22" s="126">
        <f>'Crops; pasture DISCOUNTED'!HS38</f>
        <v>1.5884842400818155</v>
      </c>
      <c r="DZ22" s="126">
        <f>'Crops; pasture DISCOUNTED'!IE38</f>
        <v>3.1843779204572136</v>
      </c>
      <c r="ED22" s="334">
        <f>'Crops; pasture DISCOUNTED'!IR38</f>
        <v>0.18231504820092898</v>
      </c>
      <c r="EE22" s="334"/>
      <c r="EJ22" s="264">
        <f t="shared" ref="EJ22:EJ23" si="2">EK22+EL22+EM22</f>
        <v>0.28655196109890108</v>
      </c>
      <c r="EK22" s="334">
        <f>'Crops; pasture DISCOUNTED'!KF38</f>
        <v>0.27545726916483515</v>
      </c>
      <c r="EL22" s="334">
        <f>'Crops; pasture DISCOUNTED'!KD38</f>
        <v>1.1094691934065939E-2</v>
      </c>
      <c r="EM22" s="334">
        <f>'Crops; pasture DISCOUNTED'!KH38</f>
        <v>0</v>
      </c>
      <c r="EN22" s="123"/>
      <c r="EO22" s="123"/>
      <c r="EP22" s="123"/>
      <c r="EQ22" s="123"/>
      <c r="ER22" s="123"/>
      <c r="ES22" s="123"/>
      <c r="ET22" s="123"/>
      <c r="EU22" s="123"/>
      <c r="EV22" s="123"/>
      <c r="EW22" s="123"/>
      <c r="EX22" s="123"/>
      <c r="EY22" s="123"/>
      <c r="EZ22" s="123"/>
      <c r="FA22" s="123"/>
      <c r="FB22" s="123"/>
      <c r="FC22" s="123"/>
      <c r="FD22" s="123"/>
      <c r="FE22" s="123"/>
      <c r="FF22" s="123"/>
      <c r="FG22" s="123"/>
      <c r="FH22" s="123"/>
      <c r="FI22" s="123"/>
      <c r="FJ22" s="123"/>
      <c r="FK22" s="123"/>
      <c r="FL22" s="123"/>
      <c r="FM22" s="123"/>
      <c r="FN22" s="123"/>
      <c r="FO22" s="123"/>
      <c r="FP22" s="123"/>
      <c r="FQ22" s="123"/>
      <c r="FR22" s="123"/>
      <c r="FS22" s="123"/>
      <c r="FT22" s="123"/>
      <c r="FU22" s="123"/>
      <c r="FV22" s="123"/>
      <c r="FW22" s="123"/>
      <c r="FX22" s="123"/>
      <c r="FY22" s="123"/>
      <c r="FZ22" s="123"/>
      <c r="GA22" s="123"/>
      <c r="GB22" s="123"/>
      <c r="GC22" s="123"/>
      <c r="GD22" s="123"/>
      <c r="GE22" s="123"/>
      <c r="GF22" s="123"/>
      <c r="GG22" s="631">
        <f>'Crops; pasture DISCOUNTED'!LI38</f>
        <v>0.91</v>
      </c>
      <c r="GH22" s="41">
        <f>'Crops; pasture DISCOUNTED'!LJ38</f>
        <v>21.385000000000002</v>
      </c>
      <c r="GI22" s="41">
        <f>'Crops; pasture DISCOUNTED'!LK38</f>
        <v>23.5</v>
      </c>
      <c r="GJ22" s="41">
        <f>'Crops; pasture DISCOUNTED'!LL38</f>
        <v>17.29</v>
      </c>
      <c r="GK22" s="41">
        <f>'Crops; pasture DISCOUNTED'!LM38</f>
        <v>19</v>
      </c>
      <c r="GL22" s="631">
        <f>'Crops; pasture DISCOUNTED'!LN38</f>
        <v>0.36400000000000005</v>
      </c>
      <c r="GM22" s="631">
        <f>'Crops; pasture DISCOUNTED'!LO38</f>
        <v>0.4</v>
      </c>
      <c r="KD22" s="97"/>
      <c r="KE22" s="97"/>
      <c r="KF22" s="97"/>
      <c r="KG22" s="97"/>
      <c r="KH22" s="97"/>
      <c r="KI22" s="97"/>
    </row>
    <row r="23" spans="1:295" s="4" customFormat="1" x14ac:dyDescent="0.25">
      <c r="A23" s="14" t="s">
        <v>82</v>
      </c>
      <c r="B23" s="14"/>
      <c r="C23" s="627">
        <f>D23/(D22+D23)</f>
        <v>8.1704038117039385E-2</v>
      </c>
      <c r="D23" s="628">
        <f>'Crops; pasture DISCOUNTED'!V46</f>
        <v>17.317799999999998</v>
      </c>
      <c r="E23" s="630">
        <f>F23/GG23</f>
        <v>3.569120391686643</v>
      </c>
      <c r="F23" s="630">
        <f>BL62</f>
        <v>3.2122083525179788</v>
      </c>
      <c r="G23" s="294"/>
      <c r="H23" s="294"/>
      <c r="I23" s="294"/>
      <c r="J23" s="14"/>
      <c r="K23" s="50"/>
      <c r="L23" s="50"/>
      <c r="M23" s="50"/>
      <c r="N23" s="14"/>
      <c r="O23" s="50"/>
      <c r="P23" s="50"/>
      <c r="Q23" s="50"/>
      <c r="R23" s="14"/>
      <c r="S23" s="50"/>
      <c r="T23" s="50"/>
      <c r="U23" s="14"/>
      <c r="V23" s="50"/>
      <c r="W23" s="50"/>
      <c r="X23" s="14"/>
      <c r="Y23" s="50"/>
      <c r="Z23" s="14"/>
      <c r="AA23" s="14"/>
      <c r="AB23" s="50"/>
      <c r="AC23" s="50"/>
      <c r="AD23" s="50"/>
      <c r="AE23" s="50"/>
      <c r="AF23" s="50"/>
      <c r="AG23" s="50"/>
      <c r="AH23" s="50"/>
      <c r="AI23" s="14"/>
      <c r="AJ23" s="50"/>
      <c r="AK23" s="50"/>
      <c r="AL23" s="50"/>
      <c r="AM23" s="50"/>
      <c r="AN23" s="50"/>
      <c r="AO23" s="575"/>
      <c r="AP23" s="50"/>
      <c r="AQ23" s="50"/>
      <c r="AR23" s="50"/>
      <c r="AS23" s="50"/>
      <c r="AT23" s="14"/>
      <c r="AU23" s="14"/>
      <c r="AV23" s="14"/>
      <c r="AW23" s="14"/>
      <c r="AX23" s="102"/>
      <c r="AY23" s="14"/>
      <c r="AZ23" s="14"/>
      <c r="BA23" s="14"/>
      <c r="BB23" s="14"/>
      <c r="BC23" s="102"/>
      <c r="BD23" s="102"/>
      <c r="BE23" s="102"/>
      <c r="BF23" s="102"/>
      <c r="BG23" s="102"/>
      <c r="BH23" s="102"/>
      <c r="BI23" s="102"/>
      <c r="BJ23" s="102"/>
      <c r="BK23" s="102"/>
      <c r="BL23" s="102"/>
      <c r="BM23" s="102"/>
      <c r="BN23" s="102"/>
      <c r="BO23" s="102"/>
      <c r="BP23" s="102"/>
      <c r="BQ23" s="102"/>
      <c r="BR23" s="102"/>
      <c r="BS23" s="102"/>
      <c r="BT23" s="102"/>
      <c r="BU23" s="102"/>
      <c r="BV23" s="102"/>
      <c r="BW23" s="102"/>
      <c r="BX23" s="102"/>
      <c r="BY23" s="102"/>
      <c r="BZ23" s="102"/>
      <c r="CA23" s="102"/>
      <c r="CB23" s="102"/>
      <c r="CC23" s="102"/>
      <c r="CD23" s="102"/>
      <c r="CE23" s="102"/>
      <c r="CF23" s="102"/>
      <c r="CG23" s="102"/>
      <c r="CH23" s="102"/>
      <c r="CI23" s="102"/>
      <c r="CJ23" s="102"/>
      <c r="CK23" s="102"/>
      <c r="CL23" s="102"/>
      <c r="CM23" s="126">
        <f>'Crops; pasture DISCOUNTED'!R46</f>
        <v>14.897966254374115</v>
      </c>
      <c r="CW23" s="49"/>
      <c r="DP23" s="126">
        <f>'Crops; pasture DISCOUNTED'!HG46</f>
        <v>4.1331670772545142</v>
      </c>
      <c r="DQ23" s="126">
        <f>'Crops; pasture DISCOUNTED'!HS46</f>
        <v>4.6247335531336091</v>
      </c>
      <c r="DZ23" s="126">
        <f>'Crops; pasture DISCOUNTED'!IE46</f>
        <v>9.2710390465301611</v>
      </c>
      <c r="ED23" s="334">
        <f>'Crops; pasture DISCOUNTED'!IR46</f>
        <v>0.61723397088452348</v>
      </c>
      <c r="EE23" s="334"/>
      <c r="EJ23" s="264">
        <f t="shared" si="2"/>
        <v>0.69143348764444446</v>
      </c>
      <c r="EK23" s="334">
        <f>'Crops; pasture DISCOUNTED'!KF46</f>
        <v>0.62274170297777776</v>
      </c>
      <c r="EL23" s="334">
        <f>'Crops; pasture DISCOUNTED'!KD46</f>
        <v>6.8691784666666658E-2</v>
      </c>
      <c r="EM23" s="334">
        <f>'Crops; pasture DISCOUNTED'!KH46</f>
        <v>0</v>
      </c>
      <c r="EN23" s="60"/>
      <c r="EO23" s="60"/>
      <c r="EP23" s="60"/>
      <c r="EQ23" s="60"/>
      <c r="ER23" s="60"/>
      <c r="ES23" s="60"/>
      <c r="ET23" s="60"/>
      <c r="EU23" s="60"/>
      <c r="EV23" s="60"/>
      <c r="EW23" s="60"/>
      <c r="EX23" s="60"/>
      <c r="EY23" s="60"/>
      <c r="EZ23" s="60"/>
      <c r="FA23" s="60"/>
      <c r="FB23" s="60"/>
      <c r="FC23" s="60"/>
      <c r="FD23" s="60"/>
      <c r="FE23" s="60"/>
      <c r="FF23" s="60"/>
      <c r="FG23" s="60"/>
      <c r="FH23" s="60"/>
      <c r="FI23" s="60"/>
      <c r="FJ23" s="60"/>
      <c r="FK23" s="60"/>
      <c r="FL23" s="60"/>
      <c r="FM23" s="60"/>
      <c r="FN23" s="60"/>
      <c r="FO23" s="60"/>
      <c r="FP23" s="60"/>
      <c r="FQ23" s="60"/>
      <c r="FR23" s="60"/>
      <c r="FS23" s="60"/>
      <c r="FT23" s="60"/>
      <c r="FU23" s="60"/>
      <c r="FV23" s="60"/>
      <c r="FW23" s="60"/>
      <c r="FX23" s="60"/>
      <c r="FY23" s="60"/>
      <c r="FZ23" s="60"/>
      <c r="GA23" s="60"/>
      <c r="GB23" s="60"/>
      <c r="GC23" s="60"/>
      <c r="GD23" s="60"/>
      <c r="GE23" s="60"/>
      <c r="GF23" s="60"/>
      <c r="GG23" s="631">
        <f>'Crops; pasture DISCOUNTED'!LI46</f>
        <v>0.9</v>
      </c>
      <c r="GH23" s="41">
        <f>'Crops; pasture DISCOUNTED'!LJ46</f>
        <v>17.100000000000001</v>
      </c>
      <c r="GI23" s="41">
        <f>'Crops; pasture DISCOUNTED'!LK46</f>
        <v>19</v>
      </c>
      <c r="GJ23" s="41">
        <f>'Crops; pasture DISCOUNTED'!LL46</f>
        <v>13.950000000000001</v>
      </c>
      <c r="GK23" s="41">
        <f>'Crops; pasture DISCOUNTED'!LM46</f>
        <v>15.5</v>
      </c>
      <c r="GL23" s="631">
        <f>'Crops; pasture DISCOUNTED'!LN46</f>
        <v>0.216</v>
      </c>
      <c r="GM23" s="631">
        <f>'Crops; pasture DISCOUNTED'!LO46</f>
        <v>0.24</v>
      </c>
      <c r="KD23" s="97"/>
      <c r="KE23" s="97"/>
      <c r="KF23" s="97"/>
      <c r="KG23" s="97"/>
      <c r="KH23" s="97"/>
      <c r="KI23" s="97"/>
    </row>
    <row r="24" spans="1:295" s="4" customFormat="1" x14ac:dyDescent="0.25">
      <c r="A24" s="14"/>
      <c r="B24" s="14"/>
      <c r="C24" s="14"/>
      <c r="D24" s="14"/>
      <c r="E24" s="14"/>
      <c r="F24" s="14"/>
      <c r="G24" s="14"/>
      <c r="H24" s="102"/>
      <c r="I24" s="102"/>
      <c r="J24" s="14"/>
      <c r="K24" s="50"/>
      <c r="L24" s="50"/>
      <c r="M24" s="50"/>
      <c r="N24" s="14"/>
      <c r="O24" s="50"/>
      <c r="P24" s="50"/>
      <c r="Q24" s="50"/>
      <c r="R24" s="14"/>
      <c r="S24" s="50"/>
      <c r="T24" s="50"/>
      <c r="U24" s="14"/>
      <c r="V24" s="50"/>
      <c r="W24" s="50"/>
      <c r="X24" s="14"/>
      <c r="Y24" s="50"/>
      <c r="Z24" s="14"/>
      <c r="AA24" s="14"/>
      <c r="AB24" s="50"/>
      <c r="AC24" s="50"/>
      <c r="AD24" s="50"/>
      <c r="AE24" s="50"/>
      <c r="AF24" s="50"/>
      <c r="AG24" s="50"/>
      <c r="AH24" s="50"/>
      <c r="AI24" s="14"/>
      <c r="AJ24" s="50"/>
      <c r="AK24" s="50"/>
      <c r="AL24" s="50"/>
      <c r="AM24" s="50"/>
      <c r="AN24" s="50"/>
      <c r="AO24" s="575"/>
      <c r="AP24" s="50"/>
      <c r="AQ24" s="50"/>
      <c r="AR24" s="50"/>
      <c r="AS24" s="50"/>
      <c r="AT24" s="14"/>
      <c r="AU24" s="14"/>
      <c r="AV24" s="14"/>
      <c r="AW24" s="14"/>
      <c r="AX24" s="102"/>
      <c r="AY24" s="14"/>
      <c r="AZ24" s="14"/>
      <c r="BA24" s="14"/>
      <c r="BB24" s="14"/>
      <c r="BC24" s="102"/>
      <c r="BD24" s="102"/>
      <c r="BE24" s="102"/>
      <c r="BF24" s="102"/>
      <c r="BG24" s="102"/>
      <c r="BH24" s="102"/>
      <c r="BI24" s="102"/>
      <c r="BJ24" s="102"/>
      <c r="BK24" s="102"/>
      <c r="BL24" s="102"/>
      <c r="BM24" s="102"/>
      <c r="BN24" s="102"/>
      <c r="BO24" s="102"/>
      <c r="BP24" s="102"/>
      <c r="BQ24" s="102"/>
      <c r="BR24" s="102"/>
      <c r="BS24" s="102"/>
      <c r="BT24" s="102"/>
      <c r="BU24" s="102"/>
      <c r="BV24" s="102"/>
      <c r="BW24" s="102"/>
      <c r="BX24" s="102"/>
      <c r="BY24" s="102"/>
      <c r="BZ24" s="102"/>
      <c r="CA24" s="102"/>
      <c r="CB24" s="102"/>
      <c r="CC24" s="102"/>
      <c r="CD24" s="102"/>
      <c r="CE24" s="102"/>
      <c r="CF24" s="102"/>
      <c r="CG24" s="102"/>
      <c r="CH24" s="102"/>
      <c r="CI24" s="102"/>
      <c r="CJ24" s="102"/>
      <c r="CK24" s="102"/>
      <c r="CL24" s="102"/>
      <c r="CM24" s="97"/>
      <c r="CW24" s="49"/>
      <c r="DP24" s="97"/>
      <c r="DQ24" s="97"/>
      <c r="DZ24" s="97"/>
      <c r="ED24" s="522"/>
      <c r="EE24" s="522"/>
      <c r="EK24" s="522"/>
      <c r="EL24" s="522"/>
      <c r="EM24" s="522"/>
      <c r="EN24" s="60"/>
      <c r="EO24" s="60"/>
      <c r="EP24" s="60"/>
      <c r="EQ24" s="60"/>
      <c r="ER24" s="60"/>
      <c r="ES24" s="60"/>
      <c r="ET24" s="60"/>
      <c r="EU24" s="60"/>
      <c r="EV24" s="60"/>
      <c r="EW24" s="60"/>
      <c r="EX24" s="60"/>
      <c r="EY24" s="60"/>
      <c r="EZ24" s="60"/>
      <c r="FA24" s="60"/>
      <c r="FB24" s="60"/>
      <c r="FC24" s="60"/>
      <c r="FD24" s="60"/>
      <c r="FE24" s="60"/>
      <c r="FF24" s="60"/>
      <c r="FG24" s="60"/>
      <c r="FH24" s="60"/>
      <c r="FI24" s="60"/>
      <c r="FJ24" s="60"/>
      <c r="FK24" s="60"/>
      <c r="FL24" s="60"/>
      <c r="FM24" s="60"/>
      <c r="FN24" s="60"/>
      <c r="FO24" s="60"/>
      <c r="FP24" s="60"/>
      <c r="FQ24" s="60"/>
      <c r="FR24" s="60"/>
      <c r="FS24" s="60"/>
      <c r="FT24" s="60"/>
      <c r="FU24" s="60"/>
      <c r="FV24" s="60"/>
      <c r="FW24" s="60"/>
      <c r="FX24" s="60"/>
      <c r="FY24" s="60"/>
      <c r="FZ24" s="60"/>
      <c r="GA24" s="60"/>
      <c r="GB24" s="60"/>
      <c r="GC24" s="60"/>
      <c r="GD24" s="60"/>
      <c r="GE24" s="60"/>
      <c r="GF24" s="60"/>
      <c r="KD24" s="97"/>
      <c r="KE24" s="97"/>
      <c r="KF24" s="97"/>
      <c r="KG24" s="97"/>
      <c r="KH24" s="97"/>
      <c r="KI24" s="97"/>
    </row>
    <row r="25" spans="1:295" s="4" customFormat="1" ht="13.8" x14ac:dyDescent="0.3">
      <c r="A25" s="15" t="s">
        <v>89</v>
      </c>
      <c r="B25" s="14"/>
      <c r="C25" s="14"/>
      <c r="D25" s="634">
        <f>D26+D27</f>
        <v>431.89402865329515</v>
      </c>
      <c r="E25" s="634"/>
      <c r="F25" s="632">
        <f>F26+F27</f>
        <v>432.00075000000004</v>
      </c>
      <c r="G25" s="635">
        <f>F25/D25</f>
        <v>1.0002471007692273</v>
      </c>
      <c r="H25" s="154"/>
      <c r="I25" s="154"/>
      <c r="J25" s="14"/>
      <c r="K25" s="50"/>
      <c r="L25" s="50"/>
      <c r="M25" s="50"/>
      <c r="N25" s="14"/>
      <c r="O25" s="50"/>
      <c r="P25" s="50"/>
      <c r="Q25" s="50"/>
      <c r="R25" s="14"/>
      <c r="S25" s="50"/>
      <c r="T25" s="50"/>
      <c r="U25" s="14"/>
      <c r="V25" s="50"/>
      <c r="W25" s="50"/>
      <c r="X25" s="14"/>
      <c r="Y25" s="50"/>
      <c r="Z25" s="14"/>
      <c r="AA25" s="14"/>
      <c r="AB25" s="50"/>
      <c r="AC25" s="50"/>
      <c r="AD25" s="50"/>
      <c r="AE25" s="50"/>
      <c r="AF25" s="50"/>
      <c r="AG25" s="50"/>
      <c r="AH25" s="50"/>
      <c r="AI25" s="14"/>
      <c r="AJ25" s="50"/>
      <c r="AK25" s="50"/>
      <c r="AL25" s="50"/>
      <c r="AM25" s="50"/>
      <c r="AN25" s="50"/>
      <c r="AO25" s="575"/>
      <c r="AP25" s="50"/>
      <c r="AQ25" s="50"/>
      <c r="AR25" s="50"/>
      <c r="AS25" s="50"/>
      <c r="AT25" s="14"/>
      <c r="AU25" s="14"/>
      <c r="AV25" s="14"/>
      <c r="AW25" s="14"/>
      <c r="AX25" s="102"/>
      <c r="AY25" s="14"/>
      <c r="AZ25" s="14"/>
      <c r="BA25" s="14"/>
      <c r="BB25" s="14"/>
      <c r="BC25" s="102"/>
      <c r="BD25" s="102"/>
      <c r="BE25" s="102"/>
      <c r="BF25" s="102"/>
      <c r="BG25" s="102"/>
      <c r="BH25" s="102"/>
      <c r="BI25" s="102"/>
      <c r="BJ25" s="102"/>
      <c r="BK25" s="102"/>
      <c r="BL25" s="102"/>
      <c r="BM25" s="102"/>
      <c r="BN25" s="102"/>
      <c r="BO25" s="102"/>
      <c r="BP25" s="102"/>
      <c r="BQ25" s="102"/>
      <c r="BR25" s="102"/>
      <c r="BS25" s="102"/>
      <c r="BT25" s="102"/>
      <c r="BU25" s="102"/>
      <c r="BV25" s="102"/>
      <c r="BW25" s="102"/>
      <c r="BX25" s="102"/>
      <c r="BY25" s="102"/>
      <c r="BZ25" s="102"/>
      <c r="CA25" s="102"/>
      <c r="CB25" s="102"/>
      <c r="CC25" s="102"/>
      <c r="CD25" s="102"/>
      <c r="CE25" s="102"/>
      <c r="CF25" s="102"/>
      <c r="CG25" s="102"/>
      <c r="CH25" s="102"/>
      <c r="CI25" s="102"/>
      <c r="CJ25" s="102"/>
      <c r="CK25" s="102"/>
      <c r="CL25" s="102"/>
      <c r="CM25" s="115"/>
      <c r="CW25" s="49"/>
      <c r="DP25" s="115"/>
      <c r="DQ25" s="115"/>
      <c r="DZ25" s="115"/>
      <c r="ED25" s="127"/>
      <c r="EE25" s="127"/>
      <c r="EK25" s="127"/>
      <c r="EL25" s="127"/>
      <c r="EM25" s="127"/>
      <c r="EN25" s="60"/>
      <c r="EO25" s="60"/>
      <c r="EP25" s="60"/>
      <c r="EQ25" s="60"/>
      <c r="ER25" s="60"/>
      <c r="ES25" s="60"/>
      <c r="ET25" s="60"/>
      <c r="EU25" s="60"/>
      <c r="EV25" s="60"/>
      <c r="EW25" s="60"/>
      <c r="EX25" s="60"/>
      <c r="EY25" s="60"/>
      <c r="EZ25" s="60"/>
      <c r="FA25" s="60"/>
      <c r="FB25" s="60"/>
      <c r="FC25" s="60"/>
      <c r="FD25" s="60"/>
      <c r="FE25" s="60"/>
      <c r="FF25" s="60"/>
      <c r="FG25" s="60"/>
      <c r="FH25" s="60"/>
      <c r="FI25" s="60"/>
      <c r="FJ25" s="60"/>
      <c r="FK25" s="60"/>
      <c r="FL25" s="60"/>
      <c r="FM25" s="60"/>
      <c r="FN25" s="60"/>
      <c r="FO25" s="60"/>
      <c r="FP25" s="60"/>
      <c r="FQ25" s="60"/>
      <c r="FR25" s="60"/>
      <c r="FS25" s="60"/>
      <c r="FT25" s="60"/>
      <c r="FU25" s="60"/>
      <c r="FV25" s="60"/>
      <c r="FW25" s="60"/>
      <c r="FX25" s="60"/>
      <c r="FY25" s="60"/>
      <c r="FZ25" s="60"/>
      <c r="GA25" s="60"/>
      <c r="GB25" s="60"/>
      <c r="GC25" s="60"/>
      <c r="GD25" s="60"/>
      <c r="GE25" s="60"/>
      <c r="GF25" s="60"/>
      <c r="KD25" s="97"/>
      <c r="KE25" s="97"/>
      <c r="KF25" s="97"/>
      <c r="KG25" s="97"/>
      <c r="KH25" s="97"/>
      <c r="KI25" s="97"/>
    </row>
    <row r="26" spans="1:295" s="4" customFormat="1" x14ac:dyDescent="0.25">
      <c r="A26" s="14" t="s">
        <v>95</v>
      </c>
      <c r="B26" s="128">
        <v>0.8</v>
      </c>
      <c r="C26" s="627"/>
      <c r="D26" s="628">
        <f>B26*'Crops; pasture DISCOUNTED'!V62</f>
        <v>344.54400000000004</v>
      </c>
      <c r="E26" s="630"/>
      <c r="F26" s="630">
        <f>BN62</f>
        <v>344.8098</v>
      </c>
      <c r="G26" s="154">
        <f t="shared" ref="G26:G27" si="3">F26/D26</f>
        <v>1.0007714544441346</v>
      </c>
      <c r="H26" s="154"/>
      <c r="I26" s="154"/>
      <c r="J26" s="14"/>
      <c r="K26" s="50"/>
      <c r="L26" s="50"/>
      <c r="M26" s="50"/>
      <c r="N26" s="14"/>
      <c r="O26" s="50"/>
      <c r="P26" s="50"/>
      <c r="Q26" s="50"/>
      <c r="R26" s="14"/>
      <c r="S26" s="50"/>
      <c r="T26" s="50"/>
      <c r="U26" s="14"/>
      <c r="V26" s="50"/>
      <c r="W26" s="50"/>
      <c r="X26" s="14"/>
      <c r="Y26" s="50"/>
      <c r="Z26" s="14"/>
      <c r="AA26" s="14"/>
      <c r="AB26" s="50"/>
      <c r="AC26" s="50"/>
      <c r="AD26" s="50"/>
      <c r="AE26" s="50"/>
      <c r="AF26" s="50"/>
      <c r="AG26" s="50"/>
      <c r="AH26" s="50"/>
      <c r="AI26" s="14"/>
      <c r="AJ26" s="50"/>
      <c r="AK26" s="50"/>
      <c r="AL26" s="50"/>
      <c r="AM26" s="50"/>
      <c r="AN26" s="50"/>
      <c r="AO26" s="575"/>
      <c r="AP26" s="50"/>
      <c r="AQ26" s="50"/>
      <c r="AR26" s="50"/>
      <c r="AS26" s="50"/>
      <c r="AT26" s="14"/>
      <c r="AU26" s="14"/>
      <c r="AV26" s="14"/>
      <c r="AW26" s="14"/>
      <c r="AX26" s="102"/>
      <c r="AY26" s="14"/>
      <c r="AZ26" s="14"/>
      <c r="BA26" s="14"/>
      <c r="BB26" s="14"/>
      <c r="BC26" s="102"/>
      <c r="BD26" s="102"/>
      <c r="BE26" s="102"/>
      <c r="BF26" s="102"/>
      <c r="BG26" s="102"/>
      <c r="BH26" s="102"/>
      <c r="BI26" s="102"/>
      <c r="BJ26" s="102"/>
      <c r="BK26" s="102"/>
      <c r="BL26" s="102"/>
      <c r="BM26" s="102"/>
      <c r="BN26" s="102"/>
      <c r="BO26" s="102"/>
      <c r="BP26" s="102"/>
      <c r="BQ26" s="102"/>
      <c r="BR26" s="102"/>
      <c r="BS26" s="102"/>
      <c r="BT26" s="102"/>
      <c r="BU26" s="102"/>
      <c r="BV26" s="102"/>
      <c r="BW26" s="102"/>
      <c r="BX26" s="102"/>
      <c r="BY26" s="102"/>
      <c r="BZ26" s="102"/>
      <c r="CA26" s="102"/>
      <c r="CB26" s="102"/>
      <c r="CC26" s="102"/>
      <c r="CD26" s="102"/>
      <c r="CE26" s="102"/>
      <c r="CF26" s="102"/>
      <c r="CG26" s="102"/>
      <c r="CH26" s="102"/>
      <c r="CI26" s="102"/>
      <c r="CJ26" s="102"/>
      <c r="CK26" s="102"/>
      <c r="CL26" s="102"/>
      <c r="CM26" s="126">
        <f>'Crops; pasture DISCOUNTED'!R62</f>
        <v>2.4310392867093897</v>
      </c>
      <c r="CW26" s="49"/>
      <c r="DP26" s="126">
        <f>'Crops; pasture DISCOUNTED'!HG62/$B26</f>
        <v>0.54249801512927187</v>
      </c>
      <c r="DQ26" s="126">
        <f>'Crops; pasture DISCOUNTED'!HS62/$B26</f>
        <v>0.78572149642859257</v>
      </c>
      <c r="DR26" s="14"/>
      <c r="DS26" s="14"/>
      <c r="DU26" s="14"/>
      <c r="DW26" s="14"/>
      <c r="DZ26" s="126">
        <f>'Crops; pasture DISCOUNTED'!IE62/$B26</f>
        <v>1.5751079687935357</v>
      </c>
      <c r="ED26" s="334">
        <f>'Crops; pasture DISCOUNTED'!IR62/$B26</f>
        <v>0.26164939826901645</v>
      </c>
      <c r="EE26" s="334"/>
      <c r="EJ26" s="264">
        <f t="shared" ref="EJ26:EJ27" si="4">EK26+EL26+EM26</f>
        <v>0.32798364957386361</v>
      </c>
      <c r="EK26" s="334">
        <f>'Crops; pasture DISCOUNTED'!KF62/$B26</f>
        <v>0.17573525196022724</v>
      </c>
      <c r="EL26" s="334">
        <f>'Crops; pasture DISCOUNTED'!KD62/$B26</f>
        <v>0.15224839761363637</v>
      </c>
      <c r="EM26" s="334">
        <f>'Crops; pasture DISCOUNTED'!KH62/$B26</f>
        <v>0</v>
      </c>
      <c r="EN26" s="60"/>
      <c r="EO26" s="60"/>
      <c r="EP26" s="60"/>
      <c r="EQ26" s="60"/>
      <c r="ER26" s="60"/>
      <c r="ES26" s="60"/>
      <c r="ET26" s="60"/>
      <c r="EU26" s="60"/>
      <c r="EV26" s="60"/>
      <c r="EW26" s="60"/>
      <c r="EX26" s="60"/>
      <c r="EY26" s="60"/>
      <c r="EZ26" s="60"/>
      <c r="FA26" s="60"/>
      <c r="FB26" s="60"/>
      <c r="FC26" s="60"/>
      <c r="FD26" s="60"/>
      <c r="FE26" s="60"/>
      <c r="FF26" s="60"/>
      <c r="FG26" s="60"/>
      <c r="FH26" s="60"/>
      <c r="FI26" s="60"/>
      <c r="FJ26" s="60"/>
      <c r="FK26" s="60"/>
      <c r="FL26" s="60"/>
      <c r="FM26" s="60"/>
      <c r="FN26" s="60"/>
      <c r="FO26" s="60"/>
      <c r="FP26" s="60"/>
      <c r="FQ26" s="60"/>
      <c r="FR26" s="60"/>
      <c r="FS26" s="60"/>
      <c r="FT26" s="60"/>
      <c r="FU26" s="60"/>
      <c r="FV26" s="60"/>
      <c r="FW26" s="60"/>
      <c r="FX26" s="60"/>
      <c r="FY26" s="60"/>
      <c r="FZ26" s="60"/>
      <c r="GA26" s="60"/>
      <c r="GB26" s="60"/>
      <c r="GC26" s="60"/>
      <c r="GD26" s="60"/>
      <c r="GE26" s="60"/>
      <c r="GF26" s="60"/>
      <c r="GG26" s="631">
        <f>'Crops; pasture DISCOUNTED'!LI62</f>
        <v>0.25</v>
      </c>
      <c r="GH26" s="41">
        <f>'Crops; pasture DISCOUNTED'!LJ62</f>
        <v>4.5</v>
      </c>
      <c r="GI26" s="41">
        <f>'Crops; pasture DISCOUNTED'!LK62</f>
        <v>18</v>
      </c>
      <c r="GJ26" s="41"/>
      <c r="GK26" s="41"/>
      <c r="GL26" s="631">
        <f>'Crops; pasture DISCOUNTED'!LN62</f>
        <v>0</v>
      </c>
      <c r="GM26" s="631">
        <f>'Crops; pasture DISCOUNTED'!LO62</f>
        <v>0.125</v>
      </c>
      <c r="KD26" s="97"/>
      <c r="KE26" s="97"/>
      <c r="KF26" s="97"/>
      <c r="KG26" s="97"/>
      <c r="KH26" s="97"/>
      <c r="KI26" s="97"/>
    </row>
    <row r="27" spans="1:295" s="4" customFormat="1" x14ac:dyDescent="0.25">
      <c r="A27" s="14" t="s">
        <v>94</v>
      </c>
      <c r="B27" s="128">
        <v>0.9</v>
      </c>
      <c r="C27" s="627"/>
      <c r="D27" s="628">
        <f>B27*'Crops; pasture DISCOUNTED'!V63</f>
        <v>87.350028653295126</v>
      </c>
      <c r="E27" s="630"/>
      <c r="F27" s="630">
        <f>BO62</f>
        <v>87.190950000000015</v>
      </c>
      <c r="G27" s="154">
        <f t="shared" si="3"/>
        <v>0.99817883685045461</v>
      </c>
      <c r="H27" s="154"/>
      <c r="I27" s="154"/>
      <c r="J27" s="14"/>
      <c r="K27" s="50"/>
      <c r="L27" s="50"/>
      <c r="M27" s="50"/>
      <c r="N27" s="14"/>
      <c r="O27" s="50"/>
      <c r="P27" s="50"/>
      <c r="Q27" s="50"/>
      <c r="R27" s="14"/>
      <c r="S27" s="50"/>
      <c r="T27" s="50"/>
      <c r="U27" s="14"/>
      <c r="V27" s="50"/>
      <c r="W27" s="50"/>
      <c r="X27" s="14"/>
      <c r="Y27" s="50"/>
      <c r="Z27" s="14"/>
      <c r="AA27" s="14"/>
      <c r="AB27" s="50"/>
      <c r="AC27" s="50"/>
      <c r="AD27" s="50"/>
      <c r="AE27" s="50"/>
      <c r="AF27" s="50"/>
      <c r="AG27" s="50"/>
      <c r="AH27" s="50"/>
      <c r="AI27" s="14"/>
      <c r="AJ27" s="50"/>
      <c r="AK27" s="50"/>
      <c r="AL27" s="50"/>
      <c r="AM27" s="50"/>
      <c r="AN27" s="50"/>
      <c r="AO27" s="575"/>
      <c r="AP27" s="50"/>
      <c r="AQ27" s="50"/>
      <c r="AR27" s="50"/>
      <c r="AS27" s="50"/>
      <c r="AT27" s="14"/>
      <c r="AU27" s="14"/>
      <c r="AV27" s="14"/>
      <c r="AW27" s="14"/>
      <c r="AX27" s="102"/>
      <c r="AY27" s="14"/>
      <c r="AZ27" s="14"/>
      <c r="BA27" s="14"/>
      <c r="BB27" s="14"/>
      <c r="BC27" s="102"/>
      <c r="BD27" s="102"/>
      <c r="BE27" s="102"/>
      <c r="BF27" s="102"/>
      <c r="BG27" s="102"/>
      <c r="BH27" s="102"/>
      <c r="BI27" s="102"/>
      <c r="BJ27" s="102"/>
      <c r="BK27" s="102"/>
      <c r="BL27" s="102"/>
      <c r="BM27" s="102"/>
      <c r="BN27" s="102"/>
      <c r="BO27" s="102"/>
      <c r="BP27" s="102"/>
      <c r="BQ27" s="102"/>
      <c r="BR27" s="102"/>
      <c r="BS27" s="102"/>
      <c r="BT27" s="102"/>
      <c r="BU27" s="102"/>
      <c r="BV27" s="102"/>
      <c r="BW27" s="102"/>
      <c r="BX27" s="102"/>
      <c r="BY27" s="102"/>
      <c r="BZ27" s="102"/>
      <c r="CA27" s="102"/>
      <c r="CB27" s="102"/>
      <c r="CC27" s="102"/>
      <c r="CD27" s="102"/>
      <c r="CE27" s="102"/>
      <c r="CF27" s="102"/>
      <c r="CG27" s="102"/>
      <c r="CH27" s="102"/>
      <c r="CI27" s="102"/>
      <c r="CJ27" s="102"/>
      <c r="CK27" s="102"/>
      <c r="CL27" s="102"/>
      <c r="CM27" s="126">
        <f>'Crops; pasture DISCOUNTED'!R63</f>
        <v>1.2364048605944664</v>
      </c>
      <c r="CW27" s="49"/>
      <c r="DP27" s="126">
        <f>'Crops; pasture DISCOUNTED'!HG63/$B27</f>
        <v>0.45511413722695854</v>
      </c>
      <c r="DQ27" s="126">
        <f>'Crops; pasture DISCOUNTED'!HS63/$B27</f>
        <v>0.4612730959661499</v>
      </c>
      <c r="DR27" s="14"/>
      <c r="DS27" s="14"/>
      <c r="DU27" s="14"/>
      <c r="DW27" s="14"/>
      <c r="DZ27" s="126">
        <f>'Crops; pasture DISCOUNTED'!IE63/$B27</f>
        <v>0.92469778738245123</v>
      </c>
      <c r="ED27" s="334">
        <f>'Crops; pasture DISCOUNTED'!IR63/$B27</f>
        <v>8.2479459401361171E-2</v>
      </c>
      <c r="EE27" s="334"/>
      <c r="EJ27" s="264">
        <f t="shared" si="4"/>
        <v>0.29154102184343433</v>
      </c>
      <c r="EK27" s="334">
        <f>'Crops; pasture DISCOUNTED'!KF63/$B27</f>
        <v>0.15620911285353534</v>
      </c>
      <c r="EL27" s="334">
        <f>'Crops; pasture DISCOUNTED'!KD63/$B27</f>
        <v>0.135331908989899</v>
      </c>
      <c r="EM27" s="334">
        <f>'Crops; pasture DISCOUNTED'!KH63/$B27</f>
        <v>0</v>
      </c>
      <c r="EN27" s="60"/>
      <c r="EO27" s="60"/>
      <c r="EP27" s="60"/>
      <c r="EQ27" s="60"/>
      <c r="ER27" s="60"/>
      <c r="ES27" s="60"/>
      <c r="ET27" s="60"/>
      <c r="EU27" s="60"/>
      <c r="EV27" s="60"/>
      <c r="EW27" s="60"/>
      <c r="EX27" s="60"/>
      <c r="EY27" s="60"/>
      <c r="EZ27" s="60"/>
      <c r="FA27" s="60"/>
      <c r="FB27" s="60"/>
      <c r="FC27" s="60"/>
      <c r="FD27" s="60"/>
      <c r="FE27" s="60"/>
      <c r="FF27" s="60"/>
      <c r="FG27" s="60"/>
      <c r="FH27" s="60"/>
      <c r="FI27" s="60"/>
      <c r="FJ27" s="60"/>
      <c r="FK27" s="60"/>
      <c r="FL27" s="60"/>
      <c r="FM27" s="60"/>
      <c r="FN27" s="60"/>
      <c r="FO27" s="60"/>
      <c r="FP27" s="60"/>
      <c r="FQ27" s="60"/>
      <c r="FR27" s="60"/>
      <c r="FS27" s="60"/>
      <c r="FT27" s="60"/>
      <c r="FU27" s="60"/>
      <c r="FV27" s="60"/>
      <c r="FW27" s="60"/>
      <c r="FX27" s="60"/>
      <c r="FY27" s="60"/>
      <c r="FZ27" s="60"/>
      <c r="GA27" s="60"/>
      <c r="GB27" s="60"/>
      <c r="GC27" s="60"/>
      <c r="GD27" s="60"/>
      <c r="GE27" s="60"/>
      <c r="GF27" s="60"/>
      <c r="GG27" s="631">
        <f>'Crops; pasture DISCOUNTED'!LI63</f>
        <v>0.25</v>
      </c>
      <c r="GH27" s="41">
        <f>'Crops; pasture DISCOUNTED'!LJ63</f>
        <v>4.5</v>
      </c>
      <c r="GI27" s="41">
        <f>'Crops; pasture DISCOUNTED'!LK63</f>
        <v>18</v>
      </c>
      <c r="GJ27" s="41"/>
      <c r="GK27" s="41"/>
      <c r="GL27" s="631">
        <f>'Crops; pasture DISCOUNTED'!LN63</f>
        <v>0</v>
      </c>
      <c r="GM27" s="631">
        <f>'Crops; pasture DISCOUNTED'!LO63</f>
        <v>8.5000000000000006E-2</v>
      </c>
      <c r="KD27" s="97"/>
      <c r="KE27" s="97"/>
      <c r="KF27" s="97"/>
      <c r="KG27" s="97"/>
      <c r="KH27" s="97"/>
      <c r="KI27" s="97"/>
    </row>
    <row r="28" spans="1:295" s="4" customFormat="1" x14ac:dyDescent="0.25">
      <c r="A28" s="14"/>
      <c r="B28" s="14"/>
      <c r="C28" s="14"/>
      <c r="D28" s="14"/>
      <c r="E28" s="14"/>
      <c r="F28" s="14"/>
      <c r="G28" s="14"/>
      <c r="H28" s="102"/>
      <c r="I28" s="102"/>
      <c r="J28" s="14"/>
      <c r="K28" s="50"/>
      <c r="L28" s="50"/>
      <c r="M28" s="50"/>
      <c r="N28" s="14"/>
      <c r="O28" s="50"/>
      <c r="P28" s="50"/>
      <c r="Q28" s="50"/>
      <c r="R28" s="14"/>
      <c r="S28" s="50"/>
      <c r="T28" s="50"/>
      <c r="U28" s="14"/>
      <c r="V28" s="50"/>
      <c r="W28" s="50"/>
      <c r="X28" s="14"/>
      <c r="Y28" s="50"/>
      <c r="Z28" s="14"/>
      <c r="AA28" s="14"/>
      <c r="AB28" s="50"/>
      <c r="AC28" s="50"/>
      <c r="AD28" s="50"/>
      <c r="AE28" s="50"/>
      <c r="AF28" s="50"/>
      <c r="AG28" s="50"/>
      <c r="AH28" s="50"/>
      <c r="AI28" s="14"/>
      <c r="AJ28" s="50"/>
      <c r="AK28" s="50"/>
      <c r="AL28" s="50"/>
      <c r="AM28" s="50"/>
      <c r="AN28" s="50"/>
      <c r="AO28" s="575"/>
      <c r="AP28" s="50"/>
      <c r="AQ28" s="50"/>
      <c r="AR28" s="50"/>
      <c r="AS28" s="50"/>
      <c r="AT28" s="14"/>
      <c r="AU28" s="14"/>
      <c r="AV28" s="14"/>
      <c r="AW28" s="14"/>
      <c r="AX28" s="102"/>
      <c r="AY28" s="14"/>
      <c r="AZ28" s="14"/>
      <c r="BA28" s="14"/>
      <c r="BB28" s="14"/>
      <c r="BC28" s="102"/>
      <c r="BD28" s="102"/>
      <c r="BE28" s="102"/>
      <c r="BF28" s="102"/>
      <c r="BG28" s="102"/>
      <c r="BH28" s="102"/>
      <c r="BI28" s="102"/>
      <c r="BJ28" s="102"/>
      <c r="BK28" s="102"/>
      <c r="BL28" s="102"/>
      <c r="BM28" s="102"/>
      <c r="BN28" s="102"/>
      <c r="BO28" s="102"/>
      <c r="BP28" s="102"/>
      <c r="BQ28" s="102"/>
      <c r="BR28" s="102"/>
      <c r="BS28" s="102"/>
      <c r="BT28" s="102"/>
      <c r="BU28" s="102"/>
      <c r="BV28" s="102"/>
      <c r="BW28" s="102"/>
      <c r="BX28" s="102"/>
      <c r="BY28" s="102"/>
      <c r="BZ28" s="102"/>
      <c r="CA28" s="102"/>
      <c r="CB28" s="102"/>
      <c r="CC28" s="102"/>
      <c r="CD28" s="102"/>
      <c r="CE28" s="102"/>
      <c r="CF28" s="102"/>
      <c r="CG28" s="102"/>
      <c r="CH28" s="102"/>
      <c r="CI28" s="102"/>
      <c r="CJ28" s="102"/>
      <c r="CK28" s="102"/>
      <c r="CL28" s="102"/>
      <c r="CM28" s="97"/>
      <c r="CW28" s="49"/>
      <c r="DP28" s="97"/>
      <c r="DQ28" s="97"/>
      <c r="DZ28" s="97"/>
      <c r="ED28" s="522"/>
      <c r="EE28" s="522"/>
      <c r="EK28" s="522"/>
      <c r="EL28" s="522"/>
      <c r="EM28" s="522"/>
      <c r="EN28" s="60"/>
      <c r="EO28" s="60"/>
      <c r="EP28" s="60"/>
      <c r="EQ28" s="60"/>
      <c r="ER28" s="60"/>
      <c r="ES28" s="60"/>
      <c r="ET28" s="60"/>
      <c r="EU28" s="60"/>
      <c r="EV28" s="60"/>
      <c r="EW28" s="60"/>
      <c r="EX28" s="60"/>
      <c r="EY28" s="60"/>
      <c r="EZ28" s="60"/>
      <c r="FA28" s="60"/>
      <c r="FB28" s="60"/>
      <c r="FC28" s="60"/>
      <c r="FD28" s="60"/>
      <c r="FE28" s="60"/>
      <c r="FF28" s="60"/>
      <c r="FG28" s="60"/>
      <c r="FH28" s="60"/>
      <c r="FI28" s="60"/>
      <c r="FJ28" s="60"/>
      <c r="FK28" s="60"/>
      <c r="FL28" s="60"/>
      <c r="FM28" s="60"/>
      <c r="FN28" s="60"/>
      <c r="FO28" s="60"/>
      <c r="FP28" s="60"/>
      <c r="FQ28" s="60"/>
      <c r="FR28" s="60"/>
      <c r="FS28" s="60"/>
      <c r="FT28" s="60"/>
      <c r="FU28" s="60"/>
      <c r="FV28" s="60"/>
      <c r="FW28" s="60"/>
      <c r="FX28" s="60"/>
      <c r="FY28" s="60"/>
      <c r="FZ28" s="60"/>
      <c r="GA28" s="60"/>
      <c r="GB28" s="60"/>
      <c r="GC28" s="60"/>
      <c r="GD28" s="60"/>
      <c r="GE28" s="60"/>
      <c r="GF28" s="60"/>
      <c r="KD28" s="97"/>
      <c r="KE28" s="97"/>
      <c r="KF28" s="97"/>
      <c r="KG28" s="97"/>
      <c r="KH28" s="97"/>
      <c r="KI28" s="97"/>
    </row>
    <row r="29" spans="1:295" s="4" customFormat="1" ht="13.8" x14ac:dyDescent="0.3">
      <c r="A29" s="15" t="s">
        <v>63</v>
      </c>
      <c r="B29" s="14"/>
      <c r="C29" s="14"/>
      <c r="D29" s="636">
        <f>'Crops; pasture DISCOUNTED'!Y73</f>
        <v>2282.3344640923524</v>
      </c>
      <c r="E29" s="50"/>
      <c r="F29" s="632">
        <f>F30</f>
        <v>2282.5105000000003</v>
      </c>
      <c r="G29" s="635">
        <f>F29/D29</f>
        <v>1.0000771297592081</v>
      </c>
      <c r="H29" s="154"/>
      <c r="I29" s="154"/>
      <c r="J29" s="14"/>
      <c r="K29" s="50"/>
      <c r="L29" s="50"/>
      <c r="M29" s="50"/>
      <c r="N29" s="14"/>
      <c r="O29" s="50"/>
      <c r="P29" s="50"/>
      <c r="Q29" s="50"/>
      <c r="R29" s="14"/>
      <c r="S29" s="50"/>
      <c r="T29" s="50"/>
      <c r="U29" s="14"/>
      <c r="V29" s="50"/>
      <c r="W29" s="50"/>
      <c r="X29" s="14"/>
      <c r="Y29" s="50"/>
      <c r="Z29" s="14"/>
      <c r="AA29" s="14"/>
      <c r="AB29" s="50"/>
      <c r="AC29" s="50"/>
      <c r="AD29" s="50"/>
      <c r="AE29" s="50"/>
      <c r="AF29" s="50"/>
      <c r="AG29" s="50"/>
      <c r="AH29" s="50"/>
      <c r="AI29" s="14"/>
      <c r="AJ29" s="50"/>
      <c r="AK29" s="50"/>
      <c r="AL29" s="50"/>
      <c r="AM29" s="50"/>
      <c r="AN29" s="50"/>
      <c r="AO29" s="575"/>
      <c r="AP29" s="50"/>
      <c r="AQ29" s="50"/>
      <c r="AR29" s="50"/>
      <c r="AS29" s="50"/>
      <c r="AT29" s="14"/>
      <c r="AU29" s="14"/>
      <c r="AV29" s="14"/>
      <c r="AW29" s="14"/>
      <c r="AX29" s="102"/>
      <c r="AY29" s="14"/>
      <c r="AZ29" s="14"/>
      <c r="BA29" s="14"/>
      <c r="BB29" s="14"/>
      <c r="BC29" s="102"/>
      <c r="BD29" s="102"/>
      <c r="BE29" s="102"/>
      <c r="BF29" s="102"/>
      <c r="BG29" s="102"/>
      <c r="BH29" s="102"/>
      <c r="BI29" s="102"/>
      <c r="BJ29" s="102"/>
      <c r="BK29" s="102"/>
      <c r="BL29" s="102"/>
      <c r="BM29" s="102"/>
      <c r="BN29" s="102"/>
      <c r="BO29" s="102"/>
      <c r="BP29" s="102"/>
      <c r="BQ29" s="102"/>
      <c r="BR29" s="102"/>
      <c r="BS29" s="102"/>
      <c r="BT29" s="102"/>
      <c r="BU29" s="102"/>
      <c r="BV29" s="102"/>
      <c r="BW29" s="102"/>
      <c r="BX29" s="102"/>
      <c r="BY29" s="102"/>
      <c r="BZ29" s="102"/>
      <c r="CA29" s="102"/>
      <c r="CB29" s="102"/>
      <c r="CC29" s="102"/>
      <c r="CD29" s="102"/>
      <c r="CE29" s="102"/>
      <c r="CF29" s="102"/>
      <c r="CG29" s="102"/>
      <c r="CH29" s="102"/>
      <c r="CI29" s="102"/>
      <c r="CJ29" s="102"/>
      <c r="CK29" s="102"/>
      <c r="CL29" s="102"/>
      <c r="CM29" s="115"/>
      <c r="CW29" s="49"/>
      <c r="DP29" s="115"/>
      <c r="DQ29" s="115"/>
      <c r="DZ29" s="115"/>
      <c r="ED29" s="127"/>
      <c r="EE29" s="127"/>
      <c r="EK29" s="127"/>
      <c r="EL29" s="127"/>
      <c r="EM29" s="127"/>
      <c r="EN29" s="60"/>
      <c r="EO29" s="60"/>
      <c r="EP29" s="60"/>
      <c r="EQ29" s="60"/>
      <c r="ER29" s="60"/>
      <c r="ES29" s="60"/>
      <c r="ET29" s="60"/>
      <c r="EU29" s="60"/>
      <c r="EV29" s="60"/>
      <c r="EW29" s="60"/>
      <c r="EX29" s="60"/>
      <c r="EY29" s="60"/>
      <c r="EZ29" s="60"/>
      <c r="FA29" s="60"/>
      <c r="FB29" s="60"/>
      <c r="FC29" s="60"/>
      <c r="FD29" s="60"/>
      <c r="FE29" s="60"/>
      <c r="FF29" s="60"/>
      <c r="FG29" s="60"/>
      <c r="FH29" s="60"/>
      <c r="FI29" s="60"/>
      <c r="FJ29" s="60"/>
      <c r="FK29" s="60"/>
      <c r="FL29" s="60"/>
      <c r="FM29" s="60"/>
      <c r="FN29" s="60"/>
      <c r="FO29" s="60"/>
      <c r="FP29" s="60"/>
      <c r="FQ29" s="60"/>
      <c r="FR29" s="60"/>
      <c r="FS29" s="60"/>
      <c r="FT29" s="60"/>
      <c r="FU29" s="60"/>
      <c r="FV29" s="60"/>
      <c r="FW29" s="60"/>
      <c r="FX29" s="60"/>
      <c r="FY29" s="60"/>
      <c r="FZ29" s="60"/>
      <c r="GA29" s="60"/>
      <c r="GB29" s="60"/>
      <c r="GC29" s="60"/>
      <c r="GD29" s="60"/>
      <c r="GE29" s="60"/>
      <c r="GF29" s="60"/>
      <c r="KD29" s="97"/>
      <c r="KE29" s="97"/>
      <c r="KF29" s="97"/>
      <c r="KG29" s="97"/>
      <c r="KH29" s="97"/>
      <c r="KI29" s="97"/>
    </row>
    <row r="30" spans="1:295" s="4" customFormat="1" x14ac:dyDescent="0.25">
      <c r="A30" s="14" t="s">
        <v>492</v>
      </c>
      <c r="B30" s="14" t="s">
        <v>344</v>
      </c>
      <c r="C30" s="14"/>
      <c r="D30" s="637">
        <f>'Crops; pasture DISCOUNTED'!Y75</f>
        <v>2282.3344640923524</v>
      </c>
      <c r="E30" s="630"/>
      <c r="F30" s="629">
        <f>BQ62</f>
        <v>2282.5105000000003</v>
      </c>
      <c r="G30" s="102"/>
      <c r="H30" s="102"/>
      <c r="I30" s="102"/>
      <c r="J30" s="14"/>
      <c r="K30" s="50"/>
      <c r="L30" s="50"/>
      <c r="M30" s="50"/>
      <c r="N30" s="14"/>
      <c r="O30" s="50"/>
      <c r="P30" s="50"/>
      <c r="Q30" s="50"/>
      <c r="R30" s="14"/>
      <c r="S30" s="50"/>
      <c r="T30" s="50"/>
      <c r="U30" s="14"/>
      <c r="V30" s="50"/>
      <c r="W30" s="50"/>
      <c r="X30" s="14"/>
      <c r="Y30" s="50"/>
      <c r="Z30" s="14"/>
      <c r="AA30" s="14"/>
      <c r="AB30" s="50"/>
      <c r="AC30" s="50"/>
      <c r="AD30" s="50"/>
      <c r="AE30" s="50"/>
      <c r="AF30" s="50"/>
      <c r="AG30" s="50"/>
      <c r="AH30" s="50"/>
      <c r="AI30" s="14"/>
      <c r="AJ30" s="50"/>
      <c r="AK30" s="50"/>
      <c r="AL30" s="50"/>
      <c r="AM30" s="50"/>
      <c r="AN30" s="50"/>
      <c r="AO30" s="575"/>
      <c r="AP30" s="50"/>
      <c r="AQ30" s="50"/>
      <c r="AR30" s="50"/>
      <c r="AS30" s="50"/>
      <c r="AT30" s="14"/>
      <c r="AU30" s="14"/>
      <c r="AV30" s="14"/>
      <c r="AW30" s="14"/>
      <c r="AX30" s="102"/>
      <c r="AY30" s="14"/>
      <c r="AZ30" s="14"/>
      <c r="BA30" s="14"/>
      <c r="BB30" s="14"/>
      <c r="BC30" s="102"/>
      <c r="BD30" s="102"/>
      <c r="BE30" s="102"/>
      <c r="BF30" s="102"/>
      <c r="BG30" s="102"/>
      <c r="BH30" s="102"/>
      <c r="BI30" s="102"/>
      <c r="BJ30" s="102"/>
      <c r="BK30" s="102"/>
      <c r="BL30" s="102"/>
      <c r="BM30" s="102"/>
      <c r="BN30" s="102"/>
      <c r="BO30" s="102"/>
      <c r="BP30" s="102"/>
      <c r="BQ30" s="102"/>
      <c r="BR30" s="102"/>
      <c r="BS30" s="102"/>
      <c r="BT30" s="102"/>
      <c r="BU30" s="102"/>
      <c r="BV30" s="102"/>
      <c r="BW30" s="102"/>
      <c r="BX30" s="102"/>
      <c r="BY30" s="102"/>
      <c r="BZ30" s="102"/>
      <c r="CA30" s="102"/>
      <c r="CB30" s="102"/>
      <c r="CC30" s="102"/>
      <c r="CD30" s="102"/>
      <c r="CE30" s="102"/>
      <c r="CF30" s="102"/>
      <c r="CG30" s="102"/>
      <c r="CH30" s="102"/>
      <c r="CI30" s="102"/>
      <c r="CJ30" s="102"/>
      <c r="CK30" s="102"/>
      <c r="CL30" s="102"/>
      <c r="CM30" s="126">
        <f>'Crops; pasture DISCOUNTED'!R75</f>
        <v>12.406947890818858</v>
      </c>
      <c r="CW30" s="49"/>
      <c r="DP30" s="126">
        <f>'Crops; pasture DISCOUNTED'!HG75</f>
        <v>1.5596400779986312</v>
      </c>
      <c r="DQ30" s="126">
        <f>'Crops; pasture DISCOUNTED'!HS75</f>
        <v>1.8973830267909084</v>
      </c>
      <c r="DZ30" s="126">
        <f>'Crops; pasture DISCOUNTED'!IE75</f>
        <v>3.8036163436233097</v>
      </c>
      <c r="ED30" s="334">
        <f>'Crops; pasture DISCOUNTED'!IR75</f>
        <v>0.3636893794044665</v>
      </c>
      <c r="EE30" s="334"/>
      <c r="EJ30" s="264">
        <f>EK30+EL30+EM30</f>
        <v>7.5150688558451223E-2</v>
      </c>
      <c r="EK30" s="334">
        <f>'Crops; pasture DISCOUNTED'!KF75</f>
        <v>4.3150688558451222E-2</v>
      </c>
      <c r="EL30" s="334">
        <f>'Crops; pasture DISCOUNTED'!KD75</f>
        <v>3.2000000000000001E-2</v>
      </c>
      <c r="EM30" s="334">
        <f>'Crops; pasture DISCOUNTED'!KH75</f>
        <v>0</v>
      </c>
      <c r="EN30" s="74"/>
      <c r="EO30" s="74"/>
      <c r="EP30" s="74"/>
      <c r="EQ30" s="74"/>
      <c r="ER30" s="74"/>
      <c r="ES30" s="74"/>
      <c r="ET30" s="74"/>
      <c r="EU30" s="74"/>
      <c r="EV30" s="74"/>
      <c r="EW30" s="74"/>
      <c r="EX30" s="74"/>
      <c r="EY30" s="74"/>
      <c r="EZ30" s="74"/>
      <c r="FA30" s="74"/>
      <c r="FB30" s="74"/>
      <c r="FC30" s="74"/>
      <c r="FD30" s="74"/>
      <c r="FE30" s="74"/>
      <c r="FF30" s="74"/>
      <c r="FG30" s="74"/>
      <c r="FH30" s="74"/>
      <c r="FI30" s="74"/>
      <c r="FJ30" s="74"/>
      <c r="FK30" s="74"/>
      <c r="FL30" s="74"/>
      <c r="FM30" s="74"/>
      <c r="FN30" s="74"/>
      <c r="FO30" s="74"/>
      <c r="FP30" s="74"/>
      <c r="FQ30" s="74"/>
      <c r="FR30" s="74"/>
      <c r="FS30" s="74"/>
      <c r="FT30" s="74"/>
      <c r="FU30" s="74"/>
      <c r="FV30" s="74"/>
      <c r="FW30" s="74"/>
      <c r="FX30" s="74"/>
      <c r="FY30" s="74"/>
      <c r="FZ30" s="74"/>
      <c r="GA30" s="74"/>
      <c r="GB30" s="74"/>
      <c r="GC30" s="74"/>
      <c r="GD30" s="74"/>
      <c r="GE30" s="74"/>
      <c r="GF30" s="74"/>
      <c r="GG30" s="631">
        <f>'Crops; pasture DISCOUNTED'!LI75</f>
        <v>0.25</v>
      </c>
      <c r="GH30" s="41">
        <f>'Crops; pasture DISCOUNTED'!LJ75</f>
        <v>4.5</v>
      </c>
      <c r="GI30" s="41">
        <f>'Crops; pasture DISCOUNTED'!LK75</f>
        <v>18</v>
      </c>
      <c r="GJ30" s="41"/>
      <c r="GK30" s="41"/>
      <c r="GL30" s="631">
        <f>'Crops; pasture DISCOUNTED'!LN75</f>
        <v>0</v>
      </c>
      <c r="GM30" s="638">
        <f>'Crops; pasture DISCOUNTED'!LO75</f>
        <v>8.5000000000000006E-2</v>
      </c>
      <c r="KD30" s="97"/>
      <c r="KE30" s="97"/>
      <c r="KF30" s="97"/>
      <c r="KG30" s="97"/>
      <c r="KH30" s="97"/>
      <c r="KI30" s="97"/>
    </row>
    <row r="31" spans="1:295" s="4" customFormat="1" x14ac:dyDescent="0.25">
      <c r="A31" s="14"/>
      <c r="B31" s="14"/>
      <c r="C31" s="14"/>
      <c r="D31" s="14"/>
      <c r="E31" s="14"/>
      <c r="F31" s="14"/>
      <c r="G31" s="14"/>
      <c r="H31" s="102"/>
      <c r="I31" s="102"/>
      <c r="J31" s="14"/>
      <c r="K31" s="50"/>
      <c r="L31" s="50"/>
      <c r="M31" s="50"/>
      <c r="N31" s="14"/>
      <c r="O31" s="50"/>
      <c r="P31" s="50"/>
      <c r="Q31" s="50"/>
      <c r="R31" s="14"/>
      <c r="S31" s="50"/>
      <c r="T31" s="50"/>
      <c r="U31" s="14"/>
      <c r="V31" s="50"/>
      <c r="W31" s="50"/>
      <c r="X31" s="14"/>
      <c r="Y31" s="50"/>
      <c r="Z31" s="14"/>
      <c r="AA31" s="14"/>
      <c r="AB31" s="50"/>
      <c r="AC31" s="50"/>
      <c r="AD31" s="50"/>
      <c r="AE31" s="50"/>
      <c r="AF31" s="50"/>
      <c r="AG31" s="50"/>
      <c r="AH31" s="50"/>
      <c r="AI31" s="14"/>
      <c r="AJ31" s="50"/>
      <c r="AK31" s="50"/>
      <c r="AL31" s="50"/>
      <c r="AM31" s="50"/>
      <c r="AN31" s="50"/>
      <c r="AO31" s="575"/>
      <c r="AP31" s="50"/>
      <c r="AQ31" s="50"/>
      <c r="AR31" s="50"/>
      <c r="AS31" s="50"/>
      <c r="AT31" s="14"/>
      <c r="AU31" s="14"/>
      <c r="AV31" s="14"/>
      <c r="AW31" s="14"/>
      <c r="AX31" s="102"/>
      <c r="AY31" s="14"/>
      <c r="AZ31" s="14"/>
      <c r="BA31" s="14"/>
      <c r="BB31" s="14"/>
      <c r="BC31" s="102"/>
      <c r="BD31" s="102"/>
      <c r="BE31" s="102"/>
      <c r="BF31" s="102"/>
      <c r="BG31" s="102"/>
      <c r="BH31" s="102"/>
      <c r="BI31" s="102"/>
      <c r="BJ31" s="102"/>
      <c r="BK31" s="102"/>
      <c r="BL31" s="102"/>
      <c r="BM31" s="102"/>
      <c r="BN31" s="102"/>
      <c r="BO31" s="102"/>
      <c r="BP31" s="102"/>
      <c r="BQ31" s="102"/>
      <c r="BR31" s="102"/>
      <c r="BS31" s="102"/>
      <c r="BT31" s="102"/>
      <c r="BU31" s="102"/>
      <c r="BV31" s="102"/>
      <c r="BW31" s="102"/>
      <c r="BX31" s="102"/>
      <c r="BY31" s="102"/>
      <c r="BZ31" s="102"/>
      <c r="CA31" s="102"/>
      <c r="CB31" s="102"/>
      <c r="CC31" s="102"/>
      <c r="CD31" s="102"/>
      <c r="CE31" s="102"/>
      <c r="CF31" s="102"/>
      <c r="CG31" s="102"/>
      <c r="CH31" s="102"/>
      <c r="CI31" s="102"/>
      <c r="CJ31" s="102"/>
      <c r="CK31" s="102"/>
      <c r="CL31" s="102"/>
      <c r="CM31" s="97"/>
      <c r="CW31" s="49"/>
      <c r="DP31" s="97"/>
      <c r="ED31" s="264"/>
      <c r="EN31" s="74"/>
      <c r="EO31" s="74"/>
      <c r="EP31" s="74"/>
      <c r="EQ31" s="74"/>
      <c r="ER31" s="74"/>
      <c r="ES31" s="74"/>
      <c r="ET31" s="74"/>
      <c r="EU31" s="74"/>
      <c r="EV31" s="74"/>
      <c r="EW31" s="74"/>
      <c r="EX31" s="74"/>
      <c r="EY31" s="74"/>
      <c r="EZ31" s="74"/>
      <c r="FA31" s="74"/>
      <c r="FB31" s="74"/>
      <c r="FC31" s="74"/>
      <c r="FD31" s="74"/>
      <c r="FE31" s="74"/>
      <c r="FF31" s="74"/>
      <c r="FG31" s="74"/>
      <c r="FH31" s="74"/>
      <c r="FI31" s="74"/>
      <c r="FJ31" s="74"/>
      <c r="FK31" s="74"/>
      <c r="FL31" s="74"/>
      <c r="FM31" s="74"/>
      <c r="FN31" s="74"/>
      <c r="FO31" s="74"/>
      <c r="FP31" s="74"/>
      <c r="FQ31" s="74"/>
      <c r="FR31" s="74"/>
      <c r="FS31" s="74"/>
      <c r="FT31" s="74"/>
      <c r="FU31" s="74"/>
      <c r="FV31" s="74"/>
      <c r="FW31" s="74"/>
      <c r="FX31" s="74"/>
      <c r="FY31" s="74"/>
      <c r="FZ31" s="74"/>
      <c r="GA31" s="74"/>
      <c r="GB31" s="74"/>
      <c r="GC31" s="74"/>
      <c r="GD31" s="74"/>
      <c r="GE31" s="74"/>
      <c r="GF31" s="74"/>
      <c r="KD31" s="97"/>
      <c r="KE31" s="97"/>
      <c r="KF31" s="97"/>
      <c r="KG31" s="97"/>
      <c r="KH31" s="97"/>
      <c r="KI31" s="97"/>
    </row>
    <row r="32" spans="1:295" s="4" customFormat="1" ht="13.8" x14ac:dyDescent="0.3">
      <c r="A32" s="30" t="s">
        <v>157</v>
      </c>
      <c r="B32" s="14"/>
      <c r="C32" s="14"/>
      <c r="D32" s="14"/>
      <c r="E32" s="102"/>
      <c r="F32" s="14"/>
      <c r="G32" s="14"/>
      <c r="H32" s="102"/>
      <c r="I32" s="102"/>
      <c r="J32" s="14"/>
      <c r="K32" s="50"/>
      <c r="L32" s="50"/>
      <c r="M32" s="50"/>
      <c r="N32" s="14"/>
      <c r="O32" s="50"/>
      <c r="P32" s="50"/>
      <c r="Q32" s="50"/>
      <c r="R32" s="14"/>
      <c r="S32" s="50"/>
      <c r="T32" s="50"/>
      <c r="U32" s="14"/>
      <c r="V32" s="50"/>
      <c r="W32" s="50"/>
      <c r="X32" s="14"/>
      <c r="Y32" s="50"/>
      <c r="Z32" s="14"/>
      <c r="AA32" s="14"/>
      <c r="AB32" s="50"/>
      <c r="AC32" s="50"/>
      <c r="AD32" s="50"/>
      <c r="AE32" s="50"/>
      <c r="AF32" s="50"/>
      <c r="AG32" s="50"/>
      <c r="AH32" s="50"/>
      <c r="AI32" s="14"/>
      <c r="AJ32" s="50"/>
      <c r="AK32" s="50"/>
      <c r="AL32" s="50"/>
      <c r="AM32" s="50"/>
      <c r="AN32" s="50"/>
      <c r="AO32" s="575"/>
      <c r="AP32" s="50"/>
      <c r="AQ32" s="50"/>
      <c r="AR32" s="50"/>
      <c r="AS32" s="50"/>
      <c r="AT32" s="14"/>
      <c r="AU32" s="14"/>
      <c r="AV32" s="14"/>
      <c r="AW32" s="14"/>
      <c r="AX32" s="102"/>
      <c r="AY32" s="14"/>
      <c r="AZ32" s="14"/>
      <c r="BA32" s="14"/>
      <c r="BB32" s="14"/>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580"/>
      <c r="CW32" s="49"/>
      <c r="DP32" s="580"/>
      <c r="ED32" s="264"/>
      <c r="EN32" s="74"/>
      <c r="EO32" s="74"/>
      <c r="EP32" s="74"/>
      <c r="EQ32" s="74"/>
      <c r="ER32" s="74"/>
      <c r="ES32" s="74"/>
      <c r="ET32" s="74"/>
      <c r="EU32" s="74"/>
      <c r="EV32" s="74"/>
      <c r="EW32" s="74"/>
      <c r="EX32" s="74"/>
      <c r="EY32" s="74"/>
      <c r="EZ32" s="74"/>
      <c r="FA32" s="74"/>
      <c r="FB32" s="74"/>
      <c r="FC32" s="74"/>
      <c r="FD32" s="74"/>
      <c r="FE32" s="74"/>
      <c r="FF32" s="74"/>
      <c r="FG32" s="74"/>
      <c r="FH32" s="74"/>
      <c r="FI32" s="74"/>
      <c r="FJ32" s="74"/>
      <c r="FK32" s="74"/>
      <c r="FL32" s="74"/>
      <c r="FM32" s="74"/>
      <c r="FN32" s="74"/>
      <c r="FO32" s="74"/>
      <c r="FP32" s="74"/>
      <c r="FQ32" s="74"/>
      <c r="FR32" s="74"/>
      <c r="FS32" s="74"/>
      <c r="FT32" s="74"/>
      <c r="FU32" s="74"/>
      <c r="FV32" s="74"/>
      <c r="FW32" s="74"/>
      <c r="FX32" s="74"/>
      <c r="FY32" s="74"/>
      <c r="FZ32" s="74"/>
      <c r="GA32" s="74"/>
      <c r="GB32" s="74"/>
      <c r="GC32" s="74"/>
      <c r="GD32" s="74"/>
      <c r="GE32" s="74"/>
      <c r="GF32" s="74"/>
      <c r="KD32" s="97"/>
      <c r="KE32" s="97"/>
      <c r="KF32" s="97"/>
      <c r="KG32" s="97"/>
      <c r="KH32" s="97"/>
      <c r="KI32" s="97"/>
    </row>
    <row r="33" spans="1:295" s="4" customFormat="1" x14ac:dyDescent="0.25">
      <c r="A33" s="56"/>
      <c r="B33" s="14"/>
      <c r="C33" s="14"/>
      <c r="D33" s="14"/>
      <c r="E33" s="102"/>
      <c r="F33" s="14"/>
      <c r="G33" s="14"/>
      <c r="H33" s="102"/>
      <c r="I33" s="102"/>
      <c r="J33" s="14"/>
      <c r="K33" s="50"/>
      <c r="L33" s="50"/>
      <c r="M33" s="50"/>
      <c r="N33" s="14"/>
      <c r="O33" s="50"/>
      <c r="P33" s="50"/>
      <c r="Q33" s="50"/>
      <c r="R33" s="14"/>
      <c r="S33" s="50"/>
      <c r="T33" s="50"/>
      <c r="U33" s="14"/>
      <c r="V33" s="50"/>
      <c r="W33" s="50"/>
      <c r="X33" s="14"/>
      <c r="Y33" s="50"/>
      <c r="Z33" s="14"/>
      <c r="AA33" s="14"/>
      <c r="AB33" s="50"/>
      <c r="AC33" s="50"/>
      <c r="AD33" s="50"/>
      <c r="AE33" s="50"/>
      <c r="AF33" s="50"/>
      <c r="AG33" s="50"/>
      <c r="AH33" s="50"/>
      <c r="AI33" s="14"/>
      <c r="AJ33" s="50"/>
      <c r="AK33" s="50"/>
      <c r="AL33" s="50"/>
      <c r="AM33" s="50"/>
      <c r="AN33" s="50"/>
      <c r="AO33" s="575"/>
      <c r="AP33" s="50"/>
      <c r="AQ33" s="50"/>
      <c r="AR33" s="50"/>
      <c r="AS33" s="50"/>
      <c r="AT33" s="14"/>
      <c r="AU33" s="14"/>
      <c r="AV33" s="14"/>
      <c r="AW33" s="14"/>
      <c r="AX33" s="102"/>
      <c r="AY33" s="14"/>
      <c r="AZ33" s="14"/>
      <c r="BA33" s="14"/>
      <c r="BB33" s="14"/>
      <c r="BC33" s="102"/>
      <c r="BD33" s="102"/>
      <c r="BE33" s="102"/>
      <c r="BF33" s="102"/>
      <c r="BG33" s="102"/>
      <c r="BH33" s="102"/>
      <c r="BI33" s="102"/>
      <c r="BJ33" s="102"/>
      <c r="BK33" s="102"/>
      <c r="BL33" s="102"/>
      <c r="BM33" s="102"/>
      <c r="BN33" s="102"/>
      <c r="BO33" s="102"/>
      <c r="BP33" s="102"/>
      <c r="BQ33" s="102"/>
      <c r="BR33" s="102"/>
      <c r="BS33" s="102"/>
      <c r="BT33" s="102"/>
      <c r="BU33" s="102"/>
      <c r="BV33" s="102"/>
      <c r="BW33" s="102"/>
      <c r="BX33" s="102"/>
      <c r="BY33" s="102"/>
      <c r="BZ33" s="102"/>
      <c r="CA33" s="102"/>
      <c r="CB33" s="102"/>
      <c r="CC33" s="102"/>
      <c r="CD33" s="102"/>
      <c r="CE33" s="102"/>
      <c r="CF33" s="102"/>
      <c r="CG33" s="102"/>
      <c r="CH33" s="102"/>
      <c r="CI33" s="102"/>
      <c r="CJ33" s="102"/>
      <c r="CK33" s="102"/>
      <c r="CL33" s="102"/>
      <c r="CM33" s="580"/>
      <c r="CW33" s="49"/>
      <c r="DP33" s="580"/>
      <c r="ED33" s="264"/>
      <c r="EN33" s="74"/>
      <c r="EO33" s="74"/>
      <c r="EP33" s="74"/>
      <c r="EQ33" s="74"/>
      <c r="ER33" s="74"/>
      <c r="ES33" s="74"/>
      <c r="ET33" s="74"/>
      <c r="EU33" s="74"/>
      <c r="EV33" s="74"/>
      <c r="EW33" s="74"/>
      <c r="EX33" s="74"/>
      <c r="EY33" s="74"/>
      <c r="EZ33" s="74"/>
      <c r="FA33" s="74"/>
      <c r="FB33" s="74"/>
      <c r="FC33" s="74"/>
      <c r="FD33" s="74"/>
      <c r="FE33" s="74"/>
      <c r="FF33" s="74"/>
      <c r="FG33" s="74"/>
      <c r="FH33" s="74"/>
      <c r="FI33" s="74"/>
      <c r="FJ33" s="74"/>
      <c r="FK33" s="74"/>
      <c r="FL33" s="74"/>
      <c r="FM33" s="74"/>
      <c r="FN33" s="74"/>
      <c r="FO33" s="74"/>
      <c r="FP33" s="74"/>
      <c r="FQ33" s="74"/>
      <c r="FR33" s="74"/>
      <c r="FS33" s="74"/>
      <c r="FT33" s="74"/>
      <c r="FU33" s="74"/>
      <c r="FV33" s="74"/>
      <c r="FW33" s="74"/>
      <c r="FX33" s="74"/>
      <c r="FY33" s="74"/>
      <c r="FZ33" s="74"/>
      <c r="GA33" s="74"/>
      <c r="GB33" s="74"/>
      <c r="GC33" s="74"/>
      <c r="GD33" s="74"/>
      <c r="GE33" s="74"/>
      <c r="GF33" s="74"/>
      <c r="KD33" s="97"/>
      <c r="KE33" s="97"/>
      <c r="KF33" s="97"/>
      <c r="KG33" s="97"/>
      <c r="KH33" s="97"/>
      <c r="KI33" s="97"/>
    </row>
    <row r="34" spans="1:295" s="4" customFormat="1" x14ac:dyDescent="0.25">
      <c r="A34" s="56" t="s">
        <v>206</v>
      </c>
      <c r="B34" s="14"/>
      <c r="C34" s="14"/>
      <c r="D34" s="625">
        <f>'Crops proc. &amp; prod. DISCOUNTED'!W41</f>
        <v>135.29285714285714</v>
      </c>
      <c r="E34" s="144">
        <f>E35+E36+E37</f>
        <v>115.83560480007898</v>
      </c>
      <c r="F34" s="577">
        <f>F35+F36+F37</f>
        <v>104.34656174999998</v>
      </c>
      <c r="G34" s="626">
        <f>F34/D34</f>
        <v>0.77126438123647101</v>
      </c>
      <c r="H34" s="154"/>
      <c r="I34" s="154"/>
      <c r="J34" s="14"/>
      <c r="K34" s="50"/>
      <c r="L34" s="50"/>
      <c r="M34" s="50"/>
      <c r="N34" s="14"/>
      <c r="O34" s="50"/>
      <c r="P34" s="50"/>
      <c r="Q34" s="50"/>
      <c r="R34" s="14"/>
      <c r="S34" s="50"/>
      <c r="T34" s="50"/>
      <c r="U34" s="14"/>
      <c r="V34" s="50"/>
      <c r="W34" s="50"/>
      <c r="X34" s="14"/>
      <c r="Y34" s="50"/>
      <c r="Z34" s="14"/>
      <c r="AA34" s="14"/>
      <c r="AB34" s="50"/>
      <c r="AC34" s="50"/>
      <c r="AD34" s="50"/>
      <c r="AE34" s="50"/>
      <c r="AF34" s="50"/>
      <c r="AG34" s="50"/>
      <c r="AH34" s="50"/>
      <c r="AI34" s="14"/>
      <c r="AJ34" s="50"/>
      <c r="AK34" s="50"/>
      <c r="AL34" s="50"/>
      <c r="AM34" s="50"/>
      <c r="AN34" s="50"/>
      <c r="AO34" s="575"/>
      <c r="AP34" s="50"/>
      <c r="AQ34" s="50"/>
      <c r="AR34" s="50"/>
      <c r="AS34" s="50"/>
      <c r="AT34" s="14"/>
      <c r="AU34" s="14"/>
      <c r="AV34" s="14"/>
      <c r="AW34" s="14"/>
      <c r="AX34" s="102"/>
      <c r="AY34" s="14"/>
      <c r="AZ34" s="14"/>
      <c r="BA34" s="14"/>
      <c r="BB34" s="14"/>
      <c r="BC34" s="102"/>
      <c r="BD34" s="102"/>
      <c r="BE34" s="102"/>
      <c r="BF34" s="102"/>
      <c r="BG34" s="102"/>
      <c r="BH34" s="102"/>
      <c r="BI34" s="102"/>
      <c r="BJ34" s="102"/>
      <c r="BK34" s="102"/>
      <c r="BL34" s="102"/>
      <c r="BM34" s="102"/>
      <c r="BN34" s="102"/>
      <c r="BO34" s="102"/>
      <c r="BP34" s="102"/>
      <c r="BQ34" s="102"/>
      <c r="BR34" s="102"/>
      <c r="BS34" s="102"/>
      <c r="BT34" s="102"/>
      <c r="BU34" s="102"/>
      <c r="BV34" s="102"/>
      <c r="BW34" s="102"/>
      <c r="BX34" s="102"/>
      <c r="BY34" s="102"/>
      <c r="BZ34" s="102"/>
      <c r="CA34" s="102"/>
      <c r="CB34" s="102"/>
      <c r="CC34" s="102"/>
      <c r="CD34" s="102"/>
      <c r="CE34" s="102"/>
      <c r="CF34" s="102"/>
      <c r="CG34" s="102"/>
      <c r="CH34" s="102"/>
      <c r="CI34" s="102"/>
      <c r="CJ34" s="102"/>
      <c r="CK34" s="102"/>
      <c r="CL34" s="102"/>
      <c r="CM34" s="580"/>
      <c r="CW34" s="49"/>
      <c r="DP34" s="580"/>
      <c r="ED34" s="264"/>
      <c r="EN34" s="74"/>
      <c r="EO34" s="74"/>
      <c r="EP34" s="74"/>
      <c r="EQ34" s="74"/>
      <c r="ER34" s="74"/>
      <c r="ES34" s="74"/>
      <c r="ET34" s="74"/>
      <c r="EU34" s="74"/>
      <c r="EV34" s="74"/>
      <c r="EW34" s="74"/>
      <c r="EX34" s="74"/>
      <c r="EY34" s="74"/>
      <c r="EZ34" s="74"/>
      <c r="FA34" s="74"/>
      <c r="FB34" s="74"/>
      <c r="FC34" s="74"/>
      <c r="FD34" s="74"/>
      <c r="FE34" s="74"/>
      <c r="FF34" s="74"/>
      <c r="FG34" s="74"/>
      <c r="FH34" s="74"/>
      <c r="FI34" s="74"/>
      <c r="FJ34" s="74"/>
      <c r="FK34" s="74"/>
      <c r="FL34" s="74"/>
      <c r="FM34" s="74"/>
      <c r="FN34" s="74"/>
      <c r="FO34" s="74"/>
      <c r="FP34" s="74"/>
      <c r="FQ34" s="74"/>
      <c r="FR34" s="74"/>
      <c r="FS34" s="74"/>
      <c r="FT34" s="74"/>
      <c r="FU34" s="74"/>
      <c r="FV34" s="74"/>
      <c r="FW34" s="74"/>
      <c r="FX34" s="74"/>
      <c r="FY34" s="74"/>
      <c r="FZ34" s="74"/>
      <c r="GA34" s="74"/>
      <c r="GB34" s="74"/>
      <c r="GC34" s="74"/>
      <c r="GD34" s="74"/>
      <c r="GE34" s="74"/>
      <c r="GF34" s="74"/>
      <c r="KD34" s="97"/>
      <c r="KE34" s="97"/>
      <c r="KF34" s="97"/>
      <c r="KG34" s="97"/>
      <c r="KH34" s="97"/>
      <c r="KI34" s="97"/>
    </row>
    <row r="35" spans="1:295" s="4" customFormat="1" x14ac:dyDescent="0.25">
      <c r="A35" s="4" t="s">
        <v>165</v>
      </c>
      <c r="B35" s="14"/>
      <c r="C35" s="627">
        <f>D35/(D36+D35+D37)</f>
        <v>0.12306636397233511</v>
      </c>
      <c r="D35" s="628">
        <f>'Crops proc. &amp; prod. DISCOUNTED'!W45</f>
        <v>16.649999999999995</v>
      </c>
      <c r="E35" s="629">
        <f>F35/GG35</f>
        <v>14.26839105287471</v>
      </c>
      <c r="F35" s="630">
        <f>BT62</f>
        <v>12.84155194758724</v>
      </c>
      <c r="G35" s="630"/>
      <c r="H35" s="629"/>
      <c r="I35" s="629"/>
      <c r="J35" s="14"/>
      <c r="K35" s="50"/>
      <c r="L35" s="50"/>
      <c r="M35" s="50"/>
      <c r="N35" s="14"/>
      <c r="O35" s="50"/>
      <c r="P35" s="50"/>
      <c r="Q35" s="50"/>
      <c r="R35" s="14"/>
      <c r="S35" s="50"/>
      <c r="T35" s="50"/>
      <c r="U35" s="14"/>
      <c r="V35" s="50"/>
      <c r="W35" s="50"/>
      <c r="X35" s="14"/>
      <c r="Y35" s="50"/>
      <c r="Z35" s="14"/>
      <c r="AA35" s="14"/>
      <c r="AB35" s="50"/>
      <c r="AC35" s="50"/>
      <c r="AD35" s="50"/>
      <c r="AE35" s="50"/>
      <c r="AF35" s="50"/>
      <c r="AG35" s="50"/>
      <c r="AH35" s="50"/>
      <c r="AI35" s="14"/>
      <c r="AJ35" s="50"/>
      <c r="AK35" s="50"/>
      <c r="AL35" s="50"/>
      <c r="AM35" s="50"/>
      <c r="AN35" s="50"/>
      <c r="AO35" s="575"/>
      <c r="AP35" s="50"/>
      <c r="AQ35" s="50"/>
      <c r="AR35" s="50"/>
      <c r="AS35" s="50"/>
      <c r="AT35" s="14"/>
      <c r="AU35" s="14"/>
      <c r="AV35" s="14"/>
      <c r="AW35" s="14"/>
      <c r="AX35" s="102"/>
      <c r="AY35" s="14"/>
      <c r="AZ35" s="14"/>
      <c r="BA35" s="14"/>
      <c r="BB35" s="14"/>
      <c r="BC35" s="102"/>
      <c r="BD35" s="102"/>
      <c r="BE35" s="102"/>
      <c r="BF35" s="102"/>
      <c r="BG35" s="102"/>
      <c r="BH35" s="102"/>
      <c r="BI35" s="102"/>
      <c r="BJ35" s="102"/>
      <c r="BK35" s="102"/>
      <c r="BL35" s="102"/>
      <c r="BM35" s="102"/>
      <c r="BN35" s="102"/>
      <c r="BO35" s="102"/>
      <c r="BP35" s="102"/>
      <c r="BQ35" s="102"/>
      <c r="BR35" s="102"/>
      <c r="BS35" s="102"/>
      <c r="BT35" s="102"/>
      <c r="BU35" s="102"/>
      <c r="BV35" s="102"/>
      <c r="BW35" s="102"/>
      <c r="BX35" s="102"/>
      <c r="BY35" s="102"/>
      <c r="BZ35" s="102"/>
      <c r="CA35" s="102"/>
      <c r="CB35" s="102"/>
      <c r="CC35" s="102"/>
      <c r="CD35" s="102"/>
      <c r="CE35" s="102"/>
      <c r="CF35" s="102"/>
      <c r="CG35" s="102"/>
      <c r="CH35" s="102"/>
      <c r="CI35" s="102"/>
      <c r="CJ35" s="102"/>
      <c r="CK35" s="102"/>
      <c r="CL35" s="102"/>
      <c r="CM35" s="125">
        <f>'Crops proc. &amp; prod. DISCOUNTED'!AE45</f>
        <v>2.3451928712962098</v>
      </c>
      <c r="CW35" s="49"/>
      <c r="DP35" s="125">
        <f>'Crops proc. &amp; prod. DISCOUNTED'!BW45</f>
        <v>0.67076633009943087</v>
      </c>
      <c r="DQ35" s="125">
        <f>'Crops proc. &amp; prod. DISCOUNTED'!DM45</f>
        <v>0.77663483823434043</v>
      </c>
      <c r="DZ35" s="125">
        <f>'Crops proc. &amp; prod. DISCOUNTED'!FF45</f>
        <v>1.5568922679421204</v>
      </c>
      <c r="ED35" s="333">
        <f>'Crops proc. &amp; prod. DISCOUNTED'!GZ45</f>
        <v>0.13641783738659016</v>
      </c>
      <c r="EE35" s="125"/>
      <c r="EJ35" s="264">
        <f t="shared" ref="EJ35:EJ37" si="5">EK35+EL35+EM35</f>
        <v>0.56751760424259989</v>
      </c>
      <c r="EK35" s="333">
        <f>'Crops proc. &amp; prod. DISCOUNTED'!JB45</f>
        <v>0.3040787225308848</v>
      </c>
      <c r="EL35" s="333">
        <f>'Crops proc. &amp; prod. DISCOUNTED'!JC45</f>
        <v>0.26343888171171509</v>
      </c>
      <c r="EM35" s="333">
        <f>'Crops proc. &amp; prod. DISCOUNTED'!JD45</f>
        <v>0</v>
      </c>
      <c r="EN35" s="74"/>
      <c r="EO35" s="74"/>
      <c r="EP35" s="74"/>
      <c r="EQ35" s="74"/>
      <c r="ER35" s="74"/>
      <c r="ES35" s="74"/>
      <c r="ET35" s="74"/>
      <c r="EU35" s="74"/>
      <c r="EV35" s="74"/>
      <c r="EW35" s="74"/>
      <c r="EX35" s="74"/>
      <c r="EY35" s="74"/>
      <c r="EZ35" s="74"/>
      <c r="FA35" s="74"/>
      <c r="FB35" s="74"/>
      <c r="FC35" s="74"/>
      <c r="FD35" s="74"/>
      <c r="FE35" s="74"/>
      <c r="FF35" s="74"/>
      <c r="FG35" s="74"/>
      <c r="FH35" s="74"/>
      <c r="FI35" s="74"/>
      <c r="FJ35" s="74"/>
      <c r="FK35" s="74"/>
      <c r="FL35" s="74"/>
      <c r="FM35" s="74"/>
      <c r="FN35" s="74"/>
      <c r="FO35" s="74"/>
      <c r="FP35" s="74"/>
      <c r="FQ35" s="74"/>
      <c r="FR35" s="74"/>
      <c r="FS35" s="74"/>
      <c r="FT35" s="74"/>
      <c r="FU35" s="74"/>
      <c r="FV35" s="74"/>
      <c r="FW35" s="74"/>
      <c r="FX35" s="74"/>
      <c r="FY35" s="74"/>
      <c r="FZ35" s="74"/>
      <c r="GA35" s="74"/>
      <c r="GB35" s="74"/>
      <c r="GC35" s="74"/>
      <c r="GD35" s="74"/>
      <c r="GE35" s="74"/>
      <c r="GF35" s="74"/>
      <c r="GG35" s="631">
        <f>'Crops proc. &amp; prod. DISCOUNTED'!NT45</f>
        <v>0.9</v>
      </c>
      <c r="GH35" s="41">
        <f>'Crops proc. &amp; prod. DISCOUNTED'!NV45</f>
        <v>18.45</v>
      </c>
      <c r="GI35" s="41">
        <f>'Crops proc. &amp; prod. DISCOUNTED'!NW45</f>
        <v>20.5</v>
      </c>
      <c r="GL35" s="631">
        <f>'Crops proc. &amp; prod. DISCOUNTED'!OC45</f>
        <v>0.1404</v>
      </c>
      <c r="GM35" s="631">
        <f>'Crops proc. &amp; prod. DISCOUNTED'!OD45</f>
        <v>0.156</v>
      </c>
      <c r="KD35" s="97"/>
      <c r="KE35" s="97"/>
      <c r="KF35" s="97"/>
      <c r="KG35" s="97"/>
      <c r="KH35" s="97"/>
      <c r="KI35" s="97"/>
    </row>
    <row r="36" spans="1:295" s="4" customFormat="1" x14ac:dyDescent="0.25">
      <c r="A36" s="4" t="s">
        <v>167</v>
      </c>
      <c r="B36" s="14"/>
      <c r="C36" s="627">
        <f>D36/(D36+D35+D37)</f>
        <v>0.32627633176706616</v>
      </c>
      <c r="D36" s="628">
        <f>'Crops proc. &amp; prod. DISCOUNTED'!W50</f>
        <v>44.142857142857146</v>
      </c>
      <c r="E36" s="629">
        <f>F36/GG36</f>
        <v>37.006318913364844</v>
      </c>
      <c r="F36" s="630">
        <f>BU62</f>
        <v>34.045813400295657</v>
      </c>
      <c r="G36" s="630"/>
      <c r="H36" s="629"/>
      <c r="I36" s="629"/>
      <c r="J36" s="14"/>
      <c r="K36" s="50"/>
      <c r="L36" s="50"/>
      <c r="M36" s="50"/>
      <c r="N36" s="14"/>
      <c r="O36" s="50"/>
      <c r="P36" s="50"/>
      <c r="Q36" s="50"/>
      <c r="R36" s="14"/>
      <c r="S36" s="50"/>
      <c r="T36" s="50"/>
      <c r="U36" s="14"/>
      <c r="V36" s="50"/>
      <c r="W36" s="50"/>
      <c r="X36" s="14"/>
      <c r="Y36" s="50"/>
      <c r="Z36" s="14"/>
      <c r="AA36" s="14"/>
      <c r="AB36" s="50"/>
      <c r="AC36" s="50"/>
      <c r="AD36" s="50"/>
      <c r="AE36" s="50"/>
      <c r="AF36" s="50"/>
      <c r="AG36" s="50"/>
      <c r="AH36" s="50"/>
      <c r="AI36" s="14"/>
      <c r="AJ36" s="50"/>
      <c r="AK36" s="50"/>
      <c r="AL36" s="50"/>
      <c r="AM36" s="50"/>
      <c r="AN36" s="50"/>
      <c r="AO36" s="575"/>
      <c r="AP36" s="50"/>
      <c r="AQ36" s="50"/>
      <c r="AR36" s="50"/>
      <c r="AS36" s="50"/>
      <c r="AT36" s="14"/>
      <c r="AU36" s="14"/>
      <c r="AV36" s="14"/>
      <c r="AW36" s="14"/>
      <c r="AX36" s="102"/>
      <c r="AY36" s="14"/>
      <c r="AZ36" s="14"/>
      <c r="BA36" s="14"/>
      <c r="BB36" s="14"/>
      <c r="BC36" s="102"/>
      <c r="BD36" s="102"/>
      <c r="BE36" s="102"/>
      <c r="BF36" s="102"/>
      <c r="BG36" s="102"/>
      <c r="BH36" s="102"/>
      <c r="BI36" s="102"/>
      <c r="BJ36" s="102"/>
      <c r="BK36" s="102"/>
      <c r="BL36" s="102"/>
      <c r="BM36" s="102"/>
      <c r="BN36" s="102"/>
      <c r="BO36" s="102"/>
      <c r="BP36" s="102"/>
      <c r="BQ36" s="102"/>
      <c r="BR36" s="102"/>
      <c r="BS36" s="102"/>
      <c r="BT36" s="102"/>
      <c r="BU36" s="102"/>
      <c r="BV36" s="102"/>
      <c r="BW36" s="102"/>
      <c r="BX36" s="102"/>
      <c r="BY36" s="102"/>
      <c r="BZ36" s="102"/>
      <c r="CA36" s="102"/>
      <c r="CB36" s="102"/>
      <c r="CC36" s="102"/>
      <c r="CD36" s="102"/>
      <c r="CE36" s="102"/>
      <c r="CF36" s="102"/>
      <c r="CG36" s="102"/>
      <c r="CH36" s="102"/>
      <c r="CI36" s="102"/>
      <c r="CJ36" s="102"/>
      <c r="CK36" s="102"/>
      <c r="CL36" s="102"/>
      <c r="CM36" s="125">
        <f>'Crops proc. &amp; prod. DISCOUNTED'!AE50</f>
        <v>2.6444605633853451</v>
      </c>
      <c r="CW36" s="49"/>
      <c r="DP36" s="125">
        <f>'Crops proc. &amp; prod. DISCOUNTED'!BW50</f>
        <v>0.98924493423820881</v>
      </c>
      <c r="DQ36" s="125">
        <f>'Crops proc. &amp; prod. DISCOUNTED'!DM50</f>
        <v>0.91845254448290559</v>
      </c>
      <c r="DZ36" s="125">
        <f>'Crops proc. &amp; prod. DISCOUNTED'!FF50</f>
        <v>1.8411891851621225</v>
      </c>
      <c r="ED36" s="333">
        <f>'Crops proc. &amp; prod. DISCOUNTED'!GZ50</f>
        <v>0.37364306936315744</v>
      </c>
      <c r="EE36" s="125"/>
      <c r="EJ36" s="264">
        <f t="shared" si="5"/>
        <v>3.3342320129608369</v>
      </c>
      <c r="EK36" s="333">
        <f>'Crops proc. &amp; prod. DISCOUNTED'!JB50</f>
        <v>0.41505518696738281</v>
      </c>
      <c r="EL36" s="333">
        <f>'Crops proc. &amp; prod. DISCOUNTED'!JC50</f>
        <v>0.19478379321823264</v>
      </c>
      <c r="EM36" s="333">
        <f>'Crops proc. &amp; prod. DISCOUNTED'!JD50</f>
        <v>2.7243930327752213</v>
      </c>
      <c r="EN36" s="74"/>
      <c r="EO36" s="74"/>
      <c r="EP36" s="74"/>
      <c r="EQ36" s="74"/>
      <c r="ER36" s="74"/>
      <c r="ES36" s="74"/>
      <c r="ET36" s="74"/>
      <c r="EU36" s="74"/>
      <c r="EV36" s="74"/>
      <c r="EW36" s="74"/>
      <c r="EX36" s="74"/>
      <c r="EY36" s="74"/>
      <c r="EZ36" s="74"/>
      <c r="FA36" s="74"/>
      <c r="FB36" s="74"/>
      <c r="FC36" s="74"/>
      <c r="FD36" s="74"/>
      <c r="FE36" s="74"/>
      <c r="FF36" s="74"/>
      <c r="FG36" s="74"/>
      <c r="FH36" s="74"/>
      <c r="FI36" s="74"/>
      <c r="FJ36" s="74"/>
      <c r="FK36" s="74"/>
      <c r="FL36" s="74"/>
      <c r="FM36" s="74"/>
      <c r="FN36" s="74"/>
      <c r="FO36" s="74"/>
      <c r="FP36" s="74"/>
      <c r="FQ36" s="74"/>
      <c r="FR36" s="74"/>
      <c r="FS36" s="74"/>
      <c r="FT36" s="74"/>
      <c r="FU36" s="74"/>
      <c r="FV36" s="74"/>
      <c r="FW36" s="74"/>
      <c r="FX36" s="74"/>
      <c r="FY36" s="74"/>
      <c r="FZ36" s="74"/>
      <c r="GA36" s="74"/>
      <c r="GB36" s="74"/>
      <c r="GC36" s="74"/>
      <c r="GD36" s="74"/>
      <c r="GE36" s="74"/>
      <c r="GF36" s="74"/>
      <c r="GG36" s="631">
        <f>'Crops proc. &amp; prod. DISCOUNTED'!NT50</f>
        <v>0.92</v>
      </c>
      <c r="GH36" s="41">
        <f>'Crops proc. &amp; prod. DISCOUNTED'!NV50</f>
        <v>17.847999999999999</v>
      </c>
      <c r="GI36" s="41">
        <f>'Crops proc. &amp; prod. DISCOUNTED'!NW50</f>
        <v>19.399999999999999</v>
      </c>
      <c r="GL36" s="631">
        <f>'Crops proc. &amp; prod. DISCOUNTED'!OC50</f>
        <v>0.13339999999999999</v>
      </c>
      <c r="GM36" s="631">
        <f>'Crops proc. &amp; prod. DISCOUNTED'!OD50</f>
        <v>0.14499999999999999</v>
      </c>
      <c r="KD36" s="97"/>
      <c r="KE36" s="97"/>
      <c r="KF36" s="97"/>
      <c r="KG36" s="97"/>
      <c r="KH36" s="97"/>
      <c r="KI36" s="97"/>
    </row>
    <row r="37" spans="1:295" s="4" customFormat="1" x14ac:dyDescent="0.25">
      <c r="A37" s="4" t="s">
        <v>160</v>
      </c>
      <c r="B37" s="14"/>
      <c r="C37" s="627">
        <f>D37/(D36+D35+D37)</f>
        <v>0.55065730426059856</v>
      </c>
      <c r="D37" s="628">
        <f>'Crops proc. &amp; prod. DISCOUNTED'!W55</f>
        <v>74.499999999999986</v>
      </c>
      <c r="E37" s="629">
        <f>F37/GG37</f>
        <v>64.560894833839427</v>
      </c>
      <c r="F37" s="630">
        <f>BV62</f>
        <v>57.459196402117087</v>
      </c>
      <c r="G37" s="630"/>
      <c r="H37" s="629"/>
      <c r="I37" s="629"/>
      <c r="J37" s="14"/>
      <c r="K37" s="50"/>
      <c r="L37" s="50"/>
      <c r="M37" s="50"/>
      <c r="N37" s="14"/>
      <c r="O37" s="50"/>
      <c r="P37" s="50"/>
      <c r="Q37" s="50"/>
      <c r="R37" s="14"/>
      <c r="S37" s="50"/>
      <c r="T37" s="50"/>
      <c r="U37" s="14"/>
      <c r="V37" s="50"/>
      <c r="W37" s="50"/>
      <c r="X37" s="14"/>
      <c r="Y37" s="50"/>
      <c r="Z37" s="14"/>
      <c r="AA37" s="14"/>
      <c r="AB37" s="50"/>
      <c r="AC37" s="50"/>
      <c r="AD37" s="50"/>
      <c r="AE37" s="50"/>
      <c r="AF37" s="50"/>
      <c r="AG37" s="50"/>
      <c r="AH37" s="50"/>
      <c r="AI37" s="14"/>
      <c r="AJ37" s="50"/>
      <c r="AK37" s="50"/>
      <c r="AL37" s="50"/>
      <c r="AM37" s="50"/>
      <c r="AN37" s="50"/>
      <c r="AO37" s="575"/>
      <c r="AP37" s="50"/>
      <c r="AQ37" s="50"/>
      <c r="AR37" s="50"/>
      <c r="AS37" s="50"/>
      <c r="AT37" s="14"/>
      <c r="AU37" s="14"/>
      <c r="AV37" s="14"/>
      <c r="AW37" s="14"/>
      <c r="AX37" s="102"/>
      <c r="AY37" s="14"/>
      <c r="AZ37" s="14"/>
      <c r="BA37" s="14"/>
      <c r="BB37" s="14"/>
      <c r="BC37" s="102"/>
      <c r="BD37" s="102"/>
      <c r="BE37" s="102"/>
      <c r="BF37" s="102"/>
      <c r="BG37" s="102"/>
      <c r="BH37" s="102"/>
      <c r="BI37" s="102"/>
      <c r="BJ37" s="102"/>
      <c r="BK37" s="102"/>
      <c r="BL37" s="102"/>
      <c r="BM37" s="102"/>
      <c r="BN37" s="102"/>
      <c r="BO37" s="102"/>
      <c r="BP37" s="102"/>
      <c r="BQ37" s="102"/>
      <c r="BR37" s="102"/>
      <c r="BS37" s="102"/>
      <c r="BT37" s="102"/>
      <c r="BU37" s="102"/>
      <c r="BV37" s="102"/>
      <c r="BW37" s="102"/>
      <c r="BX37" s="102"/>
      <c r="BY37" s="102"/>
      <c r="BZ37" s="102"/>
      <c r="CA37" s="102"/>
      <c r="CB37" s="102"/>
      <c r="CC37" s="102"/>
      <c r="CD37" s="102"/>
      <c r="CE37" s="102"/>
      <c r="CF37" s="102"/>
      <c r="CG37" s="102"/>
      <c r="CH37" s="102"/>
      <c r="CI37" s="102"/>
      <c r="CJ37" s="102"/>
      <c r="CK37" s="102"/>
      <c r="CL37" s="102"/>
      <c r="CM37" s="125">
        <f>'Crops proc. &amp; prod. DISCOUNTED'!AE55</f>
        <v>3.639305422159532</v>
      </c>
      <c r="CW37" s="49"/>
      <c r="DP37" s="125">
        <f>'Crops proc. &amp; prod. DISCOUNTED'!BW55</f>
        <v>0.55818348244536176</v>
      </c>
      <c r="DQ37" s="125">
        <f>'Crops proc. &amp; prod. DISCOUNTED'!DM55</f>
        <v>0.79273222720760628</v>
      </c>
      <c r="DZ37" s="125">
        <f>'Crops proc. &amp; prod. DISCOUNTED'!FF55</f>
        <v>1.5891621317091282</v>
      </c>
      <c r="ED37" s="333">
        <f>'Crops proc. &amp; prod. DISCOUNTED'!GZ55</f>
        <v>0.12841485138705006</v>
      </c>
      <c r="EE37" s="125"/>
      <c r="EJ37" s="264">
        <f t="shared" si="5"/>
        <v>0.7892538356417913</v>
      </c>
      <c r="EK37" s="333">
        <f>'Crops proc. &amp; prod. DISCOUNTED'!JB55</f>
        <v>0.45028503191917807</v>
      </c>
      <c r="EL37" s="333">
        <f>'Crops proc. &amp; prod. DISCOUNTED'!JC55</f>
        <v>0.33896880372261329</v>
      </c>
      <c r="EM37" s="333">
        <f>'Crops proc. &amp; prod. DISCOUNTED'!JD55</f>
        <v>0</v>
      </c>
      <c r="EN37" s="74"/>
      <c r="EO37" s="74"/>
      <c r="EP37" s="74"/>
      <c r="EQ37" s="74"/>
      <c r="ER37" s="74"/>
      <c r="ES37" s="74"/>
      <c r="ET37" s="74"/>
      <c r="EU37" s="74"/>
      <c r="EV37" s="74"/>
      <c r="EW37" s="74"/>
      <c r="EX37" s="74"/>
      <c r="EY37" s="74"/>
      <c r="EZ37" s="74"/>
      <c r="FA37" s="74"/>
      <c r="FB37" s="74"/>
      <c r="FC37" s="74"/>
      <c r="FD37" s="74"/>
      <c r="FE37" s="74"/>
      <c r="FF37" s="74"/>
      <c r="FG37" s="74"/>
      <c r="FH37" s="74"/>
      <c r="FI37" s="74"/>
      <c r="FJ37" s="74"/>
      <c r="FK37" s="74"/>
      <c r="FL37" s="74"/>
      <c r="FM37" s="74"/>
      <c r="FN37" s="74"/>
      <c r="FO37" s="74"/>
      <c r="FP37" s="74"/>
      <c r="FQ37" s="74"/>
      <c r="FR37" s="74"/>
      <c r="FS37" s="74"/>
      <c r="FT37" s="74"/>
      <c r="FU37" s="74"/>
      <c r="FV37" s="74"/>
      <c r="FW37" s="74"/>
      <c r="FX37" s="74"/>
      <c r="FY37" s="74"/>
      <c r="FZ37" s="74"/>
      <c r="GA37" s="74"/>
      <c r="GB37" s="74"/>
      <c r="GC37" s="74"/>
      <c r="GD37" s="74"/>
      <c r="GE37" s="74"/>
      <c r="GF37" s="74"/>
      <c r="GG37" s="631">
        <f>'Crops proc. &amp; prod. DISCOUNTED'!NT55</f>
        <v>0.89</v>
      </c>
      <c r="GH37" s="41">
        <f>'Crops proc. &amp; prod. DISCOUNTED'!NV55</f>
        <v>16.465</v>
      </c>
      <c r="GI37" s="41">
        <f>'Crops proc. &amp; prod. DISCOUNTED'!NW55</f>
        <v>18.5</v>
      </c>
      <c r="GL37" s="631">
        <f>'Crops proc. &amp; prod. DISCOUNTED'!OC55</f>
        <v>0.17800000000000002</v>
      </c>
      <c r="GM37" s="631">
        <f>'Crops proc. &amp; prod. DISCOUNTED'!OD55</f>
        <v>0.2</v>
      </c>
      <c r="KD37" s="97"/>
      <c r="KE37" s="97"/>
      <c r="KF37" s="97"/>
      <c r="KG37" s="97"/>
      <c r="KH37" s="97"/>
      <c r="KI37" s="97"/>
    </row>
    <row r="38" spans="1:295" s="4" customFormat="1" x14ac:dyDescent="0.25">
      <c r="B38" s="14"/>
      <c r="C38" s="270"/>
      <c r="D38" s="628"/>
      <c r="E38" s="629"/>
      <c r="F38" s="630"/>
      <c r="G38" s="630"/>
      <c r="H38" s="629"/>
      <c r="I38" s="629"/>
      <c r="J38" s="14"/>
      <c r="K38" s="50"/>
      <c r="L38" s="50"/>
      <c r="M38" s="50"/>
      <c r="N38" s="14"/>
      <c r="O38" s="50"/>
      <c r="P38" s="50"/>
      <c r="Q38" s="50"/>
      <c r="R38" s="14"/>
      <c r="S38" s="50"/>
      <c r="T38" s="50"/>
      <c r="U38" s="14"/>
      <c r="V38" s="50"/>
      <c r="W38" s="50"/>
      <c r="X38" s="14"/>
      <c r="Y38" s="50"/>
      <c r="Z38" s="14"/>
      <c r="AA38" s="14"/>
      <c r="AB38" s="50"/>
      <c r="AC38" s="50"/>
      <c r="AD38" s="50"/>
      <c r="AE38" s="50"/>
      <c r="AF38" s="50"/>
      <c r="AG38" s="50"/>
      <c r="AH38" s="50"/>
      <c r="AI38" s="14"/>
      <c r="AJ38" s="50"/>
      <c r="AK38" s="50"/>
      <c r="AL38" s="50"/>
      <c r="AM38" s="50"/>
      <c r="AN38" s="50"/>
      <c r="AO38" s="575"/>
      <c r="AP38" s="50"/>
      <c r="AQ38" s="50"/>
      <c r="AR38" s="50"/>
      <c r="AS38" s="50"/>
      <c r="AT38" s="14"/>
      <c r="AU38" s="14"/>
      <c r="AV38" s="14"/>
      <c r="AW38" s="14"/>
      <c r="AX38" s="102"/>
      <c r="AY38" s="14"/>
      <c r="AZ38" s="14"/>
      <c r="BA38" s="14"/>
      <c r="BB38" s="14"/>
      <c r="BC38" s="102"/>
      <c r="BD38" s="102"/>
      <c r="BE38" s="102"/>
      <c r="BF38" s="102"/>
      <c r="BG38" s="102"/>
      <c r="BH38" s="102"/>
      <c r="BI38" s="102"/>
      <c r="BJ38" s="102"/>
      <c r="BK38" s="102"/>
      <c r="BL38" s="102"/>
      <c r="BM38" s="102"/>
      <c r="BN38" s="102"/>
      <c r="BO38" s="102"/>
      <c r="BP38" s="102"/>
      <c r="BQ38" s="102"/>
      <c r="BR38" s="102"/>
      <c r="BS38" s="102"/>
      <c r="BT38" s="102"/>
      <c r="BU38" s="102"/>
      <c r="BV38" s="102"/>
      <c r="BW38" s="102"/>
      <c r="BX38" s="102"/>
      <c r="BY38" s="102"/>
      <c r="BZ38" s="102"/>
      <c r="CA38" s="102"/>
      <c r="CB38" s="102"/>
      <c r="CC38" s="102"/>
      <c r="CD38" s="102"/>
      <c r="CE38" s="102"/>
      <c r="CF38" s="102"/>
      <c r="CG38" s="102"/>
      <c r="CH38" s="102"/>
      <c r="CI38" s="102"/>
      <c r="CJ38" s="102"/>
      <c r="CK38" s="102"/>
      <c r="CL38" s="102"/>
      <c r="CM38" s="580"/>
      <c r="CW38" s="49"/>
      <c r="DP38" s="580"/>
      <c r="DQ38" s="580"/>
      <c r="DZ38" s="580"/>
      <c r="ED38" s="639"/>
      <c r="EE38" s="580"/>
      <c r="EK38" s="639"/>
      <c r="EL38" s="639"/>
      <c r="EM38" s="639"/>
      <c r="EN38" s="74"/>
      <c r="EO38" s="74"/>
      <c r="EP38" s="74"/>
      <c r="EQ38" s="74"/>
      <c r="ER38" s="74"/>
      <c r="ES38" s="74"/>
      <c r="ET38" s="74"/>
      <c r="EU38" s="74"/>
      <c r="EV38" s="74"/>
      <c r="EW38" s="74"/>
      <c r="EX38" s="74"/>
      <c r="EY38" s="74"/>
      <c r="EZ38" s="74"/>
      <c r="FA38" s="74"/>
      <c r="FB38" s="74"/>
      <c r="FC38" s="74"/>
      <c r="FD38" s="74"/>
      <c r="FE38" s="74"/>
      <c r="FF38" s="74"/>
      <c r="FG38" s="74"/>
      <c r="FH38" s="74"/>
      <c r="FI38" s="74"/>
      <c r="FJ38" s="74"/>
      <c r="FK38" s="74"/>
      <c r="FL38" s="74"/>
      <c r="FM38" s="74"/>
      <c r="FN38" s="74"/>
      <c r="FO38" s="74"/>
      <c r="FP38" s="74"/>
      <c r="FQ38" s="74"/>
      <c r="FR38" s="74"/>
      <c r="FS38" s="74"/>
      <c r="FT38" s="74"/>
      <c r="FU38" s="74"/>
      <c r="FV38" s="74"/>
      <c r="FW38" s="74"/>
      <c r="FX38" s="74"/>
      <c r="FY38" s="74"/>
      <c r="FZ38" s="74"/>
      <c r="GA38" s="74"/>
      <c r="GB38" s="74"/>
      <c r="GC38" s="74"/>
      <c r="GD38" s="74"/>
      <c r="GE38" s="74"/>
      <c r="GF38" s="74"/>
      <c r="KD38" s="97"/>
      <c r="KE38" s="97"/>
      <c r="KF38" s="97"/>
      <c r="KG38" s="97"/>
      <c r="KH38" s="97"/>
      <c r="KI38" s="97"/>
    </row>
    <row r="39" spans="1:295" s="4" customFormat="1" x14ac:dyDescent="0.25">
      <c r="A39" s="27" t="s">
        <v>209</v>
      </c>
      <c r="B39" s="14"/>
      <c r="C39" s="270"/>
      <c r="D39" s="625">
        <f>'Crops proc. &amp; prod. DISCOUNTED'!W60</f>
        <v>36.290909090909096</v>
      </c>
      <c r="E39" s="144">
        <f>E40+E41+E42</f>
        <v>12.684353707414832</v>
      </c>
      <c r="F39" s="577">
        <f>F40+F41+F42</f>
        <v>9.5602500000000017</v>
      </c>
      <c r="G39" s="626">
        <f>F39/D39</f>
        <v>0.26343374248496992</v>
      </c>
      <c r="H39" s="154"/>
      <c r="I39" s="154"/>
      <c r="J39" s="14"/>
      <c r="K39" s="50"/>
      <c r="L39" s="50"/>
      <c r="M39" s="50"/>
      <c r="N39" s="14"/>
      <c r="O39" s="50"/>
      <c r="P39" s="50"/>
      <c r="Q39" s="50"/>
      <c r="R39" s="14"/>
      <c r="S39" s="50"/>
      <c r="T39" s="50"/>
      <c r="U39" s="14"/>
      <c r="V39" s="50"/>
      <c r="W39" s="50"/>
      <c r="X39" s="14"/>
      <c r="Y39" s="50"/>
      <c r="Z39" s="14"/>
      <c r="AA39" s="14"/>
      <c r="AB39" s="50"/>
      <c r="AC39" s="50"/>
      <c r="AD39" s="50"/>
      <c r="AE39" s="50"/>
      <c r="AF39" s="50"/>
      <c r="AG39" s="50"/>
      <c r="AH39" s="50"/>
      <c r="AI39" s="14"/>
      <c r="AJ39" s="50"/>
      <c r="AK39" s="50"/>
      <c r="AL39" s="50"/>
      <c r="AM39" s="50"/>
      <c r="AN39" s="50"/>
      <c r="AO39" s="575"/>
      <c r="AP39" s="50"/>
      <c r="AQ39" s="50"/>
      <c r="AR39" s="50"/>
      <c r="AS39" s="50"/>
      <c r="AT39" s="14"/>
      <c r="AU39" s="14"/>
      <c r="AV39" s="14"/>
      <c r="AW39" s="14"/>
      <c r="AX39" s="102"/>
      <c r="AY39" s="14"/>
      <c r="AZ39" s="14"/>
      <c r="BA39" s="14"/>
      <c r="BB39" s="14"/>
      <c r="BC39" s="102"/>
      <c r="BD39" s="102"/>
      <c r="BE39" s="102"/>
      <c r="BF39" s="102"/>
      <c r="BG39" s="102"/>
      <c r="BH39" s="102"/>
      <c r="BI39" s="102"/>
      <c r="BJ39" s="102"/>
      <c r="BK39" s="102"/>
      <c r="BL39" s="102"/>
      <c r="BM39" s="102"/>
      <c r="BN39" s="102"/>
      <c r="BO39" s="102"/>
      <c r="BP39" s="102"/>
      <c r="BQ39" s="102"/>
      <c r="BR39" s="102"/>
      <c r="BS39" s="102"/>
      <c r="BT39" s="102"/>
      <c r="BU39" s="102"/>
      <c r="BV39" s="102"/>
      <c r="BW39" s="102"/>
      <c r="BX39" s="102"/>
      <c r="BY39" s="102"/>
      <c r="BZ39" s="102"/>
      <c r="CA39" s="102"/>
      <c r="CB39" s="102"/>
      <c r="CC39" s="102"/>
      <c r="CD39" s="102"/>
      <c r="CE39" s="102"/>
      <c r="CF39" s="102"/>
      <c r="CG39" s="102"/>
      <c r="CH39" s="102"/>
      <c r="CI39" s="102"/>
      <c r="CJ39" s="102"/>
      <c r="CK39" s="102"/>
      <c r="CL39" s="102"/>
      <c r="CM39" s="580"/>
      <c r="CW39" s="49"/>
      <c r="DP39" s="580"/>
      <c r="DQ39" s="580"/>
      <c r="DZ39" s="580"/>
      <c r="ED39" s="639"/>
      <c r="EE39" s="580"/>
      <c r="EK39" s="639"/>
      <c r="EL39" s="639"/>
      <c r="EM39" s="639"/>
      <c r="EN39" s="74"/>
      <c r="EO39" s="74"/>
      <c r="EP39" s="74"/>
      <c r="EQ39" s="74"/>
      <c r="ER39" s="74"/>
      <c r="ES39" s="74"/>
      <c r="ET39" s="74"/>
      <c r="EU39" s="74"/>
      <c r="EV39" s="74"/>
      <c r="EW39" s="74"/>
      <c r="EX39" s="74"/>
      <c r="EY39" s="74"/>
      <c r="EZ39" s="74"/>
      <c r="FA39" s="74"/>
      <c r="FB39" s="74"/>
      <c r="FC39" s="74"/>
      <c r="FD39" s="74"/>
      <c r="FE39" s="74"/>
      <c r="FF39" s="74"/>
      <c r="FG39" s="74"/>
      <c r="FH39" s="74"/>
      <c r="FI39" s="74"/>
      <c r="FJ39" s="74"/>
      <c r="FK39" s="74"/>
      <c r="FL39" s="74"/>
      <c r="FM39" s="74"/>
      <c r="FN39" s="74"/>
      <c r="FO39" s="74"/>
      <c r="FP39" s="74"/>
      <c r="FQ39" s="74"/>
      <c r="FR39" s="74"/>
      <c r="FS39" s="74"/>
      <c r="FT39" s="74"/>
      <c r="FU39" s="74"/>
      <c r="FV39" s="74"/>
      <c r="FW39" s="74"/>
      <c r="FX39" s="74"/>
      <c r="FY39" s="74"/>
      <c r="FZ39" s="74"/>
      <c r="GA39" s="74"/>
      <c r="GB39" s="74"/>
      <c r="GC39" s="74"/>
      <c r="GD39" s="74"/>
      <c r="GE39" s="74"/>
      <c r="GF39" s="74"/>
      <c r="KD39" s="97"/>
      <c r="KE39" s="97"/>
      <c r="KF39" s="97"/>
      <c r="KG39" s="97"/>
      <c r="KH39" s="97"/>
      <c r="KI39" s="97"/>
    </row>
    <row r="40" spans="1:295" s="4" customFormat="1" x14ac:dyDescent="0.25">
      <c r="A40" s="37" t="s">
        <v>176</v>
      </c>
      <c r="B40" s="14"/>
      <c r="C40" s="627">
        <f>D40/(D40+D41+D42)</f>
        <v>0.46292585170340678</v>
      </c>
      <c r="D40" s="628">
        <f>'Crops proc. &amp; prod. DISCOUNTED'!W64</f>
        <v>16.8</v>
      </c>
      <c r="E40" s="629">
        <f>F40/GG40</f>
        <v>6.3224098196392795</v>
      </c>
      <c r="F40" s="630">
        <f>BX62</f>
        <v>4.4256868737474955</v>
      </c>
      <c r="G40" s="630"/>
      <c r="H40" s="629"/>
      <c r="I40" s="629"/>
      <c r="J40" s="14"/>
      <c r="K40" s="50"/>
      <c r="L40" s="50"/>
      <c r="M40" s="50"/>
      <c r="N40" s="14"/>
      <c r="O40" s="50"/>
      <c r="P40" s="50"/>
      <c r="Q40" s="50"/>
      <c r="R40" s="14"/>
      <c r="S40" s="50"/>
      <c r="T40" s="50"/>
      <c r="U40" s="14"/>
      <c r="V40" s="50"/>
      <c r="W40" s="50"/>
      <c r="X40" s="14"/>
      <c r="Y40" s="50"/>
      <c r="Z40" s="14"/>
      <c r="AA40" s="14"/>
      <c r="AB40" s="50"/>
      <c r="AC40" s="50"/>
      <c r="AD40" s="50"/>
      <c r="AE40" s="50"/>
      <c r="AF40" s="50"/>
      <c r="AG40" s="50"/>
      <c r="AH40" s="50"/>
      <c r="AI40" s="14"/>
      <c r="AJ40" s="50"/>
      <c r="AK40" s="50"/>
      <c r="AL40" s="50"/>
      <c r="AM40" s="50"/>
      <c r="AN40" s="50"/>
      <c r="AO40" s="575"/>
      <c r="AP40" s="50"/>
      <c r="AQ40" s="50"/>
      <c r="AR40" s="50"/>
      <c r="AS40" s="50"/>
      <c r="AT40" s="14"/>
      <c r="AU40" s="14"/>
      <c r="AV40" s="14"/>
      <c r="AW40" s="14"/>
      <c r="AX40" s="102"/>
      <c r="AY40" s="14"/>
      <c r="AZ40" s="14"/>
      <c r="BA40" s="14"/>
      <c r="BB40" s="14"/>
      <c r="BC40" s="102"/>
      <c r="BD40" s="102"/>
      <c r="BE40" s="102"/>
      <c r="BF40" s="102"/>
      <c r="BG40" s="102"/>
      <c r="BH40" s="102"/>
      <c r="BI40" s="102"/>
      <c r="BJ40" s="102"/>
      <c r="BK40" s="102"/>
      <c r="BL40" s="102"/>
      <c r="BM40" s="102"/>
      <c r="BN40" s="102"/>
      <c r="BO40" s="102"/>
      <c r="BP40" s="102"/>
      <c r="BQ40" s="102"/>
      <c r="BR40" s="102"/>
      <c r="BS40" s="102"/>
      <c r="BT40" s="102"/>
      <c r="BU40" s="102"/>
      <c r="BV40" s="102"/>
      <c r="BW40" s="102"/>
      <c r="BX40" s="102"/>
      <c r="BY40" s="102"/>
      <c r="BZ40" s="102"/>
      <c r="CA40" s="102"/>
      <c r="CB40" s="102"/>
      <c r="CC40" s="102"/>
      <c r="CD40" s="102"/>
      <c r="CE40" s="102"/>
      <c r="CF40" s="102"/>
      <c r="CG40" s="102"/>
      <c r="CH40" s="102"/>
      <c r="CI40" s="102"/>
      <c r="CJ40" s="102"/>
      <c r="CK40" s="102"/>
      <c r="CL40" s="102"/>
      <c r="CM40" s="125">
        <f>'Crops proc. &amp; prod. DISCOUNTED'!AE64</f>
        <v>1.2371749639518339</v>
      </c>
      <c r="CW40" s="49"/>
      <c r="DP40" s="125">
        <f>'Crops proc. &amp; prod. DISCOUNTED'!BW64</f>
        <v>0.42324149208981643</v>
      </c>
      <c r="DQ40" s="125">
        <f>'Crops proc. &amp; prod. DISCOUNTED'!DM64</f>
        <v>0.4547147545946954</v>
      </c>
      <c r="DZ40" s="125">
        <f>'Crops proc. &amp; prod. DISCOUNTED'!FF64</f>
        <v>0.91155051343971127</v>
      </c>
      <c r="ED40" s="333">
        <f>'Crops proc. &amp; prod. DISCOUNTED'!GZ64</f>
        <v>0.15005826776879688</v>
      </c>
      <c r="EE40" s="125"/>
      <c r="EJ40" s="264">
        <f t="shared" ref="EJ40:EJ42" si="6">EK40+EL40+EM40</f>
        <v>0.24712475186492067</v>
      </c>
      <c r="EK40" s="333">
        <f>'Crops proc. &amp; prod. DISCOUNTED'!JB64</f>
        <v>0.14178523164745549</v>
      </c>
      <c r="EL40" s="333">
        <f>'Crops proc. &amp; prod. DISCOUNTED'!JC64</f>
        <v>0.10533952021746518</v>
      </c>
      <c r="EM40" s="333">
        <f>'Crops proc. &amp; prod. DISCOUNTED'!JD64</f>
        <v>0</v>
      </c>
      <c r="EN40" s="74"/>
      <c r="EO40" s="74"/>
      <c r="EP40" s="74"/>
      <c r="EQ40" s="74"/>
      <c r="ER40" s="74"/>
      <c r="ES40" s="74"/>
      <c r="ET40" s="74"/>
      <c r="EU40" s="74"/>
      <c r="EV40" s="74"/>
      <c r="EW40" s="74"/>
      <c r="EX40" s="74"/>
      <c r="EY40" s="74"/>
      <c r="EZ40" s="74"/>
      <c r="FA40" s="74"/>
      <c r="FB40" s="74"/>
      <c r="FC40" s="74"/>
      <c r="FD40" s="74"/>
      <c r="FE40" s="74"/>
      <c r="FF40" s="74"/>
      <c r="FG40" s="74"/>
      <c r="FH40" s="74"/>
      <c r="FI40" s="74"/>
      <c r="FJ40" s="74"/>
      <c r="FK40" s="74"/>
      <c r="FL40" s="74"/>
      <c r="FM40" s="74"/>
      <c r="FN40" s="74"/>
      <c r="FO40" s="74"/>
      <c r="FP40" s="74"/>
      <c r="FQ40" s="74"/>
      <c r="FR40" s="74"/>
      <c r="FS40" s="74"/>
      <c r="FT40" s="74"/>
      <c r="FU40" s="74"/>
      <c r="FV40" s="74"/>
      <c r="FW40" s="74"/>
      <c r="FX40" s="74"/>
      <c r="FY40" s="74"/>
      <c r="FZ40" s="74"/>
      <c r="GA40" s="74"/>
      <c r="GB40" s="74"/>
      <c r="GC40" s="74"/>
      <c r="GD40" s="74"/>
      <c r="GE40" s="74"/>
      <c r="GF40" s="74"/>
      <c r="GG40" s="631">
        <f>'Crops proc. &amp; prod. DISCOUNTED'!NT64</f>
        <v>0.7</v>
      </c>
      <c r="GH40" s="41">
        <f>'Crops proc. &amp; prod. DISCOUNTED'!NV64</f>
        <v>11.2</v>
      </c>
      <c r="GI40" s="41">
        <f>'Crops proc. &amp; prod. DISCOUNTED'!NW64</f>
        <v>16</v>
      </c>
      <c r="GL40" s="631">
        <f>'Crops proc. &amp; prod. DISCOUNTED'!OC64</f>
        <v>5.5999999999999994E-2</v>
      </c>
      <c r="GM40" s="631">
        <f>'Crops proc. &amp; prod. DISCOUNTED'!OD64</f>
        <v>0.08</v>
      </c>
      <c r="KD40" s="97"/>
      <c r="KE40" s="97"/>
      <c r="KF40" s="97"/>
      <c r="KG40" s="97"/>
      <c r="KH40" s="97"/>
      <c r="KI40" s="97"/>
    </row>
    <row r="41" spans="1:295" s="4" customFormat="1" x14ac:dyDescent="0.25">
      <c r="A41" s="37" t="s">
        <v>179</v>
      </c>
      <c r="B41" s="14"/>
      <c r="C41" s="627">
        <f>D41/(D40+D41+D42)</f>
        <v>0.21643286573146289</v>
      </c>
      <c r="D41" s="628">
        <f>'Crops proc. &amp; prod. DISCOUNTED'!W69</f>
        <v>7.8545454545454545</v>
      </c>
      <c r="E41" s="629">
        <f>F41/GG41</f>
        <v>2.9559318637274554</v>
      </c>
      <c r="F41" s="630">
        <f>BY62</f>
        <v>2.0691523046092186</v>
      </c>
      <c r="G41" s="630"/>
      <c r="H41" s="629"/>
      <c r="I41" s="629"/>
      <c r="J41" s="14"/>
      <c r="K41" s="50"/>
      <c r="L41" s="50"/>
      <c r="M41" s="50"/>
      <c r="N41" s="14"/>
      <c r="O41" s="50"/>
      <c r="P41" s="50"/>
      <c r="Q41" s="50"/>
      <c r="R41" s="14"/>
      <c r="S41" s="50"/>
      <c r="T41" s="50"/>
      <c r="U41" s="14"/>
      <c r="V41" s="50"/>
      <c r="W41" s="50"/>
      <c r="X41" s="14"/>
      <c r="Y41" s="50"/>
      <c r="Z41" s="14"/>
      <c r="AA41" s="14"/>
      <c r="AB41" s="50"/>
      <c r="AC41" s="50"/>
      <c r="AD41" s="50"/>
      <c r="AE41" s="50"/>
      <c r="AF41" s="50"/>
      <c r="AG41" s="50"/>
      <c r="AH41" s="50"/>
      <c r="AI41" s="14"/>
      <c r="AJ41" s="50"/>
      <c r="AK41" s="50"/>
      <c r="AL41" s="50"/>
      <c r="AM41" s="50"/>
      <c r="AN41" s="50"/>
      <c r="AO41" s="575"/>
      <c r="AP41" s="50"/>
      <c r="AQ41" s="50"/>
      <c r="AR41" s="50"/>
      <c r="AS41" s="50"/>
      <c r="AT41" s="14"/>
      <c r="AU41" s="14"/>
      <c r="AV41" s="14"/>
      <c r="AW41" s="14"/>
      <c r="AX41" s="102"/>
      <c r="AY41" s="14"/>
      <c r="AZ41" s="14"/>
      <c r="BA41" s="14"/>
      <c r="BB41" s="14"/>
      <c r="BC41" s="102"/>
      <c r="BD41" s="102"/>
      <c r="BE41" s="102"/>
      <c r="BF41" s="102"/>
      <c r="BG41" s="102"/>
      <c r="BH41" s="102"/>
      <c r="BI41" s="102"/>
      <c r="BJ41" s="102"/>
      <c r="BK41" s="102"/>
      <c r="BL41" s="102"/>
      <c r="BM41" s="102"/>
      <c r="BN41" s="102"/>
      <c r="BO41" s="102"/>
      <c r="BP41" s="102"/>
      <c r="BQ41" s="102"/>
      <c r="BR41" s="102"/>
      <c r="BS41" s="102"/>
      <c r="BT41" s="102"/>
      <c r="BU41" s="102"/>
      <c r="BV41" s="102"/>
      <c r="BW41" s="102"/>
      <c r="BX41" s="102"/>
      <c r="BY41" s="102"/>
      <c r="BZ41" s="102"/>
      <c r="CA41" s="102"/>
      <c r="CB41" s="102"/>
      <c r="CC41" s="102"/>
      <c r="CD41" s="102"/>
      <c r="CE41" s="102"/>
      <c r="CF41" s="102"/>
      <c r="CG41" s="102"/>
      <c r="CH41" s="102"/>
      <c r="CI41" s="102"/>
      <c r="CJ41" s="102"/>
      <c r="CK41" s="102"/>
      <c r="CL41" s="102"/>
      <c r="CM41" s="125">
        <f>'Crops proc. &amp; prod. DISCOUNTED'!AE69</f>
        <v>0.93603324122936415</v>
      </c>
      <c r="CW41" s="49"/>
      <c r="DP41" s="125">
        <f>'Crops proc. &amp; prod. DISCOUNTED'!BW69</f>
        <v>0.20736833916882952</v>
      </c>
      <c r="DQ41" s="125">
        <f>'Crops proc. &amp; prod. DISCOUNTED'!DM69</f>
        <v>0.24338815223052354</v>
      </c>
      <c r="DZ41" s="125">
        <f>'Crops proc. &amp; prod. DISCOUNTED'!FF69</f>
        <v>0.4879115816873571</v>
      </c>
      <c r="ED41" s="333">
        <f>'Crops proc. &amp; prod. DISCOUNTED'!GZ69</f>
        <v>5.4255006326989062E-2</v>
      </c>
      <c r="EE41" s="125"/>
      <c r="EJ41" s="264">
        <f t="shared" si="6"/>
        <v>0.25908162573328969</v>
      </c>
      <c r="EK41" s="333">
        <f>'Crops proc. &amp; prod. DISCOUNTED'!JB69</f>
        <v>0.13907215108493293</v>
      </c>
      <c r="EL41" s="333">
        <f>'Crops proc. &amp; prod. DISCOUNTED'!JC69</f>
        <v>0.12000947464835678</v>
      </c>
      <c r="EM41" s="333">
        <f>'Crops proc. &amp; prod. DISCOUNTED'!JD69</f>
        <v>0</v>
      </c>
      <c r="EN41" s="74"/>
      <c r="EO41" s="74"/>
      <c r="EP41" s="74"/>
      <c r="EQ41" s="74"/>
      <c r="ER41" s="74"/>
      <c r="ES41" s="74"/>
      <c r="ET41" s="74"/>
      <c r="EU41" s="74"/>
      <c r="EV41" s="74"/>
      <c r="EW41" s="74"/>
      <c r="EX41" s="74"/>
      <c r="EY41" s="74"/>
      <c r="EZ41" s="74"/>
      <c r="FA41" s="74"/>
      <c r="FB41" s="74"/>
      <c r="FC41" s="74"/>
      <c r="FD41" s="74"/>
      <c r="FE41" s="74"/>
      <c r="FF41" s="74"/>
      <c r="FG41" s="74"/>
      <c r="FH41" s="74"/>
      <c r="FI41" s="74"/>
      <c r="FJ41" s="74"/>
      <c r="FK41" s="74"/>
      <c r="FL41" s="74"/>
      <c r="FM41" s="74"/>
      <c r="FN41" s="74"/>
      <c r="FO41" s="74"/>
      <c r="FP41" s="74"/>
      <c r="FQ41" s="74"/>
      <c r="FR41" s="74"/>
      <c r="FS41" s="74"/>
      <c r="FT41" s="74"/>
      <c r="FU41" s="74"/>
      <c r="FV41" s="74"/>
      <c r="FW41" s="74"/>
      <c r="FX41" s="74"/>
      <c r="FY41" s="74"/>
      <c r="FZ41" s="74"/>
      <c r="GA41" s="74"/>
      <c r="GB41" s="74"/>
      <c r="GC41" s="74"/>
      <c r="GD41" s="74"/>
      <c r="GE41" s="74"/>
      <c r="GF41" s="74"/>
      <c r="GG41" s="631">
        <f>'Crops proc. &amp; prod. DISCOUNTED'!NT69</f>
        <v>0.7</v>
      </c>
      <c r="GH41" s="41">
        <f>'Crops proc. &amp; prod. DISCOUNTED'!NV69</f>
        <v>11.2</v>
      </c>
      <c r="GI41" s="41">
        <f>'Crops proc. &amp; prod. DISCOUNTED'!NW69</f>
        <v>16</v>
      </c>
      <c r="GL41" s="631">
        <f>'Crops proc. &amp; prod. DISCOUNTED'!OC69</f>
        <v>5.5999999999999994E-2</v>
      </c>
      <c r="GM41" s="631">
        <f>'Crops proc. &amp; prod. DISCOUNTED'!OD69</f>
        <v>0.08</v>
      </c>
      <c r="KD41" s="97"/>
      <c r="KE41" s="97"/>
      <c r="KF41" s="97"/>
      <c r="KG41" s="97"/>
      <c r="KH41" s="97"/>
      <c r="KI41" s="97"/>
    </row>
    <row r="42" spans="1:295" s="4" customFormat="1" x14ac:dyDescent="0.25">
      <c r="A42" s="37" t="s">
        <v>180</v>
      </c>
      <c r="B42" s="14"/>
      <c r="C42" s="627">
        <f>D42/(D40+D41+D42)</f>
        <v>0.32064128256513025</v>
      </c>
      <c r="D42" s="628">
        <f>'Crops proc. &amp; prod. DISCOUNTED'!W70</f>
        <v>11.636363636363637</v>
      </c>
      <c r="E42" s="629">
        <f>F42/GG42</f>
        <v>3.4060120240480969</v>
      </c>
      <c r="F42" s="630">
        <f>BZ62</f>
        <v>3.0654108216432872</v>
      </c>
      <c r="G42" s="630"/>
      <c r="H42" s="629"/>
      <c r="I42" s="629"/>
      <c r="J42" s="14"/>
      <c r="K42" s="50"/>
      <c r="L42" s="50"/>
      <c r="M42" s="50"/>
      <c r="N42" s="14"/>
      <c r="O42" s="50"/>
      <c r="P42" s="50"/>
      <c r="Q42" s="50"/>
      <c r="R42" s="14"/>
      <c r="S42" s="50"/>
      <c r="T42" s="50"/>
      <c r="U42" s="14"/>
      <c r="V42" s="50"/>
      <c r="W42" s="50"/>
      <c r="X42" s="14"/>
      <c r="Y42" s="50"/>
      <c r="Z42" s="14"/>
      <c r="AA42" s="14"/>
      <c r="AB42" s="50"/>
      <c r="AC42" s="50"/>
      <c r="AD42" s="50"/>
      <c r="AE42" s="50"/>
      <c r="AF42" s="50"/>
      <c r="AG42" s="50"/>
      <c r="AH42" s="50"/>
      <c r="AI42" s="14"/>
      <c r="AJ42" s="50"/>
      <c r="AK42" s="50"/>
      <c r="AL42" s="50"/>
      <c r="AM42" s="50"/>
      <c r="AN42" s="50"/>
      <c r="AO42" s="575"/>
      <c r="AP42" s="50"/>
      <c r="AQ42" s="50"/>
      <c r="AR42" s="50"/>
      <c r="AS42" s="50"/>
      <c r="AT42" s="14"/>
      <c r="AU42" s="14"/>
      <c r="AV42" s="14"/>
      <c r="AW42" s="14"/>
      <c r="AX42" s="102"/>
      <c r="AY42" s="14"/>
      <c r="AZ42" s="14"/>
      <c r="BA42" s="14"/>
      <c r="BB42" s="14"/>
      <c r="BC42" s="102"/>
      <c r="BD42" s="102"/>
      <c r="BE42" s="102"/>
      <c r="BF42" s="102"/>
      <c r="BG42" s="102"/>
      <c r="BH42" s="102"/>
      <c r="BI42" s="102"/>
      <c r="BJ42" s="102"/>
      <c r="BK42" s="102"/>
      <c r="BL42" s="102"/>
      <c r="BM42" s="102"/>
      <c r="BN42" s="102"/>
      <c r="BO42" s="102"/>
      <c r="BP42" s="102"/>
      <c r="BQ42" s="102"/>
      <c r="BR42" s="102"/>
      <c r="BS42" s="102"/>
      <c r="BT42" s="102"/>
      <c r="BU42" s="102"/>
      <c r="BV42" s="102"/>
      <c r="BW42" s="102"/>
      <c r="BX42" s="102"/>
      <c r="BY42" s="102"/>
      <c r="BZ42" s="102"/>
      <c r="CA42" s="102"/>
      <c r="CB42" s="102"/>
      <c r="CC42" s="102"/>
      <c r="CD42" s="102"/>
      <c r="CE42" s="102"/>
      <c r="CF42" s="102"/>
      <c r="CG42" s="102"/>
      <c r="CH42" s="102"/>
      <c r="CI42" s="102"/>
      <c r="CJ42" s="102"/>
      <c r="CK42" s="102"/>
      <c r="CL42" s="102"/>
      <c r="CM42" s="125">
        <f>'Crops proc. &amp; prod. DISCOUNTED'!AE70</f>
        <v>1.0237863575946171</v>
      </c>
      <c r="CW42" s="49"/>
      <c r="DP42" s="125">
        <f>'Crops proc. &amp; prod. DISCOUNTED'!BW70</f>
        <v>0.22680912096590727</v>
      </c>
      <c r="DQ42" s="125">
        <f>'Crops proc. &amp; prod. DISCOUNTED'!DM70</f>
        <v>0.26620579150213514</v>
      </c>
      <c r="DZ42" s="125">
        <f>'Crops proc. &amp; prod. DISCOUNTED'!FF70</f>
        <v>0.53365329247054694</v>
      </c>
      <c r="ED42" s="333">
        <f>'Crops proc. &amp; prod. DISCOUNTED'!GZ70</f>
        <v>5.9341413170144297E-2</v>
      </c>
      <c r="EE42" s="125"/>
      <c r="EJ42" s="264">
        <f t="shared" si="6"/>
        <v>0.28337052814578567</v>
      </c>
      <c r="EK42" s="333">
        <f>'Crops proc. &amp; prod. DISCOUNTED'!JB70</f>
        <v>0.15211016524914542</v>
      </c>
      <c r="EL42" s="333">
        <f>'Crops proc. &amp; prod. DISCOUNTED'!JC70</f>
        <v>0.13126036289664025</v>
      </c>
      <c r="EM42" s="333">
        <f>'Crops proc. &amp; prod. DISCOUNTED'!JD70</f>
        <v>0</v>
      </c>
      <c r="EN42" s="60"/>
      <c r="EO42" s="60"/>
      <c r="EP42" s="60"/>
      <c r="EQ42" s="60"/>
      <c r="ER42" s="60"/>
      <c r="ES42" s="60"/>
      <c r="ET42" s="60"/>
      <c r="EU42" s="60"/>
      <c r="EV42" s="60"/>
      <c r="EW42" s="60"/>
      <c r="EX42" s="60"/>
      <c r="EY42" s="60"/>
      <c r="EZ42" s="60"/>
      <c r="FA42" s="60"/>
      <c r="FB42" s="60"/>
      <c r="FC42" s="60"/>
      <c r="FD42" s="60"/>
      <c r="FE42" s="60"/>
      <c r="FF42" s="60"/>
      <c r="FG42" s="60"/>
      <c r="FH42" s="60"/>
      <c r="FI42" s="60"/>
      <c r="FJ42" s="60"/>
      <c r="FK42" s="60"/>
      <c r="FL42" s="60"/>
      <c r="FM42" s="60"/>
      <c r="FN42" s="60"/>
      <c r="FO42" s="60"/>
      <c r="FP42" s="60"/>
      <c r="FQ42" s="60"/>
      <c r="FR42" s="60"/>
      <c r="FS42" s="60"/>
      <c r="FT42" s="60"/>
      <c r="FU42" s="60"/>
      <c r="FV42" s="60"/>
      <c r="FW42" s="60"/>
      <c r="FX42" s="60"/>
      <c r="FY42" s="60"/>
      <c r="FZ42" s="60"/>
      <c r="GA42" s="60"/>
      <c r="GB42" s="60"/>
      <c r="GC42" s="60"/>
      <c r="GD42" s="60"/>
      <c r="GE42" s="60"/>
      <c r="GF42" s="60"/>
      <c r="GG42" s="631">
        <f>'Crops proc. &amp; prod. DISCOUNTED'!NT70</f>
        <v>0.9</v>
      </c>
      <c r="GH42" s="41">
        <f>'Crops proc. &amp; prod. DISCOUNTED'!NV70</f>
        <v>15.75</v>
      </c>
      <c r="GI42" s="41">
        <f>'Crops proc. &amp; prod. DISCOUNTED'!NW70</f>
        <v>17.5</v>
      </c>
      <c r="GL42" s="631">
        <f>'Crops proc. &amp; prod. DISCOUNTED'!OC70</f>
        <v>9.0000000000000011E-2</v>
      </c>
      <c r="GM42" s="631">
        <f>'Crops proc. &amp; prod. DISCOUNTED'!OD70</f>
        <v>0.1</v>
      </c>
      <c r="KD42" s="97"/>
      <c r="KE42" s="97"/>
      <c r="KF42" s="97"/>
      <c r="KG42" s="97"/>
      <c r="KH42" s="97"/>
      <c r="KI42" s="97"/>
    </row>
    <row r="43" spans="1:295" s="4" customFormat="1" x14ac:dyDescent="0.25">
      <c r="A43" s="37"/>
      <c r="B43" s="14"/>
      <c r="C43" s="102"/>
      <c r="D43" s="630"/>
      <c r="E43" s="629"/>
      <c r="F43" s="630"/>
      <c r="G43" s="630"/>
      <c r="H43" s="629"/>
      <c r="I43" s="629"/>
      <c r="J43" s="14"/>
      <c r="K43" s="50"/>
      <c r="L43" s="50"/>
      <c r="M43" s="50"/>
      <c r="N43" s="14"/>
      <c r="O43" s="50"/>
      <c r="P43" s="50"/>
      <c r="Q43" s="50"/>
      <c r="R43" s="14"/>
      <c r="S43" s="50"/>
      <c r="T43" s="50"/>
      <c r="U43" s="14"/>
      <c r="V43" s="50"/>
      <c r="W43" s="50"/>
      <c r="X43" s="14"/>
      <c r="Y43" s="50"/>
      <c r="Z43" s="14"/>
      <c r="AA43" s="14"/>
      <c r="AB43" s="50"/>
      <c r="AC43" s="50"/>
      <c r="AD43" s="50"/>
      <c r="AE43" s="50"/>
      <c r="AF43" s="50"/>
      <c r="AG43" s="50"/>
      <c r="AH43" s="50"/>
      <c r="AI43" s="14"/>
      <c r="AJ43" s="50"/>
      <c r="AK43" s="50"/>
      <c r="AL43" s="50"/>
      <c r="AM43" s="50"/>
      <c r="AN43" s="50"/>
      <c r="AO43" s="575"/>
      <c r="AP43" s="50"/>
      <c r="AQ43" s="50"/>
      <c r="AR43" s="50"/>
      <c r="AS43" s="50"/>
      <c r="AT43" s="14"/>
      <c r="AU43" s="14"/>
      <c r="AV43" s="14"/>
      <c r="AW43" s="14"/>
      <c r="AX43" s="102"/>
      <c r="AY43" s="14"/>
      <c r="AZ43" s="14"/>
      <c r="BA43" s="14"/>
      <c r="BB43" s="14"/>
      <c r="BC43" s="102"/>
      <c r="BD43" s="102"/>
      <c r="BE43" s="102"/>
      <c r="BF43" s="102"/>
      <c r="BG43" s="102"/>
      <c r="BH43" s="102"/>
      <c r="BI43" s="102"/>
      <c r="BJ43" s="102"/>
      <c r="BK43" s="102"/>
      <c r="BL43" s="102"/>
      <c r="BM43" s="102"/>
      <c r="BN43" s="102"/>
      <c r="BO43" s="102"/>
      <c r="BP43" s="102"/>
      <c r="BQ43" s="102"/>
      <c r="BR43" s="102"/>
      <c r="BS43" s="102"/>
      <c r="BT43" s="102"/>
      <c r="BU43" s="102"/>
      <c r="BV43" s="102"/>
      <c r="BW43" s="102"/>
      <c r="BX43" s="102"/>
      <c r="BY43" s="102"/>
      <c r="BZ43" s="102"/>
      <c r="CA43" s="102"/>
      <c r="CB43" s="102"/>
      <c r="CC43" s="102"/>
      <c r="CD43" s="102"/>
      <c r="CE43" s="102"/>
      <c r="CF43" s="102"/>
      <c r="CG43" s="102"/>
      <c r="CH43" s="102"/>
      <c r="CI43" s="102"/>
      <c r="CJ43" s="102"/>
      <c r="CK43" s="102"/>
      <c r="CL43" s="102"/>
      <c r="CM43" s="580"/>
      <c r="CW43" s="49"/>
      <c r="DP43" s="580"/>
      <c r="DQ43" s="580"/>
      <c r="DZ43" s="580"/>
      <c r="ED43" s="639"/>
      <c r="EE43" s="580"/>
      <c r="EK43" s="639"/>
      <c r="EL43" s="639"/>
      <c r="EM43" s="639"/>
      <c r="EN43" s="74"/>
      <c r="EO43" s="74"/>
      <c r="EP43" s="74"/>
      <c r="EQ43" s="74"/>
      <c r="ER43" s="74"/>
      <c r="ES43" s="74"/>
      <c r="ET43" s="74"/>
      <c r="EU43" s="74"/>
      <c r="EV43" s="74"/>
      <c r="EW43" s="74"/>
      <c r="EX43" s="74"/>
      <c r="EY43" s="74"/>
      <c r="EZ43" s="74"/>
      <c r="FA43" s="74"/>
      <c r="FB43" s="74"/>
      <c r="FC43" s="74"/>
      <c r="FD43" s="74"/>
      <c r="FE43" s="74"/>
      <c r="FF43" s="74"/>
      <c r="FG43" s="74"/>
      <c r="FH43" s="74"/>
      <c r="FI43" s="74"/>
      <c r="FJ43" s="74"/>
      <c r="FK43" s="74"/>
      <c r="FL43" s="74"/>
      <c r="FM43" s="74"/>
      <c r="FN43" s="74"/>
      <c r="FO43" s="74"/>
      <c r="FP43" s="74"/>
      <c r="FQ43" s="74"/>
      <c r="FR43" s="74"/>
      <c r="FS43" s="74"/>
      <c r="FT43" s="74"/>
      <c r="FU43" s="74"/>
      <c r="FV43" s="74"/>
      <c r="FW43" s="74"/>
      <c r="FX43" s="74"/>
      <c r="FY43" s="74"/>
      <c r="FZ43" s="74"/>
      <c r="GA43" s="74"/>
      <c r="GB43" s="74"/>
      <c r="GC43" s="74"/>
      <c r="GD43" s="74"/>
      <c r="GE43" s="74"/>
      <c r="GF43" s="74"/>
      <c r="KD43" s="97"/>
      <c r="KE43" s="97"/>
      <c r="KF43" s="97"/>
      <c r="KG43" s="97"/>
      <c r="KH43" s="97"/>
      <c r="KI43" s="97"/>
    </row>
    <row r="44" spans="1:295" s="4" customFormat="1" x14ac:dyDescent="0.25">
      <c r="A44" s="9" t="s">
        <v>372</v>
      </c>
      <c r="B44" s="14"/>
      <c r="C44" s="102"/>
      <c r="D44" s="640">
        <f>'Crops proc. &amp; prod. DISCOUNTED'!W76</f>
        <v>204.46510521410704</v>
      </c>
      <c r="E44" s="144">
        <f>E45+E46+E47+E48+E49+E50</f>
        <v>206.44165566591701</v>
      </c>
      <c r="F44" s="577">
        <f>F45+F46+F47+F48+F49+F50</f>
        <v>189.49882500000001</v>
      </c>
      <c r="G44" s="626">
        <f>F44/D44</f>
        <v>0.9268027656922927</v>
      </c>
      <c r="H44" s="154"/>
      <c r="I44" s="154"/>
      <c r="J44" s="14"/>
      <c r="K44" s="50"/>
      <c r="L44" s="50"/>
      <c r="M44" s="50"/>
      <c r="N44" s="14"/>
      <c r="O44" s="50"/>
      <c r="P44" s="50"/>
      <c r="Q44" s="50"/>
      <c r="R44" s="14"/>
      <c r="S44" s="50"/>
      <c r="T44" s="50"/>
      <c r="U44" s="14"/>
      <c r="V44" s="50"/>
      <c r="W44" s="50"/>
      <c r="X44" s="14"/>
      <c r="Y44" s="50"/>
      <c r="Z44" s="14"/>
      <c r="AA44" s="14"/>
      <c r="AB44" s="50"/>
      <c r="AC44" s="50"/>
      <c r="AD44" s="50"/>
      <c r="AE44" s="50"/>
      <c r="AF44" s="50"/>
      <c r="AG44" s="50"/>
      <c r="AH44" s="50"/>
      <c r="AI44" s="14"/>
      <c r="AJ44" s="50"/>
      <c r="AK44" s="50"/>
      <c r="AL44" s="50"/>
      <c r="AM44" s="50"/>
      <c r="AN44" s="50"/>
      <c r="AO44" s="575"/>
      <c r="AP44" s="50"/>
      <c r="AQ44" s="50"/>
      <c r="AR44" s="50"/>
      <c r="AS44" s="50"/>
      <c r="AT44" s="14"/>
      <c r="AU44" s="14"/>
      <c r="AV44" s="14"/>
      <c r="AW44" s="14"/>
      <c r="AX44" s="102"/>
      <c r="AY44" s="14"/>
      <c r="AZ44" s="14"/>
      <c r="BA44" s="14"/>
      <c r="BB44" s="14"/>
      <c r="BC44" s="102"/>
      <c r="BD44" s="102"/>
      <c r="BE44" s="102"/>
      <c r="BF44" s="102"/>
      <c r="BG44" s="102"/>
      <c r="BH44" s="102"/>
      <c r="BI44" s="102"/>
      <c r="BJ44" s="102"/>
      <c r="BK44" s="102"/>
      <c r="BL44" s="102"/>
      <c r="BM44" s="102"/>
      <c r="BN44" s="102"/>
      <c r="BO44" s="102"/>
      <c r="BP44" s="102"/>
      <c r="BQ44" s="102"/>
      <c r="BR44" s="102"/>
      <c r="BS44" s="102"/>
      <c r="BT44" s="102"/>
      <c r="BU44" s="102"/>
      <c r="BV44" s="102"/>
      <c r="BW44" s="102"/>
      <c r="BX44" s="102"/>
      <c r="BY44" s="102"/>
      <c r="BZ44" s="102"/>
      <c r="CA44" s="102"/>
      <c r="CB44" s="102"/>
      <c r="CC44" s="102"/>
      <c r="CD44" s="102"/>
      <c r="CE44" s="102"/>
      <c r="CF44" s="102"/>
      <c r="CG44" s="102"/>
      <c r="CH44" s="102"/>
      <c r="CI44" s="102"/>
      <c r="CJ44" s="102"/>
      <c r="CK44" s="102"/>
      <c r="CL44" s="102"/>
      <c r="CM44" s="580"/>
      <c r="CW44" s="49"/>
      <c r="DP44" s="580"/>
      <c r="DQ44" s="580"/>
      <c r="DZ44" s="580"/>
      <c r="ED44" s="639"/>
      <c r="EE44" s="580"/>
      <c r="EK44" s="639"/>
      <c r="EL44" s="639"/>
      <c r="EM44" s="639"/>
      <c r="EN44" s="74"/>
      <c r="EO44" s="74"/>
      <c r="EP44" s="74"/>
      <c r="EQ44" s="74"/>
      <c r="ER44" s="74"/>
      <c r="ES44" s="74"/>
      <c r="ET44" s="74"/>
      <c r="EU44" s="74"/>
      <c r="EV44" s="74"/>
      <c r="EW44" s="74"/>
      <c r="EX44" s="74"/>
      <c r="EY44" s="74"/>
      <c r="EZ44" s="74"/>
      <c r="FA44" s="74"/>
      <c r="FB44" s="74"/>
      <c r="FC44" s="74"/>
      <c r="FD44" s="74"/>
      <c r="FE44" s="74"/>
      <c r="FF44" s="74"/>
      <c r="FG44" s="74"/>
      <c r="FH44" s="74"/>
      <c r="FI44" s="74"/>
      <c r="FJ44" s="74"/>
      <c r="FK44" s="74"/>
      <c r="FL44" s="74"/>
      <c r="FM44" s="74"/>
      <c r="FN44" s="74"/>
      <c r="FO44" s="74"/>
      <c r="FP44" s="74"/>
      <c r="FQ44" s="74"/>
      <c r="FR44" s="74"/>
      <c r="FS44" s="74"/>
      <c r="FT44" s="74"/>
      <c r="FU44" s="74"/>
      <c r="FV44" s="74"/>
      <c r="FW44" s="74"/>
      <c r="FX44" s="74"/>
      <c r="FY44" s="74"/>
      <c r="FZ44" s="74"/>
      <c r="GA44" s="74"/>
      <c r="GB44" s="74"/>
      <c r="GC44" s="74"/>
      <c r="GD44" s="74"/>
      <c r="GE44" s="74"/>
      <c r="GF44" s="74"/>
      <c r="KD44" s="97"/>
      <c r="KE44" s="97"/>
      <c r="KF44" s="97"/>
      <c r="KG44" s="97"/>
      <c r="KH44" s="97"/>
      <c r="KI44" s="97"/>
    </row>
    <row r="45" spans="1:295" s="4" customFormat="1" x14ac:dyDescent="0.25">
      <c r="A45" s="14" t="s">
        <v>90</v>
      </c>
      <c r="B45" s="14"/>
      <c r="C45" s="270">
        <f t="shared" ref="C45:C50" si="7">D45/D$44</f>
        <v>0.66906282055683264</v>
      </c>
      <c r="D45" s="628">
        <f>'Crops proc. &amp; prod. DISCOUNTED'!W80</f>
        <v>136.80000000000001</v>
      </c>
      <c r="E45" s="629">
        <f t="shared" ref="E45:E50" si="8">F45/GG45</f>
        <v>137.81154168120176</v>
      </c>
      <c r="F45" s="630">
        <f>CB62</f>
        <v>126.78661834670564</v>
      </c>
      <c r="G45" s="630"/>
      <c r="H45" s="629"/>
      <c r="I45" s="629"/>
      <c r="K45" s="49"/>
      <c r="L45" s="49"/>
      <c r="M45" s="49"/>
      <c r="O45" s="49"/>
      <c r="P45" s="49"/>
      <c r="Q45" s="49"/>
      <c r="S45" s="49"/>
      <c r="T45" s="49"/>
      <c r="V45" s="49"/>
      <c r="W45" s="49"/>
      <c r="Y45" s="49"/>
      <c r="AB45" s="49"/>
      <c r="AC45" s="49"/>
      <c r="AD45" s="49"/>
      <c r="AE45" s="49"/>
      <c r="AF45" s="49"/>
      <c r="AG45" s="49"/>
      <c r="AH45" s="49"/>
      <c r="AJ45" s="49"/>
      <c r="AK45" s="49"/>
      <c r="AL45" s="49"/>
      <c r="AM45" s="49"/>
      <c r="AN45" s="49"/>
      <c r="AO45" s="123"/>
      <c r="AP45" s="49"/>
      <c r="AQ45" s="49"/>
      <c r="AR45" s="49"/>
      <c r="AS45" s="49"/>
      <c r="AV45" s="14"/>
      <c r="AW45" s="14"/>
      <c r="AX45" s="102"/>
      <c r="AY45" s="14"/>
      <c r="AZ45" s="14"/>
      <c r="BA45" s="14"/>
      <c r="BB45" s="14"/>
      <c r="BC45" s="102"/>
      <c r="BD45" s="102"/>
      <c r="BE45" s="102"/>
      <c r="BF45" s="102"/>
      <c r="BG45" s="102"/>
      <c r="BH45" s="102"/>
      <c r="BI45" s="102"/>
      <c r="BJ45" s="102"/>
      <c r="BK45" s="102"/>
      <c r="BL45" s="102"/>
      <c r="BM45" s="102"/>
      <c r="BN45" s="102"/>
      <c r="BO45" s="102"/>
      <c r="BP45" s="102"/>
      <c r="BQ45" s="102"/>
      <c r="BR45" s="102"/>
      <c r="BS45" s="102"/>
      <c r="BT45" s="102"/>
      <c r="BU45" s="102"/>
      <c r="BV45" s="102"/>
      <c r="BW45" s="102"/>
      <c r="BX45" s="102"/>
      <c r="BY45" s="102"/>
      <c r="BZ45" s="102"/>
      <c r="CA45" s="102"/>
      <c r="CB45" s="102"/>
      <c r="CC45" s="102"/>
      <c r="CD45" s="102"/>
      <c r="CE45" s="102"/>
      <c r="CF45" s="102"/>
      <c r="CG45" s="102"/>
      <c r="CH45" s="102"/>
      <c r="CI45" s="102"/>
      <c r="CJ45" s="102"/>
      <c r="CK45" s="102"/>
      <c r="CL45" s="102"/>
      <c r="CM45" s="126">
        <f>'Crops proc. &amp; prod. DISCOUNTED'!AE80</f>
        <v>3.8177918769790278</v>
      </c>
      <c r="CW45" s="49"/>
      <c r="DP45" s="126">
        <f>'Crops proc. &amp; prod. DISCOUNTED'!BW80</f>
        <v>1.4167966649953996</v>
      </c>
      <c r="DQ45" s="126">
        <f>'Crops proc. &amp; prod. DISCOUNTED'!DM80</f>
        <v>1.3203513504516369</v>
      </c>
      <c r="DU45" s="14"/>
      <c r="DZ45" s="126">
        <f>'Crops proc. &amp; prod. DISCOUNTED'!FF80</f>
        <v>2.6468614428352799</v>
      </c>
      <c r="ED45" s="334">
        <f>'Crops proc. &amp; prod. DISCOUNTED'!GZ80</f>
        <v>0.15154064108772869</v>
      </c>
      <c r="EE45" s="126"/>
      <c r="EJ45" s="264">
        <f t="shared" ref="EJ45:EJ50" si="9">EK45+EL45+EM45</f>
        <v>0.37448109298502008</v>
      </c>
      <c r="EK45" s="334">
        <f>'Crops proc. &amp; prod. DISCOUNTED'!JB80</f>
        <v>0.35449875314212642</v>
      </c>
      <c r="EL45" s="334">
        <f>'Crops proc. &amp; prod. DISCOUNTED'!JC80</f>
        <v>1.0273234983558647E-2</v>
      </c>
      <c r="EM45" s="334">
        <f>'Crops proc. &amp; prod. DISCOUNTED'!JD80</f>
        <v>9.7091048593350368E-3</v>
      </c>
      <c r="EN45" s="133"/>
      <c r="EO45" s="133"/>
      <c r="EP45" s="133"/>
      <c r="EQ45" s="133"/>
      <c r="ER45" s="133"/>
      <c r="ES45" s="133"/>
      <c r="ET45" s="133"/>
      <c r="EU45" s="133"/>
      <c r="EV45" s="133"/>
      <c r="EW45" s="133"/>
      <c r="EX45" s="133"/>
      <c r="EY45" s="133"/>
      <c r="EZ45" s="133"/>
      <c r="FA45" s="133"/>
      <c r="FB45" s="133"/>
      <c r="FC45" s="133"/>
      <c r="FD45" s="133"/>
      <c r="FE45" s="133"/>
      <c r="FF45" s="133"/>
      <c r="FG45" s="133"/>
      <c r="FH45" s="133"/>
      <c r="FI45" s="133"/>
      <c r="FJ45" s="133"/>
      <c r="FK45" s="133"/>
      <c r="FL45" s="133"/>
      <c r="FM45" s="133"/>
      <c r="FN45" s="133"/>
      <c r="FO45" s="133"/>
      <c r="FP45" s="133"/>
      <c r="FQ45" s="133"/>
      <c r="FR45" s="133"/>
      <c r="FS45" s="133"/>
      <c r="FT45" s="133"/>
      <c r="FU45" s="133"/>
      <c r="FV45" s="133"/>
      <c r="FW45" s="133"/>
      <c r="FX45" s="133"/>
      <c r="FY45" s="133"/>
      <c r="FZ45" s="133"/>
      <c r="GA45" s="133"/>
      <c r="GB45" s="133"/>
      <c r="GC45" s="133"/>
      <c r="GD45" s="133"/>
      <c r="GE45" s="133"/>
      <c r="GF45" s="133"/>
      <c r="GG45" s="631">
        <f>'Crops proc. &amp; prod. DISCOUNTED'!NT80</f>
        <v>0.92</v>
      </c>
      <c r="GH45" s="41">
        <f>'Crops proc. &amp; prod. DISCOUNTED'!NV80</f>
        <v>17.940000000000001</v>
      </c>
      <c r="GI45" s="41">
        <f>'Crops proc. &amp; prod. DISCOUNTED'!NW80</f>
        <v>19.5</v>
      </c>
      <c r="GL45" s="631">
        <f>'Crops proc. &amp; prod. DISCOUNTED'!OC80</f>
        <v>0.46</v>
      </c>
      <c r="GM45" s="631">
        <f>'Crops proc. &amp; prod. DISCOUNTED'!OD80</f>
        <v>0.5</v>
      </c>
      <c r="KD45" s="97"/>
      <c r="KE45" s="97"/>
      <c r="KF45" s="97"/>
      <c r="KG45" s="97"/>
      <c r="KH45" s="97"/>
      <c r="KI45" s="97"/>
    </row>
    <row r="46" spans="1:295" s="4" customFormat="1" x14ac:dyDescent="0.25">
      <c r="A46" s="37" t="s">
        <v>142</v>
      </c>
      <c r="B46" s="14"/>
      <c r="C46" s="270">
        <f t="shared" si="7"/>
        <v>2.0464179068278004E-2</v>
      </c>
      <c r="D46" s="628">
        <f>'Crops proc. &amp; prod. DISCOUNTED'!W85</f>
        <v>4.1842105263157894</v>
      </c>
      <c r="E46" s="629">
        <f t="shared" si="8"/>
        <v>4.215149878291605</v>
      </c>
      <c r="F46" s="630">
        <f>CC62</f>
        <v>3.8779378880282764</v>
      </c>
      <c r="G46" s="630"/>
      <c r="H46" s="629"/>
      <c r="I46" s="629"/>
      <c r="K46" s="49"/>
      <c r="L46" s="49"/>
      <c r="M46" s="49"/>
      <c r="O46" s="49"/>
      <c r="P46" s="49"/>
      <c r="Q46" s="49"/>
      <c r="S46" s="49"/>
      <c r="T46" s="49"/>
      <c r="V46" s="49"/>
      <c r="W46" s="49"/>
      <c r="Y46" s="49"/>
      <c r="AB46" s="49"/>
      <c r="AC46" s="49"/>
      <c r="AD46" s="49"/>
      <c r="AE46" s="49"/>
      <c r="AF46" s="49"/>
      <c r="AG46" s="49"/>
      <c r="AH46" s="49"/>
      <c r="AJ46" s="49"/>
      <c r="AK46" s="49"/>
      <c r="AL46" s="49"/>
      <c r="AM46" s="49"/>
      <c r="AN46" s="49"/>
      <c r="AO46" s="123"/>
      <c r="AP46" s="49"/>
      <c r="AQ46" s="49"/>
      <c r="AR46" s="49"/>
      <c r="AS46" s="49"/>
      <c r="AV46" s="14"/>
      <c r="AW46" s="14"/>
      <c r="AX46" s="102"/>
      <c r="AY46" s="14"/>
      <c r="AZ46" s="14"/>
      <c r="BA46" s="14"/>
      <c r="BB46" s="14"/>
      <c r="BC46" s="102"/>
      <c r="BD46" s="102"/>
      <c r="BE46" s="102"/>
      <c r="BF46" s="102"/>
      <c r="BG46" s="102"/>
      <c r="BH46" s="102"/>
      <c r="BI46" s="102"/>
      <c r="BJ46" s="102"/>
      <c r="BK46" s="102"/>
      <c r="BL46" s="102"/>
      <c r="BM46" s="102"/>
      <c r="BN46" s="102"/>
      <c r="BO46" s="102"/>
      <c r="BP46" s="102"/>
      <c r="BQ46" s="102"/>
      <c r="BR46" s="102"/>
      <c r="BS46" s="102"/>
      <c r="BT46" s="102"/>
      <c r="BU46" s="102"/>
      <c r="BV46" s="102"/>
      <c r="BW46" s="102"/>
      <c r="BX46" s="102"/>
      <c r="BY46" s="102"/>
      <c r="BZ46" s="102"/>
      <c r="CA46" s="102"/>
      <c r="CB46" s="102"/>
      <c r="CC46" s="102"/>
      <c r="CD46" s="102"/>
      <c r="CE46" s="102"/>
      <c r="CF46" s="102"/>
      <c r="CG46" s="102"/>
      <c r="CH46" s="102"/>
      <c r="CI46" s="102"/>
      <c r="CJ46" s="102"/>
      <c r="CK46" s="102"/>
      <c r="CL46" s="102"/>
      <c r="CM46" s="126">
        <f>'Crops proc. &amp; prod. DISCOUNTED'!AE85</f>
        <v>1.4881242476601877</v>
      </c>
      <c r="CW46" s="49"/>
      <c r="DP46" s="126">
        <f>'Crops proc. &amp; prod. DISCOUNTED'!BW85</f>
        <v>0.97064797890527443</v>
      </c>
      <c r="DQ46" s="126">
        <f>'Crops proc. &amp; prod. DISCOUNTED'!DM85</f>
        <v>0.75717744979197099</v>
      </c>
      <c r="DU46" s="14"/>
      <c r="DZ46" s="126">
        <f>'Crops proc. &amp; prod. DISCOUNTED'!FF85</f>
        <v>1.5178867326133911</v>
      </c>
      <c r="ED46" s="334">
        <f>'Crops proc. &amp; prod. DISCOUNTED'!GZ85</f>
        <v>1.1633099633341084</v>
      </c>
      <c r="EE46" s="126"/>
      <c r="EJ46" s="264">
        <f t="shared" si="9"/>
        <v>0.89935317167284667</v>
      </c>
      <c r="EK46" s="334">
        <f>'Crops proc. &amp; prod. DISCOUNTED'!JB85</f>
        <v>0.10290528399943528</v>
      </c>
      <c r="EL46" s="334">
        <f>'Crops proc. &amp; prod. DISCOUNTED'!JC85</f>
        <v>8.7352110240844008E-2</v>
      </c>
      <c r="EM46" s="334">
        <f>'Crops proc. &amp; prod. DISCOUNTED'!JD85</f>
        <v>0.70909577743256735</v>
      </c>
      <c r="EN46" s="133"/>
      <c r="EO46" s="133"/>
      <c r="EP46" s="133"/>
      <c r="EQ46" s="133"/>
      <c r="ER46" s="133"/>
      <c r="ES46" s="133"/>
      <c r="ET46" s="133"/>
      <c r="EU46" s="133"/>
      <c r="EV46" s="133"/>
      <c r="EW46" s="133"/>
      <c r="EX46" s="133"/>
      <c r="EY46" s="133"/>
      <c r="EZ46" s="133"/>
      <c r="FA46" s="133"/>
      <c r="FB46" s="133"/>
      <c r="FC46" s="133"/>
      <c r="FD46" s="133"/>
      <c r="FE46" s="133"/>
      <c r="FF46" s="133"/>
      <c r="FG46" s="133"/>
      <c r="FH46" s="133"/>
      <c r="FI46" s="133"/>
      <c r="FJ46" s="133"/>
      <c r="FK46" s="133"/>
      <c r="FL46" s="133"/>
      <c r="FM46" s="133"/>
      <c r="FN46" s="133"/>
      <c r="FO46" s="133"/>
      <c r="FP46" s="133"/>
      <c r="FQ46" s="133"/>
      <c r="FR46" s="133"/>
      <c r="FS46" s="133"/>
      <c r="FT46" s="133"/>
      <c r="FU46" s="133"/>
      <c r="FV46" s="133"/>
      <c r="FW46" s="133"/>
      <c r="FX46" s="133"/>
      <c r="FY46" s="133"/>
      <c r="FZ46" s="133"/>
      <c r="GA46" s="133"/>
      <c r="GB46" s="133"/>
      <c r="GC46" s="133"/>
      <c r="GD46" s="133"/>
      <c r="GE46" s="133"/>
      <c r="GF46" s="133"/>
      <c r="GG46" s="631">
        <f>'Crops proc. &amp; prod. DISCOUNTED'!NT85</f>
        <v>0.92</v>
      </c>
      <c r="GH46" s="41">
        <f>'Crops proc. &amp; prod. DISCOUNTED'!NV85</f>
        <v>18.400000000000002</v>
      </c>
      <c r="GI46" s="41">
        <f>'Crops proc. &amp; prod. DISCOUNTED'!NW85</f>
        <v>20</v>
      </c>
      <c r="GL46" s="631">
        <f>'Crops proc. &amp; prod. DISCOUNTED'!OC85</f>
        <v>0.1656</v>
      </c>
      <c r="GM46" s="631">
        <f>'Crops proc. &amp; prod. DISCOUNTED'!OD85</f>
        <v>0.18</v>
      </c>
      <c r="KD46" s="97"/>
      <c r="KE46" s="97"/>
      <c r="KF46" s="97"/>
      <c r="KG46" s="97"/>
      <c r="KH46" s="97"/>
      <c r="KI46" s="97"/>
    </row>
    <row r="47" spans="1:295" s="4" customFormat="1" x14ac:dyDescent="0.25">
      <c r="A47" s="14" t="s">
        <v>91</v>
      </c>
      <c r="B47" s="14"/>
      <c r="C47" s="270">
        <f t="shared" si="7"/>
        <v>0.10457441214444914</v>
      </c>
      <c r="D47" s="628">
        <f>'Crops proc. &amp; prod. DISCOUNTED'!W90</f>
        <v>21.381818181818186</v>
      </c>
      <c r="E47" s="629">
        <f t="shared" si="8"/>
        <v>21.53992198525961</v>
      </c>
      <c r="F47" s="630">
        <f>CD62</f>
        <v>19.816728226438844</v>
      </c>
      <c r="G47" s="630"/>
      <c r="H47" s="629"/>
      <c r="I47" s="629"/>
      <c r="J47" s="14"/>
      <c r="K47" s="50"/>
      <c r="L47" s="50"/>
      <c r="M47" s="50"/>
      <c r="N47" s="14"/>
      <c r="O47" s="50"/>
      <c r="P47" s="50"/>
      <c r="Q47" s="50"/>
      <c r="R47" s="14"/>
      <c r="S47" s="50"/>
      <c r="T47" s="50"/>
      <c r="U47" s="14"/>
      <c r="V47" s="50"/>
      <c r="W47" s="50"/>
      <c r="X47" s="14"/>
      <c r="Y47" s="50"/>
      <c r="Z47" s="14"/>
      <c r="AA47" s="14"/>
      <c r="AB47" s="50"/>
      <c r="AC47" s="50"/>
      <c r="AD47" s="50"/>
      <c r="AE47" s="50"/>
      <c r="AF47" s="50"/>
      <c r="AG47" s="50"/>
      <c r="AH47" s="50"/>
      <c r="AI47" s="14"/>
      <c r="AJ47" s="50"/>
      <c r="AK47" s="50"/>
      <c r="AL47" s="50"/>
      <c r="AM47" s="50"/>
      <c r="AN47" s="50"/>
      <c r="AO47" s="575"/>
      <c r="AP47" s="50"/>
      <c r="AQ47" s="50"/>
      <c r="AR47" s="50"/>
      <c r="AS47" s="50"/>
      <c r="AT47" s="14"/>
      <c r="AU47" s="14"/>
      <c r="AV47" s="14"/>
      <c r="AW47" s="14"/>
      <c r="AX47" s="102"/>
      <c r="AY47" s="14"/>
      <c r="AZ47" s="14"/>
      <c r="BA47" s="14"/>
      <c r="BB47" s="14"/>
      <c r="BC47" s="102"/>
      <c r="BD47" s="102"/>
      <c r="BE47" s="102"/>
      <c r="BF47" s="102"/>
      <c r="BG47" s="102"/>
      <c r="BH47" s="102"/>
      <c r="BI47" s="102"/>
      <c r="BJ47" s="102"/>
      <c r="BK47" s="102"/>
      <c r="BL47" s="102"/>
      <c r="BM47" s="102"/>
      <c r="BN47" s="102"/>
      <c r="BO47" s="102"/>
      <c r="BP47" s="102"/>
      <c r="BQ47" s="102"/>
      <c r="BR47" s="102"/>
      <c r="BS47" s="102"/>
      <c r="BT47" s="102"/>
      <c r="BU47" s="102"/>
      <c r="BV47" s="102"/>
      <c r="BW47" s="102"/>
      <c r="BX47" s="102"/>
      <c r="BY47" s="102"/>
      <c r="BZ47" s="102"/>
      <c r="CA47" s="102"/>
      <c r="CB47" s="102"/>
      <c r="CC47" s="102"/>
      <c r="CD47" s="102"/>
      <c r="CE47" s="102"/>
      <c r="CF47" s="102"/>
      <c r="CG47" s="102"/>
      <c r="CH47" s="102"/>
      <c r="CI47" s="102"/>
      <c r="CJ47" s="102"/>
      <c r="CK47" s="102"/>
      <c r="CL47" s="102"/>
      <c r="CM47" s="125">
        <f>'Crops proc. &amp; prod. DISCOUNTED'!AE90</f>
        <v>4.1398958123736769</v>
      </c>
      <c r="CW47" s="49"/>
      <c r="DP47" s="125">
        <f>'Crops proc. &amp; prod. DISCOUNTED'!BW90</f>
        <v>1.0505861546654605</v>
      </c>
      <c r="DQ47" s="125">
        <f>'Crops proc. &amp; prod. DISCOUNTED'!DM90</f>
        <v>1.0087600190292438</v>
      </c>
      <c r="DU47" s="14"/>
      <c r="DZ47" s="125">
        <f>'Crops proc. &amp; prod. DISCOUNTED'!FF90</f>
        <v>2.0222253709431031</v>
      </c>
      <c r="ED47" s="333">
        <f>'Crops proc. &amp; prod. DISCOUNTED'!GZ90</f>
        <v>0.45132804986288605</v>
      </c>
      <c r="EE47" s="125"/>
      <c r="EJ47" s="264">
        <f t="shared" si="9"/>
        <v>0.8144459004321053</v>
      </c>
      <c r="EK47" s="333">
        <f>'Crops proc. &amp; prod. DISCOUNTED'!JB90</f>
        <v>0.49959677447247658</v>
      </c>
      <c r="EL47" s="333">
        <f>'Crops proc. &amp; prod. DISCOUNTED'!JC90</f>
        <v>0.30148845003237679</v>
      </c>
      <c r="EM47" s="333">
        <f>'Crops proc. &amp; prod. DISCOUNTED'!JD90</f>
        <v>1.3360675927251899E-2</v>
      </c>
      <c r="EN47" s="74"/>
      <c r="EO47" s="74"/>
      <c r="EP47" s="74"/>
      <c r="EQ47" s="74"/>
      <c r="ER47" s="74"/>
      <c r="ES47" s="74"/>
      <c r="ET47" s="74"/>
      <c r="EU47" s="74"/>
      <c r="EV47" s="74"/>
      <c r="EW47" s="74"/>
      <c r="EX47" s="74"/>
      <c r="EY47" s="74"/>
      <c r="EZ47" s="74"/>
      <c r="FA47" s="74"/>
      <c r="FB47" s="74"/>
      <c r="FC47" s="74"/>
      <c r="FD47" s="74"/>
      <c r="FE47" s="74"/>
      <c r="FF47" s="74"/>
      <c r="FG47" s="74"/>
      <c r="FH47" s="74"/>
      <c r="FI47" s="74"/>
      <c r="FJ47" s="74"/>
      <c r="FK47" s="74"/>
      <c r="FL47" s="74"/>
      <c r="FM47" s="74"/>
      <c r="FN47" s="74"/>
      <c r="FO47" s="74"/>
      <c r="FP47" s="74"/>
      <c r="FQ47" s="74"/>
      <c r="FR47" s="74"/>
      <c r="FS47" s="74"/>
      <c r="FT47" s="74"/>
      <c r="FU47" s="74"/>
      <c r="FV47" s="74"/>
      <c r="FW47" s="74"/>
      <c r="FX47" s="74"/>
      <c r="FY47" s="74"/>
      <c r="FZ47" s="74"/>
      <c r="GA47" s="74"/>
      <c r="GB47" s="74"/>
      <c r="GC47" s="74"/>
      <c r="GD47" s="74"/>
      <c r="GE47" s="74"/>
      <c r="GF47" s="74"/>
      <c r="GG47" s="631">
        <f>'Crops proc. &amp; prod. DISCOUNTED'!NT90</f>
        <v>0.92</v>
      </c>
      <c r="GH47" s="41">
        <f>'Crops proc. &amp; prod. DISCOUNTED'!NV90</f>
        <v>17.48</v>
      </c>
      <c r="GI47" s="41">
        <f>'Crops proc. &amp; prod. DISCOUNTED'!NW90</f>
        <v>19</v>
      </c>
      <c r="GL47" s="631">
        <f>'Crops proc. &amp; prod. DISCOUNTED'!OC90</f>
        <v>0.37785714285714284</v>
      </c>
      <c r="GM47" s="631">
        <f>'Crops proc. &amp; prod. DISCOUNTED'!OD90</f>
        <v>0.4107142857142857</v>
      </c>
      <c r="KD47" s="97"/>
      <c r="KE47" s="97"/>
      <c r="KF47" s="97"/>
      <c r="KG47" s="97"/>
      <c r="KH47" s="97"/>
      <c r="KI47" s="97"/>
    </row>
    <row r="48" spans="1:295" s="4" customFormat="1" x14ac:dyDescent="0.25">
      <c r="A48" s="14" t="s">
        <v>92</v>
      </c>
      <c r="B48" s="14"/>
      <c r="C48" s="270">
        <f t="shared" si="7"/>
        <v>6.6603941068190814E-2</v>
      </c>
      <c r="D48" s="628">
        <f>'Crops proc. &amp; prod. DISCOUNTED'!W94</f>
        <v>13.618181818181819</v>
      </c>
      <c r="E48" s="629">
        <f t="shared" si="8"/>
        <v>13.718878883468919</v>
      </c>
      <c r="F48" s="630">
        <f>CE62</f>
        <v>12.621368572791406</v>
      </c>
      <c r="G48" s="630"/>
      <c r="H48" s="629"/>
      <c r="I48" s="629"/>
      <c r="J48" s="14"/>
      <c r="K48" s="50"/>
      <c r="L48" s="50"/>
      <c r="M48" s="50"/>
      <c r="N48" s="14"/>
      <c r="O48" s="50"/>
      <c r="P48" s="50"/>
      <c r="Q48" s="50"/>
      <c r="R48" s="14"/>
      <c r="S48" s="50"/>
      <c r="T48" s="50"/>
      <c r="U48" s="14"/>
      <c r="V48" s="50"/>
      <c r="W48" s="50"/>
      <c r="X48" s="14"/>
      <c r="Y48" s="50"/>
      <c r="Z48" s="14"/>
      <c r="AA48" s="14"/>
      <c r="AB48" s="50"/>
      <c r="AC48" s="50"/>
      <c r="AD48" s="50"/>
      <c r="AE48" s="50"/>
      <c r="AF48" s="50"/>
      <c r="AG48" s="50"/>
      <c r="AH48" s="50"/>
      <c r="AI48" s="14"/>
      <c r="AJ48" s="50"/>
      <c r="AK48" s="50"/>
      <c r="AL48" s="50"/>
      <c r="AM48" s="50"/>
      <c r="AN48" s="50"/>
      <c r="AO48" s="575"/>
      <c r="AP48" s="50"/>
      <c r="AQ48" s="50"/>
      <c r="AR48" s="50"/>
      <c r="AS48" s="50"/>
      <c r="AT48" s="14"/>
      <c r="AU48" s="14"/>
      <c r="AV48" s="14"/>
      <c r="AW48" s="14"/>
      <c r="AX48" s="102"/>
      <c r="AY48" s="14"/>
      <c r="AZ48" s="14"/>
      <c r="BA48" s="14"/>
      <c r="BB48" s="14"/>
      <c r="BC48" s="102"/>
      <c r="BD48" s="102"/>
      <c r="BE48" s="102"/>
      <c r="BF48" s="102"/>
      <c r="BG48" s="102"/>
      <c r="BH48" s="102"/>
      <c r="BI48" s="102"/>
      <c r="BJ48" s="102"/>
      <c r="BK48" s="102"/>
      <c r="BL48" s="102"/>
      <c r="BM48" s="102"/>
      <c r="BN48" s="102"/>
      <c r="BO48" s="102"/>
      <c r="BP48" s="102"/>
      <c r="BQ48" s="102"/>
      <c r="BR48" s="102"/>
      <c r="BS48" s="102"/>
      <c r="BT48" s="102"/>
      <c r="BU48" s="102"/>
      <c r="BV48" s="102"/>
      <c r="BW48" s="102"/>
      <c r="BX48" s="102"/>
      <c r="BY48" s="102"/>
      <c r="BZ48" s="102"/>
      <c r="CA48" s="102"/>
      <c r="CB48" s="102"/>
      <c r="CC48" s="102"/>
      <c r="CD48" s="102"/>
      <c r="CE48" s="102"/>
      <c r="CF48" s="102"/>
      <c r="CG48" s="102"/>
      <c r="CH48" s="102"/>
      <c r="CI48" s="102"/>
      <c r="CJ48" s="102"/>
      <c r="CK48" s="102"/>
      <c r="CL48" s="102"/>
      <c r="CM48" s="126">
        <f>'Crops proc. &amp; prod. DISCOUNTED'!AE94</f>
        <v>5.7043037807040733</v>
      </c>
      <c r="CW48" s="49"/>
      <c r="DP48" s="126">
        <f>'Crops proc. &amp; prod. DISCOUNTED'!BW94</f>
        <v>0.95667461444247515</v>
      </c>
      <c r="DQ48" s="126">
        <f>'Crops proc. &amp; prod. DISCOUNTED'!DM94</f>
        <v>1.4425885995080012</v>
      </c>
      <c r="DU48" s="14"/>
      <c r="DZ48" s="126">
        <f>'Crops proc. &amp; prod. DISCOUNTED'!FF94</f>
        <v>2.8919061131761494</v>
      </c>
      <c r="ED48" s="334">
        <f>'Crops proc. &amp; prod. DISCOUNTED'!GZ94</f>
        <v>0.11189442591886699</v>
      </c>
      <c r="EE48" s="126"/>
      <c r="EJ48" s="264">
        <f t="shared" si="9"/>
        <v>0.61982727922314451</v>
      </c>
      <c r="EK48" s="334">
        <f>'Crops proc. &amp; prod. DISCOUNTED'!JB94</f>
        <v>0.42926056215872088</v>
      </c>
      <c r="EL48" s="334">
        <f>'Crops proc. &amp; prod. DISCOUNTED'!JC94</f>
        <v>0.18021219322080334</v>
      </c>
      <c r="EM48" s="334">
        <f>'Crops proc. &amp; prod. DISCOUNTED'!JD94</f>
        <v>1.0354523843620223E-2</v>
      </c>
      <c r="EN48" s="74"/>
      <c r="EO48" s="74"/>
      <c r="EP48" s="74"/>
      <c r="EQ48" s="74"/>
      <c r="ER48" s="74"/>
      <c r="ES48" s="74"/>
      <c r="ET48" s="74"/>
      <c r="EU48" s="74"/>
      <c r="EV48" s="74"/>
      <c r="EW48" s="74"/>
      <c r="EX48" s="74"/>
      <c r="EY48" s="74"/>
      <c r="EZ48" s="74"/>
      <c r="FA48" s="74"/>
      <c r="FB48" s="74"/>
      <c r="FC48" s="74"/>
      <c r="FD48" s="74"/>
      <c r="FE48" s="74"/>
      <c r="FF48" s="74"/>
      <c r="FG48" s="74"/>
      <c r="FH48" s="74"/>
      <c r="FI48" s="74"/>
      <c r="FJ48" s="74"/>
      <c r="FK48" s="74"/>
      <c r="FL48" s="74"/>
      <c r="FM48" s="74"/>
      <c r="FN48" s="74"/>
      <c r="FO48" s="74"/>
      <c r="FP48" s="74"/>
      <c r="FQ48" s="74"/>
      <c r="FR48" s="74"/>
      <c r="FS48" s="74"/>
      <c r="FT48" s="74"/>
      <c r="FU48" s="74"/>
      <c r="FV48" s="74"/>
      <c r="FW48" s="74"/>
      <c r="FX48" s="74"/>
      <c r="FY48" s="74"/>
      <c r="FZ48" s="74"/>
      <c r="GA48" s="74"/>
      <c r="GB48" s="74"/>
      <c r="GC48" s="74"/>
      <c r="GD48" s="74"/>
      <c r="GE48" s="74"/>
      <c r="GF48" s="74"/>
      <c r="GG48" s="631">
        <f>'Crops proc. &amp; prod. DISCOUNTED'!NT94</f>
        <v>0.92</v>
      </c>
      <c r="GH48" s="41">
        <f>'Crops proc. &amp; prod. DISCOUNTED'!NV94</f>
        <v>17.48</v>
      </c>
      <c r="GI48" s="41">
        <f>'Crops proc. &amp; prod. DISCOUNTED'!NW94</f>
        <v>19</v>
      </c>
      <c r="GL48" s="631">
        <f>'Crops proc. &amp; prod. DISCOUNTED'!OC94</f>
        <v>0.36142857142857143</v>
      </c>
      <c r="GM48" s="631">
        <f>'Crops proc. &amp; prod. DISCOUNTED'!OD94</f>
        <v>0.39285714285714285</v>
      </c>
      <c r="KD48" s="97"/>
      <c r="KE48" s="97"/>
      <c r="KF48" s="97"/>
      <c r="KG48" s="97"/>
      <c r="KH48" s="97"/>
      <c r="KI48" s="97"/>
    </row>
    <row r="49" spans="1:295" s="4" customFormat="1" x14ac:dyDescent="0.25">
      <c r="A49" s="37" t="s">
        <v>147</v>
      </c>
      <c r="B49" s="14"/>
      <c r="C49" s="270">
        <f t="shared" si="7"/>
        <v>3.7777291743479158E-2</v>
      </c>
      <c r="D49" s="628">
        <f>'Crops proc. &amp; prod. DISCOUNTED'!W98</f>
        <v>7.7241379310344831</v>
      </c>
      <c r="E49" s="629">
        <f t="shared" si="8"/>
        <v>7.7812526055125009</v>
      </c>
      <c r="F49" s="630">
        <f>CF62</f>
        <v>7.1587523970715008</v>
      </c>
      <c r="G49" s="630"/>
      <c r="H49" s="629"/>
      <c r="I49" s="629"/>
      <c r="J49" s="14"/>
      <c r="K49" s="50"/>
      <c r="L49" s="50"/>
      <c r="M49" s="50"/>
      <c r="N49" s="14"/>
      <c r="O49" s="50"/>
      <c r="P49" s="50"/>
      <c r="Q49" s="50"/>
      <c r="R49" s="14"/>
      <c r="S49" s="50"/>
      <c r="T49" s="50"/>
      <c r="U49" s="14"/>
      <c r="V49" s="50"/>
      <c r="W49" s="50"/>
      <c r="X49" s="14"/>
      <c r="Y49" s="50"/>
      <c r="Z49" s="14"/>
      <c r="AA49" s="14"/>
      <c r="AB49" s="50"/>
      <c r="AC49" s="50"/>
      <c r="AD49" s="50"/>
      <c r="AE49" s="50"/>
      <c r="AF49" s="50"/>
      <c r="AG49" s="50"/>
      <c r="AH49" s="50"/>
      <c r="AI49" s="14"/>
      <c r="AJ49" s="50"/>
      <c r="AK49" s="50"/>
      <c r="AL49" s="50"/>
      <c r="AM49" s="50"/>
      <c r="AN49" s="50"/>
      <c r="AO49" s="575"/>
      <c r="AP49" s="50"/>
      <c r="AQ49" s="50"/>
      <c r="AR49" s="50"/>
      <c r="AS49" s="50"/>
      <c r="AT49" s="14"/>
      <c r="AU49" s="14"/>
      <c r="AV49" s="14"/>
      <c r="AW49" s="14"/>
      <c r="AX49" s="102"/>
      <c r="AY49" s="14"/>
      <c r="AZ49" s="14"/>
      <c r="BA49" s="14"/>
      <c r="BB49" s="14"/>
      <c r="BC49" s="102"/>
      <c r="BD49" s="102"/>
      <c r="BE49" s="102"/>
      <c r="BF49" s="102"/>
      <c r="BG49" s="102"/>
      <c r="BH49" s="102"/>
      <c r="BI49" s="102"/>
      <c r="BJ49" s="102"/>
      <c r="BK49" s="102"/>
      <c r="BL49" s="102"/>
      <c r="BM49" s="102"/>
      <c r="BN49" s="102"/>
      <c r="BO49" s="102"/>
      <c r="BP49" s="102"/>
      <c r="BQ49" s="102"/>
      <c r="BR49" s="102"/>
      <c r="BS49" s="102"/>
      <c r="BT49" s="102"/>
      <c r="BU49" s="102"/>
      <c r="BV49" s="102"/>
      <c r="BW49" s="102"/>
      <c r="BX49" s="102"/>
      <c r="BY49" s="102"/>
      <c r="BZ49" s="102"/>
      <c r="CA49" s="102"/>
      <c r="CB49" s="102"/>
      <c r="CC49" s="102"/>
      <c r="CD49" s="102"/>
      <c r="CE49" s="102"/>
      <c r="CF49" s="102"/>
      <c r="CG49" s="102"/>
      <c r="CH49" s="102"/>
      <c r="CI49" s="102"/>
      <c r="CJ49" s="102"/>
      <c r="CK49" s="102"/>
      <c r="CL49" s="102"/>
      <c r="CM49" s="126">
        <f>'Crops proc. &amp; prod. DISCOUNTED'!AE98</f>
        <v>7.2371178753773577</v>
      </c>
      <c r="CW49" s="49"/>
      <c r="DP49" s="126">
        <f>'Crops proc. &amp; prod. DISCOUNTED'!BW98</f>
        <v>1.7565108534916407</v>
      </c>
      <c r="DQ49" s="126">
        <f>'Crops proc. &amp; prod. DISCOUNTED'!DM98</f>
        <v>2.1413556881751146</v>
      </c>
      <c r="DZ49" s="126">
        <f>'Crops proc. &amp; prod. DISCOUNTED'!FF98</f>
        <v>4.2926996700446258</v>
      </c>
      <c r="ED49" s="334">
        <f>'Crops proc. &amp; prod. DISCOUNTED'!GZ98</f>
        <v>0.43729700028461477</v>
      </c>
      <c r="EE49" s="126"/>
      <c r="EJ49" s="264">
        <f t="shared" si="9"/>
        <v>0.42119506513832794</v>
      </c>
      <c r="EK49" s="334">
        <f>'Crops proc. &amp; prod. DISCOUNTED'!JB98</f>
        <v>0.37845531809167399</v>
      </c>
      <c r="EL49" s="334">
        <f>'Crops proc. &amp; prod. DISCOUNTED'!JC98</f>
        <v>3.9306681430651538E-2</v>
      </c>
      <c r="EM49" s="334">
        <f>'Crops proc. &amp; prod. DISCOUNTED'!JD98</f>
        <v>3.4330656160024239E-3</v>
      </c>
      <c r="EN49" s="74"/>
      <c r="EO49" s="74"/>
      <c r="EP49" s="74"/>
      <c r="EQ49" s="74"/>
      <c r="ER49" s="74"/>
      <c r="ES49" s="74"/>
      <c r="ET49" s="74"/>
      <c r="EU49" s="74"/>
      <c r="EV49" s="74"/>
      <c r="EW49" s="74"/>
      <c r="EX49" s="74"/>
      <c r="EY49" s="74"/>
      <c r="EZ49" s="74"/>
      <c r="FA49" s="74"/>
      <c r="FB49" s="74"/>
      <c r="FC49" s="74"/>
      <c r="FD49" s="74"/>
      <c r="FE49" s="74"/>
      <c r="FF49" s="74"/>
      <c r="FG49" s="74"/>
      <c r="FH49" s="74"/>
      <c r="FI49" s="74"/>
      <c r="FJ49" s="74"/>
      <c r="FK49" s="74"/>
      <c r="FL49" s="74"/>
      <c r="FM49" s="74"/>
      <c r="FN49" s="74"/>
      <c r="FO49" s="74"/>
      <c r="FP49" s="74"/>
      <c r="FQ49" s="74"/>
      <c r="FR49" s="74"/>
      <c r="FS49" s="74"/>
      <c r="FT49" s="74"/>
      <c r="FU49" s="74"/>
      <c r="FV49" s="74"/>
      <c r="FW49" s="74"/>
      <c r="FX49" s="74"/>
      <c r="FY49" s="74"/>
      <c r="FZ49" s="74"/>
      <c r="GA49" s="74"/>
      <c r="GB49" s="74"/>
      <c r="GC49" s="74"/>
      <c r="GD49" s="74"/>
      <c r="GE49" s="74"/>
      <c r="GF49" s="74"/>
      <c r="GG49" s="631">
        <f>'Crops proc. &amp; prod. DISCOUNTED'!NT98</f>
        <v>0.92</v>
      </c>
      <c r="GH49" s="41">
        <f>'Crops proc. &amp; prod. DISCOUNTED'!NV98</f>
        <v>19.32</v>
      </c>
      <c r="GI49" s="41">
        <f>'Crops proc. &amp; prod. DISCOUNTED'!NW98</f>
        <v>21</v>
      </c>
      <c r="GL49" s="631">
        <f>'Crops proc. &amp; prod. DISCOUNTED'!OC98</f>
        <v>0.437</v>
      </c>
      <c r="GM49" s="631">
        <f>'Crops proc. &amp; prod. DISCOUNTED'!OD98</f>
        <v>0.47499999999999998</v>
      </c>
      <c r="KD49" s="97"/>
      <c r="KE49" s="97"/>
      <c r="KF49" s="97"/>
      <c r="KG49" s="97"/>
      <c r="KH49" s="97"/>
      <c r="KI49" s="97"/>
    </row>
    <row r="50" spans="1:295" s="4" customFormat="1" x14ac:dyDescent="0.25">
      <c r="A50" s="37" t="s">
        <v>350</v>
      </c>
      <c r="B50" s="14"/>
      <c r="C50" s="270">
        <f t="shared" si="7"/>
        <v>0.10151735541877024</v>
      </c>
      <c r="D50" s="628">
        <f>'Crops proc. &amp; prod. DISCOUNTED'!W155</f>
        <v>20.756756756756758</v>
      </c>
      <c r="E50" s="629">
        <f t="shared" si="8"/>
        <v>21.374910632182605</v>
      </c>
      <c r="F50" s="629">
        <f>CG62</f>
        <v>19.237419568964345</v>
      </c>
      <c r="G50" s="630"/>
      <c r="H50" s="629"/>
      <c r="I50" s="629"/>
      <c r="J50" s="14"/>
      <c r="K50" s="50"/>
      <c r="L50" s="50"/>
      <c r="M50" s="50"/>
      <c r="N50" s="14"/>
      <c r="O50" s="50"/>
      <c r="P50" s="50"/>
      <c r="Q50" s="50"/>
      <c r="R50" s="14"/>
      <c r="S50" s="50"/>
      <c r="T50" s="50"/>
      <c r="U50" s="14"/>
      <c r="V50" s="50"/>
      <c r="W50" s="50"/>
      <c r="X50" s="14"/>
      <c r="Y50" s="50"/>
      <c r="Z50" s="14"/>
      <c r="AA50" s="14"/>
      <c r="AB50" s="50"/>
      <c r="AC50" s="50"/>
      <c r="AD50" s="50"/>
      <c r="AE50" s="50"/>
      <c r="AF50" s="50"/>
      <c r="AG50" s="50"/>
      <c r="AH50" s="50"/>
      <c r="AI50" s="14"/>
      <c r="AJ50" s="50"/>
      <c r="AK50" s="50"/>
      <c r="AL50" s="50"/>
      <c r="AM50" s="50"/>
      <c r="AN50" s="50"/>
      <c r="AO50" s="575"/>
      <c r="AP50" s="50"/>
      <c r="AQ50" s="50"/>
      <c r="AR50" s="50"/>
      <c r="AS50" s="50"/>
      <c r="AT50" s="14"/>
      <c r="AU50" s="14"/>
      <c r="AV50" s="14"/>
      <c r="AW50" s="14"/>
      <c r="AX50" s="102"/>
      <c r="AY50" s="14"/>
      <c r="AZ50" s="14"/>
      <c r="BA50" s="14"/>
      <c r="BB50" s="14"/>
      <c r="BC50" s="102"/>
      <c r="BD50" s="102"/>
      <c r="BE50" s="102"/>
      <c r="BF50" s="102"/>
      <c r="BG50" s="102"/>
      <c r="BH50" s="102"/>
      <c r="BI50" s="102"/>
      <c r="BJ50" s="102"/>
      <c r="BK50" s="102"/>
      <c r="BL50" s="102"/>
      <c r="BM50" s="102"/>
      <c r="BN50" s="102"/>
      <c r="BO50" s="102"/>
      <c r="BP50" s="102"/>
      <c r="BQ50" s="102"/>
      <c r="BR50" s="102"/>
      <c r="BS50" s="102"/>
      <c r="BT50" s="102"/>
      <c r="BU50" s="102"/>
      <c r="BV50" s="102"/>
      <c r="BW50" s="102"/>
      <c r="BX50" s="102"/>
      <c r="BY50" s="102"/>
      <c r="BZ50" s="102"/>
      <c r="CA50" s="102"/>
      <c r="CB50" s="102"/>
      <c r="CC50" s="102"/>
      <c r="CD50" s="102"/>
      <c r="CE50" s="102"/>
      <c r="CF50" s="102"/>
      <c r="CG50" s="102"/>
      <c r="CH50" s="102"/>
      <c r="CI50" s="102"/>
      <c r="CJ50" s="102"/>
      <c r="CK50" s="102"/>
      <c r="CL50" s="102"/>
      <c r="CM50" s="126">
        <f>'Crops proc. &amp; prod. DISCOUNTED'!AE155</f>
        <v>6.1585301575277658</v>
      </c>
      <c r="CW50" s="49"/>
      <c r="DP50" s="126">
        <f>'Crops proc. &amp; prod. DISCOUNTED'!BW155</f>
        <v>0.97544326561304662</v>
      </c>
      <c r="DQ50" s="126">
        <f>'Crops proc. &amp; prod. DISCOUNTED'!DM155</f>
        <v>1.3810453829059368</v>
      </c>
      <c r="DZ50" s="126">
        <f>'Crops proc. &amp; prod. DISCOUNTED'!FF155</f>
        <v>2.7685326133601009</v>
      </c>
      <c r="ED50" s="334">
        <f>'Crops proc. &amp; prod. DISCOUNTED'!GZ155</f>
        <v>0.10857278694639989</v>
      </c>
      <c r="EE50" s="126"/>
      <c r="EJ50" s="264">
        <f t="shared" si="9"/>
        <v>1.4465332244002915</v>
      </c>
      <c r="EK50" s="334">
        <f>'Crops proc. &amp; prod. DISCOUNTED'!JB155</f>
        <v>0.807452133999914</v>
      </c>
      <c r="EL50" s="334">
        <f>'Crops proc. &amp; prod. DISCOUNTED'!JC155</f>
        <v>0.63908109040037753</v>
      </c>
      <c r="EM50" s="334">
        <f>'Crops proc. &amp; prod. DISCOUNTED'!JD155</f>
        <v>0</v>
      </c>
      <c r="EN50" s="74"/>
      <c r="EO50" s="74"/>
      <c r="EP50" s="74"/>
      <c r="EQ50" s="74"/>
      <c r="ER50" s="74"/>
      <c r="ES50" s="74"/>
      <c r="ET50" s="74"/>
      <c r="EU50" s="74"/>
      <c r="EV50" s="74"/>
      <c r="EW50" s="74"/>
      <c r="EX50" s="74"/>
      <c r="EY50" s="74"/>
      <c r="EZ50" s="74"/>
      <c r="FA50" s="74"/>
      <c r="FB50" s="74"/>
      <c r="FC50" s="74"/>
      <c r="FD50" s="74"/>
      <c r="FE50" s="74"/>
      <c r="FF50" s="74"/>
      <c r="FG50" s="74"/>
      <c r="FH50" s="74"/>
      <c r="FI50" s="74"/>
      <c r="FJ50" s="74"/>
      <c r="FK50" s="74"/>
      <c r="FL50" s="74"/>
      <c r="FM50" s="74"/>
      <c r="FN50" s="74"/>
      <c r="FO50" s="74"/>
      <c r="FP50" s="74"/>
      <c r="FQ50" s="74"/>
      <c r="FR50" s="74"/>
      <c r="FS50" s="74"/>
      <c r="FT50" s="74"/>
      <c r="FU50" s="74"/>
      <c r="FV50" s="74"/>
      <c r="FW50" s="74"/>
      <c r="FX50" s="74"/>
      <c r="FY50" s="74"/>
      <c r="FZ50" s="74"/>
      <c r="GA50" s="74"/>
      <c r="GB50" s="74"/>
      <c r="GC50" s="74"/>
      <c r="GD50" s="74"/>
      <c r="GE50" s="74"/>
      <c r="GF50" s="74"/>
      <c r="GG50" s="631">
        <f>'Crops proc. &amp; prod. DISCOUNTED'!NT155</f>
        <v>0.9</v>
      </c>
      <c r="GH50" s="41">
        <f>'Crops proc. &amp; prod. DISCOUNTED'!NV155</f>
        <v>17.55</v>
      </c>
      <c r="GI50" s="41">
        <f>'Crops proc. &amp; prod. DISCOUNTED'!NW155</f>
        <v>19.5</v>
      </c>
      <c r="GL50" s="631">
        <f>'Crops proc. &amp; prod. DISCOUNTED'!OC155</f>
        <v>0.421875</v>
      </c>
      <c r="GM50" s="631">
        <f>'Crops proc. &amp; prod. DISCOUNTED'!OD155</f>
        <v>0.46875</v>
      </c>
      <c r="KD50" s="97"/>
      <c r="KE50" s="97"/>
      <c r="KF50" s="97"/>
      <c r="KG50" s="97"/>
      <c r="KH50" s="97"/>
      <c r="KI50" s="97"/>
    </row>
    <row r="51" spans="1:295" s="4" customFormat="1" x14ac:dyDescent="0.25">
      <c r="A51" s="14"/>
      <c r="B51" s="14"/>
      <c r="C51" s="14"/>
      <c r="D51" s="14"/>
      <c r="E51" s="102"/>
      <c r="F51" s="14"/>
      <c r="G51" s="14"/>
      <c r="H51" s="102"/>
      <c r="I51" s="102"/>
      <c r="J51" s="14"/>
      <c r="K51" s="50"/>
      <c r="L51" s="50"/>
      <c r="M51" s="50"/>
      <c r="N51" s="14"/>
      <c r="O51" s="50"/>
      <c r="P51" s="50"/>
      <c r="Q51" s="50"/>
      <c r="R51" s="14"/>
      <c r="S51" s="50"/>
      <c r="T51" s="50"/>
      <c r="U51" s="14"/>
      <c r="V51" s="50"/>
      <c r="W51" s="50"/>
      <c r="X51" s="14"/>
      <c r="Y51" s="50"/>
      <c r="Z51" s="14"/>
      <c r="AA51" s="14"/>
      <c r="AB51" s="50"/>
      <c r="AC51" s="50"/>
      <c r="AD51" s="50"/>
      <c r="AE51" s="50"/>
      <c r="AF51" s="50"/>
      <c r="AG51" s="50"/>
      <c r="AH51" s="50"/>
      <c r="AI51" s="14"/>
      <c r="AJ51" s="50"/>
      <c r="AK51" s="50"/>
      <c r="AL51" s="50"/>
      <c r="AM51" s="50"/>
      <c r="AN51" s="50"/>
      <c r="AO51" s="575"/>
      <c r="AP51" s="50"/>
      <c r="AQ51" s="50"/>
      <c r="AR51" s="50"/>
      <c r="AS51" s="50"/>
      <c r="AT51" s="14"/>
      <c r="AU51" s="14"/>
      <c r="AV51" s="14"/>
      <c r="AW51" s="14"/>
      <c r="AX51" s="102"/>
      <c r="AY51" s="14"/>
      <c r="AZ51" s="14"/>
      <c r="BA51" s="14"/>
      <c r="BB51" s="14"/>
      <c r="BC51" s="102"/>
      <c r="BD51" s="102"/>
      <c r="BE51" s="102"/>
      <c r="BF51" s="102"/>
      <c r="BG51" s="102"/>
      <c r="BH51" s="102"/>
      <c r="BI51" s="102"/>
      <c r="BJ51" s="102"/>
      <c r="BK51" s="102"/>
      <c r="BL51" s="102"/>
      <c r="BM51" s="102"/>
      <c r="BN51" s="102"/>
      <c r="BO51" s="102"/>
      <c r="BP51" s="102"/>
      <c r="BQ51" s="102"/>
      <c r="BR51" s="102"/>
      <c r="BS51" s="102"/>
      <c r="BT51" s="102"/>
      <c r="BU51" s="102"/>
      <c r="BV51" s="102"/>
      <c r="BW51" s="102"/>
      <c r="BX51" s="102"/>
      <c r="BY51" s="102"/>
      <c r="BZ51" s="102"/>
      <c r="CA51" s="102"/>
      <c r="CB51" s="102"/>
      <c r="CC51" s="102"/>
      <c r="CD51" s="102"/>
      <c r="CE51" s="102"/>
      <c r="CF51" s="102"/>
      <c r="CG51" s="102"/>
      <c r="CH51" s="102"/>
      <c r="CI51" s="102"/>
      <c r="CJ51" s="102"/>
      <c r="CK51" s="102"/>
      <c r="CL51" s="102"/>
      <c r="CM51" s="60"/>
      <c r="CW51" s="49"/>
      <c r="DP51" s="97"/>
      <c r="DQ51" s="97"/>
      <c r="DZ51" s="97"/>
      <c r="ED51" s="522"/>
      <c r="EE51" s="97"/>
      <c r="EK51" s="522"/>
      <c r="EL51" s="522"/>
      <c r="EM51" s="522"/>
      <c r="EN51" s="74"/>
      <c r="EO51" s="74"/>
      <c r="EP51" s="74"/>
      <c r="EQ51" s="74"/>
      <c r="ER51" s="74"/>
      <c r="ES51" s="74"/>
      <c r="ET51" s="74"/>
      <c r="EU51" s="74"/>
      <c r="EV51" s="74"/>
      <c r="EW51" s="74"/>
      <c r="EX51" s="74"/>
      <c r="EY51" s="74"/>
      <c r="EZ51" s="74"/>
      <c r="FA51" s="74"/>
      <c r="FB51" s="74"/>
      <c r="FC51" s="74"/>
      <c r="FD51" s="74"/>
      <c r="FE51" s="74"/>
      <c r="FF51" s="74"/>
      <c r="FG51" s="74"/>
      <c r="FH51" s="74"/>
      <c r="FI51" s="74"/>
      <c r="FJ51" s="74"/>
      <c r="FK51" s="74"/>
      <c r="FL51" s="74"/>
      <c r="FM51" s="74"/>
      <c r="FN51" s="74"/>
      <c r="FO51" s="74"/>
      <c r="FP51" s="74"/>
      <c r="FQ51" s="74"/>
      <c r="FR51" s="74"/>
      <c r="FS51" s="74"/>
      <c r="FT51" s="74"/>
      <c r="FU51" s="74"/>
      <c r="FV51" s="74"/>
      <c r="FW51" s="74"/>
      <c r="FX51" s="74"/>
      <c r="FY51" s="74"/>
      <c r="FZ51" s="74"/>
      <c r="GA51" s="74"/>
      <c r="GB51" s="74"/>
      <c r="GC51" s="74"/>
      <c r="GD51" s="74"/>
      <c r="GE51" s="74"/>
      <c r="GF51" s="74"/>
      <c r="KD51" s="97"/>
      <c r="KE51" s="97"/>
      <c r="KF51" s="97"/>
      <c r="KG51" s="97"/>
      <c r="KH51" s="97"/>
      <c r="KI51" s="97"/>
    </row>
    <row r="52" spans="1:295" s="4" customFormat="1" x14ac:dyDescent="0.25">
      <c r="A52" s="9" t="s">
        <v>302</v>
      </c>
      <c r="B52" s="14"/>
      <c r="C52" s="14"/>
      <c r="D52" s="625">
        <f>'Crops proc. &amp; prod. DISCOUNTED'!W104</f>
        <v>38.102856587263005</v>
      </c>
      <c r="E52" s="144">
        <f>E53+E54+E55</f>
        <v>32.983360455240678</v>
      </c>
      <c r="F52" s="577">
        <f>F53+F54+F55</f>
        <v>29.949374999999996</v>
      </c>
      <c r="G52" s="626">
        <f>F52/D52</f>
        <v>0.78601390243301206</v>
      </c>
      <c r="H52" s="154"/>
      <c r="I52" s="154"/>
      <c r="J52" s="14"/>
      <c r="K52" s="50"/>
      <c r="L52" s="50"/>
      <c r="M52" s="50"/>
      <c r="N52" s="14"/>
      <c r="O52" s="50"/>
      <c r="P52" s="50"/>
      <c r="Q52" s="50"/>
      <c r="R52" s="14"/>
      <c r="S52" s="50"/>
      <c r="T52" s="50"/>
      <c r="U52" s="14"/>
      <c r="V52" s="50"/>
      <c r="W52" s="50"/>
      <c r="X52" s="14"/>
      <c r="Y52" s="50"/>
      <c r="Z52" s="14"/>
      <c r="AA52" s="14"/>
      <c r="AB52" s="50"/>
      <c r="AC52" s="50"/>
      <c r="AD52" s="50"/>
      <c r="AE52" s="50"/>
      <c r="AF52" s="50"/>
      <c r="AG52" s="50"/>
      <c r="AH52" s="50"/>
      <c r="AI52" s="14"/>
      <c r="AJ52" s="50"/>
      <c r="AK52" s="50"/>
      <c r="AL52" s="50"/>
      <c r="AM52" s="50"/>
      <c r="AN52" s="50"/>
      <c r="AO52" s="575"/>
      <c r="AP52" s="50"/>
      <c r="AQ52" s="50"/>
      <c r="AR52" s="50"/>
      <c r="AS52" s="50"/>
      <c r="AT52" s="14"/>
      <c r="AU52" s="14"/>
      <c r="AV52" s="14"/>
      <c r="AW52" s="14"/>
      <c r="AX52" s="102"/>
      <c r="AY52" s="14"/>
      <c r="AZ52" s="14"/>
      <c r="BA52" s="14"/>
      <c r="BB52" s="14"/>
      <c r="BC52" s="102"/>
      <c r="BD52" s="102"/>
      <c r="BE52" s="102"/>
      <c r="BF52" s="102"/>
      <c r="BG52" s="102"/>
      <c r="BH52" s="102"/>
      <c r="BI52" s="102"/>
      <c r="BJ52" s="102"/>
      <c r="BK52" s="102"/>
      <c r="BL52" s="102"/>
      <c r="BM52" s="102"/>
      <c r="BN52" s="102"/>
      <c r="BO52" s="102"/>
      <c r="BP52" s="102"/>
      <c r="BQ52" s="102"/>
      <c r="BR52" s="102"/>
      <c r="BS52" s="102"/>
      <c r="BT52" s="102"/>
      <c r="BU52" s="102"/>
      <c r="BV52" s="102"/>
      <c r="BW52" s="102"/>
      <c r="BX52" s="102"/>
      <c r="BY52" s="102"/>
      <c r="BZ52" s="102"/>
      <c r="CA52" s="102"/>
      <c r="CB52" s="102"/>
      <c r="CC52" s="102"/>
      <c r="CD52" s="102"/>
      <c r="CE52" s="102"/>
      <c r="CF52" s="102"/>
      <c r="CG52" s="102"/>
      <c r="CH52" s="102"/>
      <c r="CI52" s="102"/>
      <c r="CJ52" s="102"/>
      <c r="CK52" s="102"/>
      <c r="CL52" s="102"/>
      <c r="CM52" s="60"/>
      <c r="CW52" s="49"/>
      <c r="DP52" s="97"/>
      <c r="DQ52" s="97"/>
      <c r="DZ52" s="97"/>
      <c r="ED52" s="522"/>
      <c r="EE52" s="97"/>
      <c r="EK52" s="522"/>
      <c r="EL52" s="522"/>
      <c r="EM52" s="522"/>
      <c r="EN52" s="74"/>
      <c r="EO52" s="74"/>
      <c r="EP52" s="74"/>
      <c r="EQ52" s="74"/>
      <c r="ER52" s="74"/>
      <c r="ES52" s="74"/>
      <c r="ET52" s="74"/>
      <c r="EU52" s="74"/>
      <c r="EV52" s="74"/>
      <c r="EW52" s="74"/>
      <c r="EX52" s="74"/>
      <c r="EY52" s="74"/>
      <c r="EZ52" s="74"/>
      <c r="FA52" s="74"/>
      <c r="FB52" s="74"/>
      <c r="FC52" s="74"/>
      <c r="FD52" s="74"/>
      <c r="FE52" s="74"/>
      <c r="FF52" s="74"/>
      <c r="FG52" s="74"/>
      <c r="FH52" s="74"/>
      <c r="FI52" s="74"/>
      <c r="FJ52" s="74"/>
      <c r="FK52" s="74"/>
      <c r="FL52" s="74"/>
      <c r="FM52" s="74"/>
      <c r="FN52" s="74"/>
      <c r="FO52" s="74"/>
      <c r="FP52" s="74"/>
      <c r="FQ52" s="74"/>
      <c r="FR52" s="74"/>
      <c r="FS52" s="74"/>
      <c r="FT52" s="74"/>
      <c r="FU52" s="74"/>
      <c r="FV52" s="74"/>
      <c r="FW52" s="74"/>
      <c r="FX52" s="74"/>
      <c r="FY52" s="74"/>
      <c r="FZ52" s="74"/>
      <c r="GA52" s="74"/>
      <c r="GB52" s="74"/>
      <c r="GC52" s="74"/>
      <c r="GD52" s="74"/>
      <c r="GE52" s="74"/>
      <c r="GF52" s="74"/>
      <c r="KD52" s="97"/>
      <c r="KE52" s="97"/>
      <c r="KF52" s="97"/>
      <c r="KG52" s="97"/>
      <c r="KH52" s="97"/>
      <c r="KI52" s="97"/>
    </row>
    <row r="53" spans="1:295" s="4" customFormat="1" x14ac:dyDescent="0.25">
      <c r="A53" s="37" t="s">
        <v>300</v>
      </c>
      <c r="B53" s="14"/>
      <c r="C53" s="627">
        <f>D53/(D53+D54+D55)</f>
        <v>0.27362401715511081</v>
      </c>
      <c r="D53" s="628">
        <f>'Crops proc. &amp; prod. DISCOUNTED'!W108</f>
        <v>10.425856684491979</v>
      </c>
      <c r="E53" s="630">
        <f>F53/GG53</f>
        <v>8.8116863427794048</v>
      </c>
      <c r="F53" s="630">
        <f>CI62</f>
        <v>8.1948682987848471</v>
      </c>
      <c r="G53" s="14"/>
      <c r="H53" s="102"/>
      <c r="I53" s="102"/>
      <c r="J53" s="14"/>
      <c r="K53" s="50"/>
      <c r="L53" s="50"/>
      <c r="M53" s="50"/>
      <c r="N53" s="14"/>
      <c r="O53" s="50"/>
      <c r="P53" s="50"/>
      <c r="Q53" s="50"/>
      <c r="R53" s="14"/>
      <c r="S53" s="50"/>
      <c r="T53" s="50"/>
      <c r="U53" s="14"/>
      <c r="V53" s="50"/>
      <c r="W53" s="50"/>
      <c r="X53" s="14"/>
      <c r="Y53" s="50"/>
      <c r="Z53" s="14"/>
      <c r="AA53" s="14"/>
      <c r="AB53" s="50"/>
      <c r="AC53" s="50"/>
      <c r="AD53" s="50"/>
      <c r="AE53" s="50"/>
      <c r="AF53" s="50"/>
      <c r="AG53" s="50"/>
      <c r="AH53" s="50"/>
      <c r="AI53" s="14"/>
      <c r="AJ53" s="50"/>
      <c r="AK53" s="50"/>
      <c r="AL53" s="50"/>
      <c r="AM53" s="50"/>
      <c r="AN53" s="50"/>
      <c r="AO53" s="575"/>
      <c r="AP53" s="50"/>
      <c r="AQ53" s="50"/>
      <c r="AR53" s="50"/>
      <c r="AS53" s="50"/>
      <c r="AT53" s="14"/>
      <c r="AU53" s="14"/>
      <c r="AV53" s="14"/>
      <c r="AW53" s="14"/>
      <c r="AX53" s="102"/>
      <c r="AY53" s="14"/>
      <c r="AZ53" s="14"/>
      <c r="BA53" s="14"/>
      <c r="BB53" s="14"/>
      <c r="BC53" s="102"/>
      <c r="BD53" s="102"/>
      <c r="BE53" s="102"/>
      <c r="BF53" s="102"/>
      <c r="BG53" s="102"/>
      <c r="BH53" s="102"/>
      <c r="BI53" s="102"/>
      <c r="BJ53" s="102"/>
      <c r="BK53" s="102"/>
      <c r="BL53" s="102"/>
      <c r="BM53" s="102"/>
      <c r="BN53" s="102"/>
      <c r="BO53" s="102"/>
      <c r="BP53" s="102"/>
      <c r="BQ53" s="102"/>
      <c r="BR53" s="102"/>
      <c r="BS53" s="102"/>
      <c r="BT53" s="102"/>
      <c r="BU53" s="102"/>
      <c r="BV53" s="102"/>
      <c r="BW53" s="102"/>
      <c r="BX53" s="102"/>
      <c r="BY53" s="102"/>
      <c r="BZ53" s="102"/>
      <c r="CA53" s="102"/>
      <c r="CB53" s="102"/>
      <c r="CC53" s="102"/>
      <c r="CD53" s="102"/>
      <c r="CE53" s="102"/>
      <c r="CF53" s="102"/>
      <c r="CG53" s="102"/>
      <c r="CH53" s="102"/>
      <c r="CI53" s="102"/>
      <c r="CJ53" s="102"/>
      <c r="CK53" s="102"/>
      <c r="CL53" s="102"/>
      <c r="CM53" s="126">
        <f>'Crops proc. &amp; prod. DISCOUNTED'!AE108</f>
        <v>2.5783228730725054</v>
      </c>
      <c r="CW53" s="49"/>
      <c r="DP53" s="126">
        <f>'Crops proc. &amp; prod. DISCOUNTED'!BW108</f>
        <v>0.73744560310998242</v>
      </c>
      <c r="DQ53" s="126">
        <f>'Crops proc. &amp; prod. DISCOUNTED'!DM108</f>
        <v>0.85383824586581292</v>
      </c>
      <c r="DZ53" s="126">
        <f>'Crops proc. &amp; prod. DISCOUNTED'!FF108</f>
        <v>1.7116591963398846</v>
      </c>
      <c r="ED53" s="334">
        <f>'Crops proc. &amp; prod. DISCOUNTED'!GZ108</f>
        <v>0.14997880759995957</v>
      </c>
      <c r="EE53" s="126"/>
      <c r="EJ53" s="264">
        <f t="shared" ref="EJ53:EJ55" si="10">EK53+EL53+EM53</f>
        <v>1.0545209908213284</v>
      </c>
      <c r="EK53" s="334">
        <f>'Crops proc. &amp; prod. DISCOUNTED'!JB108</f>
        <v>0.70458786372165516</v>
      </c>
      <c r="EL53" s="334">
        <f>'Crops proc. &amp; prod. DISCOUNTED'!JC108</f>
        <v>0.30771863475530065</v>
      </c>
      <c r="EM53" s="334">
        <f>'Crops proc. &amp; prod. DISCOUNTED'!JD108</f>
        <v>4.2214492344372474E-2</v>
      </c>
      <c r="EN53" s="74"/>
      <c r="EO53" s="74"/>
      <c r="EP53" s="74"/>
      <c r="EQ53" s="74"/>
      <c r="ER53" s="74"/>
      <c r="ES53" s="74"/>
      <c r="ET53" s="74"/>
      <c r="EU53" s="74"/>
      <c r="EV53" s="74"/>
      <c r="EW53" s="74"/>
      <c r="EX53" s="74"/>
      <c r="EY53" s="74"/>
      <c r="EZ53" s="74"/>
      <c r="FA53" s="74"/>
      <c r="FB53" s="74"/>
      <c r="FC53" s="74"/>
      <c r="FD53" s="74"/>
      <c r="FE53" s="74"/>
      <c r="FF53" s="74"/>
      <c r="FG53" s="74"/>
      <c r="FH53" s="74"/>
      <c r="FI53" s="74"/>
      <c r="FJ53" s="74"/>
      <c r="FK53" s="74"/>
      <c r="FL53" s="74"/>
      <c r="FM53" s="74"/>
      <c r="FN53" s="74"/>
      <c r="FO53" s="74"/>
      <c r="FP53" s="74"/>
      <c r="FQ53" s="74"/>
      <c r="FR53" s="74"/>
      <c r="FS53" s="74"/>
      <c r="FT53" s="74"/>
      <c r="FU53" s="74"/>
      <c r="FV53" s="74"/>
      <c r="FW53" s="74"/>
      <c r="FX53" s="74"/>
      <c r="FY53" s="74"/>
      <c r="FZ53" s="74"/>
      <c r="GA53" s="74"/>
      <c r="GB53" s="74"/>
      <c r="GC53" s="74"/>
      <c r="GD53" s="74"/>
      <c r="GE53" s="74"/>
      <c r="GF53" s="74"/>
      <c r="GG53" s="631">
        <f>'Crops proc. &amp; prod. DISCOUNTED'!NT108</f>
        <v>0.93</v>
      </c>
      <c r="GH53" s="41">
        <f>'Crops proc. &amp; prod. DISCOUNTED'!NV108</f>
        <v>18.501063829787235</v>
      </c>
      <c r="GI53" s="41">
        <f>'Crops proc. &amp; prod. DISCOUNTED'!NW108</f>
        <v>19.893617021276597</v>
      </c>
      <c r="GL53" s="631">
        <f>'Crops proc. &amp; prod. DISCOUNTED'!OC108</f>
        <v>0.27900000000000003</v>
      </c>
      <c r="GM53" s="631">
        <f>'Crops proc. &amp; prod. DISCOUNTED'!OD108</f>
        <v>0.3</v>
      </c>
      <c r="KD53" s="97"/>
      <c r="KE53" s="97"/>
      <c r="KF53" s="97"/>
      <c r="KG53" s="97"/>
      <c r="KH53" s="97"/>
      <c r="KI53" s="97"/>
    </row>
    <row r="54" spans="1:295" s="4" customFormat="1" x14ac:dyDescent="0.25">
      <c r="A54" s="37" t="s">
        <v>301</v>
      </c>
      <c r="B54" s="14"/>
      <c r="C54" s="627">
        <f>D54/(D53+D54+D55)</f>
        <v>0.12094353109363824</v>
      </c>
      <c r="D54" s="628">
        <f>'Crops proc. &amp; prod. DISCOUNTED'!W113</f>
        <v>4.6082940204180822</v>
      </c>
      <c r="E54" s="630">
        <f>F54/GG54</f>
        <v>4.0246479628305911</v>
      </c>
      <c r="F54" s="630">
        <f>CJ62</f>
        <v>3.6221831665475319</v>
      </c>
      <c r="G54" s="14"/>
      <c r="H54" s="14"/>
      <c r="I54" s="14"/>
      <c r="J54" s="14"/>
      <c r="K54" s="50"/>
      <c r="L54" s="50"/>
      <c r="M54" s="50"/>
      <c r="N54" s="14"/>
      <c r="O54" s="50"/>
      <c r="P54" s="50"/>
      <c r="Q54" s="50"/>
      <c r="R54" s="14"/>
      <c r="S54" s="50"/>
      <c r="T54" s="50"/>
      <c r="U54" s="14"/>
      <c r="V54" s="50"/>
      <c r="W54" s="50"/>
      <c r="X54" s="14"/>
      <c r="Y54" s="50"/>
      <c r="Z54" s="14"/>
      <c r="AA54" s="14"/>
      <c r="AB54" s="50"/>
      <c r="AC54" s="50"/>
      <c r="AD54" s="50"/>
      <c r="AE54" s="50"/>
      <c r="AF54" s="50"/>
      <c r="AG54" s="50"/>
      <c r="AH54" s="50"/>
      <c r="AI54" s="14"/>
      <c r="AJ54" s="50"/>
      <c r="AK54" s="50"/>
      <c r="AL54" s="50"/>
      <c r="AM54" s="50"/>
      <c r="AN54" s="50"/>
      <c r="AO54" s="575"/>
      <c r="AP54" s="50"/>
      <c r="AQ54" s="50"/>
      <c r="AR54" s="50"/>
      <c r="AS54" s="50"/>
      <c r="AT54" s="14"/>
      <c r="AU54" s="14"/>
      <c r="AV54" s="14"/>
      <c r="AW54" s="14"/>
      <c r="AX54" s="102"/>
      <c r="AY54" s="14"/>
      <c r="AZ54" s="14"/>
      <c r="BA54" s="14"/>
      <c r="BB54" s="14"/>
      <c r="BC54" s="102"/>
      <c r="BD54" s="102"/>
      <c r="BE54" s="102"/>
      <c r="BF54" s="102"/>
      <c r="BG54" s="102"/>
      <c r="BH54" s="102"/>
      <c r="BI54" s="102"/>
      <c r="BJ54" s="102"/>
      <c r="BK54" s="102"/>
      <c r="BL54" s="102"/>
      <c r="BM54" s="102"/>
      <c r="BN54" s="102"/>
      <c r="BO54" s="102"/>
      <c r="BP54" s="102"/>
      <c r="BQ54" s="102"/>
      <c r="BR54" s="102"/>
      <c r="BS54" s="102"/>
      <c r="BT54" s="102"/>
      <c r="BU54" s="102"/>
      <c r="BV54" s="102"/>
      <c r="BW54" s="102"/>
      <c r="BX54" s="102"/>
      <c r="BY54" s="102"/>
      <c r="BZ54" s="102"/>
      <c r="CA54" s="102"/>
      <c r="CB54" s="102"/>
      <c r="CC54" s="102"/>
      <c r="CD54" s="102"/>
      <c r="CE54" s="102"/>
      <c r="CF54" s="102"/>
      <c r="CG54" s="102"/>
      <c r="CH54" s="102"/>
      <c r="CI54" s="102"/>
      <c r="CJ54" s="102"/>
      <c r="CK54" s="102"/>
      <c r="CL54" s="102"/>
      <c r="CM54" s="126">
        <f>'Crops proc. &amp; prod. DISCOUNTED'!AE113</f>
        <v>4.2864784535110347</v>
      </c>
      <c r="CW54" s="49"/>
      <c r="DP54" s="126">
        <f>'Crops proc. &amp; prod. DISCOUNTED'!BW113</f>
        <v>0.65744453764147814</v>
      </c>
      <c r="DQ54" s="126">
        <f>'Crops proc. &amp; prod. DISCOUNTED'!DM113</f>
        <v>0.93370278587743738</v>
      </c>
      <c r="DZ54" s="126">
        <f>'Crops proc. &amp; prod. DISCOUNTED'!FF113</f>
        <v>1.8717608022754835</v>
      </c>
      <c r="ED54" s="334">
        <f>'Crops proc. &amp; prod. DISCOUNTED'!GZ113</f>
        <v>0.15125070026543169</v>
      </c>
      <c r="EE54" s="126"/>
      <c r="EJ54" s="264">
        <f t="shared" si="10"/>
        <v>1.3482923082744735</v>
      </c>
      <c r="EK54" s="334">
        <f>'Crops proc. &amp; prod. DISCOUNTED'!JB113</f>
        <v>0.91314534566574168</v>
      </c>
      <c r="EL54" s="334">
        <f>'Crops proc. &amp; prod. DISCOUNTED'!JC113</f>
        <v>0.40249114791079238</v>
      </c>
      <c r="EM54" s="334">
        <f>'Crops proc. &amp; prod. DISCOUNTED'!JD113</f>
        <v>3.2655814697939503E-2</v>
      </c>
      <c r="EN54" s="74"/>
      <c r="EO54" s="74"/>
      <c r="EP54" s="74"/>
      <c r="EQ54" s="74"/>
      <c r="ER54" s="74"/>
      <c r="ES54" s="74"/>
      <c r="ET54" s="74"/>
      <c r="EU54" s="74"/>
      <c r="EV54" s="74"/>
      <c r="EW54" s="74"/>
      <c r="EX54" s="74"/>
      <c r="EY54" s="74"/>
      <c r="EZ54" s="74"/>
      <c r="FA54" s="74"/>
      <c r="FB54" s="74"/>
      <c r="FC54" s="74"/>
      <c r="FD54" s="74"/>
      <c r="FE54" s="74"/>
      <c r="FF54" s="74"/>
      <c r="FG54" s="74"/>
      <c r="FH54" s="74"/>
      <c r="FI54" s="74"/>
      <c r="FJ54" s="74"/>
      <c r="FK54" s="74"/>
      <c r="FL54" s="74"/>
      <c r="FM54" s="74"/>
      <c r="FN54" s="74"/>
      <c r="FO54" s="74"/>
      <c r="FP54" s="74"/>
      <c r="FQ54" s="74"/>
      <c r="FR54" s="74"/>
      <c r="FS54" s="74"/>
      <c r="FT54" s="74"/>
      <c r="FU54" s="74"/>
      <c r="FV54" s="74"/>
      <c r="FW54" s="74"/>
      <c r="FX54" s="74"/>
      <c r="FY54" s="74"/>
      <c r="FZ54" s="74"/>
      <c r="GA54" s="74"/>
      <c r="GB54" s="74"/>
      <c r="GC54" s="74"/>
      <c r="GD54" s="74"/>
      <c r="GE54" s="74"/>
      <c r="GF54" s="74"/>
      <c r="GG54" s="631">
        <f>'Crops proc. &amp; prod. DISCOUNTED'!NT113</f>
        <v>0.9</v>
      </c>
      <c r="GH54" s="41">
        <f>'Crops proc. &amp; prod. DISCOUNTED'!NV113</f>
        <v>17.904255319148938</v>
      </c>
      <c r="GI54" s="41">
        <f>'Crops proc. &amp; prod. DISCOUNTED'!NW113</f>
        <v>19.893617021276597</v>
      </c>
      <c r="GL54" s="631">
        <f>'Crops proc. &amp; prod. DISCOUNTED'!OC113</f>
        <v>0.27</v>
      </c>
      <c r="GM54" s="631">
        <f>'Crops proc. &amp; prod. DISCOUNTED'!OD113</f>
        <v>0.3</v>
      </c>
      <c r="KD54" s="97"/>
      <c r="KE54" s="97"/>
      <c r="KF54" s="97"/>
      <c r="KG54" s="97"/>
      <c r="KH54" s="97"/>
      <c r="KI54" s="97"/>
    </row>
    <row r="55" spans="1:295" s="4" customFormat="1" x14ac:dyDescent="0.25">
      <c r="A55" s="37" t="s">
        <v>302</v>
      </c>
      <c r="B55" s="14"/>
      <c r="C55" s="627">
        <f>D55/(D53+D54+D55)</f>
        <v>0.60543245175125082</v>
      </c>
      <c r="D55" s="628">
        <f>'Crops proc. &amp; prod. DISCOUNTED'!W127</f>
        <v>23.068705882352941</v>
      </c>
      <c r="E55" s="630">
        <f>F55/GG55</f>
        <v>20.147026149630683</v>
      </c>
      <c r="F55" s="630">
        <f>CK62</f>
        <v>18.132323534667616</v>
      </c>
      <c r="G55" s="14"/>
      <c r="H55" s="14"/>
      <c r="I55" s="14"/>
      <c r="J55" s="14"/>
      <c r="K55" s="50"/>
      <c r="L55" s="50"/>
      <c r="M55" s="50"/>
      <c r="N55" s="14"/>
      <c r="O55" s="50"/>
      <c r="P55" s="50"/>
      <c r="Q55" s="50"/>
      <c r="R55" s="14"/>
      <c r="S55" s="50"/>
      <c r="T55" s="50"/>
      <c r="U55" s="14"/>
      <c r="V55" s="50"/>
      <c r="W55" s="50"/>
      <c r="X55" s="14"/>
      <c r="Y55" s="50"/>
      <c r="Z55" s="14"/>
      <c r="AA55" s="14"/>
      <c r="AB55" s="50"/>
      <c r="AC55" s="50"/>
      <c r="AD55" s="50"/>
      <c r="AE55" s="50"/>
      <c r="AF55" s="50"/>
      <c r="AG55" s="50"/>
      <c r="AH55" s="50"/>
      <c r="AI55" s="14"/>
      <c r="AJ55" s="50"/>
      <c r="AK55" s="50"/>
      <c r="AL55" s="50"/>
      <c r="AM55" s="50"/>
      <c r="AN55" s="50"/>
      <c r="AO55" s="575"/>
      <c r="AP55" s="50"/>
      <c r="AQ55" s="50"/>
      <c r="AR55" s="50"/>
      <c r="AS55" s="50"/>
      <c r="AT55" s="14"/>
      <c r="AU55" s="14"/>
      <c r="AV55" s="14"/>
      <c r="AW55" s="14"/>
      <c r="AX55" s="102"/>
      <c r="AY55" s="14"/>
      <c r="AZ55" s="14"/>
      <c r="BA55" s="14"/>
      <c r="BB55" s="14"/>
      <c r="BC55" s="102"/>
      <c r="BD55" s="102"/>
      <c r="BE55" s="102"/>
      <c r="BF55" s="102"/>
      <c r="BG55" s="102"/>
      <c r="BH55" s="102"/>
      <c r="BI55" s="102"/>
      <c r="BJ55" s="102"/>
      <c r="BK55" s="102"/>
      <c r="BL55" s="102"/>
      <c r="BM55" s="102"/>
      <c r="BN55" s="102"/>
      <c r="BO55" s="102"/>
      <c r="BP55" s="102"/>
      <c r="BQ55" s="102"/>
      <c r="BR55" s="102"/>
      <c r="BS55" s="102"/>
      <c r="BT55" s="102"/>
      <c r="BU55" s="102"/>
      <c r="BV55" s="102"/>
      <c r="BW55" s="102"/>
      <c r="BX55" s="102"/>
      <c r="BY55" s="102"/>
      <c r="BZ55" s="102"/>
      <c r="CA55" s="102"/>
      <c r="CB55" s="102"/>
      <c r="CC55" s="102"/>
      <c r="CD55" s="102"/>
      <c r="CE55" s="102"/>
      <c r="CF55" s="102"/>
      <c r="CG55" s="102"/>
      <c r="CH55" s="102"/>
      <c r="CI55" s="102"/>
      <c r="CJ55" s="102"/>
      <c r="CK55" s="102"/>
      <c r="CL55" s="102"/>
      <c r="CM55" s="126">
        <f>'Crops proc. &amp; prod. DISCOUNTED'!AE127</f>
        <v>5.6666577413409973</v>
      </c>
      <c r="CW55" s="49"/>
      <c r="DP55" s="126">
        <f>'Crops proc. &amp; prod. DISCOUNTED'!BW127</f>
        <v>0.94010268943167341</v>
      </c>
      <c r="DQ55" s="126">
        <f>'Crops proc. &amp; prod. DISCOUNTED'!DM127</f>
        <v>1.3085806076105961</v>
      </c>
      <c r="DZ55" s="126">
        <f>'Crops proc. &amp; prod. DISCOUNTED'!FF127</f>
        <v>2.6232650528525503</v>
      </c>
      <c r="ED55" s="334">
        <f>'Crops proc. &amp; prod. DISCOUNTED'!GZ127</f>
        <v>0.30824401389506878</v>
      </c>
      <c r="EE55" s="126"/>
      <c r="EJ55" s="264">
        <f t="shared" si="10"/>
        <v>1.1541233724532112</v>
      </c>
      <c r="EK55" s="334">
        <f>'Crops proc. &amp; prod. DISCOUNTED'!JB127</f>
        <v>0.85051882151448477</v>
      </c>
      <c r="EL55" s="334">
        <f>'Crops proc. &amp; prod. DISCOUNTED'!JC127</f>
        <v>0.28045161648206507</v>
      </c>
      <c r="EM55" s="334">
        <f>'Crops proc. &amp; prod. DISCOUNTED'!JD127</f>
        <v>2.3152934456661438E-2</v>
      </c>
      <c r="EN55" s="74"/>
      <c r="EO55" s="74"/>
      <c r="EP55" s="74"/>
      <c r="EQ55" s="74"/>
      <c r="ER55" s="74"/>
      <c r="ES55" s="74"/>
      <c r="ET55" s="74"/>
      <c r="EU55" s="74"/>
      <c r="EV55" s="74"/>
      <c r="EW55" s="74"/>
      <c r="EX55" s="74"/>
      <c r="EY55" s="74"/>
      <c r="EZ55" s="74"/>
      <c r="FA55" s="74"/>
      <c r="FB55" s="74"/>
      <c r="FC55" s="74"/>
      <c r="FD55" s="74"/>
      <c r="FE55" s="74"/>
      <c r="FF55" s="74"/>
      <c r="FG55" s="74"/>
      <c r="FH55" s="74"/>
      <c r="FI55" s="74"/>
      <c r="FJ55" s="74"/>
      <c r="FK55" s="74"/>
      <c r="FL55" s="74"/>
      <c r="FM55" s="74"/>
      <c r="FN55" s="74"/>
      <c r="FO55" s="74"/>
      <c r="FP55" s="74"/>
      <c r="FQ55" s="74"/>
      <c r="FR55" s="74"/>
      <c r="FS55" s="74"/>
      <c r="FT55" s="74"/>
      <c r="FU55" s="74"/>
      <c r="FV55" s="74"/>
      <c r="FW55" s="74"/>
      <c r="FX55" s="74"/>
      <c r="FY55" s="74"/>
      <c r="FZ55" s="74"/>
      <c r="GA55" s="74"/>
      <c r="GB55" s="74"/>
      <c r="GC55" s="74"/>
      <c r="GD55" s="74"/>
      <c r="GE55" s="74"/>
      <c r="GF55" s="74"/>
      <c r="GG55" s="631">
        <f>'Crops proc. &amp; prod. DISCOUNTED'!NT127</f>
        <v>0.9</v>
      </c>
      <c r="GH55" s="41">
        <f>'Crops proc. &amp; prod. DISCOUNTED'!NV127</f>
        <v>17.904255319148938</v>
      </c>
      <c r="GI55" s="41">
        <f>'Crops proc. &amp; prod. DISCOUNTED'!NW127</f>
        <v>19.893617021276597</v>
      </c>
      <c r="GL55" s="631">
        <f>'Crops proc. &amp; prod. DISCOUNTED'!OC127</f>
        <v>0.27</v>
      </c>
      <c r="GM55" s="631">
        <f>'Crops proc. &amp; prod. DISCOUNTED'!OD127</f>
        <v>0.3</v>
      </c>
      <c r="KD55" s="97"/>
      <c r="KE55" s="97"/>
      <c r="KF55" s="97"/>
      <c r="KG55" s="97"/>
      <c r="KH55" s="97"/>
      <c r="KI55" s="97"/>
    </row>
    <row r="56" spans="1:295" s="4" customFormat="1" x14ac:dyDescent="0.25">
      <c r="A56" s="37"/>
      <c r="B56" s="14"/>
      <c r="C56" s="627"/>
      <c r="D56" s="628"/>
      <c r="E56" s="630"/>
      <c r="F56" s="630"/>
      <c r="G56" s="14"/>
      <c r="H56" s="14"/>
      <c r="I56" s="14"/>
      <c r="J56" s="14"/>
      <c r="K56" s="50"/>
      <c r="L56" s="50"/>
      <c r="M56" s="50"/>
      <c r="N56" s="14"/>
      <c r="O56" s="50"/>
      <c r="P56" s="50"/>
      <c r="Q56" s="50"/>
      <c r="R56" s="14"/>
      <c r="S56" s="50"/>
      <c r="T56" s="50"/>
      <c r="U56" s="14"/>
      <c r="V56" s="50"/>
      <c r="W56" s="50"/>
      <c r="X56" s="14"/>
      <c r="Y56" s="50"/>
      <c r="Z56" s="14"/>
      <c r="AA56" s="14"/>
      <c r="AB56" s="50"/>
      <c r="AC56" s="50"/>
      <c r="AD56" s="50"/>
      <c r="AE56" s="50"/>
      <c r="AF56" s="50"/>
      <c r="AG56" s="50"/>
      <c r="AH56" s="50"/>
      <c r="AI56" s="14"/>
      <c r="AJ56" s="50"/>
      <c r="AK56" s="50"/>
      <c r="AL56" s="50"/>
      <c r="AM56" s="50"/>
      <c r="AN56" s="50"/>
      <c r="AO56" s="575"/>
      <c r="AP56" s="50"/>
      <c r="AQ56" s="50"/>
      <c r="AR56" s="50"/>
      <c r="AS56" s="50"/>
      <c r="AT56" s="14"/>
      <c r="AU56" s="14"/>
      <c r="AV56" s="14"/>
      <c r="AW56" s="14"/>
      <c r="AX56" s="102"/>
      <c r="AY56" s="14"/>
      <c r="AZ56" s="14"/>
      <c r="BA56" s="14"/>
      <c r="BB56" s="14"/>
      <c r="BC56" s="102"/>
      <c r="BD56" s="102"/>
      <c r="BE56" s="102"/>
      <c r="BF56" s="102"/>
      <c r="BG56" s="102"/>
      <c r="BH56" s="102"/>
      <c r="BI56" s="102"/>
      <c r="BJ56" s="102"/>
      <c r="BK56" s="102"/>
      <c r="BL56" s="102"/>
      <c r="BM56" s="102"/>
      <c r="BN56" s="102"/>
      <c r="BO56" s="102"/>
      <c r="BP56" s="102"/>
      <c r="BQ56" s="102"/>
      <c r="BR56" s="102"/>
      <c r="BS56" s="102"/>
      <c r="BT56" s="102"/>
      <c r="BU56" s="102"/>
      <c r="BV56" s="102"/>
      <c r="BW56" s="102"/>
      <c r="BX56" s="102"/>
      <c r="BY56" s="102"/>
      <c r="BZ56" s="102"/>
      <c r="CA56" s="102"/>
      <c r="CB56" s="102"/>
      <c r="CC56" s="102"/>
      <c r="CD56" s="102"/>
      <c r="CE56" s="102"/>
      <c r="CF56" s="102"/>
      <c r="CG56" s="102"/>
      <c r="CH56" s="102"/>
      <c r="CI56" s="102"/>
      <c r="CJ56" s="102"/>
      <c r="CK56" s="102"/>
      <c r="CL56" s="102"/>
      <c r="CM56" s="60"/>
      <c r="CW56" s="49"/>
      <c r="DP56" s="60"/>
      <c r="EN56" s="74"/>
      <c r="EO56" s="74"/>
      <c r="EP56" s="74"/>
      <c r="EQ56" s="74"/>
      <c r="ER56" s="74"/>
      <c r="ES56" s="74"/>
      <c r="ET56" s="74"/>
      <c r="EU56" s="74"/>
      <c r="EV56" s="74"/>
      <c r="EW56" s="74"/>
      <c r="EX56" s="74"/>
      <c r="EY56" s="74"/>
      <c r="EZ56" s="74"/>
      <c r="FA56" s="74"/>
      <c r="FB56" s="74"/>
      <c r="FC56" s="74"/>
      <c r="FD56" s="74"/>
      <c r="FE56" s="74"/>
      <c r="FF56" s="74"/>
      <c r="FG56" s="74"/>
      <c r="FH56" s="74"/>
      <c r="FI56" s="74"/>
      <c r="FJ56" s="74"/>
      <c r="FK56" s="74"/>
      <c r="FL56" s="74"/>
      <c r="FM56" s="74"/>
      <c r="FN56" s="74"/>
      <c r="FO56" s="74"/>
      <c r="FP56" s="74"/>
      <c r="FQ56" s="74"/>
      <c r="FR56" s="74"/>
      <c r="FS56" s="74"/>
      <c r="FT56" s="74"/>
      <c r="FU56" s="74"/>
      <c r="FV56" s="74"/>
      <c r="FW56" s="74"/>
      <c r="FX56" s="74"/>
      <c r="FY56" s="74"/>
      <c r="FZ56" s="74"/>
      <c r="GA56" s="74"/>
      <c r="GB56" s="74"/>
      <c r="GC56" s="74"/>
      <c r="GD56" s="74"/>
      <c r="GE56" s="74"/>
      <c r="GF56" s="74"/>
      <c r="GG56" s="631"/>
      <c r="GH56" s="41"/>
      <c r="GI56" s="41"/>
      <c r="GL56" s="631"/>
      <c r="GM56" s="631"/>
      <c r="KD56" s="97"/>
      <c r="KE56" s="97"/>
      <c r="KF56" s="97"/>
      <c r="KG56" s="97"/>
      <c r="KH56" s="97"/>
      <c r="KI56" s="97"/>
    </row>
    <row r="57" spans="1:295" s="4" customFormat="1" x14ac:dyDescent="0.25">
      <c r="A57" s="9" t="s">
        <v>978</v>
      </c>
      <c r="B57" s="14"/>
      <c r="C57" s="627"/>
      <c r="D57" s="628"/>
      <c r="E57" s="630"/>
      <c r="F57" s="630"/>
      <c r="G57" s="14"/>
      <c r="H57" s="14"/>
      <c r="I57" s="14"/>
      <c r="J57" s="14"/>
      <c r="K57" s="50"/>
      <c r="L57" s="50"/>
      <c r="M57" s="50"/>
      <c r="N57" s="14"/>
      <c r="O57" s="50"/>
      <c r="P57" s="50"/>
      <c r="Q57" s="50"/>
      <c r="R57" s="14"/>
      <c r="S57" s="50"/>
      <c r="T57" s="50"/>
      <c r="U57" s="14"/>
      <c r="V57" s="50"/>
      <c r="W57" s="50"/>
      <c r="X57" s="14"/>
      <c r="Y57" s="50"/>
      <c r="Z57" s="14"/>
      <c r="AA57" s="14"/>
      <c r="AB57" s="50"/>
      <c r="AC57" s="50"/>
      <c r="AD57" s="50"/>
      <c r="AE57" s="50"/>
      <c r="AF57" s="50"/>
      <c r="AG57" s="50"/>
      <c r="AH57" s="50"/>
      <c r="AI57" s="14"/>
      <c r="AJ57" s="50"/>
      <c r="AK57" s="50"/>
      <c r="AL57" s="50"/>
      <c r="AM57" s="50"/>
      <c r="AN57" s="50"/>
      <c r="AO57" s="575"/>
      <c r="AP57" s="50"/>
      <c r="AQ57" s="50"/>
      <c r="AR57" s="50"/>
      <c r="AS57" s="50"/>
      <c r="AT57" s="14"/>
      <c r="AU57" s="14"/>
      <c r="AV57" s="14"/>
      <c r="AW57" s="14"/>
      <c r="AX57" s="102"/>
      <c r="AY57" s="14"/>
      <c r="AZ57" s="14"/>
      <c r="BA57" s="14"/>
      <c r="BB57" s="14"/>
      <c r="BC57" s="102"/>
      <c r="BD57" s="102"/>
      <c r="BE57" s="102"/>
      <c r="BF57" s="102"/>
      <c r="BG57" s="102"/>
      <c r="BH57" s="102"/>
      <c r="BI57" s="102"/>
      <c r="BJ57" s="102"/>
      <c r="BK57" s="102"/>
      <c r="BL57" s="102"/>
      <c r="BM57" s="102"/>
      <c r="BN57" s="102"/>
      <c r="BO57" s="102"/>
      <c r="BP57" s="102"/>
      <c r="BQ57" s="102"/>
      <c r="BR57" s="102"/>
      <c r="BS57" s="102"/>
      <c r="BT57" s="102"/>
      <c r="BU57" s="102"/>
      <c r="BV57" s="102"/>
      <c r="BW57" s="102"/>
      <c r="BX57" s="102"/>
      <c r="BY57" s="102"/>
      <c r="BZ57" s="102"/>
      <c r="CA57" s="102"/>
      <c r="CB57" s="102"/>
      <c r="CC57" s="102"/>
      <c r="CD57" s="102"/>
      <c r="CE57" s="102"/>
      <c r="CF57" s="102"/>
      <c r="CG57" s="102"/>
      <c r="CH57" s="102"/>
      <c r="CI57" s="102"/>
      <c r="CJ57" s="102"/>
      <c r="CK57" s="102"/>
      <c r="CL57" s="102"/>
      <c r="CM57" s="60"/>
      <c r="CW57" s="49"/>
      <c r="EN57" s="74"/>
      <c r="EO57" s="74"/>
      <c r="EP57" s="74"/>
      <c r="EQ57" s="74"/>
      <c r="ER57" s="74"/>
      <c r="ES57" s="74"/>
      <c r="ET57" s="74"/>
      <c r="EU57" s="74"/>
      <c r="EV57" s="74"/>
      <c r="EW57" s="74"/>
      <c r="EX57" s="74"/>
      <c r="EY57" s="74"/>
      <c r="EZ57" s="74"/>
      <c r="FA57" s="74"/>
      <c r="FB57" s="74"/>
      <c r="FC57" s="74"/>
      <c r="FD57" s="74"/>
      <c r="FE57" s="74"/>
      <c r="FF57" s="74"/>
      <c r="FG57" s="74"/>
      <c r="FH57" s="74"/>
      <c r="FI57" s="74"/>
      <c r="FJ57" s="74"/>
      <c r="FK57" s="74"/>
      <c r="FL57" s="74"/>
      <c r="FM57" s="74"/>
      <c r="FN57" s="74"/>
      <c r="FO57" s="74"/>
      <c r="FP57" s="74"/>
      <c r="FQ57" s="74"/>
      <c r="FR57" s="74"/>
      <c r="FS57" s="74"/>
      <c r="FT57" s="74"/>
      <c r="FU57" s="74"/>
      <c r="FV57" s="74"/>
      <c r="FW57" s="74"/>
      <c r="FX57" s="74"/>
      <c r="FY57" s="74"/>
      <c r="FZ57" s="74"/>
      <c r="GA57" s="74"/>
      <c r="GB57" s="74"/>
      <c r="GC57" s="74"/>
      <c r="GD57" s="74"/>
      <c r="GE57" s="74"/>
      <c r="GF57" s="74"/>
      <c r="GG57" s="631"/>
      <c r="GH57" s="41"/>
      <c r="GI57" s="41"/>
      <c r="GL57" s="631"/>
      <c r="GM57" s="631"/>
      <c r="KD57" s="97"/>
      <c r="KE57" s="97"/>
      <c r="KF57" s="97"/>
      <c r="KG57" s="97"/>
      <c r="KH57" s="97"/>
      <c r="KI57" s="97"/>
    </row>
    <row r="58" spans="1:295" s="4" customFormat="1" x14ac:dyDescent="0.25">
      <c r="A58" s="37" t="s">
        <v>270</v>
      </c>
      <c r="B58" s="14"/>
      <c r="C58" s="627"/>
      <c r="D58" s="628"/>
      <c r="E58" s="630"/>
      <c r="F58" s="630"/>
      <c r="G58" s="14"/>
      <c r="H58" s="14"/>
      <c r="I58" s="14"/>
      <c r="J58" s="14"/>
      <c r="K58" s="50"/>
      <c r="L58" s="50"/>
      <c r="M58" s="50"/>
      <c r="N58" s="14"/>
      <c r="O58" s="50"/>
      <c r="P58" s="50"/>
      <c r="Q58" s="50"/>
      <c r="R58" s="14"/>
      <c r="S58" s="50"/>
      <c r="T58" s="50"/>
      <c r="U58" s="14"/>
      <c r="V58" s="50"/>
      <c r="W58" s="50"/>
      <c r="X58" s="14"/>
      <c r="Y58" s="50"/>
      <c r="Z58" s="14"/>
      <c r="AA58" s="14"/>
      <c r="AB58" s="50"/>
      <c r="AC58" s="50"/>
      <c r="AD58" s="50"/>
      <c r="AE58" s="50"/>
      <c r="AF58" s="50"/>
      <c r="AG58" s="50"/>
      <c r="AH58" s="50"/>
      <c r="AI58" s="14"/>
      <c r="AJ58" s="50"/>
      <c r="AK58" s="50"/>
      <c r="AL58" s="50"/>
      <c r="AM58" s="50"/>
      <c r="AN58" s="50"/>
      <c r="AO58" s="575"/>
      <c r="AP58" s="50"/>
      <c r="AQ58" s="50"/>
      <c r="AR58" s="50"/>
      <c r="AS58" s="50"/>
      <c r="AT58" s="14"/>
      <c r="AU58" s="14"/>
      <c r="AV58" s="14"/>
      <c r="AW58" s="14"/>
      <c r="AX58" s="102"/>
      <c r="AY58" s="14"/>
      <c r="AZ58" s="14"/>
      <c r="BA58" s="14"/>
      <c r="BB58" s="14"/>
      <c r="BC58" s="102"/>
      <c r="BD58" s="102"/>
      <c r="BE58" s="102"/>
      <c r="BF58" s="102"/>
      <c r="BG58" s="102"/>
      <c r="BH58" s="102"/>
      <c r="BI58" s="102"/>
      <c r="BJ58" s="102"/>
      <c r="BK58" s="102"/>
      <c r="BL58" s="102"/>
      <c r="BM58" s="102"/>
      <c r="BN58" s="102"/>
      <c r="BO58" s="102"/>
      <c r="BP58" s="102"/>
      <c r="BQ58" s="102"/>
      <c r="BR58" s="102"/>
      <c r="BS58" s="102"/>
      <c r="BT58" s="102"/>
      <c r="BU58" s="102"/>
      <c r="BV58" s="102"/>
      <c r="BW58" s="102"/>
      <c r="BX58" s="102"/>
      <c r="BY58" s="102"/>
      <c r="BZ58" s="102"/>
      <c r="CA58" s="102"/>
      <c r="CB58" s="102"/>
      <c r="CC58" s="102"/>
      <c r="CD58" s="102"/>
      <c r="CE58" s="102"/>
      <c r="CF58" s="102"/>
      <c r="CG58" s="102"/>
      <c r="CH58" s="102"/>
      <c r="CI58" s="102"/>
      <c r="CJ58" s="102"/>
      <c r="CK58" s="102"/>
      <c r="CL58" s="102"/>
      <c r="CW58" s="49"/>
      <c r="EN58" s="74"/>
      <c r="EO58" s="74"/>
      <c r="EP58" s="74"/>
      <c r="EQ58" s="74"/>
      <c r="ER58" s="74"/>
      <c r="ES58" s="74"/>
      <c r="ET58" s="74"/>
      <c r="EU58" s="74"/>
      <c r="EV58" s="74"/>
      <c r="EW58" s="74"/>
      <c r="EX58" s="74"/>
      <c r="EY58" s="74"/>
      <c r="EZ58" s="74"/>
      <c r="FA58" s="74"/>
      <c r="FB58" s="74"/>
      <c r="FC58" s="74"/>
      <c r="FD58" s="74"/>
      <c r="FE58" s="74"/>
      <c r="FF58" s="74"/>
      <c r="FG58" s="74"/>
      <c r="FH58" s="74"/>
      <c r="FI58" s="74"/>
      <c r="FJ58" s="74"/>
      <c r="FK58" s="74"/>
      <c r="FL58" s="74"/>
      <c r="FM58" s="74"/>
      <c r="FN58" s="74"/>
      <c r="FO58" s="74"/>
      <c r="FP58" s="74"/>
      <c r="FQ58" s="74"/>
      <c r="FR58" s="74"/>
      <c r="FS58" s="74"/>
      <c r="FT58" s="74"/>
      <c r="FU58" s="74"/>
      <c r="FV58" s="74"/>
      <c r="FW58" s="74"/>
      <c r="FX58" s="74"/>
      <c r="FY58" s="74"/>
      <c r="FZ58" s="74"/>
      <c r="GA58" s="74"/>
      <c r="GB58" s="74"/>
      <c r="GC58" s="74"/>
      <c r="GD58" s="74"/>
      <c r="GE58" s="74"/>
      <c r="GF58" s="74"/>
      <c r="GG58" s="631">
        <v>0.9</v>
      </c>
      <c r="GH58" s="33"/>
      <c r="GI58" s="33">
        <v>18.5</v>
      </c>
      <c r="GL58" s="631"/>
      <c r="GM58" s="641">
        <v>0.05</v>
      </c>
      <c r="KD58" s="97"/>
      <c r="KE58" s="97"/>
      <c r="KF58" s="97"/>
      <c r="KG58" s="97"/>
      <c r="KH58" s="97"/>
      <c r="KI58" s="97"/>
    </row>
    <row r="59" spans="1:295" s="4" customFormat="1" x14ac:dyDescent="0.25">
      <c r="A59" s="14"/>
      <c r="B59" s="14"/>
      <c r="C59" s="14"/>
      <c r="D59" s="14"/>
      <c r="E59" s="14"/>
      <c r="F59" s="14"/>
      <c r="G59" s="14"/>
      <c r="H59" s="14"/>
      <c r="I59" s="14"/>
      <c r="J59" s="14"/>
      <c r="K59" s="50"/>
      <c r="L59" s="50"/>
      <c r="M59" s="50"/>
      <c r="N59" s="14"/>
      <c r="O59" s="50"/>
      <c r="P59" s="50"/>
      <c r="Q59" s="50"/>
      <c r="R59" s="14"/>
      <c r="S59" s="50"/>
      <c r="T59" s="50"/>
      <c r="U59" s="14"/>
      <c r="V59" s="50"/>
      <c r="W59" s="50"/>
      <c r="X59" s="14"/>
      <c r="Y59" s="50"/>
      <c r="Z59" s="14"/>
      <c r="AA59" s="14"/>
      <c r="AB59" s="50"/>
      <c r="AC59" s="50"/>
      <c r="AD59" s="50"/>
      <c r="AE59" s="50"/>
      <c r="AF59" s="50"/>
      <c r="AG59" s="50"/>
      <c r="AH59" s="50"/>
      <c r="AI59" s="14"/>
      <c r="AJ59" s="50"/>
      <c r="AK59" s="50"/>
      <c r="AL59" s="50"/>
      <c r="AM59" s="50"/>
      <c r="AN59" s="50"/>
      <c r="AO59" s="575"/>
      <c r="AP59" s="50"/>
      <c r="AQ59" s="50"/>
      <c r="AR59" s="50"/>
      <c r="AS59" s="50"/>
      <c r="AT59" s="14"/>
      <c r="AU59" s="14"/>
      <c r="AV59" s="14"/>
      <c r="AW59" s="14"/>
      <c r="AX59" s="102"/>
      <c r="AY59" s="14"/>
      <c r="AZ59" s="14"/>
      <c r="BA59" s="14"/>
      <c r="BB59" s="14"/>
      <c r="BC59" s="102"/>
      <c r="BD59" s="102"/>
      <c r="BE59" s="102"/>
      <c r="BF59" s="102"/>
      <c r="BG59" s="102"/>
      <c r="BH59" s="102"/>
      <c r="BI59" s="102"/>
      <c r="BJ59" s="102"/>
      <c r="BK59" s="102"/>
      <c r="BL59" s="102"/>
      <c r="BM59" s="102"/>
      <c r="BN59" s="102"/>
      <c r="BO59" s="102"/>
      <c r="BP59" s="102"/>
      <c r="BQ59" s="102"/>
      <c r="BR59" s="102"/>
      <c r="BS59" s="102"/>
      <c r="BT59" s="102"/>
      <c r="BU59" s="102"/>
      <c r="BV59" s="102"/>
      <c r="BW59" s="102"/>
      <c r="BX59" s="102"/>
      <c r="BY59" s="102"/>
      <c r="BZ59" s="102"/>
      <c r="CA59" s="102"/>
      <c r="CB59" s="102"/>
      <c r="CC59" s="102"/>
      <c r="CD59" s="102"/>
      <c r="CE59" s="102"/>
      <c r="CF59" s="102"/>
      <c r="CG59" s="102"/>
      <c r="CH59" s="102"/>
      <c r="CI59" s="102"/>
      <c r="CJ59" s="102"/>
      <c r="CK59" s="102"/>
      <c r="CL59" s="102"/>
      <c r="CW59" s="49"/>
      <c r="EN59" s="74"/>
      <c r="EO59" s="74"/>
      <c r="EP59" s="74"/>
      <c r="EQ59" s="74"/>
      <c r="ER59" s="74"/>
      <c r="ES59" s="74"/>
      <c r="ET59" s="74"/>
      <c r="EU59" s="74"/>
      <c r="EV59" s="74"/>
      <c r="EW59" s="74"/>
      <c r="EX59" s="74"/>
      <c r="EY59" s="74"/>
      <c r="EZ59" s="74"/>
      <c r="FA59" s="74"/>
      <c r="FB59" s="74"/>
      <c r="FC59" s="74"/>
      <c r="FD59" s="74"/>
      <c r="FE59" s="74"/>
      <c r="FF59" s="74"/>
      <c r="FG59" s="74"/>
      <c r="FH59" s="74"/>
      <c r="FI59" s="74"/>
      <c r="FJ59" s="74"/>
      <c r="FK59" s="74"/>
      <c r="FL59" s="74"/>
      <c r="FM59" s="74"/>
      <c r="FN59" s="74"/>
      <c r="FO59" s="74"/>
      <c r="FP59" s="74"/>
      <c r="FQ59" s="74"/>
      <c r="FR59" s="74"/>
      <c r="FS59" s="74"/>
      <c r="FT59" s="74"/>
      <c r="FU59" s="74"/>
      <c r="FV59" s="74"/>
      <c r="FW59" s="74"/>
      <c r="FX59" s="74"/>
      <c r="FY59" s="74"/>
      <c r="FZ59" s="74"/>
      <c r="GA59" s="74"/>
      <c r="GB59" s="74"/>
      <c r="GC59" s="74"/>
      <c r="GD59" s="74"/>
      <c r="GE59" s="74"/>
      <c r="GF59" s="74"/>
      <c r="KD59" s="97"/>
      <c r="KE59" s="97"/>
      <c r="KF59" s="97"/>
      <c r="KG59" s="97"/>
      <c r="KH59" s="97"/>
      <c r="KI59" s="97"/>
    </row>
    <row r="60" spans="1:295" s="4" customFormat="1" x14ac:dyDescent="0.25">
      <c r="A60" s="14"/>
      <c r="B60" s="14"/>
      <c r="C60" s="14"/>
      <c r="D60" s="14"/>
      <c r="E60" s="14"/>
      <c r="F60" s="14"/>
      <c r="G60" s="14"/>
      <c r="H60" s="14"/>
      <c r="I60" s="14"/>
      <c r="J60" s="14"/>
      <c r="K60" s="50"/>
      <c r="L60" s="50"/>
      <c r="M60" s="50"/>
      <c r="N60" s="14"/>
      <c r="O60" s="50"/>
      <c r="P60" s="50"/>
      <c r="Q60" s="50"/>
      <c r="R60" s="14"/>
      <c r="S60" s="50"/>
      <c r="T60" s="50"/>
      <c r="U60" s="14"/>
      <c r="V60" s="50"/>
      <c r="W60" s="50"/>
      <c r="X60" s="14"/>
      <c r="Y60" s="50"/>
      <c r="Z60" s="14"/>
      <c r="AA60" s="14"/>
      <c r="AB60" s="50"/>
      <c r="AC60" s="50"/>
      <c r="AD60" s="50"/>
      <c r="AE60" s="50"/>
      <c r="AF60" s="50"/>
      <c r="AG60" s="50"/>
      <c r="AH60" s="50"/>
      <c r="AI60" s="14"/>
      <c r="AJ60" s="50"/>
      <c r="AK60" s="50"/>
      <c r="AL60" s="50"/>
      <c r="AM60" s="50"/>
      <c r="AN60" s="50"/>
      <c r="AO60" s="575"/>
      <c r="AP60" s="50"/>
      <c r="AQ60" s="50"/>
      <c r="AR60" s="50"/>
      <c r="AS60" s="50"/>
      <c r="AT60" s="14"/>
      <c r="AU60" s="14"/>
      <c r="AV60" s="14"/>
      <c r="AW60" s="14"/>
      <c r="AX60" s="102"/>
      <c r="AY60" s="14"/>
      <c r="AZ60" s="14"/>
      <c r="BA60" s="14"/>
      <c r="BB60" s="14"/>
      <c r="BC60" s="102"/>
      <c r="BD60" s="102"/>
      <c r="BE60" s="102"/>
      <c r="BF60" s="102"/>
      <c r="BG60" s="102"/>
      <c r="BH60" s="102"/>
      <c r="BI60" s="102"/>
      <c r="BJ60" s="102"/>
      <c r="BK60" s="102"/>
      <c r="BL60" s="102"/>
      <c r="BM60" s="102"/>
      <c r="BN60" s="102"/>
      <c r="BO60" s="102"/>
      <c r="BP60" s="102"/>
      <c r="BQ60" s="102"/>
      <c r="BR60" s="102"/>
      <c r="BS60" s="102"/>
      <c r="BT60" s="102"/>
      <c r="BU60" s="102"/>
      <c r="BV60" s="102"/>
      <c r="BW60" s="102"/>
      <c r="BX60" s="102"/>
      <c r="BY60" s="102"/>
      <c r="BZ60" s="102"/>
      <c r="CA60" s="102"/>
      <c r="CB60" s="102"/>
      <c r="CC60" s="102"/>
      <c r="CD60" s="102"/>
      <c r="CE60" s="102"/>
      <c r="CF60" s="102"/>
      <c r="CG60" s="102"/>
      <c r="CH60" s="102"/>
      <c r="CI60" s="102"/>
      <c r="CJ60" s="102"/>
      <c r="CK60" s="102"/>
      <c r="CL60" s="102"/>
      <c r="CW60" s="49"/>
      <c r="EN60" s="642"/>
      <c r="EO60" s="74"/>
      <c r="EP60" s="74"/>
      <c r="EQ60" s="74"/>
      <c r="ER60" s="74"/>
      <c r="ES60" s="643"/>
      <c r="ET60" s="643"/>
      <c r="EU60" s="74"/>
      <c r="EV60" s="74"/>
      <c r="EX60" s="74"/>
      <c r="EY60" s="74"/>
      <c r="EZ60" s="74"/>
      <c r="FB60" s="74"/>
      <c r="FC60" s="74"/>
      <c r="FD60" s="74"/>
      <c r="FE60" s="74"/>
      <c r="FF60" s="643"/>
      <c r="FG60" s="74"/>
      <c r="FH60" s="74"/>
      <c r="FI60" s="74"/>
      <c r="FJ60" s="74"/>
      <c r="FK60" s="74"/>
      <c r="FL60" s="74"/>
      <c r="FM60" s="74"/>
      <c r="FN60" s="74"/>
      <c r="FP60" s="74"/>
      <c r="FQ60" s="74"/>
      <c r="FR60" s="74"/>
      <c r="FS60" s="74"/>
      <c r="FT60" s="74"/>
      <c r="FU60" s="74"/>
      <c r="FV60" s="74"/>
      <c r="FW60" s="74"/>
      <c r="FX60" s="74"/>
      <c r="FY60" s="74"/>
      <c r="FZ60" s="74"/>
      <c r="GA60" s="74"/>
      <c r="GB60" s="74"/>
      <c r="GC60" s="74"/>
      <c r="GD60" s="74"/>
      <c r="GE60" s="74"/>
      <c r="GF60" s="74"/>
      <c r="KD60" s="97"/>
      <c r="KE60" s="97"/>
      <c r="KF60" s="97"/>
      <c r="KG60" s="97"/>
      <c r="KH60" s="97"/>
      <c r="KI60" s="97"/>
    </row>
    <row r="61" spans="1:295" s="111" customFormat="1" ht="14.4" x14ac:dyDescent="0.3">
      <c r="A61" s="11" t="s">
        <v>109</v>
      </c>
      <c r="B61" s="160"/>
      <c r="C61" s="160"/>
      <c r="D61" s="160"/>
      <c r="E61" s="160"/>
      <c r="F61" s="160"/>
      <c r="G61" s="160"/>
      <c r="H61" s="160"/>
      <c r="I61" s="160"/>
      <c r="J61" s="160"/>
      <c r="K61" s="160"/>
      <c r="L61" s="160"/>
      <c r="M61" s="160"/>
      <c r="N61" s="160"/>
      <c r="O61" s="160"/>
      <c r="P61" s="160"/>
      <c r="Q61" s="160"/>
      <c r="R61" s="160"/>
      <c r="S61" s="160"/>
      <c r="T61" s="160"/>
      <c r="U61" s="160"/>
      <c r="V61" s="160"/>
      <c r="W61" s="160"/>
      <c r="X61" s="160"/>
      <c r="Y61" s="160"/>
      <c r="Z61" s="160"/>
      <c r="AA61" s="160"/>
      <c r="AB61" s="160"/>
      <c r="AC61" s="160"/>
      <c r="AD61" s="160"/>
      <c r="AE61" s="160"/>
      <c r="AF61" s="160"/>
      <c r="AG61" s="160"/>
      <c r="AH61" s="160"/>
      <c r="AI61" s="160"/>
      <c r="AJ61" s="160"/>
      <c r="AK61" s="160"/>
      <c r="AL61" s="160"/>
      <c r="AM61" s="160"/>
      <c r="AN61" s="160"/>
      <c r="AO61" s="644"/>
      <c r="AP61" s="160"/>
      <c r="AQ61" s="160"/>
      <c r="AR61" s="160"/>
      <c r="AS61" s="160"/>
      <c r="AT61" s="160"/>
      <c r="AU61" s="160"/>
      <c r="AV61" s="160"/>
      <c r="AW61" s="160"/>
      <c r="AX61" s="644"/>
      <c r="AY61" s="160"/>
      <c r="AZ61" s="160"/>
      <c r="BA61" s="160"/>
      <c r="BB61" s="160"/>
      <c r="BC61" s="644"/>
      <c r="BD61" s="644"/>
      <c r="BE61" s="644"/>
      <c r="BF61" s="644"/>
      <c r="BG61" s="644"/>
      <c r="BH61" s="644"/>
      <c r="BI61" s="644"/>
      <c r="BJ61" s="644"/>
      <c r="BK61" s="644"/>
      <c r="BL61" s="644"/>
      <c r="BM61" s="644"/>
      <c r="BN61" s="644"/>
      <c r="BO61" s="644"/>
      <c r="BP61" s="644"/>
      <c r="BQ61" s="644"/>
      <c r="BR61" s="644"/>
      <c r="BS61" s="644"/>
      <c r="BT61" s="644"/>
      <c r="BU61" s="644"/>
      <c r="BV61" s="644"/>
      <c r="BW61" s="644"/>
      <c r="BX61" s="644"/>
      <c r="BY61" s="644"/>
      <c r="BZ61" s="644"/>
      <c r="CA61" s="644"/>
      <c r="CB61" s="644"/>
      <c r="CC61" s="644"/>
      <c r="CD61" s="644"/>
      <c r="CE61" s="644"/>
      <c r="CF61" s="644"/>
      <c r="CG61" s="644"/>
      <c r="CH61" s="644"/>
      <c r="CI61" s="644"/>
      <c r="CJ61" s="644"/>
      <c r="CK61" s="644"/>
      <c r="CL61" s="644"/>
      <c r="CU61" s="13"/>
      <c r="DP61" s="160"/>
      <c r="EM61" s="133"/>
      <c r="EN61" s="645"/>
      <c r="EO61" s="643"/>
      <c r="EP61" s="643"/>
      <c r="EQ61" s="74"/>
      <c r="ER61" s="74"/>
      <c r="ES61" s="144"/>
      <c r="ET61" s="144"/>
      <c r="EU61" s="646"/>
      <c r="EV61" s="133"/>
      <c r="EW61" s="133"/>
      <c r="EX61" s="646"/>
      <c r="EY61" s="646"/>
      <c r="EZ61" s="133"/>
      <c r="FA61" s="645"/>
      <c r="FB61" s="643"/>
      <c r="FC61" s="643"/>
      <c r="FD61" s="74"/>
      <c r="FE61" s="74"/>
      <c r="FF61" s="144"/>
      <c r="FG61" s="646"/>
      <c r="FH61" s="646"/>
      <c r="FI61" s="646"/>
      <c r="FJ61" s="646"/>
      <c r="FK61" s="646"/>
      <c r="FL61" s="646"/>
      <c r="FM61" s="646"/>
      <c r="FN61" s="646"/>
      <c r="FO61" s="133"/>
      <c r="FP61" s="643"/>
      <c r="FR61" s="646"/>
      <c r="FS61" s="646"/>
      <c r="FT61" s="646"/>
      <c r="FU61" s="646"/>
      <c r="FV61" s="646"/>
      <c r="FW61" s="646"/>
      <c r="FX61" s="646"/>
      <c r="FY61" s="646"/>
      <c r="FZ61" s="646"/>
      <c r="GA61" s="646"/>
      <c r="GB61" s="646"/>
      <c r="GC61" s="646"/>
      <c r="GD61" s="646"/>
      <c r="GE61" s="646"/>
      <c r="GF61" s="646"/>
      <c r="KD61" s="647"/>
      <c r="KE61" s="647"/>
      <c r="KF61" s="647"/>
      <c r="KG61" s="647"/>
      <c r="KH61" s="647"/>
      <c r="KI61" s="647"/>
    </row>
    <row r="62" spans="1:295" s="4" customFormat="1" x14ac:dyDescent="0.25">
      <c r="A62" s="4" t="s">
        <v>117</v>
      </c>
      <c r="B62" s="14"/>
      <c r="C62" s="14"/>
      <c r="D62" s="14"/>
      <c r="E62" s="14"/>
      <c r="F62" s="14"/>
      <c r="G62" s="14"/>
      <c r="H62" s="14"/>
      <c r="I62" s="14"/>
      <c r="J62" s="627">
        <f>BB62/$AY62</f>
        <v>0.15695096901112388</v>
      </c>
      <c r="K62" s="648">
        <f t="shared" ref="K62:M62" si="11">BC62/$AY62</f>
        <v>0.10829616861767548</v>
      </c>
      <c r="L62" s="649">
        <f t="shared" si="11"/>
        <v>2.6681664731891059E-2</v>
      </c>
      <c r="M62" s="649">
        <f t="shared" si="11"/>
        <v>2.1973135661557345E-2</v>
      </c>
      <c r="N62" s="650">
        <f>BF62/AY62</f>
        <v>8.9577619743518282E-3</v>
      </c>
      <c r="O62" s="650"/>
      <c r="P62" s="650"/>
      <c r="Q62" s="650"/>
      <c r="R62" s="650">
        <f>BJ62/$AY62</f>
        <v>7.8872586374532112E-3</v>
      </c>
      <c r="S62" s="649">
        <f t="shared" ref="S62:T62" si="12">BK62/$AY62</f>
        <v>7.2428377570997841E-3</v>
      </c>
      <c r="T62" s="649">
        <f t="shared" si="12"/>
        <v>6.4442088035342518E-4</v>
      </c>
      <c r="U62" s="650">
        <f>BM62/AY62</f>
        <v>8.6666328294089656E-2</v>
      </c>
      <c r="V62" s="650"/>
      <c r="W62" s="650"/>
      <c r="X62" s="544">
        <f>BP62/AY62</f>
        <v>0.45790847429710874</v>
      </c>
      <c r="Y62" s="161"/>
      <c r="Z62" s="544">
        <f>BR62/$AY62</f>
        <v>0.28162920778587275</v>
      </c>
      <c r="AA62" s="650"/>
      <c r="AB62" s="650"/>
      <c r="AC62" s="650"/>
      <c r="AD62" s="650"/>
      <c r="AE62" s="650"/>
      <c r="AF62" s="650"/>
      <c r="AG62" s="650"/>
      <c r="AH62" s="650"/>
      <c r="AI62" s="650"/>
      <c r="AJ62" s="650"/>
      <c r="AK62" s="650"/>
      <c r="AL62" s="650"/>
      <c r="AM62" s="650"/>
      <c r="AN62" s="650"/>
      <c r="AO62" s="651"/>
      <c r="AP62" s="650"/>
      <c r="AQ62" s="650"/>
      <c r="AR62" s="650"/>
      <c r="AS62" s="650"/>
      <c r="AT62" s="650"/>
      <c r="AU62" s="652">
        <f>CL62/AY62</f>
        <v>0.21475280794905391</v>
      </c>
      <c r="AV62" s="14"/>
      <c r="AW62" s="629">
        <f>AY62/DA62</f>
        <v>79.393531791539246</v>
      </c>
      <c r="AX62" s="73">
        <f>BA62/DA62</f>
        <v>19.107831003918196</v>
      </c>
      <c r="AY62" s="471">
        <f t="shared" ref="AY62:CL62" si="13">AY75+AY77+AY79+AY81+AY87+AY89+AY91</f>
        <v>4984.6435000000001</v>
      </c>
      <c r="AZ62" s="68">
        <f t="shared" si="13"/>
        <v>866.31105000000014</v>
      </c>
      <c r="BA62" s="261">
        <f t="shared" si="13"/>
        <v>1199.6660617500002</v>
      </c>
      <c r="BB62" s="68">
        <f t="shared" si="13"/>
        <v>782.34462750000012</v>
      </c>
      <c r="BC62" s="68">
        <f t="shared" si="13"/>
        <v>539.81779297500009</v>
      </c>
      <c r="BD62" s="68">
        <f t="shared" si="13"/>
        <v>132.99858667500001</v>
      </c>
      <c r="BE62" s="68">
        <f t="shared" si="13"/>
        <v>109.52824785000003</v>
      </c>
      <c r="BF62" s="68">
        <f t="shared" si="13"/>
        <v>44.651250000000005</v>
      </c>
      <c r="BG62" s="68">
        <f t="shared" si="13"/>
        <v>23.218650000000004</v>
      </c>
      <c r="BH62" s="68">
        <f t="shared" si="13"/>
        <v>7.1442000000000005</v>
      </c>
      <c r="BI62" s="68">
        <f t="shared" si="13"/>
        <v>14.288400000000001</v>
      </c>
      <c r="BJ62" s="68">
        <f t="shared" si="13"/>
        <v>39.315172500000003</v>
      </c>
      <c r="BK62" s="68">
        <f t="shared" si="13"/>
        <v>36.10296414748202</v>
      </c>
      <c r="BL62" s="68">
        <f t="shared" si="13"/>
        <v>3.2122083525179788</v>
      </c>
      <c r="BM62" s="261">
        <f t="shared" si="13"/>
        <v>432.0007500000001</v>
      </c>
      <c r="BN62" s="68">
        <f t="shared" si="13"/>
        <v>344.8098</v>
      </c>
      <c r="BO62" s="68">
        <f t="shared" si="13"/>
        <v>87.190950000000015</v>
      </c>
      <c r="BP62" s="261">
        <f t="shared" si="13"/>
        <v>2282.5105000000003</v>
      </c>
      <c r="BQ62" s="68">
        <f t="shared" si="13"/>
        <v>2282.5105000000003</v>
      </c>
      <c r="BR62" s="68">
        <f t="shared" si="13"/>
        <v>1403.8212000000001</v>
      </c>
      <c r="BS62" s="68">
        <f t="shared" si="13"/>
        <v>104.34656174999998</v>
      </c>
      <c r="BT62" s="68">
        <f t="shared" si="13"/>
        <v>12.84155194758724</v>
      </c>
      <c r="BU62" s="68">
        <f t="shared" si="13"/>
        <v>34.045813400295657</v>
      </c>
      <c r="BV62" s="68">
        <f t="shared" si="13"/>
        <v>57.459196402117087</v>
      </c>
      <c r="BW62" s="97">
        <f t="shared" si="13"/>
        <v>9.5602500000000017</v>
      </c>
      <c r="BX62" s="68">
        <f t="shared" si="13"/>
        <v>4.4256868737474955</v>
      </c>
      <c r="BY62" s="68">
        <f t="shared" si="13"/>
        <v>2.0691523046092186</v>
      </c>
      <c r="BZ62" s="68">
        <f t="shared" si="13"/>
        <v>3.0654108216432872</v>
      </c>
      <c r="CA62" s="68">
        <f t="shared" si="13"/>
        <v>189.49882499999998</v>
      </c>
      <c r="CB62" s="68">
        <f t="shared" si="13"/>
        <v>126.78661834670564</v>
      </c>
      <c r="CC62" s="68">
        <f t="shared" si="13"/>
        <v>3.8779378880282764</v>
      </c>
      <c r="CD62" s="68">
        <f t="shared" si="13"/>
        <v>19.816728226438844</v>
      </c>
      <c r="CE62" s="68">
        <f t="shared" si="13"/>
        <v>12.621368572791406</v>
      </c>
      <c r="CF62" s="68">
        <f t="shared" si="13"/>
        <v>7.1587523970715008</v>
      </c>
      <c r="CG62" s="68">
        <f t="shared" si="13"/>
        <v>19.237419568964345</v>
      </c>
      <c r="CH62" s="68">
        <f t="shared" si="13"/>
        <v>29.949374999999996</v>
      </c>
      <c r="CI62" s="68">
        <f t="shared" si="13"/>
        <v>8.1948682987848471</v>
      </c>
      <c r="CJ62" s="68">
        <f t="shared" si="13"/>
        <v>3.6221831665475319</v>
      </c>
      <c r="CK62" s="68">
        <f t="shared" si="13"/>
        <v>18.132323534667616</v>
      </c>
      <c r="CL62" s="653">
        <f t="shared" si="13"/>
        <v>1070.46618825</v>
      </c>
      <c r="CM62" s="97">
        <f>(BC62*CM$12+BD62*CM$13+BE62*CM$14+BG62*CM$17+BH62*CM$18+BI62*CM$19+BK62*CM$22+BL62*CM$23+CM$26*BN62+CM$27*BO62+CM$30*BQ62+BT62*CM$35+BU62*CM$36+BV62*CM$37+BX62*CM$40+BY62*CM$41+BZ62*CM$42+CB62*CM$45+CC62*CM$46+CD62*CM$47+CE62*CM$48+CF62*CM$49+CI62*CM$53+CJ62*CM$54+CK62*CM$55)/AY62</f>
        <v>6.5997821193998876</v>
      </c>
      <c r="CN62" s="97">
        <f>IF((BB62+BF62+BJ62+BM62)&gt;0,(BC62*CM$12+BD62*CM$13+BE62*CM$14+BG62*CM$17+BH62*CM$18+BI62*CM$19+BK62*CM$22+BL62*CM$23+CM$26*BN62+CM$27*BO62)/(BB62+BF62+BJ62+BM62),0)</f>
        <v>2.6216325911766174</v>
      </c>
      <c r="CO62" s="97">
        <f>(BT62*CM$35+BU62*CM$36+BV62*CM$37+BX62*CM$40+BY62*CM$41+BZ62*CM$42+CB62*CM$45+CC62*CM$46+CD62*CM$47+CE62*CM$48+CF62*CM$49+CI62*CM$53+CJ62*CM$54+CK62*CM$55)/(BS62+BW62+CA62+CH62)</f>
        <v>3.5243978321462577</v>
      </c>
      <c r="CP62" s="68">
        <f>CM$30*BQ62/BP62</f>
        <v>12.406947890818858</v>
      </c>
      <c r="CQ62" s="68">
        <f>10*(CT62+CU62)/DA62</f>
        <v>72.925780599133049</v>
      </c>
      <c r="CR62" s="68"/>
      <c r="CS62" s="261">
        <f>CM62*AY62/10</f>
        <v>3289.7561042882871</v>
      </c>
      <c r="CT62" s="107">
        <f>CN62*(BB62+BF62+BJ62+BM62)/10</f>
        <v>340.36965283891789</v>
      </c>
      <c r="CU62" s="107">
        <f>CO62*(BS62+BW62+CA62+CH62)/10</f>
        <v>117.487568074679</v>
      </c>
      <c r="CV62" s="107">
        <f>CP62*BP62/10</f>
        <v>2831.8988833746898</v>
      </c>
      <c r="CW62" s="144">
        <f>CW75+CW77+CW79+CW81</f>
        <v>2831.8988833746898</v>
      </c>
      <c r="CY62" s="67">
        <f>CY75+CY77+CY79+CY81+CY87+CY89+CY91</f>
        <v>204.37199999999999</v>
      </c>
      <c r="CZ62" s="97">
        <f>CZ75+CZ77+CZ79+CZ81+CZ87+CZ89+CZ91</f>
        <v>4.1272399999999996</v>
      </c>
      <c r="DA62" s="584">
        <f>DA75+DA77+DA79+DA81+DA87+DA89+DA91</f>
        <v>62.784000000000006</v>
      </c>
      <c r="DE62" s="108">
        <f>DE75+DE77+DE79+DE81+DE87+DE89+DE91</f>
        <v>34.851999999999997</v>
      </c>
      <c r="DI62" s="108">
        <f>DI75+DI77+DI79+DI81+DI87+DI89+DI91</f>
        <v>27.931999999999999</v>
      </c>
      <c r="DJ62" s="97"/>
      <c r="DK62" s="97"/>
      <c r="DL62" s="97"/>
      <c r="DM62" s="97"/>
      <c r="DN62" s="68"/>
      <c r="DO62" s="97"/>
      <c r="DP62" s="127">
        <f>(BC62*DP$12+BD62*DP$13+BE62*DP$14+BG62*DP$17+BH62*DP$18+BI62*DP$19+BK62*DP$22+BL62*DP$23+DP$26*BN62+DP$27*BO62+DP$30*BQ62+BT62*DP$35+BU62*DP$36+BV62*DP$37+BX62*DP$40+BY62*DP$41+BV62*DP$42+CB62*DP$45+CC62*DP$46+CD62*DP$47+CE62*DP$48+CF62*DP$49+CG62*DP$50+CI62*DP$53+CJ62*DP$54+CK62*DP$55)/AY62</f>
        <v>0.95512464955529652</v>
      </c>
      <c r="DQ62" s="127">
        <f>(BC62*DQ$12+BD62*DQ$13+BE62*DQ$14+BG62*DQ$17+BH62*DQ$18+BI62*DQ$19+BK62*DQ$22+BL62*DQ$23+DQ$26*BN62+DQ$27*BO62+DQ$30*BQ62+BT62*DQ$35+BU62*DQ$36+BV62*DQ$37+BX62*DQ$40+BY62*DQ$41+BV62*DQ$42+CB62*DQ$45+CC62*DQ$46+CD62*DQ$47+CE62*DQ$48+CF62*DQ$49+CG62*DQ$50+CI62*DQ$53+CJ62*DQ$54+CK62*DQ$55)/AY62</f>
        <v>1.1533555271854457</v>
      </c>
      <c r="EE62" s="589">
        <f>EE75+EE77+EE79+EE81+EE87+EE89+EE91</f>
        <v>1131.9542761881576</v>
      </c>
      <c r="EI62" s="32">
        <f>(EI75*DA75+EI77*DA77+EI79*DA79+EI81*DA81+EI87*DA87+EI89*DA89+EI91*DA91)/DA62</f>
        <v>18.029343084036658</v>
      </c>
      <c r="EN62" s="589">
        <f>EN75+EN77+EN79+EN81+EN87+EN89+EN91</f>
        <v>5849.5635999105152</v>
      </c>
      <c r="EO62" s="74"/>
      <c r="EP62" s="74"/>
      <c r="EQ62" s="73">
        <f>EN62/CZ62</f>
        <v>1417.3063839055922</v>
      </c>
      <c r="ER62" s="73">
        <f>EN62/DA62</f>
        <v>93.169654687667474</v>
      </c>
      <c r="ES62" s="68">
        <f t="shared" ref="ES62:FA62" si="14">ES75+ES77+ES79+ES81+ES87+ES89+ES91</f>
        <v>590.12209679238515</v>
      </c>
      <c r="ET62" s="68">
        <f t="shared" si="14"/>
        <v>400.15041030925323</v>
      </c>
      <c r="EU62" s="68">
        <f t="shared" si="14"/>
        <v>97.62873613877062</v>
      </c>
      <c r="EV62" s="471">
        <f t="shared" si="14"/>
        <v>1003.4017600000001</v>
      </c>
      <c r="EW62" s="471">
        <f t="shared" si="14"/>
        <v>2960.5112366701069</v>
      </c>
      <c r="EX62" s="471">
        <f t="shared" si="14"/>
        <v>126.64000000000001</v>
      </c>
      <c r="EY62" s="471">
        <f t="shared" si="14"/>
        <v>334.57056</v>
      </c>
      <c r="EZ62" s="471">
        <f t="shared" si="14"/>
        <v>336.53879999999992</v>
      </c>
      <c r="FA62" s="68">
        <f t="shared" si="14"/>
        <v>1087.901243240409</v>
      </c>
      <c r="FB62" s="68"/>
      <c r="FC62" s="68"/>
      <c r="FD62" s="74"/>
      <c r="FE62" s="74"/>
      <c r="FF62" s="68"/>
      <c r="FG62" s="74"/>
      <c r="FH62" s="74"/>
      <c r="FI62" s="68"/>
      <c r="FJ62" s="74"/>
      <c r="FK62" s="74"/>
      <c r="FL62" s="68"/>
      <c r="FM62" s="74"/>
      <c r="FN62" s="74"/>
      <c r="FO62" s="68"/>
      <c r="FP62" s="74"/>
      <c r="FQ62" s="74"/>
      <c r="FR62" s="74"/>
      <c r="FS62" s="74"/>
      <c r="FT62" s="74"/>
      <c r="FU62" s="68"/>
      <c r="FV62" s="74"/>
      <c r="FW62" s="74"/>
      <c r="FX62" s="68"/>
      <c r="FY62" s="74"/>
      <c r="FZ62" s="74"/>
      <c r="GA62" s="74"/>
      <c r="GB62" s="74"/>
      <c r="GC62" s="74"/>
      <c r="GD62" s="74"/>
      <c r="GE62" s="74"/>
      <c r="GF62" s="74"/>
      <c r="KD62" s="97"/>
      <c r="KE62" s="97"/>
      <c r="KF62" s="97"/>
      <c r="KG62" s="97"/>
      <c r="KH62" s="97"/>
      <c r="KI62" s="97"/>
    </row>
    <row r="63" spans="1:295" s="4" customFormat="1" x14ac:dyDescent="0.25">
      <c r="A63" s="27"/>
      <c r="B63" s="14"/>
      <c r="C63" s="14"/>
      <c r="D63" s="14"/>
      <c r="E63" s="14"/>
      <c r="F63" s="14"/>
      <c r="G63" s="14"/>
      <c r="H63" s="14"/>
      <c r="I63" s="14"/>
      <c r="J63" s="14"/>
      <c r="K63" s="14"/>
      <c r="L63" s="14"/>
      <c r="M63" s="14"/>
      <c r="N63" s="14"/>
      <c r="O63" s="14"/>
      <c r="P63" s="14"/>
      <c r="Q63" s="14"/>
      <c r="R63" s="14"/>
      <c r="T63" s="14"/>
      <c r="U63" s="14"/>
      <c r="V63" s="14"/>
      <c r="W63" s="14"/>
      <c r="X63" s="14"/>
      <c r="Z63" s="14"/>
      <c r="AA63" s="14"/>
      <c r="AB63" s="14"/>
      <c r="AC63" s="14"/>
      <c r="AD63" s="14"/>
      <c r="AE63" s="14"/>
      <c r="AF63" s="14"/>
      <c r="AG63" s="14"/>
      <c r="AH63" s="14"/>
      <c r="AI63" s="14"/>
      <c r="AJ63" s="14"/>
      <c r="AK63" s="14"/>
      <c r="AL63" s="14"/>
      <c r="AM63" s="14"/>
      <c r="AN63" s="14"/>
      <c r="AO63" s="102"/>
      <c r="AP63" s="14"/>
      <c r="AQ63" s="14"/>
      <c r="AR63" s="14"/>
      <c r="AS63" s="14"/>
      <c r="AT63" s="14"/>
      <c r="AU63" s="14"/>
      <c r="AV63" s="14"/>
      <c r="AW63" s="14"/>
      <c r="AX63" s="102"/>
      <c r="AY63" s="14"/>
      <c r="AZ63" s="14"/>
      <c r="BA63" s="14"/>
      <c r="BB63" s="14"/>
      <c r="BC63" s="102"/>
      <c r="BD63" s="102"/>
      <c r="BE63" s="102"/>
      <c r="BF63" s="102"/>
      <c r="BG63" s="102"/>
      <c r="BH63" s="102"/>
      <c r="BI63" s="102"/>
      <c r="BJ63" s="102"/>
      <c r="BK63" s="102"/>
      <c r="BL63" s="102"/>
      <c r="BM63" s="102"/>
      <c r="BN63" s="102"/>
      <c r="BO63" s="102"/>
      <c r="BP63" s="102"/>
      <c r="BQ63" s="102"/>
      <c r="BR63" s="102"/>
      <c r="BS63" s="102"/>
      <c r="BT63" s="102"/>
      <c r="BU63" s="102"/>
      <c r="BV63" s="102"/>
      <c r="BW63" s="102"/>
      <c r="BX63" s="102"/>
      <c r="BY63" s="102"/>
      <c r="BZ63" s="102"/>
      <c r="CA63" s="102"/>
      <c r="CB63" s="102"/>
      <c r="CC63" s="102"/>
      <c r="CD63" s="102"/>
      <c r="CE63" s="102"/>
      <c r="CF63" s="102"/>
      <c r="CG63" s="102"/>
      <c r="CH63" s="102"/>
      <c r="CI63" s="102"/>
      <c r="CJ63" s="102"/>
      <c r="CK63" s="102"/>
      <c r="CL63" s="102"/>
      <c r="CM63" s="60"/>
      <c r="CN63" s="60"/>
      <c r="CO63" s="60"/>
      <c r="CP63" s="68"/>
      <c r="CQ63" s="68"/>
      <c r="CR63" s="68"/>
      <c r="CW63" s="60"/>
      <c r="CZ63" s="32"/>
      <c r="DN63" s="68"/>
      <c r="DO63" s="60"/>
      <c r="DP63" s="60"/>
      <c r="EE63" s="645"/>
      <c r="EM63" s="133"/>
      <c r="EN63" s="645"/>
      <c r="ES63" s="654"/>
      <c r="ET63" s="654"/>
      <c r="EU63" s="74"/>
      <c r="EV63" s="74"/>
      <c r="EW63" s="74"/>
      <c r="EX63" s="74"/>
      <c r="EY63" s="74"/>
      <c r="EZ63" s="74"/>
      <c r="FF63" s="654"/>
      <c r="FG63" s="74"/>
      <c r="FH63" s="74"/>
      <c r="FI63" s="74"/>
      <c r="FJ63" s="74"/>
      <c r="FK63" s="74"/>
      <c r="FL63" s="74"/>
      <c r="FM63" s="74"/>
      <c r="FN63" s="74"/>
      <c r="FO63" s="74"/>
      <c r="FP63" s="74"/>
      <c r="FQ63" s="74"/>
      <c r="FR63" s="74"/>
      <c r="FS63" s="74"/>
      <c r="FT63" s="74"/>
      <c r="FU63" s="74"/>
      <c r="FV63" s="74"/>
      <c r="FW63" s="74"/>
      <c r="FX63" s="74"/>
      <c r="FY63" s="74"/>
      <c r="FZ63" s="74"/>
      <c r="GA63" s="74"/>
      <c r="GB63" s="74"/>
      <c r="GC63" s="74"/>
      <c r="GD63" s="74"/>
      <c r="GE63" s="74"/>
      <c r="GF63" s="74"/>
      <c r="KD63" s="97"/>
      <c r="KE63" s="97"/>
      <c r="KF63" s="97"/>
      <c r="KG63" s="97"/>
      <c r="KH63" s="97"/>
      <c r="KI63" s="97"/>
    </row>
    <row r="64" spans="1:295" s="61" customFormat="1" ht="13.8" x14ac:dyDescent="0.3">
      <c r="A64" s="28" t="s">
        <v>1</v>
      </c>
      <c r="B64" s="162"/>
      <c r="C64" s="162"/>
      <c r="D64" s="162"/>
      <c r="E64" s="162"/>
      <c r="F64" s="162"/>
      <c r="G64" s="162"/>
      <c r="H64" s="162"/>
      <c r="I64" s="162"/>
      <c r="J64" s="162"/>
      <c r="K64" s="162"/>
      <c r="L64" s="162"/>
      <c r="M64" s="162"/>
      <c r="N64" s="162"/>
      <c r="P64" s="162"/>
      <c r="Q64" s="162"/>
      <c r="R64" s="162"/>
      <c r="T64" s="162"/>
      <c r="U64" s="162"/>
      <c r="V64" s="162"/>
      <c r="W64" s="162"/>
      <c r="X64" s="162"/>
      <c r="Y64" s="162"/>
      <c r="Z64" s="162"/>
      <c r="AA64" s="162"/>
      <c r="AB64" s="162"/>
      <c r="AC64" s="162"/>
      <c r="AD64" s="162"/>
      <c r="AE64" s="162"/>
      <c r="AF64" s="162"/>
      <c r="AG64" s="162"/>
      <c r="AH64" s="162"/>
      <c r="AI64" s="162"/>
      <c r="AJ64" s="162"/>
      <c r="AK64" s="162"/>
      <c r="AL64" s="162"/>
      <c r="AM64" s="162"/>
      <c r="AN64" s="162"/>
      <c r="AO64" s="655"/>
      <c r="AP64" s="162"/>
      <c r="AQ64" s="162"/>
      <c r="AR64" s="162"/>
      <c r="AS64" s="162"/>
      <c r="AT64" s="162"/>
      <c r="AU64" s="162"/>
      <c r="AV64" s="162"/>
      <c r="AW64" s="162"/>
      <c r="AX64" s="655"/>
      <c r="AY64" s="68">
        <f>AY75+AY77+AY79+AY81</f>
        <v>4068.9249999999997</v>
      </c>
      <c r="AZ64" s="162"/>
      <c r="BA64" s="162"/>
      <c r="BB64" s="162"/>
      <c r="BC64" s="655"/>
      <c r="BD64" s="655"/>
      <c r="BE64" s="655"/>
      <c r="BF64" s="655"/>
      <c r="BG64" s="655"/>
      <c r="BH64" s="655"/>
      <c r="BI64" s="655"/>
      <c r="BJ64" s="655"/>
      <c r="BK64" s="655"/>
      <c r="BL64" s="655"/>
      <c r="BM64" s="655"/>
      <c r="BN64" s="655"/>
      <c r="BO64" s="655"/>
      <c r="BP64" s="655"/>
      <c r="BQ64" s="655"/>
      <c r="BR64" s="655"/>
      <c r="BS64" s="655"/>
      <c r="BT64" s="655"/>
      <c r="BU64" s="655"/>
      <c r="BV64" s="655"/>
      <c r="BW64" s="655"/>
      <c r="BX64" s="655"/>
      <c r="BY64" s="655"/>
      <c r="BZ64" s="655"/>
      <c r="CA64" s="655"/>
      <c r="CB64" s="655"/>
      <c r="CC64" s="655"/>
      <c r="CD64" s="655"/>
      <c r="CE64" s="655"/>
      <c r="CF64" s="655"/>
      <c r="CG64" s="655"/>
      <c r="CH64" s="655"/>
      <c r="CI64" s="655"/>
      <c r="CJ64" s="655"/>
      <c r="CK64" s="655"/>
      <c r="CL64" s="655"/>
      <c r="CM64" s="552"/>
      <c r="CN64" s="552"/>
      <c r="CO64" s="552"/>
      <c r="CP64" s="656"/>
      <c r="CQ64" s="68"/>
      <c r="CR64" s="656"/>
      <c r="CS64" s="68">
        <f>CS75+CS77+CS79+CS81</f>
        <v>3019.3398975091704</v>
      </c>
      <c r="CT64" s="68">
        <f t="shared" ref="CT64:CV64" si="15">CT75+CT77+CT79+CT81</f>
        <v>131.06895687685451</v>
      </c>
      <c r="CU64" s="68">
        <f t="shared" si="15"/>
        <v>56.372057257626544</v>
      </c>
      <c r="CV64" s="68">
        <f t="shared" si="15"/>
        <v>2831.8988833746898</v>
      </c>
      <c r="CW64" s="552"/>
      <c r="CX64" s="68">
        <f t="shared" ref="CX64:DI64" si="16">CX75+CX77+CX79+CX81</f>
        <v>724</v>
      </c>
      <c r="CY64" s="68">
        <f t="shared" si="16"/>
        <v>113.723</v>
      </c>
      <c r="CZ64" s="68">
        <f t="shared" si="16"/>
        <v>2.3711599999999997</v>
      </c>
      <c r="DA64" s="68">
        <f t="shared" si="16"/>
        <v>32.386500000000005</v>
      </c>
      <c r="DB64" s="97">
        <f t="shared" si="16"/>
        <v>75</v>
      </c>
      <c r="DC64" s="68">
        <f t="shared" si="16"/>
        <v>31.373000000000001</v>
      </c>
      <c r="DD64" s="68">
        <f t="shared" si="16"/>
        <v>0.58766000000000007</v>
      </c>
      <c r="DE64" s="68">
        <f t="shared" si="16"/>
        <v>11.186499999999999</v>
      </c>
      <c r="DF64" s="68">
        <f t="shared" si="16"/>
        <v>649</v>
      </c>
      <c r="DG64" s="68">
        <f t="shared" si="16"/>
        <v>82.35</v>
      </c>
      <c r="DH64" s="68">
        <f t="shared" si="16"/>
        <v>1.7835000000000001</v>
      </c>
      <c r="DI64" s="68">
        <f t="shared" si="16"/>
        <v>21.2</v>
      </c>
      <c r="DN64" s="656"/>
      <c r="DO64" s="552"/>
      <c r="DP64" s="552"/>
      <c r="EE64" s="471">
        <f>EE65+EE66</f>
        <v>981.58368420508486</v>
      </c>
      <c r="EN64" s="471">
        <f>EN65+EN66</f>
        <v>4811.3504697989138</v>
      </c>
      <c r="EO64" s="452"/>
      <c r="EP64" s="452"/>
      <c r="EQ64" s="452"/>
      <c r="ER64" s="452"/>
      <c r="ES64" s="152"/>
      <c r="ET64" s="152"/>
      <c r="EU64" s="452"/>
      <c r="EV64" s="452"/>
      <c r="EW64" s="452"/>
      <c r="EX64" s="452"/>
      <c r="EY64" s="452"/>
      <c r="EZ64" s="452"/>
      <c r="FA64" s="452"/>
      <c r="FB64" s="452"/>
      <c r="FC64" s="452"/>
      <c r="FD64" s="452"/>
      <c r="FE64" s="452"/>
      <c r="FF64" s="152"/>
      <c r="FG64" s="452"/>
      <c r="FH64" s="452"/>
      <c r="FI64" s="452"/>
      <c r="FJ64" s="452"/>
      <c r="FK64" s="452"/>
      <c r="FL64" s="452"/>
      <c r="FM64" s="452"/>
      <c r="FN64" s="452"/>
      <c r="FO64" s="452"/>
      <c r="FP64" s="452"/>
      <c r="FQ64" s="452"/>
      <c r="FR64" s="452"/>
      <c r="FS64" s="452"/>
      <c r="FT64" s="452"/>
      <c r="FU64" s="452"/>
      <c r="FV64" s="452"/>
      <c r="FW64" s="452"/>
      <c r="FX64" s="452"/>
      <c r="FY64" s="452"/>
      <c r="FZ64" s="452"/>
      <c r="GA64" s="452"/>
      <c r="GB64" s="452"/>
      <c r="GC64" s="452"/>
      <c r="GD64" s="452"/>
      <c r="GE64" s="452"/>
      <c r="GF64" s="452"/>
      <c r="KD64" s="657"/>
      <c r="KE64" s="657"/>
      <c r="KF64" s="657"/>
      <c r="KG64" s="657"/>
      <c r="KH64" s="657"/>
      <c r="KI64" s="657"/>
    </row>
    <row r="65" spans="1:295" s="49" customFormat="1" ht="10.199999999999999" x14ac:dyDescent="0.2">
      <c r="A65" s="123" t="s">
        <v>797</v>
      </c>
      <c r="B65" s="50"/>
      <c r="C65" s="50"/>
      <c r="D65" s="50"/>
      <c r="E65" s="50"/>
      <c r="F65" s="50"/>
      <c r="G65" s="50"/>
      <c r="H65" s="50"/>
      <c r="I65" s="50"/>
      <c r="J65" s="649"/>
      <c r="K65" s="658"/>
      <c r="L65" s="658"/>
      <c r="M65" s="658"/>
      <c r="N65" s="649"/>
      <c r="O65" s="649"/>
      <c r="P65" s="649"/>
      <c r="Q65" s="649"/>
      <c r="R65" s="649"/>
      <c r="T65" s="50"/>
      <c r="U65" s="649"/>
      <c r="V65" s="50"/>
      <c r="W65" s="50"/>
      <c r="X65" s="648"/>
      <c r="Y65" s="50"/>
      <c r="Z65" s="648"/>
      <c r="AA65" s="659"/>
      <c r="AB65" s="658"/>
      <c r="AC65" s="658"/>
      <c r="AD65" s="658"/>
      <c r="AE65" s="659"/>
      <c r="AF65" s="658"/>
      <c r="AG65" s="658"/>
      <c r="AH65" s="658"/>
      <c r="AI65" s="659"/>
      <c r="AJ65" s="658"/>
      <c r="AK65" s="658"/>
      <c r="AL65" s="658"/>
      <c r="AM65" s="658"/>
      <c r="AN65" s="658"/>
      <c r="AO65" s="660"/>
      <c r="AP65" s="659"/>
      <c r="AQ65" s="50"/>
      <c r="AR65" s="50"/>
      <c r="AS65" s="50"/>
      <c r="AT65" s="132"/>
      <c r="AU65" s="661"/>
      <c r="AV65" s="662">
        <f>AY65/CX65</f>
        <v>39.9296875</v>
      </c>
      <c r="AW65" s="663">
        <f>AY65/DA65</f>
        <v>267.59162303664925</v>
      </c>
      <c r="AX65" s="575"/>
      <c r="AY65" s="152">
        <f>AY75+AY77</f>
        <v>2555.5</v>
      </c>
      <c r="AZ65" s="50"/>
      <c r="BA65" s="50"/>
      <c r="BB65" s="607"/>
      <c r="BC65" s="575"/>
      <c r="BD65" s="575"/>
      <c r="BE65" s="575"/>
      <c r="BF65" s="607"/>
      <c r="BG65" s="575"/>
      <c r="BH65" s="575"/>
      <c r="BI65" s="575"/>
      <c r="BJ65" s="607"/>
      <c r="BK65" s="575"/>
      <c r="BL65" s="575"/>
      <c r="BM65" s="607"/>
      <c r="BN65" s="575"/>
      <c r="BO65" s="575"/>
      <c r="BP65" s="607"/>
      <c r="BQ65" s="575"/>
      <c r="BR65" s="607"/>
      <c r="BS65" s="607"/>
      <c r="BT65" s="575"/>
      <c r="BU65" s="575"/>
      <c r="BV65" s="575"/>
      <c r="BW65" s="607"/>
      <c r="BX65" s="575"/>
      <c r="BY65" s="575"/>
      <c r="BZ65" s="575"/>
      <c r="CA65" s="607"/>
      <c r="CB65" s="575"/>
      <c r="CC65" s="575"/>
      <c r="CD65" s="575"/>
      <c r="CE65" s="575"/>
      <c r="CF65" s="575"/>
      <c r="CG65" s="575"/>
      <c r="CH65" s="607"/>
      <c r="CI65" s="575"/>
      <c r="CJ65" s="575"/>
      <c r="CK65" s="575"/>
      <c r="CL65" s="607"/>
      <c r="CM65" s="123"/>
      <c r="CN65" s="123"/>
      <c r="CO65" s="123"/>
      <c r="CP65" s="144"/>
      <c r="CQ65" s="664">
        <f t="shared" ref="CQ65:CQ66" si="17">10*(CT65+CU65)/DA65</f>
        <v>100.47235203509426</v>
      </c>
      <c r="CR65" s="664">
        <f t="shared" ref="CR65:CR66" si="18">10*CW65/$DA65</f>
        <v>1978.1546776142286</v>
      </c>
      <c r="CS65" s="152">
        <f>CS75+CS77</f>
        <v>1985.0888133151029</v>
      </c>
      <c r="CT65" s="152">
        <f>CT75+CT77</f>
        <v>62.025273462774877</v>
      </c>
      <c r="CU65" s="152">
        <f>CU75+CU77</f>
        <v>33.925822730740123</v>
      </c>
      <c r="CV65" s="152">
        <f>CV75+CV77</f>
        <v>1889.1377171215881</v>
      </c>
      <c r="CW65" s="152">
        <f>CW75+CW77</f>
        <v>1889.1377171215881</v>
      </c>
      <c r="CX65" s="152">
        <f t="shared" ref="CX65:CZ65" si="19">CX75+CX77</f>
        <v>64</v>
      </c>
      <c r="CY65" s="153">
        <f t="shared" si="19"/>
        <v>26.78</v>
      </c>
      <c r="CZ65" s="153">
        <f t="shared" si="19"/>
        <v>0.50080000000000002</v>
      </c>
      <c r="DA65" s="153">
        <f>DA75+DA77</f>
        <v>9.5499999999999989</v>
      </c>
      <c r="DN65" s="144"/>
      <c r="DO65" s="123"/>
      <c r="DP65" s="123"/>
      <c r="EE65" s="152">
        <f>EE75+EE77</f>
        <v>633.40152463910022</v>
      </c>
      <c r="EN65" s="152">
        <f>EN75+EN77</f>
        <v>2915.8398492127963</v>
      </c>
      <c r="EO65" s="133"/>
      <c r="EP65" s="133"/>
      <c r="EQ65" s="474">
        <f>EN65/CZ65</f>
        <v>5822.3639161597366</v>
      </c>
      <c r="ER65" s="474">
        <f>EN65/DA65</f>
        <v>305.32354442018811</v>
      </c>
      <c r="ES65" s="152">
        <f>ES75+ES77</f>
        <v>168.27297704850028</v>
      </c>
      <c r="ET65" s="152">
        <f>ET75+ET77</f>
        <v>120.51689205553345</v>
      </c>
      <c r="EU65" s="133"/>
      <c r="EV65" s="133"/>
      <c r="EW65" s="133"/>
      <c r="EX65" s="133"/>
      <c r="EY65" s="133"/>
      <c r="EZ65" s="133"/>
      <c r="FA65" s="133"/>
      <c r="FB65" s="133"/>
      <c r="FC65" s="133"/>
      <c r="FD65" s="133"/>
      <c r="FE65" s="133"/>
      <c r="FF65" s="152"/>
      <c r="FG65" s="133"/>
      <c r="FH65" s="133"/>
      <c r="FI65" s="133"/>
      <c r="FJ65" s="133"/>
      <c r="FK65" s="133"/>
      <c r="FL65" s="133"/>
      <c r="FM65" s="133"/>
      <c r="FN65" s="133"/>
      <c r="FO65" s="133"/>
      <c r="FP65" s="133"/>
      <c r="FQ65" s="133"/>
      <c r="FR65" s="133"/>
      <c r="FS65" s="133"/>
      <c r="FT65" s="133"/>
      <c r="FU65" s="133"/>
      <c r="FV65" s="133"/>
      <c r="FW65" s="133"/>
      <c r="FX65" s="133"/>
      <c r="FY65" s="133"/>
      <c r="FZ65" s="133"/>
      <c r="GA65" s="133"/>
      <c r="GB65" s="133"/>
      <c r="GC65" s="133"/>
      <c r="GD65" s="133"/>
      <c r="GE65" s="133"/>
      <c r="GF65" s="133"/>
      <c r="KD65" s="149"/>
      <c r="KE65" s="149"/>
      <c r="KF65" s="149"/>
      <c r="KG65" s="149"/>
      <c r="KH65" s="149"/>
      <c r="KI65" s="149"/>
    </row>
    <row r="66" spans="1:295" s="49" customFormat="1" ht="12" customHeight="1" x14ac:dyDescent="0.2">
      <c r="A66" s="123" t="s">
        <v>798</v>
      </c>
      <c r="B66" s="50"/>
      <c r="C66" s="50"/>
      <c r="D66" s="50"/>
      <c r="E66" s="50"/>
      <c r="F66" s="50"/>
      <c r="G66" s="50"/>
      <c r="H66" s="50"/>
      <c r="I66" s="50"/>
      <c r="J66" s="649"/>
      <c r="K66" s="658"/>
      <c r="L66" s="658"/>
      <c r="M66" s="658"/>
      <c r="N66" s="649"/>
      <c r="O66" s="649"/>
      <c r="P66" s="649"/>
      <c r="Q66" s="649"/>
      <c r="R66" s="649"/>
      <c r="T66" s="50"/>
      <c r="U66" s="648"/>
      <c r="V66" s="50"/>
      <c r="W66" s="50"/>
      <c r="X66" s="648"/>
      <c r="Y66" s="50"/>
      <c r="Z66" s="648"/>
      <c r="AA66" s="659"/>
      <c r="AB66" s="658"/>
      <c r="AC66" s="658"/>
      <c r="AD66" s="658"/>
      <c r="AE66" s="659"/>
      <c r="AF66" s="658"/>
      <c r="AG66" s="658"/>
      <c r="AH66" s="658"/>
      <c r="AI66" s="659"/>
      <c r="AJ66" s="658"/>
      <c r="AK66" s="658"/>
      <c r="AL66" s="658"/>
      <c r="AM66" s="658"/>
      <c r="AN66" s="658"/>
      <c r="AO66" s="660"/>
      <c r="AP66" s="659"/>
      <c r="AQ66" s="50"/>
      <c r="AR66" s="50"/>
      <c r="AS66" s="50"/>
      <c r="AT66" s="132"/>
      <c r="AU66" s="661"/>
      <c r="AV66" s="665">
        <f>AY66/CX66</f>
        <v>2.2930681818181822</v>
      </c>
      <c r="AW66" s="663">
        <f>AY66/DA66</f>
        <v>66.272195826856134</v>
      </c>
      <c r="AX66" s="575"/>
      <c r="AY66" s="152">
        <f>AY79+AY81</f>
        <v>1513.4250000000002</v>
      </c>
      <c r="AZ66" s="50"/>
      <c r="BA66" s="50"/>
      <c r="BB66" s="634"/>
      <c r="BC66" s="575"/>
      <c r="BD66" s="575"/>
      <c r="BE66" s="575"/>
      <c r="BF66" s="634"/>
      <c r="BG66" s="575"/>
      <c r="BH66" s="575"/>
      <c r="BI66" s="575"/>
      <c r="BJ66" s="634"/>
      <c r="BK66" s="575"/>
      <c r="BL66" s="575"/>
      <c r="BM66" s="634"/>
      <c r="BN66" s="575"/>
      <c r="BO66" s="575"/>
      <c r="BP66" s="634"/>
      <c r="BQ66" s="575"/>
      <c r="BR66" s="634"/>
      <c r="BS66" s="634"/>
      <c r="BT66" s="575"/>
      <c r="BU66" s="575"/>
      <c r="BV66" s="575"/>
      <c r="BW66" s="634"/>
      <c r="BX66" s="575"/>
      <c r="BY66" s="575"/>
      <c r="BZ66" s="575"/>
      <c r="CA66" s="634"/>
      <c r="CB66" s="575"/>
      <c r="CC66" s="575"/>
      <c r="CD66" s="575"/>
      <c r="CE66" s="575"/>
      <c r="CF66" s="575"/>
      <c r="CG66" s="575"/>
      <c r="CH66" s="634"/>
      <c r="CI66" s="575"/>
      <c r="CJ66" s="575"/>
      <c r="CK66" s="575"/>
      <c r="CL66" s="634"/>
      <c r="CM66" s="123"/>
      <c r="CN66" s="123"/>
      <c r="CO66" s="123"/>
      <c r="CP66" s="144"/>
      <c r="CQ66" s="664">
        <f t="shared" si="17"/>
        <v>40.063021015026834</v>
      </c>
      <c r="CR66" s="664">
        <f t="shared" si="18"/>
        <v>412.83084809541805</v>
      </c>
      <c r="CS66" s="152">
        <f>CS79+CS81</f>
        <v>1034.2510841940675</v>
      </c>
      <c r="CT66" s="152">
        <f>CT79+CT81</f>
        <v>69.043683414079624</v>
      </c>
      <c r="CU66" s="152">
        <f>CU79+CU81</f>
        <v>22.446234526886414</v>
      </c>
      <c r="CV66" s="152">
        <f>CV79+CV81</f>
        <v>942.76116625310158</v>
      </c>
      <c r="CW66" s="152">
        <f>CW79+CW81</f>
        <v>942.76116625310158</v>
      </c>
      <c r="CX66" s="152">
        <f t="shared" ref="CX66:CZ66" si="20">CX79+CX81</f>
        <v>660</v>
      </c>
      <c r="CY66" s="153">
        <f t="shared" si="20"/>
        <v>86.942999999999998</v>
      </c>
      <c r="CZ66" s="153">
        <f t="shared" si="20"/>
        <v>1.8703599999999998</v>
      </c>
      <c r="DA66" s="153">
        <f>DA79+DA81</f>
        <v>22.836500000000001</v>
      </c>
      <c r="DN66" s="144"/>
      <c r="DO66" s="123"/>
      <c r="DP66" s="123"/>
      <c r="EE66" s="152">
        <f>EE79+EE81</f>
        <v>348.18215956598459</v>
      </c>
      <c r="EL66" s="50"/>
      <c r="EN66" s="152">
        <f>EN79+EN81</f>
        <v>1895.5106205861171</v>
      </c>
      <c r="EO66" s="133"/>
      <c r="EP66" s="133"/>
      <c r="EQ66" s="474">
        <f>EN66/CZ66</f>
        <v>1013.4469410092802</v>
      </c>
      <c r="ER66" s="474">
        <f>EN66/DA66</f>
        <v>83.003552233753723</v>
      </c>
      <c r="ES66" s="643"/>
      <c r="ET66" s="643"/>
      <c r="EU66" s="133"/>
      <c r="EV66" s="133"/>
      <c r="EW66" s="133"/>
      <c r="EX66" s="133"/>
      <c r="EY66" s="133"/>
      <c r="EZ66" s="133"/>
      <c r="FA66" s="133"/>
      <c r="FB66" s="133"/>
      <c r="FC66" s="133"/>
      <c r="FD66" s="133"/>
      <c r="FE66" s="133"/>
      <c r="FF66" s="643"/>
      <c r="FG66" s="133"/>
      <c r="FH66" s="133"/>
      <c r="FI66" s="133"/>
      <c r="FJ66" s="133"/>
      <c r="FK66" s="133"/>
      <c r="FL66" s="133"/>
      <c r="FM66" s="133"/>
      <c r="FN66" s="133"/>
      <c r="FO66" s="133"/>
      <c r="FQ66" s="133"/>
      <c r="FR66" s="133"/>
      <c r="FS66" s="133"/>
      <c r="FT66" s="133"/>
      <c r="FU66" s="133"/>
      <c r="FV66" s="133"/>
      <c r="FW66" s="133"/>
      <c r="FX66" s="133"/>
      <c r="FY66" s="133"/>
      <c r="FZ66" s="133"/>
      <c r="GA66" s="133"/>
      <c r="GB66" s="133"/>
      <c r="GC66" s="133"/>
      <c r="GD66" s="133"/>
      <c r="GE66" s="133"/>
      <c r="GF66" s="133"/>
      <c r="KD66" s="149"/>
      <c r="KE66" s="149"/>
      <c r="KF66" s="149"/>
      <c r="KG66" s="149"/>
      <c r="KH66" s="149"/>
      <c r="KI66" s="149"/>
    </row>
    <row r="67" spans="1:295" s="49" customFormat="1" ht="12" customHeight="1" x14ac:dyDescent="0.2">
      <c r="A67" s="158" t="s">
        <v>806</v>
      </c>
      <c r="B67" s="50"/>
      <c r="C67" s="50"/>
      <c r="D67" s="50"/>
      <c r="E67" s="50"/>
      <c r="F67" s="50"/>
      <c r="G67" s="50"/>
      <c r="H67" s="50"/>
      <c r="I67" s="50"/>
      <c r="J67" s="50"/>
      <c r="K67" s="50"/>
      <c r="L67" s="50"/>
      <c r="M67" s="50"/>
      <c r="N67" s="50"/>
      <c r="P67" s="50"/>
      <c r="Q67" s="50"/>
      <c r="R67" s="50"/>
      <c r="T67" s="50"/>
      <c r="U67" s="50"/>
      <c r="V67" s="50"/>
      <c r="W67" s="50"/>
      <c r="X67" s="50"/>
      <c r="Y67" s="50"/>
      <c r="Z67" s="50"/>
      <c r="AA67" s="50"/>
      <c r="AB67" s="50"/>
      <c r="AC67" s="50"/>
      <c r="AD67" s="50"/>
      <c r="AE67" s="50"/>
      <c r="AF67" s="50"/>
      <c r="AG67" s="50"/>
      <c r="AH67" s="50"/>
      <c r="AI67" s="50"/>
      <c r="AJ67" s="50"/>
      <c r="AK67" s="50"/>
      <c r="AL67" s="50"/>
      <c r="AM67" s="50"/>
      <c r="AN67" s="50"/>
      <c r="AO67" s="575"/>
      <c r="AP67" s="50"/>
      <c r="AQ67" s="50"/>
      <c r="AR67" s="50"/>
      <c r="AS67" s="50"/>
      <c r="AT67" s="50"/>
      <c r="AU67" s="50"/>
      <c r="AV67" s="50"/>
      <c r="AW67" s="50"/>
      <c r="AX67" s="575"/>
      <c r="AY67" s="50"/>
      <c r="AZ67" s="50"/>
      <c r="BA67" s="50"/>
      <c r="BB67" s="50"/>
      <c r="BC67" s="575"/>
      <c r="BD67" s="575"/>
      <c r="BE67" s="575"/>
      <c r="BF67" s="575"/>
      <c r="BG67" s="575"/>
      <c r="BH67" s="575"/>
      <c r="BI67" s="575"/>
      <c r="BJ67" s="575"/>
      <c r="BK67" s="575"/>
      <c r="BL67" s="575"/>
      <c r="BM67" s="575"/>
      <c r="BN67" s="575"/>
      <c r="BO67" s="575"/>
      <c r="BP67" s="575"/>
      <c r="BQ67" s="575"/>
      <c r="BR67" s="575"/>
      <c r="BS67" s="575"/>
      <c r="BT67" s="575"/>
      <c r="BU67" s="575"/>
      <c r="BV67" s="575"/>
      <c r="BW67" s="575"/>
      <c r="BX67" s="575"/>
      <c r="BY67" s="575"/>
      <c r="BZ67" s="575"/>
      <c r="CA67" s="575"/>
      <c r="CB67" s="575"/>
      <c r="CC67" s="575"/>
      <c r="CD67" s="575"/>
      <c r="CE67" s="575"/>
      <c r="CF67" s="575"/>
      <c r="CG67" s="575"/>
      <c r="CH67" s="575"/>
      <c r="CI67" s="575"/>
      <c r="CJ67" s="575"/>
      <c r="CK67" s="575"/>
      <c r="CL67" s="575"/>
      <c r="CM67" s="123"/>
      <c r="CN67" s="123"/>
      <c r="CO67" s="123"/>
      <c r="CP67" s="144"/>
      <c r="CQ67" s="144"/>
      <c r="CR67" s="144"/>
      <c r="CX67" s="153">
        <f t="shared" ref="CX67:CZ67" si="21">CX71+CX75</f>
        <v>62.3</v>
      </c>
      <c r="CY67" s="153">
        <f t="shared" si="21"/>
        <v>22.68</v>
      </c>
      <c r="CZ67" s="153">
        <f t="shared" si="21"/>
        <v>0.47971000000000003</v>
      </c>
      <c r="DA67" s="153">
        <f>DA71+DA75</f>
        <v>9.3449999999999989</v>
      </c>
      <c r="DB67" s="123"/>
      <c r="DN67" s="144"/>
      <c r="DO67" s="123"/>
      <c r="DP67" s="123"/>
      <c r="DR67" s="153">
        <f>(DR71*CX71+DR75*CX75)/CX67</f>
        <v>36.780984024753486</v>
      </c>
      <c r="DS67" s="153">
        <f>DR67/$GG67</f>
        <v>87.57377148750831</v>
      </c>
      <c r="DT67" s="152">
        <f>(DT71*CZ71+DT75*CZ75)/CZ67</f>
        <v>4776.751172045907</v>
      </c>
      <c r="DU67" s="152">
        <f>(DU71*DA71+DU75*DA75)/DA67</f>
        <v>245.20656016502329</v>
      </c>
      <c r="DV67" s="153">
        <f>(DV71*CX71+DV75*CX75)/CX67</f>
        <v>45.08093568949436</v>
      </c>
      <c r="DW67" s="153">
        <f>DV67/$GG67</f>
        <v>107.33556116546276</v>
      </c>
      <c r="DX67" s="152">
        <f>(DX71*CZ71+DX75*CZ75)/CZ67</f>
        <v>5854.6669726616046</v>
      </c>
      <c r="DY67" s="152">
        <f>(DY71*DA71+DY75*DA75)/DA67</f>
        <v>300.53957126329578</v>
      </c>
      <c r="EF67" s="153">
        <f>(EF71*CX71+EF75*CX75)/CX67</f>
        <v>9.0524661890257594</v>
      </c>
      <c r="EG67" s="153">
        <f>EF67/$GG67</f>
        <v>21.553490926251808</v>
      </c>
      <c r="EH67" s="153">
        <f>(EH71*CZ71+EH75*CZ75)/CZ67</f>
        <v>1175.644959613735</v>
      </c>
      <c r="EI67" s="153">
        <f>(EI71*DA71+EI75*DA75)/DA67</f>
        <v>60.349774593505067</v>
      </c>
      <c r="EJ67" s="133"/>
      <c r="EN67" s="474"/>
      <c r="EO67" s="666">
        <f>(EO71*$CX$71+EO75*$CX$75)/$CX$67</f>
        <v>44.235238316625946</v>
      </c>
      <c r="EP67" s="153">
        <f>EO67/$GG67</f>
        <v>105.32199599196655</v>
      </c>
      <c r="EQ67" s="152">
        <f>(EQ71*CZ71+EQ75*CZ75)/CZ67</f>
        <v>5744.8361450163566</v>
      </c>
      <c r="ER67" s="667">
        <f>(ER71*DA71+ER75*DA75)/DA67</f>
        <v>294.90158877750633</v>
      </c>
      <c r="ES67" s="474"/>
      <c r="ET67" s="179"/>
      <c r="EU67" s="179"/>
      <c r="EV67" s="133"/>
      <c r="EW67" s="123"/>
      <c r="EX67" s="133"/>
      <c r="EY67" s="179"/>
      <c r="EZ67" s="179"/>
      <c r="FA67" s="133"/>
      <c r="FB67" s="123"/>
      <c r="FC67" s="133"/>
      <c r="FD67" s="472">
        <f>(FD71*$CX$71+FD75*$CX$75)/$CX$67</f>
        <v>2.6529239428355078</v>
      </c>
      <c r="FE67" s="153"/>
      <c r="FF67" s="472">
        <f>(FF71*$CX$71+FF75*$CX$75)/$CX$67</f>
        <v>1.9116859708220308</v>
      </c>
      <c r="FG67" s="179"/>
      <c r="FH67" s="179"/>
      <c r="FI67" s="472">
        <f>(FI71*$CX$71+FI75*$CX$75)/$CX$67</f>
        <v>0.98986098627786434</v>
      </c>
      <c r="FJ67" s="179"/>
      <c r="FK67" s="179"/>
      <c r="FL67" s="472">
        <f>(FL71*$CX$71+FL75*$CX$75)/$CX$67</f>
        <v>7.9850728465490262</v>
      </c>
      <c r="FN67" s="133"/>
      <c r="FO67" s="472">
        <f>(FO71*$CX$71+FO75*$CX$75)/$CX$67</f>
        <v>26.723786450423439</v>
      </c>
      <c r="FP67" s="133"/>
      <c r="FR67" s="133"/>
      <c r="FS67" s="473">
        <f>(FS71*$CX$71+FS75*$CX$75)/$CX$67</f>
        <v>0.46192293113399996</v>
      </c>
      <c r="FT67" s="179"/>
      <c r="FU67" s="472">
        <f>(FU71*$CX$71+FU75*$CX$75)/$CX$67</f>
        <v>2.512954650415351</v>
      </c>
      <c r="FV67" s="179"/>
      <c r="FW67" s="179"/>
      <c r="FX67" s="472">
        <f>(FX71*$CX$71+FX75*$CX$75)/$CX$67</f>
        <v>0.99703053816873777</v>
      </c>
      <c r="FZ67" s="133"/>
      <c r="GA67" s="133"/>
      <c r="GB67" s="133"/>
      <c r="GC67" s="133"/>
      <c r="GD67" s="133"/>
      <c r="GE67" s="133"/>
      <c r="GF67" s="133"/>
      <c r="GG67" s="591">
        <f>GG95</f>
        <v>0.42</v>
      </c>
      <c r="KD67" s="149"/>
      <c r="KE67" s="149"/>
      <c r="KF67" s="149"/>
      <c r="KG67" s="149"/>
      <c r="KH67" s="149"/>
      <c r="KI67" s="149"/>
    </row>
    <row r="68" spans="1:295" s="49" customFormat="1" ht="10.199999999999999" x14ac:dyDescent="0.2">
      <c r="A68" s="158" t="s">
        <v>807</v>
      </c>
      <c r="B68" s="50"/>
      <c r="C68" s="50"/>
      <c r="D68" s="50"/>
      <c r="E68" s="50"/>
      <c r="F68" s="50"/>
      <c r="G68" s="50"/>
      <c r="H68" s="50"/>
      <c r="I68" s="50"/>
      <c r="J68" s="50"/>
      <c r="K68" s="50"/>
      <c r="L68" s="50"/>
      <c r="M68" s="50"/>
      <c r="N68" s="50"/>
      <c r="P68" s="50"/>
      <c r="Q68" s="50"/>
      <c r="R68" s="50"/>
      <c r="T68" s="50"/>
      <c r="U68" s="50"/>
      <c r="V68" s="50"/>
      <c r="W68" s="50"/>
      <c r="X68" s="50"/>
      <c r="Y68" s="50"/>
      <c r="Z68" s="50"/>
      <c r="AA68" s="50"/>
      <c r="AB68" s="50"/>
      <c r="AC68" s="50"/>
      <c r="AD68" s="50"/>
      <c r="AE68" s="50"/>
      <c r="AF68" s="50"/>
      <c r="AG68" s="50"/>
      <c r="AH68" s="50"/>
      <c r="AI68" s="50"/>
      <c r="AJ68" s="50"/>
      <c r="AK68" s="50"/>
      <c r="AL68" s="50"/>
      <c r="AM68" s="50"/>
      <c r="AN68" s="50"/>
      <c r="AO68" s="575"/>
      <c r="AP68" s="50"/>
      <c r="AQ68" s="50"/>
      <c r="AR68" s="50"/>
      <c r="AS68" s="50"/>
      <c r="AT68" s="50"/>
      <c r="AU68" s="50"/>
      <c r="AV68" s="50"/>
      <c r="AW68" s="50"/>
      <c r="AX68" s="575"/>
      <c r="AY68" s="50"/>
      <c r="AZ68" s="50"/>
      <c r="BA68" s="50"/>
      <c r="BB68" s="50"/>
      <c r="BC68" s="575"/>
      <c r="BD68" s="575"/>
      <c r="BE68" s="575"/>
      <c r="BF68" s="575"/>
      <c r="BG68" s="575"/>
      <c r="BH68" s="575"/>
      <c r="BI68" s="575"/>
      <c r="BJ68" s="575"/>
      <c r="BK68" s="575"/>
      <c r="BL68" s="575"/>
      <c r="BM68" s="575"/>
      <c r="BN68" s="575"/>
      <c r="BO68" s="575"/>
      <c r="BP68" s="575"/>
      <c r="BQ68" s="575"/>
      <c r="BR68" s="575"/>
      <c r="BS68" s="575"/>
      <c r="BT68" s="575"/>
      <c r="BU68" s="575"/>
      <c r="BV68" s="575"/>
      <c r="BW68" s="575"/>
      <c r="BX68" s="575"/>
      <c r="BY68" s="575"/>
      <c r="BZ68" s="575"/>
      <c r="CA68" s="575"/>
      <c r="CB68" s="575"/>
      <c r="CC68" s="575"/>
      <c r="CD68" s="575"/>
      <c r="CE68" s="575"/>
      <c r="CF68" s="575"/>
      <c r="CG68" s="575"/>
      <c r="CH68" s="575"/>
      <c r="CI68" s="575"/>
      <c r="CJ68" s="575"/>
      <c r="CK68" s="575"/>
      <c r="CL68" s="575"/>
      <c r="CM68" s="123"/>
      <c r="CN68" s="123"/>
      <c r="CO68" s="123"/>
      <c r="CP68" s="144"/>
      <c r="CQ68" s="144"/>
      <c r="CR68" s="144"/>
      <c r="CW68" s="123"/>
      <c r="CX68" s="153">
        <f t="shared" ref="CX68:DA68" si="22">CX73+CX77</f>
        <v>12.7</v>
      </c>
      <c r="CY68" s="153">
        <f t="shared" si="22"/>
        <v>4.0999999999999996</v>
      </c>
      <c r="CZ68" s="153">
        <f t="shared" si="22"/>
        <v>0.10795</v>
      </c>
      <c r="DA68" s="153">
        <f t="shared" si="22"/>
        <v>1.8414999999999999</v>
      </c>
      <c r="DB68" s="123"/>
      <c r="DN68" s="144"/>
      <c r="DO68" s="123"/>
      <c r="DP68" s="123"/>
      <c r="DR68" s="153">
        <f>(DR73*CX73+DR77*CX77)/CX68</f>
        <v>47.552132832624565</v>
      </c>
      <c r="DS68" s="153">
        <f>DR68/$GG68</f>
        <v>115.98081178688919</v>
      </c>
      <c r="DT68" s="152">
        <f>(DT73*CZ73+DT77*CZ77)/CZ68</f>
        <v>5594.3685685440651</v>
      </c>
      <c r="DU68" s="152">
        <f>(DU73*DA73+DU77*DA77)/DA68</f>
        <v>327.94574367327277</v>
      </c>
      <c r="DV68" s="153">
        <f>(DV73*CX73+DV77*CX77)/CX68</f>
        <v>58.037677636986352</v>
      </c>
      <c r="DW68" s="153">
        <f>DV68/$GG68</f>
        <v>141.55531130972281</v>
      </c>
      <c r="DX68" s="152">
        <f>(DX73*CZ73+DX77*CZ77)/CZ68</f>
        <v>6827.9620749395699</v>
      </c>
      <c r="DY68" s="152">
        <f>(DY73*DA73+DY77*DA77)/DA68</f>
        <v>400.25984577231969</v>
      </c>
      <c r="EF68" s="153">
        <f>(EF73*CX73+EF77*CX77)/CX68</f>
        <v>11.328139590691732</v>
      </c>
      <c r="EG68" s="153">
        <f>EF68/$GG68</f>
        <v>27.629608757784712</v>
      </c>
      <c r="EH68" s="153">
        <f>(EH73*CZ73+EH77*CZ77)/CZ68</f>
        <v>1332.7223047872624</v>
      </c>
      <c r="EI68" s="153">
        <f>(EI73*DA73+EI77*DA77)/DA68</f>
        <v>78.12510062546022</v>
      </c>
      <c r="EJ68" s="133"/>
      <c r="EN68" s="474"/>
      <c r="EO68" s="666">
        <f>(EO73*$CX73+EO77*$CX77)/$CX68</f>
        <v>42.052485678027843</v>
      </c>
      <c r="EP68" s="153">
        <f>EO68/$GG68</f>
        <v>102.56703823909231</v>
      </c>
      <c r="EQ68" s="152">
        <f>(EQ73*CZ73+EQ77*CZ77)/CZ68</f>
        <v>4947.3512562385686</v>
      </c>
      <c r="ER68" s="667">
        <f>(ER73*DA73+ER77*DA77)/DA68</f>
        <v>290.01714260708849</v>
      </c>
      <c r="ES68" s="474"/>
      <c r="ET68" s="469"/>
      <c r="EU68" s="469"/>
      <c r="EV68" s="133"/>
      <c r="EW68" s="123"/>
      <c r="EX68" s="133"/>
      <c r="EY68" s="469"/>
      <c r="EZ68" s="469"/>
      <c r="FA68" s="133"/>
      <c r="FB68" s="123"/>
      <c r="FC68" s="133"/>
      <c r="FD68" s="472">
        <f>(FD73*$CX73+FD77*$CX77)/$CX68</f>
        <v>2.0006463993406913</v>
      </c>
      <c r="FE68" s="267"/>
      <c r="FF68" s="472">
        <f>(FF73*$CX73+FF77*$CX77)/$CX68</f>
        <v>1.4244056077453648</v>
      </c>
      <c r="FG68" s="469"/>
      <c r="FH68" s="469"/>
      <c r="FI68" s="472">
        <f>(FI73*$CX73+FI77*$CX77)/$CX68</f>
        <v>0.47998303561736666</v>
      </c>
      <c r="FJ68" s="469"/>
      <c r="FK68" s="469"/>
      <c r="FL68" s="472">
        <f>(FL73*$CX73+FL77*$CX77)/$CX68</f>
        <v>4.2321125740520591</v>
      </c>
      <c r="FN68" s="133"/>
      <c r="FO68" s="472">
        <f>(FO73*$CX73+FO77*$CX77)/$CX68</f>
        <v>32.212263341190386</v>
      </c>
      <c r="FP68" s="133"/>
      <c r="FR68" s="133"/>
      <c r="FS68" s="473">
        <f>(FS73*$CX73+FS77*$CX77)/$CX68</f>
        <v>0.4320561477509563</v>
      </c>
      <c r="FT68" s="469"/>
      <c r="FU68" s="472">
        <f>(FU73*$CX73+FU77*$CX77)/$CX68</f>
        <v>0.60663035301256962</v>
      </c>
      <c r="FV68" s="469"/>
      <c r="FW68" s="469"/>
      <c r="FX68" s="472">
        <f>(FX73*$CX73+FX77*$CX77)/$CX68</f>
        <v>0.66438821931844749</v>
      </c>
      <c r="FZ68" s="133"/>
      <c r="GA68" s="133"/>
      <c r="GB68" s="133"/>
      <c r="GC68" s="133"/>
      <c r="GD68" s="133"/>
      <c r="GE68" s="133"/>
      <c r="GF68" s="133"/>
      <c r="GG68" s="591">
        <f>GG96</f>
        <v>0.41</v>
      </c>
      <c r="KD68" s="149"/>
      <c r="KE68" s="149"/>
      <c r="KF68" s="149"/>
      <c r="KG68" s="149"/>
      <c r="KH68" s="149"/>
      <c r="KI68" s="149"/>
    </row>
    <row r="69" spans="1:295" s="49" customFormat="1" ht="10.199999999999999" x14ac:dyDescent="0.2">
      <c r="B69" s="50"/>
      <c r="C69" s="50"/>
      <c r="D69" s="50"/>
      <c r="E69" s="50"/>
      <c r="F69" s="50"/>
      <c r="G69" s="50"/>
      <c r="H69" s="50"/>
      <c r="I69" s="50"/>
      <c r="J69" s="50"/>
      <c r="K69" s="50"/>
      <c r="L69" s="50"/>
      <c r="M69" s="50"/>
      <c r="N69" s="50"/>
      <c r="P69" s="50"/>
      <c r="Q69" s="50"/>
      <c r="R69" s="50"/>
      <c r="T69" s="50"/>
      <c r="U69" s="50"/>
      <c r="V69" s="50"/>
      <c r="W69" s="50"/>
      <c r="X69" s="50"/>
      <c r="Y69" s="50"/>
      <c r="Z69" s="50"/>
      <c r="AA69" s="50"/>
      <c r="AB69" s="50"/>
      <c r="AC69" s="50"/>
      <c r="AD69" s="50"/>
      <c r="AE69" s="50"/>
      <c r="AF69" s="50"/>
      <c r="AG69" s="50"/>
      <c r="AH69" s="50"/>
      <c r="AI69" s="50"/>
      <c r="AJ69" s="50"/>
      <c r="AK69" s="50"/>
      <c r="AL69" s="50"/>
      <c r="AM69" s="50"/>
      <c r="AN69" s="50"/>
      <c r="AO69" s="575"/>
      <c r="AP69" s="50"/>
      <c r="AQ69" s="50"/>
      <c r="AR69" s="50"/>
      <c r="AS69" s="50"/>
      <c r="AT69" s="50"/>
      <c r="AU69" s="50"/>
      <c r="AV69" s="50"/>
      <c r="AW69" s="50"/>
      <c r="AX69" s="575"/>
      <c r="AY69" s="50"/>
      <c r="AZ69" s="50"/>
      <c r="BA69" s="50"/>
      <c r="BB69" s="50"/>
      <c r="BC69" s="575"/>
      <c r="BD69" s="575"/>
      <c r="BE69" s="575"/>
      <c r="BF69" s="575"/>
      <c r="BG69" s="575"/>
      <c r="BH69" s="575"/>
      <c r="BI69" s="575"/>
      <c r="BJ69" s="575"/>
      <c r="BK69" s="575"/>
      <c r="BL69" s="575"/>
      <c r="BM69" s="575"/>
      <c r="BN69" s="575"/>
      <c r="BO69" s="575"/>
      <c r="BP69" s="575"/>
      <c r="BQ69" s="575"/>
      <c r="BR69" s="575"/>
      <c r="BS69" s="575"/>
      <c r="BT69" s="575"/>
      <c r="BU69" s="575"/>
      <c r="BV69" s="575"/>
      <c r="BW69" s="575"/>
      <c r="BX69" s="575"/>
      <c r="BY69" s="575"/>
      <c r="BZ69" s="575"/>
      <c r="CA69" s="575"/>
      <c r="CB69" s="575"/>
      <c r="CC69" s="575"/>
      <c r="CD69" s="575"/>
      <c r="CE69" s="575"/>
      <c r="CF69" s="575"/>
      <c r="CG69" s="575"/>
      <c r="CH69" s="575"/>
      <c r="CI69" s="575"/>
      <c r="CJ69" s="575"/>
      <c r="CK69" s="575"/>
      <c r="CL69" s="575"/>
      <c r="CM69" s="123"/>
      <c r="CN69" s="123"/>
      <c r="CO69" s="123"/>
      <c r="CP69" s="144"/>
      <c r="CQ69" s="144"/>
      <c r="CR69" s="144"/>
      <c r="CW69" s="123"/>
      <c r="CZ69" s="153"/>
      <c r="DA69" s="153"/>
      <c r="DN69" s="144"/>
      <c r="DO69" s="123"/>
      <c r="DP69" s="123"/>
      <c r="EN69" s="474"/>
      <c r="EO69" s="474"/>
      <c r="EQ69" s="133"/>
      <c r="ER69" s="133"/>
      <c r="ES69" s="474"/>
      <c r="ET69" s="469"/>
      <c r="EU69" s="469"/>
      <c r="EX69" s="133"/>
      <c r="EY69" s="179"/>
      <c r="EZ69" s="179"/>
      <c r="FC69" s="133"/>
      <c r="FD69" s="469"/>
      <c r="FE69" s="267"/>
      <c r="FF69" s="469"/>
      <c r="FG69" s="469"/>
      <c r="FH69" s="469"/>
      <c r="FI69" s="474"/>
      <c r="FJ69" s="469"/>
      <c r="FK69" s="469"/>
      <c r="FL69" s="469"/>
      <c r="FN69" s="133"/>
      <c r="FO69" s="133"/>
      <c r="FP69" s="133"/>
      <c r="FR69" s="133"/>
      <c r="FS69" s="179"/>
      <c r="FT69" s="179"/>
      <c r="FU69" s="179"/>
      <c r="FV69" s="179"/>
      <c r="FW69" s="179"/>
      <c r="FX69" s="179"/>
      <c r="FZ69" s="133"/>
      <c r="GA69" s="133"/>
      <c r="GB69" s="133"/>
      <c r="GC69" s="133"/>
      <c r="GD69" s="133"/>
      <c r="GE69" s="133"/>
      <c r="GF69" s="133"/>
      <c r="KD69" s="149"/>
      <c r="KE69" s="149"/>
      <c r="KF69" s="149"/>
      <c r="KG69" s="149"/>
      <c r="KH69" s="149"/>
      <c r="KI69" s="149"/>
    </row>
    <row r="70" spans="1:295" s="49" customFormat="1" ht="10.199999999999999" x14ac:dyDescent="0.2">
      <c r="A70" s="137" t="s">
        <v>799</v>
      </c>
      <c r="B70" s="50"/>
      <c r="C70" s="50"/>
      <c r="D70" s="50"/>
      <c r="E70" s="50"/>
      <c r="F70" s="50"/>
      <c r="G70" s="50"/>
      <c r="H70" s="50"/>
      <c r="I70" s="50"/>
      <c r="J70" s="50"/>
      <c r="K70" s="50"/>
      <c r="L70" s="50"/>
      <c r="M70" s="50"/>
      <c r="N70" s="50"/>
      <c r="P70" s="50"/>
      <c r="Q70" s="50"/>
      <c r="R70" s="50"/>
      <c r="T70" s="50"/>
      <c r="U70" s="50"/>
      <c r="V70" s="50"/>
      <c r="W70" s="50"/>
      <c r="X70" s="50"/>
      <c r="Y70" s="50"/>
      <c r="Z70" s="50"/>
      <c r="AA70" s="50"/>
      <c r="AB70" s="50"/>
      <c r="AC70" s="50"/>
      <c r="AD70" s="50"/>
      <c r="AE70" s="50"/>
      <c r="AF70" s="50"/>
      <c r="AG70" s="50"/>
      <c r="AH70" s="50"/>
      <c r="AI70" s="50"/>
      <c r="AJ70" s="50"/>
      <c r="AK70" s="50"/>
      <c r="AL70" s="50"/>
      <c r="AM70" s="50"/>
      <c r="AN70" s="50"/>
      <c r="AO70" s="575"/>
      <c r="AP70" s="50"/>
      <c r="AQ70" s="50"/>
      <c r="AR70" s="50"/>
      <c r="AS70" s="50"/>
      <c r="AT70" s="50"/>
      <c r="AU70" s="50"/>
      <c r="AV70" s="50"/>
      <c r="AW70" s="50"/>
      <c r="AX70" s="575"/>
      <c r="AY70" s="50"/>
      <c r="AZ70" s="50"/>
      <c r="BA70" s="50"/>
      <c r="BB70" s="50"/>
      <c r="BC70" s="575"/>
      <c r="BD70" s="575"/>
      <c r="BE70" s="575"/>
      <c r="BF70" s="575"/>
      <c r="BG70" s="575"/>
      <c r="BH70" s="575"/>
      <c r="BI70" s="575"/>
      <c r="BJ70" s="575"/>
      <c r="BK70" s="575"/>
      <c r="BL70" s="575"/>
      <c r="BM70" s="575"/>
      <c r="BN70" s="575"/>
      <c r="BO70" s="575"/>
      <c r="BP70" s="575"/>
      <c r="BQ70" s="575"/>
      <c r="BR70" s="575"/>
      <c r="BS70" s="575"/>
      <c r="BT70" s="575"/>
      <c r="BU70" s="575"/>
      <c r="BV70" s="575"/>
      <c r="BW70" s="575"/>
      <c r="BX70" s="575"/>
      <c r="BY70" s="575"/>
      <c r="BZ70" s="575"/>
      <c r="CA70" s="575"/>
      <c r="CB70" s="575"/>
      <c r="CC70" s="575"/>
      <c r="CD70" s="575"/>
      <c r="CE70" s="575"/>
      <c r="CF70" s="575"/>
      <c r="CG70" s="575"/>
      <c r="CH70" s="575"/>
      <c r="CI70" s="575"/>
      <c r="CJ70" s="575"/>
      <c r="CK70" s="575"/>
      <c r="CL70" s="575"/>
      <c r="CM70" s="123"/>
      <c r="CN70" s="123"/>
      <c r="CO70" s="123"/>
      <c r="CP70" s="144"/>
      <c r="CQ70" s="144"/>
      <c r="CR70" s="144"/>
      <c r="CW70" s="123"/>
      <c r="CX70" s="49">
        <f>DF79</f>
        <v>625</v>
      </c>
      <c r="CY70" s="152"/>
      <c r="CZ70" s="153">
        <f t="shared" ref="CZ70:DA70" si="23">DH79</f>
        <v>1.6875</v>
      </c>
      <c r="DA70" s="49">
        <f t="shared" si="23"/>
        <v>20</v>
      </c>
      <c r="DJ70" s="668">
        <f>CZ70/CZ$79</f>
        <v>0.96350940099691107</v>
      </c>
      <c r="DK70" s="668">
        <f>DA70/DA$79</f>
        <v>0.9413979759943516</v>
      </c>
      <c r="DL70" s="668">
        <f>DA70/(3*DA71+DA70)</f>
        <v>0.8426374552348852</v>
      </c>
      <c r="DM70" s="668">
        <f>DL70</f>
        <v>0.8426374552348852</v>
      </c>
      <c r="DN70" s="144"/>
      <c r="DO70" s="123"/>
      <c r="DP70" s="123"/>
      <c r="DR70" s="153">
        <f>$DP$79*$AY$79*$DM70/$CX70</f>
        <v>1.5829810993428559</v>
      </c>
      <c r="DS70" s="153">
        <f>DR70/$GG70</f>
        <v>12.563342058276634</v>
      </c>
      <c r="DT70" s="152">
        <f>$DP$79*$AY$79*$DM70/$CZ70</f>
        <v>586.28929605290955</v>
      </c>
      <c r="DU70" s="152">
        <f>$DP$79*$AY$79*$DM70/$DA70</f>
        <v>49.468159354464248</v>
      </c>
      <c r="DV70" s="153">
        <f>$DQ$79*$AY$79*$DM70/$CX70</f>
        <v>1.9317414150467718</v>
      </c>
      <c r="DW70" s="153">
        <f>DV70/$GG70</f>
        <v>15.331281071799776</v>
      </c>
      <c r="DX70" s="152">
        <f>$DQ$79*$AY$79*$DM70/$CZ70</f>
        <v>715.45978335065615</v>
      </c>
      <c r="DY70" s="152">
        <f>$DQ$79*$AY$79*$DM70/$DA70</f>
        <v>60.366919220211614</v>
      </c>
      <c r="EF70" s="267">
        <f>$ED$79*$AY$79*$DM70/$CX70</f>
        <v>0.39090108716501415</v>
      </c>
      <c r="EG70" s="153">
        <f>EF70/$GG70</f>
        <v>3.1023895806747155</v>
      </c>
      <c r="EH70" s="153">
        <f>$ED$79*$AY$79*$DM70/$CZ70</f>
        <v>144.7781804314867</v>
      </c>
      <c r="EI70" s="153">
        <f>$ED$79*$AY$79*$DM70/$DA70</f>
        <v>12.215658973906692</v>
      </c>
      <c r="EJ70" s="133"/>
      <c r="EN70" s="474"/>
      <c r="EO70" s="666">
        <f>EN$79*$DM70/$CX70</f>
        <v>2.2525578419267958</v>
      </c>
      <c r="EP70" s="153">
        <f>EO70/$GG70</f>
        <v>17.877443189895203</v>
      </c>
      <c r="EQ70" s="152">
        <f>EN$79*$DM70/$CZ70</f>
        <v>834.28068219510953</v>
      </c>
      <c r="ER70" s="667">
        <f>EN$79*$DM70/$DA70</f>
        <v>70.39243256021237</v>
      </c>
      <c r="ES70" s="474"/>
      <c r="ET70" s="469"/>
      <c r="EU70" s="469"/>
      <c r="EV70" s="133"/>
      <c r="EW70" s="123"/>
      <c r="EX70" s="469"/>
      <c r="EY70" s="469"/>
      <c r="EZ70" s="469"/>
      <c r="FA70" s="133"/>
      <c r="FB70" s="123"/>
      <c r="FC70" s="133"/>
      <c r="FD70" s="473">
        <f>ES$79*$DM70/$CX70</f>
        <v>0.1536906273341698</v>
      </c>
      <c r="FE70" s="267"/>
      <c r="FF70" s="473">
        <f>ET$79*$DM70/$CX70</f>
        <v>0.11287556776190909</v>
      </c>
      <c r="FG70" s="469"/>
      <c r="FH70" s="469"/>
      <c r="FI70" s="473">
        <f>ES$79*$DM70/$CX70</f>
        <v>0.1536906273341698</v>
      </c>
      <c r="FJ70" s="469"/>
      <c r="FK70" s="469"/>
      <c r="FL70" s="473">
        <f>EV$79*$DM70/$CX70</f>
        <v>0.40176953865599324</v>
      </c>
      <c r="FN70" s="133"/>
      <c r="FO70" s="473">
        <f>EW$79*$DM70/$CX70</f>
        <v>1.2391287168842802</v>
      </c>
      <c r="FP70" s="469"/>
      <c r="FR70" s="469"/>
      <c r="FS70" s="473">
        <f>EX$79*$DM70/$CX70</f>
        <v>5.2243522224562876E-2</v>
      </c>
      <c r="FT70" s="469"/>
      <c r="FU70" s="473">
        <f>EY$79*$DM70/$CX70</f>
        <v>0.12806404044659786</v>
      </c>
      <c r="FV70" s="469"/>
      <c r="FW70" s="469"/>
      <c r="FX70" s="473">
        <f>EZ$79*$DM70/$CX70</f>
        <v>0.1231935959553402</v>
      </c>
      <c r="FZ70" s="133"/>
      <c r="GA70" s="133"/>
      <c r="GB70" s="133"/>
      <c r="GC70" s="133"/>
      <c r="GD70" s="133"/>
      <c r="GE70" s="133"/>
      <c r="GF70" s="133"/>
      <c r="GG70" s="591">
        <f>GG99</f>
        <v>0.126</v>
      </c>
      <c r="KD70" s="149"/>
      <c r="KE70" s="149"/>
      <c r="KF70" s="149"/>
      <c r="KG70" s="149"/>
      <c r="KH70" s="149"/>
      <c r="KI70" s="149"/>
    </row>
    <row r="71" spans="1:295" s="49" customFormat="1" ht="10.199999999999999" x14ac:dyDescent="0.2">
      <c r="A71" s="49" t="s">
        <v>800</v>
      </c>
      <c r="B71" s="50"/>
      <c r="C71" s="50"/>
      <c r="D71" s="50"/>
      <c r="E71" s="50"/>
      <c r="F71" s="50"/>
      <c r="G71" s="50"/>
      <c r="H71" s="50"/>
      <c r="I71" s="50"/>
      <c r="J71" s="50"/>
      <c r="K71" s="50"/>
      <c r="L71" s="50"/>
      <c r="M71" s="50"/>
      <c r="N71" s="50"/>
      <c r="P71" s="50"/>
      <c r="Q71" s="50"/>
      <c r="R71" s="50"/>
      <c r="T71" s="50"/>
      <c r="U71" s="50"/>
      <c r="V71" s="50"/>
      <c r="W71" s="50"/>
      <c r="X71" s="50"/>
      <c r="Y71" s="50"/>
      <c r="Z71" s="50"/>
      <c r="AA71" s="50"/>
      <c r="AB71" s="50"/>
      <c r="AC71" s="50"/>
      <c r="AD71" s="50"/>
      <c r="AE71" s="50"/>
      <c r="AF71" s="50"/>
      <c r="AG71" s="50"/>
      <c r="AH71" s="50"/>
      <c r="AI71" s="50"/>
      <c r="AJ71" s="50"/>
      <c r="AK71" s="50"/>
      <c r="AL71" s="50"/>
      <c r="AM71" s="50"/>
      <c r="AN71" s="50"/>
      <c r="AO71" s="575"/>
      <c r="AP71" s="50"/>
      <c r="AQ71" s="50"/>
      <c r="AR71" s="50"/>
      <c r="AS71" s="50"/>
      <c r="AT71" s="50"/>
      <c r="AU71" s="50"/>
      <c r="AV71" s="50"/>
      <c r="AW71" s="50"/>
      <c r="AX71" s="575"/>
      <c r="AY71" s="50"/>
      <c r="AZ71" s="50"/>
      <c r="BA71" s="50"/>
      <c r="BB71" s="50"/>
      <c r="BC71" s="575"/>
      <c r="BD71" s="575"/>
      <c r="BE71" s="575"/>
      <c r="BF71" s="575"/>
      <c r="BG71" s="575"/>
      <c r="BH71" s="575"/>
      <c r="BI71" s="575"/>
      <c r="BJ71" s="575"/>
      <c r="BK71" s="575"/>
      <c r="BL71" s="575"/>
      <c r="BM71" s="575"/>
      <c r="BN71" s="575"/>
      <c r="BO71" s="575"/>
      <c r="BP71" s="575"/>
      <c r="BQ71" s="575"/>
      <c r="BR71" s="575"/>
      <c r="BS71" s="575"/>
      <c r="BT71" s="575"/>
      <c r="BU71" s="575"/>
      <c r="BV71" s="575"/>
      <c r="BW71" s="575"/>
      <c r="BX71" s="575"/>
      <c r="BY71" s="575"/>
      <c r="BZ71" s="575"/>
      <c r="CA71" s="575"/>
      <c r="CB71" s="575"/>
      <c r="CC71" s="575"/>
      <c r="CD71" s="575"/>
      <c r="CE71" s="575"/>
      <c r="CF71" s="575"/>
      <c r="CG71" s="575"/>
      <c r="CH71" s="575"/>
      <c r="CI71" s="575"/>
      <c r="CJ71" s="575"/>
      <c r="CK71" s="575"/>
      <c r="CL71" s="575"/>
      <c r="CM71" s="123"/>
      <c r="CN71" s="123"/>
      <c r="CO71" s="123"/>
      <c r="CP71" s="144"/>
      <c r="CQ71" s="144"/>
      <c r="CR71" s="144"/>
      <c r="CW71" s="123"/>
      <c r="CX71" s="49">
        <f>DB79</f>
        <v>8.3000000000000007</v>
      </c>
      <c r="CY71" s="153"/>
      <c r="CZ71" s="49">
        <f t="shared" ref="CZ71:DA71" si="24">DD79</f>
        <v>6.3910000000000008E-2</v>
      </c>
      <c r="DA71" s="153">
        <f t="shared" si="24"/>
        <v>1.2450000000000001</v>
      </c>
      <c r="DJ71" s="668">
        <f>CZ71/CZ$79</f>
        <v>3.6490599003088944E-2</v>
      </c>
      <c r="DK71" s="668">
        <f>DA71/DA$79</f>
        <v>5.8602024005648387E-2</v>
      </c>
      <c r="DL71" s="668">
        <f>3*DA71/(3*DA71+DA70)</f>
        <v>0.15736254476511483</v>
      </c>
      <c r="DM71" s="668">
        <f t="shared" ref="DM71:DM73" si="25">DL71</f>
        <v>0.15736254476511483</v>
      </c>
      <c r="DN71" s="144"/>
      <c r="DO71" s="123"/>
      <c r="DP71" s="123"/>
      <c r="DR71" s="153">
        <f>$DP$79*$AY$79*$DM71/$CX71</f>
        <v>22.260671709508909</v>
      </c>
      <c r="DS71" s="153"/>
      <c r="DT71" s="152">
        <f>$DP$79*$AY$79*$DM71/$CZ71</f>
        <v>2890.9963259102478</v>
      </c>
      <c r="DU71" s="152">
        <f>$DP$79*$AY$79*$DM71/$DA71</f>
        <v>148.40447806339273</v>
      </c>
      <c r="DV71" s="153">
        <f>$DQ$79*$AY$79*$DM71/$CX71</f>
        <v>27.165113649095225</v>
      </c>
      <c r="DW71" s="153"/>
      <c r="DX71" s="152">
        <f>$DQ$79*$AY$79*$DM71/$CZ71</f>
        <v>3527.9368375448344</v>
      </c>
      <c r="DY71" s="152">
        <f>$DQ$79*$AY$79*$DM71/$DA71</f>
        <v>181.10075766063483</v>
      </c>
      <c r="EF71" s="267">
        <f>$ED$79*$AY$79*$DM71/$CX71</f>
        <v>5.4970465382580116</v>
      </c>
      <c r="EG71" s="153"/>
      <c r="EH71" s="153">
        <f>$ED$79*$AY$79*$DM71/$CZ71</f>
        <v>713.9021478257157</v>
      </c>
      <c r="EI71" s="153">
        <f>$ED$79*$AY$79*$DM71/$DA71</f>
        <v>36.646976921720075</v>
      </c>
      <c r="EN71" s="474"/>
      <c r="EO71" s="153">
        <f>EN$79*$DM71/$CX71</f>
        <v>31.676594652095559</v>
      </c>
      <c r="EP71" s="153"/>
      <c r="EQ71" s="152">
        <f>EN$79*$DM71/$CZ71</f>
        <v>4113.8434613111112</v>
      </c>
      <c r="ER71" s="153">
        <f>EN$79*$DM71/$DA71</f>
        <v>211.17729768063708</v>
      </c>
      <c r="ES71" s="474"/>
      <c r="ET71" s="179"/>
      <c r="EU71" s="179"/>
      <c r="EV71" s="153"/>
      <c r="EW71" s="153"/>
      <c r="EX71" s="179"/>
      <c r="EY71" s="179"/>
      <c r="EZ71" s="179"/>
      <c r="FC71" s="133"/>
      <c r="FD71" s="153">
        <f>ES$79*$DM71/$CX71</f>
        <v>2.1612744468867624</v>
      </c>
      <c r="FE71" s="153"/>
      <c r="FF71" s="153">
        <f>ET$79*$DM71/$CX71</f>
        <v>1.5873126716518466</v>
      </c>
      <c r="FG71" s="179"/>
      <c r="FH71" s="179"/>
      <c r="FI71" s="153">
        <f>EU$79*$DM71/$CX71</f>
        <v>0.58489077183668681</v>
      </c>
      <c r="FJ71" s="179"/>
      <c r="FK71" s="179"/>
      <c r="FL71" s="153">
        <f>EV$79*$DM71/$CX71</f>
        <v>5.6498841373499049</v>
      </c>
      <c r="FN71" s="179"/>
      <c r="FO71" s="153">
        <f>EW$79*$DM71/$CX71</f>
        <v>17.425247581185193</v>
      </c>
      <c r="FP71" s="179"/>
      <c r="FR71" s="179"/>
      <c r="FS71" s="153">
        <f>EX$79*$DM71/$CX71</f>
        <v>0.73467453128291549</v>
      </c>
      <c r="FT71" s="179"/>
      <c r="FU71" s="153">
        <f>EY$79*$DM71/$CX71</f>
        <v>1.8009005687802822</v>
      </c>
      <c r="FV71" s="179"/>
      <c r="FW71" s="179"/>
      <c r="FX71" s="153">
        <f>EZ$79*$DM71/$CX71</f>
        <v>1.7324099431219715</v>
      </c>
      <c r="FZ71" s="133"/>
      <c r="GA71" s="133"/>
      <c r="GB71" s="133"/>
      <c r="GC71" s="133"/>
      <c r="GD71" s="133"/>
      <c r="GE71" s="133"/>
      <c r="GF71" s="133"/>
      <c r="KD71" s="149"/>
      <c r="KE71" s="149"/>
      <c r="KF71" s="149"/>
      <c r="KG71" s="149"/>
      <c r="KH71" s="149"/>
      <c r="KI71" s="149"/>
    </row>
    <row r="72" spans="1:295" s="49" customFormat="1" ht="10.199999999999999" x14ac:dyDescent="0.2">
      <c r="A72" s="137" t="s">
        <v>801</v>
      </c>
      <c r="B72" s="50"/>
      <c r="C72" s="50"/>
      <c r="D72" s="50"/>
      <c r="E72" s="50"/>
      <c r="F72" s="50"/>
      <c r="G72" s="50"/>
      <c r="H72" s="50"/>
      <c r="I72" s="50"/>
      <c r="J72" s="50"/>
      <c r="K72" s="50"/>
      <c r="L72" s="50"/>
      <c r="M72" s="50"/>
      <c r="N72" s="50"/>
      <c r="P72" s="50"/>
      <c r="Q72" s="50"/>
      <c r="R72" s="50"/>
      <c r="T72" s="50"/>
      <c r="U72" s="50"/>
      <c r="V72" s="50"/>
      <c r="W72" s="50"/>
      <c r="X72" s="50"/>
      <c r="Y72" s="50"/>
      <c r="Z72" s="50"/>
      <c r="AA72" s="50"/>
      <c r="AB72" s="50"/>
      <c r="AC72" s="50"/>
      <c r="AD72" s="50"/>
      <c r="AE72" s="50"/>
      <c r="AF72" s="50"/>
      <c r="AG72" s="50"/>
      <c r="AH72" s="50"/>
      <c r="AI72" s="50"/>
      <c r="AJ72" s="50"/>
      <c r="AK72" s="50"/>
      <c r="AL72" s="50"/>
      <c r="AM72" s="50"/>
      <c r="AN72" s="50"/>
      <c r="AO72" s="575"/>
      <c r="AP72" s="50"/>
      <c r="AQ72" s="50"/>
      <c r="AR72" s="50"/>
      <c r="AS72" s="50"/>
      <c r="AT72" s="50"/>
      <c r="AU72" s="50"/>
      <c r="AV72" s="50"/>
      <c r="AW72" s="50"/>
      <c r="AX72" s="575"/>
      <c r="AY72" s="50"/>
      <c r="AZ72" s="50"/>
      <c r="BA72" s="50"/>
      <c r="BB72" s="50"/>
      <c r="BC72" s="575"/>
      <c r="BD72" s="575"/>
      <c r="BE72" s="575"/>
      <c r="BF72" s="575"/>
      <c r="BG72" s="575"/>
      <c r="BH72" s="575"/>
      <c r="BI72" s="575"/>
      <c r="BJ72" s="575"/>
      <c r="BK72" s="575"/>
      <c r="BL72" s="575"/>
      <c r="BM72" s="575"/>
      <c r="BN72" s="575"/>
      <c r="BO72" s="575"/>
      <c r="BP72" s="575"/>
      <c r="BQ72" s="575"/>
      <c r="BR72" s="575"/>
      <c r="BS72" s="575"/>
      <c r="BT72" s="575"/>
      <c r="BU72" s="575"/>
      <c r="BV72" s="575"/>
      <c r="BW72" s="575"/>
      <c r="BX72" s="575"/>
      <c r="BY72" s="575"/>
      <c r="BZ72" s="575"/>
      <c r="CA72" s="575"/>
      <c r="CB72" s="575"/>
      <c r="CC72" s="575"/>
      <c r="CD72" s="575"/>
      <c r="CE72" s="575"/>
      <c r="CF72" s="575"/>
      <c r="CG72" s="575"/>
      <c r="CH72" s="575"/>
      <c r="CI72" s="575"/>
      <c r="CJ72" s="575"/>
      <c r="CK72" s="575"/>
      <c r="CL72" s="575"/>
      <c r="CM72" s="123"/>
      <c r="CN72" s="123"/>
      <c r="CO72" s="123"/>
      <c r="CP72" s="144"/>
      <c r="CQ72" s="144"/>
      <c r="CR72" s="144"/>
      <c r="CW72" s="123"/>
      <c r="CX72" s="49">
        <f>DF81</f>
        <v>24</v>
      </c>
      <c r="CY72" s="152"/>
      <c r="CZ72" s="153">
        <f t="shared" ref="CZ72:DA72" si="26">DH81</f>
        <v>9.6000000000000002E-2</v>
      </c>
      <c r="DA72" s="49">
        <f t="shared" si="26"/>
        <v>1.2000000000000002</v>
      </c>
      <c r="DJ72" s="668">
        <f>CZ72/CZ$81</f>
        <v>0.80706179066834804</v>
      </c>
      <c r="DK72" s="668">
        <f>DA72/DA$81</f>
        <v>0.7540056550424129</v>
      </c>
      <c r="DL72" s="668">
        <f>DA72/(3*DA73+DA72)</f>
        <v>0.50536955148452312</v>
      </c>
      <c r="DM72" s="668">
        <f t="shared" si="25"/>
        <v>0.50536955148452312</v>
      </c>
      <c r="DN72" s="144"/>
      <c r="DO72" s="123"/>
      <c r="DP72" s="123"/>
      <c r="DR72" s="153">
        <f>$DP$81*$AY$81*$DM72/$CX72</f>
        <v>5.0801589243587619</v>
      </c>
      <c r="DS72" s="153">
        <f>DR72/$GG72</f>
        <v>33.867726162391747</v>
      </c>
      <c r="DT72" s="152">
        <f>$DP$81*$AY$81*$DM72/$CZ72</f>
        <v>1270.0397310896903</v>
      </c>
      <c r="DU72" s="152">
        <f>$DP$81*$AY$81*$DM72/$DA72</f>
        <v>101.60317848717521</v>
      </c>
      <c r="DV72" s="153">
        <f>$DQ$81*$AY$81*$DM72/$CX72</f>
        <v>6.2174445727733207</v>
      </c>
      <c r="DW72" s="153">
        <f>DV72/$GG72</f>
        <v>41.449630485155474</v>
      </c>
      <c r="DX72" s="152">
        <f>$DQ$81*$AY$81*$DM72/$CZ72</f>
        <v>1554.3611431933302</v>
      </c>
      <c r="DY72" s="152">
        <f>$DQ$81*$AY$81*$DM72/$DA72</f>
        <v>124.3488914554664</v>
      </c>
      <c r="EF72" s="267">
        <f>$ED$81*$AY$81*$DM72/$CX72</f>
        <v>1.2264370145358872</v>
      </c>
      <c r="EG72" s="153">
        <f>EF72/$GG72</f>
        <v>8.176246763572582</v>
      </c>
      <c r="EH72" s="153">
        <f>$ED$81*$AY$81*$DM72/$CZ72</f>
        <v>306.60925363397178</v>
      </c>
      <c r="EI72" s="153">
        <f>$ED$81*$AY$81*$DM72/$DA72</f>
        <v>24.528740290717742</v>
      </c>
      <c r="EJ72" s="133"/>
      <c r="EN72" s="474"/>
      <c r="EO72" s="666">
        <f>EN$81*$DM72/$CX72</f>
        <v>4.7324959732465084</v>
      </c>
      <c r="EP72" s="153">
        <f>EO72/$GG72</f>
        <v>31.549973154976723</v>
      </c>
      <c r="EQ72" s="152">
        <f>EN$81*$DM72/$CZ72</f>
        <v>1183.1239933116269</v>
      </c>
      <c r="ER72" s="667">
        <f>EN$81*$DM72/$DA72</f>
        <v>94.64991946493015</v>
      </c>
      <c r="ES72" s="474"/>
      <c r="ET72" s="469"/>
      <c r="EU72" s="469"/>
      <c r="EV72" s="179"/>
      <c r="EW72" s="144"/>
      <c r="EX72" s="469"/>
      <c r="EY72" s="469"/>
      <c r="EZ72" s="469"/>
      <c r="FA72" s="133"/>
      <c r="FB72" s="123"/>
      <c r="FC72" s="133"/>
      <c r="FD72" s="473">
        <f>ES$81*$DM72/$CX72</f>
        <v>0.19045619210806686</v>
      </c>
      <c r="FE72" s="267"/>
      <c r="FF72" s="473">
        <f>ET$81*$DM72/$CX72</f>
        <v>0.14884631631906731</v>
      </c>
      <c r="FG72" s="469"/>
      <c r="FH72" s="469"/>
      <c r="FI72" s="473">
        <f>ES$81*$DM72/$CX72</f>
        <v>0.19045619210806686</v>
      </c>
      <c r="FJ72" s="469"/>
      <c r="FK72" s="469"/>
      <c r="FL72" s="473">
        <f>EV$81*$DM72/$CX72</f>
        <v>0.51204042956411888</v>
      </c>
      <c r="FN72" s="179"/>
      <c r="FO72" s="473">
        <f>EW$81*$DM72/$CX72</f>
        <v>3.6213029120570739</v>
      </c>
      <c r="FP72" s="469"/>
      <c r="FR72" s="469"/>
      <c r="FS72" s="473">
        <f>EX$81*$DM72/$CX72</f>
        <v>5.0536955148452321E-2</v>
      </c>
      <c r="FT72" s="469"/>
      <c r="FU72" s="473">
        <f>EY$81*$DM72/$CX72</f>
        <v>0.12499810486418193</v>
      </c>
      <c r="FV72" s="469"/>
      <c r="FW72" s="469"/>
      <c r="FX72" s="473">
        <f>EZ$81*$DM72/$CX72</f>
        <v>8.4194567277321566E-2</v>
      </c>
      <c r="FZ72" s="133"/>
      <c r="GA72" s="133"/>
      <c r="GB72" s="133"/>
      <c r="GC72" s="133"/>
      <c r="GD72" s="133"/>
      <c r="GE72" s="133"/>
      <c r="GF72" s="133"/>
      <c r="GG72" s="591">
        <f>GG100</f>
        <v>0.15</v>
      </c>
      <c r="KD72" s="149"/>
      <c r="KE72" s="149"/>
      <c r="KF72" s="149"/>
      <c r="KG72" s="149"/>
      <c r="KH72" s="149"/>
      <c r="KI72" s="149"/>
    </row>
    <row r="73" spans="1:295" s="49" customFormat="1" ht="10.199999999999999" x14ac:dyDescent="0.2">
      <c r="A73" s="49" t="s">
        <v>802</v>
      </c>
      <c r="B73" s="50"/>
      <c r="C73" s="50"/>
      <c r="D73" s="50"/>
      <c r="E73" s="50"/>
      <c r="F73" s="50"/>
      <c r="G73" s="50"/>
      <c r="H73" s="50"/>
      <c r="I73" s="50"/>
      <c r="J73" s="50"/>
      <c r="K73" s="50"/>
      <c r="L73" s="50"/>
      <c r="M73" s="50"/>
      <c r="N73" s="50"/>
      <c r="P73" s="50"/>
      <c r="Q73" s="50"/>
      <c r="R73" s="50"/>
      <c r="T73" s="50"/>
      <c r="U73" s="50"/>
      <c r="V73" s="50"/>
      <c r="W73" s="50"/>
      <c r="X73" s="50"/>
      <c r="Y73" s="50"/>
      <c r="Z73" s="50"/>
      <c r="AA73" s="50"/>
      <c r="AB73" s="50"/>
      <c r="AC73" s="50"/>
      <c r="AD73" s="50"/>
      <c r="AE73" s="50"/>
      <c r="AF73" s="50"/>
      <c r="AG73" s="50"/>
      <c r="AH73" s="50"/>
      <c r="AI73" s="50"/>
      <c r="AJ73" s="50"/>
      <c r="AK73" s="50"/>
      <c r="AL73" s="50"/>
      <c r="AM73" s="50"/>
      <c r="AN73" s="50"/>
      <c r="AO73" s="575"/>
      <c r="AP73" s="50"/>
      <c r="AQ73" s="50"/>
      <c r="AR73" s="50"/>
      <c r="AS73" s="50"/>
      <c r="AT73" s="50"/>
      <c r="AU73" s="50"/>
      <c r="AV73" s="50"/>
      <c r="AW73" s="50"/>
      <c r="AX73" s="575"/>
      <c r="AY73" s="50"/>
      <c r="AZ73" s="50"/>
      <c r="BA73" s="50"/>
      <c r="BB73" s="50"/>
      <c r="BC73" s="575"/>
      <c r="BD73" s="575"/>
      <c r="BE73" s="575"/>
      <c r="BF73" s="575"/>
      <c r="BG73" s="575"/>
      <c r="BH73" s="575"/>
      <c r="BI73" s="575"/>
      <c r="BJ73" s="575"/>
      <c r="BK73" s="575"/>
      <c r="BL73" s="575"/>
      <c r="BM73" s="575"/>
      <c r="BN73" s="575"/>
      <c r="BO73" s="575"/>
      <c r="BP73" s="575"/>
      <c r="BQ73" s="575"/>
      <c r="BR73" s="575"/>
      <c r="BS73" s="575"/>
      <c r="BT73" s="575"/>
      <c r="BU73" s="575"/>
      <c r="BV73" s="575"/>
      <c r="BW73" s="575"/>
      <c r="BX73" s="575"/>
      <c r="BY73" s="575"/>
      <c r="BZ73" s="575"/>
      <c r="CA73" s="575"/>
      <c r="CB73" s="575"/>
      <c r="CC73" s="575"/>
      <c r="CD73" s="575"/>
      <c r="CE73" s="575"/>
      <c r="CF73" s="575"/>
      <c r="CG73" s="575"/>
      <c r="CH73" s="575"/>
      <c r="CI73" s="575"/>
      <c r="CJ73" s="575"/>
      <c r="CK73" s="575"/>
      <c r="CL73" s="575"/>
      <c r="CM73" s="123"/>
      <c r="CN73" s="123"/>
      <c r="CO73" s="123"/>
      <c r="CP73" s="144"/>
      <c r="CQ73" s="144"/>
      <c r="CR73" s="144"/>
      <c r="CW73" s="123"/>
      <c r="CX73" s="49">
        <f>DB81</f>
        <v>2.7</v>
      </c>
      <c r="CY73" s="153"/>
      <c r="CZ73" s="49">
        <f t="shared" ref="CZ73:DA73" si="27">DD81</f>
        <v>2.2950000000000002E-2</v>
      </c>
      <c r="DA73" s="153">
        <f t="shared" si="27"/>
        <v>0.39150000000000001</v>
      </c>
      <c r="DJ73" s="668">
        <f>CZ73/CZ$81</f>
        <v>0.19293820933165196</v>
      </c>
      <c r="DK73" s="668">
        <f>DA73/DA$81</f>
        <v>0.24599434495758718</v>
      </c>
      <c r="DL73" s="668">
        <f>3*DA73/(3*DA73+DA72)</f>
        <v>0.49463044851547694</v>
      </c>
      <c r="DM73" s="668">
        <f t="shared" si="25"/>
        <v>0.49463044851547694</v>
      </c>
      <c r="DN73" s="144"/>
      <c r="DO73" s="123"/>
      <c r="DP73" s="123"/>
      <c r="DR73" s="153">
        <f>$DP$81*$AY$81*$DM73/$CX73</f>
        <v>44.197382641921216</v>
      </c>
      <c r="DS73" s="153"/>
      <c r="DT73" s="152">
        <f>$DP$81*$AY$81*$DM73/$CZ73</f>
        <v>5199.6920755201436</v>
      </c>
      <c r="DU73" s="152">
        <f>$DP$81*$AY$81*$DM73/$DA73</f>
        <v>304.80953546152563</v>
      </c>
      <c r="DV73" s="153">
        <f>$DQ$81*$AY$81*$DM73/$CX73</f>
        <v>54.091767783127878</v>
      </c>
      <c r="DW73" s="153"/>
      <c r="DX73" s="152">
        <f>$DQ$81*$AY$81*$DM73/$CZ73</f>
        <v>6363.7373862503391</v>
      </c>
      <c r="DY73" s="152">
        <f>$DQ$81*$AY$81*$DM73/$DA73</f>
        <v>373.0466743663992</v>
      </c>
      <c r="EF73" s="267">
        <f>$ED$81*$AY$81*$DM73/$CX73</f>
        <v>10.670002026462216</v>
      </c>
      <c r="EG73" s="153"/>
      <c r="EH73" s="153">
        <f>$ED$81*$AY$81*$DM73/$CZ73</f>
        <v>1255.2943560543783</v>
      </c>
      <c r="EI73" s="153">
        <f>$ED$81*$AY$81*$DM73/$DA73</f>
        <v>73.58622087215322</v>
      </c>
      <c r="EN73" s="474"/>
      <c r="EO73" s="153">
        <f>EN$81*$DM73/$CX73</f>
        <v>41.172714967244616</v>
      </c>
      <c r="EP73" s="153"/>
      <c r="EQ73" s="152">
        <f>EN$81*$DM73/$CZ73</f>
        <v>4843.8488196758371</v>
      </c>
      <c r="ER73" s="152">
        <f>EN$81*$DM73/$DA73</f>
        <v>283.94975839479048</v>
      </c>
      <c r="ES73" s="474"/>
      <c r="ET73" s="179"/>
      <c r="EU73" s="179"/>
      <c r="EV73" s="179"/>
      <c r="EW73" s="179"/>
      <c r="EX73" s="179"/>
      <c r="EY73" s="179"/>
      <c r="EZ73" s="179"/>
      <c r="FA73" s="133"/>
      <c r="FB73" s="133"/>
      <c r="FC73" s="133"/>
      <c r="FD73" s="153">
        <f>ES$81*$DM73/$CX73</f>
        <v>1.6569688713401813</v>
      </c>
      <c r="FE73" s="153"/>
      <c r="FF73" s="153">
        <f>ET$81*$DM73/$CX73</f>
        <v>1.2949629519758852</v>
      </c>
      <c r="FG73" s="179"/>
      <c r="FH73" s="179"/>
      <c r="FI73" s="153">
        <f>EU$81*$DM73/$CX73</f>
        <v>1.0483144015552969E-3</v>
      </c>
      <c r="FJ73" s="179"/>
      <c r="FK73" s="179"/>
      <c r="FL73" s="153">
        <f>EV$81*$DM73/$CX73</f>
        <v>4.4547517372078334</v>
      </c>
      <c r="FN73" s="179"/>
      <c r="FO73" s="153">
        <f>EW$81*$DM73/$CX73</f>
        <v>31.505335334896539</v>
      </c>
      <c r="FP73" s="179"/>
      <c r="FQ73" s="179"/>
      <c r="FR73" s="179"/>
      <c r="FS73" s="153">
        <f>EX$81*$DM73/$CX73</f>
        <v>0.43967150979153513</v>
      </c>
      <c r="FT73" s="179"/>
      <c r="FU73" s="153">
        <f>EY$81*$DM73/$CX73</f>
        <v>1.0874835123183826</v>
      </c>
      <c r="FV73" s="179"/>
      <c r="FW73" s="179"/>
      <c r="FX73" s="153">
        <f>EZ$81*$DM73/$CX73</f>
        <v>0.73249273531269754</v>
      </c>
      <c r="FZ73" s="133"/>
      <c r="GA73" s="133"/>
      <c r="GB73" s="133"/>
      <c r="GC73" s="133"/>
      <c r="GD73" s="133"/>
      <c r="GE73" s="133"/>
      <c r="GF73" s="133"/>
      <c r="KD73" s="149"/>
      <c r="KE73" s="149"/>
      <c r="KF73" s="149"/>
      <c r="KG73" s="149"/>
      <c r="KH73" s="149"/>
      <c r="KI73" s="149"/>
    </row>
    <row r="74" spans="1:295" s="49" customFormat="1" x14ac:dyDescent="0.25">
      <c r="A74" s="137"/>
      <c r="B74" s="50"/>
      <c r="C74" s="50"/>
      <c r="D74" s="50"/>
      <c r="E74" s="50"/>
      <c r="F74" s="50"/>
      <c r="G74" s="50"/>
      <c r="H74" s="50"/>
      <c r="I74" s="50"/>
      <c r="J74" s="50"/>
      <c r="K74" s="50"/>
      <c r="L74" s="50"/>
      <c r="M74" s="50"/>
      <c r="N74" s="50"/>
      <c r="P74" s="50"/>
      <c r="Q74" s="50"/>
      <c r="R74" s="50"/>
      <c r="T74" s="50"/>
      <c r="U74" s="50"/>
      <c r="V74" s="50"/>
      <c r="W74" s="50"/>
      <c r="X74" s="50"/>
      <c r="Y74" s="50"/>
      <c r="Z74" s="50"/>
      <c r="AA74" s="50"/>
      <c r="AB74" s="50"/>
      <c r="AC74" s="50"/>
      <c r="AD74" s="50"/>
      <c r="AE74" s="50"/>
      <c r="AF74" s="50"/>
      <c r="AG74" s="50"/>
      <c r="AH74" s="50"/>
      <c r="AI74" s="50"/>
      <c r="AJ74" s="50"/>
      <c r="AK74" s="50"/>
      <c r="AL74" s="50"/>
      <c r="AM74" s="50"/>
      <c r="AN74" s="50"/>
      <c r="AO74" s="575"/>
      <c r="AP74" s="50"/>
      <c r="AQ74" s="50"/>
      <c r="AR74" s="50"/>
      <c r="AS74" s="50"/>
      <c r="AT74" s="50"/>
      <c r="AU74" s="50"/>
      <c r="AV74" s="50"/>
      <c r="AW74" s="50"/>
      <c r="AX74" s="575"/>
      <c r="AY74" s="50"/>
      <c r="AZ74" s="50"/>
      <c r="BA74" s="50"/>
      <c r="BB74" s="50"/>
      <c r="BC74" s="575"/>
      <c r="BD74" s="575"/>
      <c r="BE74" s="575"/>
      <c r="BF74" s="575"/>
      <c r="BG74" s="575"/>
      <c r="BH74" s="575"/>
      <c r="BI74" s="575"/>
      <c r="BJ74" s="575"/>
      <c r="BK74" s="575"/>
      <c r="BL74" s="575"/>
      <c r="BM74" s="575"/>
      <c r="BN74" s="575"/>
      <c r="BO74" s="575"/>
      <c r="BP74" s="575"/>
      <c r="BQ74" s="575"/>
      <c r="BR74" s="575"/>
      <c r="BS74" s="575"/>
      <c r="BT74" s="575"/>
      <c r="BU74" s="575"/>
      <c r="BV74" s="575"/>
      <c r="BW74" s="575"/>
      <c r="BX74" s="575"/>
      <c r="BY74" s="575"/>
      <c r="BZ74" s="575"/>
      <c r="CA74" s="575"/>
      <c r="CB74" s="575"/>
      <c r="CC74" s="575"/>
      <c r="CD74" s="575"/>
      <c r="CE74" s="575"/>
      <c r="CF74" s="575"/>
      <c r="CG74" s="575"/>
      <c r="CH74" s="575"/>
      <c r="CI74" s="575"/>
      <c r="CJ74" s="575"/>
      <c r="CK74" s="575"/>
      <c r="CL74" s="575"/>
      <c r="CM74" s="123"/>
      <c r="CN74" s="123"/>
      <c r="CO74" s="123"/>
      <c r="CP74" s="144"/>
      <c r="CQ74" s="144"/>
      <c r="CR74" s="144"/>
      <c r="CW74" s="123"/>
      <c r="CZ74" s="153"/>
      <c r="DN74" s="144"/>
      <c r="DO74" s="123"/>
      <c r="DP74" s="123"/>
      <c r="EE74" s="123"/>
      <c r="EM74" s="133"/>
      <c r="EN74" s="123"/>
      <c r="EO74" s="153"/>
      <c r="EQ74" s="74"/>
      <c r="ER74" s="152"/>
      <c r="ES74" s="474"/>
      <c r="ET74" s="179"/>
      <c r="EU74" s="179"/>
      <c r="EV74" s="179"/>
      <c r="EW74" s="153"/>
      <c r="EX74" s="179"/>
      <c r="EY74" s="179"/>
      <c r="EZ74" s="179"/>
      <c r="FA74" s="643"/>
      <c r="FB74" s="643"/>
      <c r="FC74" s="643"/>
      <c r="FD74" s="115"/>
      <c r="FE74" s="669"/>
      <c r="FF74" s="179"/>
      <c r="FH74" s="179"/>
      <c r="FI74" s="179"/>
      <c r="FK74" s="179"/>
      <c r="FL74" s="179"/>
      <c r="FN74" s="179"/>
      <c r="FO74" s="153"/>
      <c r="FQ74" s="179"/>
      <c r="FR74" s="179"/>
      <c r="FS74" s="179"/>
      <c r="FT74" s="669"/>
      <c r="FU74" s="179"/>
      <c r="FW74" s="179"/>
      <c r="FX74" s="179"/>
      <c r="FZ74" s="133"/>
      <c r="GA74" s="133"/>
      <c r="GB74" s="133"/>
      <c r="GC74" s="133"/>
      <c r="GD74" s="133"/>
      <c r="GE74" s="133"/>
      <c r="GF74" s="133"/>
      <c r="KD74" s="149"/>
      <c r="KE74" s="149"/>
      <c r="KF74" s="149"/>
      <c r="KG74" s="149"/>
      <c r="KH74" s="149"/>
      <c r="KI74" s="149"/>
    </row>
    <row r="75" spans="1:295" x14ac:dyDescent="0.25">
      <c r="A75" s="4" t="s">
        <v>379</v>
      </c>
      <c r="H75" s="670">
        <f>J75+N75+Z75*(AA75+AE75)</f>
        <v>5.0000000000000072E-2</v>
      </c>
      <c r="I75" s="670">
        <f>R75+Z75*(AI75+AP75)</f>
        <v>1.0500000000000001E-2</v>
      </c>
      <c r="J75" s="63">
        <f>1-N75-R75-U75-X75-Z75</f>
        <v>2.0000000000000073E-2</v>
      </c>
      <c r="K75" s="129">
        <v>0.69</v>
      </c>
      <c r="L75" s="129">
        <v>0.17</v>
      </c>
      <c r="M75" s="130">
        <v>0.14000000000000001</v>
      </c>
      <c r="N75" s="39">
        <v>0</v>
      </c>
      <c r="O75" s="129">
        <v>0.52</v>
      </c>
      <c r="P75" s="129">
        <v>0.16</v>
      </c>
      <c r="Q75" s="130">
        <v>0.32</v>
      </c>
      <c r="R75" s="39">
        <v>0</v>
      </c>
      <c r="S75" s="57">
        <f>C$22</f>
        <v>0.91829596188296059</v>
      </c>
      <c r="T75" s="57">
        <f>C$23</f>
        <v>8.1704038117039385E-2</v>
      </c>
      <c r="U75" s="142">
        <v>0.1</v>
      </c>
      <c r="V75" s="129">
        <v>0.85</v>
      </c>
      <c r="W75" s="131">
        <f>1-V75</f>
        <v>0.15000000000000002</v>
      </c>
      <c r="X75" s="139">
        <v>0.57999999999999996</v>
      </c>
      <c r="Y75" s="129">
        <v>1</v>
      </c>
      <c r="Z75" s="134">
        <v>0.3</v>
      </c>
      <c r="AA75" s="39">
        <v>0.1</v>
      </c>
      <c r="AB75" s="57">
        <f>C$36</f>
        <v>0.32627633176706616</v>
      </c>
      <c r="AC75" s="57">
        <f>C$35</f>
        <v>0.12306636397233511</v>
      </c>
      <c r="AD75" s="57">
        <f>C$37</f>
        <v>0.55065730426059856</v>
      </c>
      <c r="AE75" s="39">
        <v>0</v>
      </c>
      <c r="AF75" s="57">
        <f>C$40</f>
        <v>0.46292585170340678</v>
      </c>
      <c r="AG75" s="57">
        <f>C$41</f>
        <v>0.21643286573146289</v>
      </c>
      <c r="AH75" s="57">
        <f>C$42</f>
        <v>0.32064128256513025</v>
      </c>
      <c r="AI75" s="39">
        <v>0</v>
      </c>
      <c r="AJ75" s="131">
        <f>C$45</f>
        <v>0.66906282055683264</v>
      </c>
      <c r="AK75" s="131">
        <f>C$46</f>
        <v>2.0464179068278004E-2</v>
      </c>
      <c r="AL75" s="131">
        <f>C$47</f>
        <v>0.10457441214444914</v>
      </c>
      <c r="AM75" s="131">
        <f>C$48</f>
        <v>6.6603941068190814E-2</v>
      </c>
      <c r="AN75" s="131">
        <f>C$49</f>
        <v>3.7777291743479158E-2</v>
      </c>
      <c r="AO75" s="132">
        <f>C$50</f>
        <v>0.10151735541877024</v>
      </c>
      <c r="AP75" s="45">
        <v>3.5000000000000003E-2</v>
      </c>
      <c r="AQ75" s="131">
        <f>C$53</f>
        <v>0.27362401715511081</v>
      </c>
      <c r="AR75" s="131">
        <f>C$54</f>
        <v>0.12094353109363824</v>
      </c>
      <c r="AS75" s="131">
        <f>C$55</f>
        <v>0.60543245175125082</v>
      </c>
      <c r="AT75" s="53">
        <f>1-AA75-AE75-AI75-AP75</f>
        <v>0.86499999999999999</v>
      </c>
      <c r="AU75" s="671">
        <f>Z75*AT75</f>
        <v>0.25950000000000001</v>
      </c>
      <c r="AV75" s="672">
        <f>AW75*DA75/CX75</f>
        <v>39</v>
      </c>
      <c r="AW75" s="112">
        <v>260</v>
      </c>
      <c r="AX75" s="73">
        <f>BA75/DA75</f>
        <v>15.730000000000018</v>
      </c>
      <c r="AY75" s="673">
        <f>AW75*DA75</f>
        <v>2106</v>
      </c>
      <c r="AZ75" s="55">
        <f>BB75+BF75+BJ75</f>
        <v>42.120000000000147</v>
      </c>
      <c r="BA75" s="673">
        <f>AZ75+BS75+BW75+CA75+CH75</f>
        <v>127.41300000000014</v>
      </c>
      <c r="BB75" s="73">
        <f>SUM(BC75:BE75)</f>
        <v>42.120000000000147</v>
      </c>
      <c r="BC75" s="73">
        <f>$AY75*$J75*K75</f>
        <v>29.062800000000102</v>
      </c>
      <c r="BD75" s="73">
        <f>$AY75*$J75*L75</f>
        <v>7.1604000000000267</v>
      </c>
      <c r="BE75" s="73">
        <f>$AY75*$J75*M75</f>
        <v>5.896800000000022</v>
      </c>
      <c r="BF75" s="73">
        <f>SUM(BG75:BI75)</f>
        <v>0</v>
      </c>
      <c r="BG75" s="73">
        <f>$AY75*$N75*O75</f>
        <v>0</v>
      </c>
      <c r="BH75" s="73">
        <f>$AY75*$N75*P75</f>
        <v>0</v>
      </c>
      <c r="BI75" s="73">
        <f>$AY75*$N75*Q75</f>
        <v>0</v>
      </c>
      <c r="BJ75" s="629">
        <f>SUM(BK75:BL75)</f>
        <v>0</v>
      </c>
      <c r="BK75" s="73">
        <f>$AY75*$R75*S75</f>
        <v>0</v>
      </c>
      <c r="BL75" s="73">
        <f>$AY75*$R75*T75</f>
        <v>0</v>
      </c>
      <c r="BM75" s="674">
        <f>SUM(BN75:BO75)</f>
        <v>210.60000000000002</v>
      </c>
      <c r="BN75" s="73">
        <f>$AY75*$U75*V75</f>
        <v>179.01000000000002</v>
      </c>
      <c r="BO75" s="73">
        <f>$AY75*$U75*W75</f>
        <v>31.590000000000007</v>
      </c>
      <c r="BP75" s="674">
        <f>SUM(BQ75:BQ75)</f>
        <v>1221.48</v>
      </c>
      <c r="BQ75" s="73">
        <f>$AY75*$X75*Y75</f>
        <v>1221.48</v>
      </c>
      <c r="BR75" s="68">
        <f>BS75+BW75+CA75+CH75+CL75</f>
        <v>631.79999999999995</v>
      </c>
      <c r="BS75" s="55">
        <f>SUM(BT75:BV75)</f>
        <v>63.179999999999993</v>
      </c>
      <c r="BT75" s="73">
        <f>$AY75*$Z75*$AA75*AC75</f>
        <v>7.7753328757721327</v>
      </c>
      <c r="BU75" s="73">
        <f>$AY75*$Z75*$AA75*AB75</f>
        <v>20.61413864104324</v>
      </c>
      <c r="BV75" s="73">
        <f>$AY75*$Z75*$AA75*AD75</f>
        <v>34.790528483184616</v>
      </c>
      <c r="BW75" s="55">
        <f>SUM(BX75:BZ75)</f>
        <v>0</v>
      </c>
      <c r="BX75" s="73">
        <f>$AY75*$Z75*$AE75*AF75</f>
        <v>0</v>
      </c>
      <c r="BY75" s="73">
        <f>$AY75*$Z75*$AE75*AG75</f>
        <v>0</v>
      </c>
      <c r="BZ75" s="73">
        <f>$AY75*$Z75*$AE75*AH75</f>
        <v>0</v>
      </c>
      <c r="CA75" s="73">
        <f>SUM(CB75:CG75)</f>
        <v>0</v>
      </c>
      <c r="CB75" s="73">
        <f t="shared" ref="CB75:CG75" si="28">$AY75*$Z75*$AI75*AJ75</f>
        <v>0</v>
      </c>
      <c r="CC75" s="73">
        <f t="shared" si="28"/>
        <v>0</v>
      </c>
      <c r="CD75" s="73">
        <f t="shared" si="28"/>
        <v>0</v>
      </c>
      <c r="CE75" s="73">
        <f t="shared" si="28"/>
        <v>0</v>
      </c>
      <c r="CF75" s="73">
        <f t="shared" si="28"/>
        <v>0</v>
      </c>
      <c r="CG75" s="73">
        <f t="shared" si="28"/>
        <v>0</v>
      </c>
      <c r="CH75" s="55">
        <f>SUM(CI75:CK75)</f>
        <v>22.112999999999996</v>
      </c>
      <c r="CI75" s="73">
        <f>$AY75*$Z75*$AP75*AQ75</f>
        <v>6.0506478913509651</v>
      </c>
      <c r="CJ75" s="73">
        <f>$AY75*$Z75*$AP75*AR75</f>
        <v>2.6744243030736223</v>
      </c>
      <c r="CK75" s="73">
        <f>$AY75*$Z75*$AP75*AS75</f>
        <v>13.387927805575409</v>
      </c>
      <c r="CL75" s="675">
        <f>$AY75*$Z75*AT75</f>
        <v>546.50699999999995</v>
      </c>
      <c r="CM75" s="97">
        <f>(BC75*CM$12+BD75*CM$13+BE75*CM$14+BG75*CM$17+BH75*CM$18+BI75*CM$19+BK75*CM$22+BL75*CM$23+CM$26*BN75+CM$27*BO75+CM$30*BQ75+BT75*CM$35+BU75*CM$36+BV75*CM$37+BX75*CM$40+BY75*CM$41+BZ75*CM$42+CB75*CM$45+CC75*CM$46+CD75*CM$47+CE75*CM$48+CF75*CM$49+CI75*CM$53+CJ75*CM$54+CK75*CM$55)/AY75</f>
        <v>7.6192831555833793</v>
      </c>
      <c r="CN75" s="97">
        <f>IF((BB75+BF75+BJ75+BM75)&gt;0,(BC75*CM$12+BD75*CM$13+BE75*CM$14+BG75*CM$17+BH75*CM$18+BI75*CM$19+BK75*CM$22+BL75*CM$23+CM$26*BN75+CM$27*BO75)/(BB75+BF75+BJ75+BM75),0)</f>
        <v>2.3309636529364051</v>
      </c>
      <c r="CO75" s="97">
        <f>(BT75*CM$35+BU75*CM$36+BV75*CM$37+BX75*CM$40+BY75*CM$41+BZ75*CM$42+CB75*CM$45+CC75*CM$46+CD75*CM$47+CE75*CM$48+CF75*CM$49+CI75*CM$53+CJ75*CM$54+CK75*CM$55)/(BS75+BW75+CA75+CH75)</f>
        <v>3.5441417421252615</v>
      </c>
      <c r="CP75" s="68">
        <f>CM$30*BQ75/BP75</f>
        <v>12.406947890818858</v>
      </c>
      <c r="CQ75" s="68">
        <f>10*(CT75+CU75)/DA75</f>
        <v>110.04587851619489</v>
      </c>
      <c r="CR75" s="68">
        <f>10*CW75/$DA75</f>
        <v>1870.9677419354841</v>
      </c>
      <c r="CS75" s="261">
        <f>CM75*AY75/10</f>
        <v>1604.6210325658597</v>
      </c>
      <c r="CT75" s="107">
        <f>CN75*(BB75+BF75+BJ75+BM75)/10</f>
        <v>58.908113437008865</v>
      </c>
      <c r="CU75" s="107">
        <f>CO75*(BS75+BW75+CA75+CH75)/10</f>
        <v>30.229048161108988</v>
      </c>
      <c r="CV75" s="107">
        <f>CP75*BP75/10</f>
        <v>1515.483870967742</v>
      </c>
      <c r="CW75" s="144">
        <f>CM$30*BQ75/10</f>
        <v>1515.483870967742</v>
      </c>
      <c r="CX75" s="26">
        <f>DB75+DF75</f>
        <v>54</v>
      </c>
      <c r="CY75" s="26">
        <f t="shared" ref="CY75:DA75" si="29">DC75+DG75</f>
        <v>22.68</v>
      </c>
      <c r="CZ75" s="335">
        <f t="shared" si="29"/>
        <v>0.4158</v>
      </c>
      <c r="DA75" s="26">
        <f t="shared" si="29"/>
        <v>8.1</v>
      </c>
      <c r="DB75" s="84">
        <v>54</v>
      </c>
      <c r="DC75" s="26">
        <f>DB75*GG$95</f>
        <v>22.68</v>
      </c>
      <c r="DD75" s="335">
        <f>DB75*GJ$95/10^3</f>
        <v>0.4158</v>
      </c>
      <c r="DE75" s="26">
        <f>DB75*GL$95</f>
        <v>8.1</v>
      </c>
      <c r="DN75" s="68"/>
      <c r="DO75" s="263">
        <f>10*DQ75/CM75</f>
        <v>1.609770654718119</v>
      </c>
      <c r="DP75" s="272">
        <f>(BC75*DP$12+BD75*DP$13+BE75*DP$14+BG75*DP$17+BH75*DP$18+BI75*DP$19+BK75*DP$22+BL75*DP$23+DP$26*BN75+DP$27*BO75+DP$30*BQ75+BT75*DP$35+BU75*DP$36+BV75*DP$37+BX75*DP$40+BY75*DP$41+BZ75*DP$42+CB75*DP$45+CC75*DP$46+CD75*DP$47+CE75*DP$48+CF75*DP$49+CG75*DP$50+CI75*DP$53+CJ75*DP$54+CK75*DP$55)/AY75</f>
        <v>1.0003284565779764</v>
      </c>
      <c r="DQ75" s="143">
        <f>(BC75*DQ$12+BD75*DQ$13+BE75*DQ$14+BG75*DQ$17+BH75*DQ$18+BI75*DQ$19+BK75*DQ$22+BL75*DQ$23+DQ$26*BN75+DQ$27*BO75+DQ$30*BQ75+BT75*DQ$35+BU75*DQ$36+BV75*DQ$37+BX75*DQ$40+BY75*DQ$41+BZ75*DQ$42+CB75*DQ$45+CC75*DQ$46+CD75*DQ$47+CE75*DQ$48+CF75*DQ$49+CG75*DQ$50+CI75*DQ$53+CJ75*DQ$54+CK75*DQ$55)/AY75</f>
        <v>1.2265298433846192</v>
      </c>
      <c r="DR75" s="26">
        <f>DP75*$AY75/$CX75</f>
        <v>39.012809806541085</v>
      </c>
      <c r="DS75" s="153">
        <f>DR75/$GG75</f>
        <v>92.887642396526402</v>
      </c>
      <c r="DT75" s="676">
        <f>DP75*$AY75/$CZ75</f>
        <v>5066.5986761741669</v>
      </c>
      <c r="DU75" s="677">
        <f>DP75*$AY75/$DA75</f>
        <v>260.08539871027392</v>
      </c>
      <c r="DV75" s="26">
        <f>DQ75*$AY75/$CX75</f>
        <v>47.834663892000151</v>
      </c>
      <c r="DW75" s="153">
        <f>DV75/$GG75</f>
        <v>113.89205688571465</v>
      </c>
      <c r="DX75" s="676">
        <f>DQ75*$AY75/$CZ75</f>
        <v>6212.2940119480709</v>
      </c>
      <c r="DY75" s="677">
        <f>DQ75*$AY75/$DA75</f>
        <v>318.89775928000103</v>
      </c>
      <c r="DZ75" s="678">
        <f>(BC75*DZ$12+BD75*DZ$13+BE75*DZ$14+BG75*DZ$17+BH75*DZ$18+BI75*DZ$19+BK75*DZ$22+BL75*DZ$23+DZ$26*BN75+DZ$27*BO75+DZ$30*BQ75+BT75*DZ$35+BU75*DZ$36+BV75*DZ$37+BX75*DZ$40+BY75*DZ$41+BZ75*DZ$42+CB75*DZ$45+CC75*DZ$46+CD75*DZ$47+CE75*DZ$48+CF75*DZ$49+CG75*DZ$50+CI75*DZ$53+CJ75*DZ$54+CK75*DZ$55)/AY75</f>
        <v>2.4587808009065668</v>
      </c>
      <c r="EA75" s="26">
        <f>DZ75*$AY75/$CX75</f>
        <v>95.892451235356106</v>
      </c>
      <c r="EB75" s="676">
        <f>DZ75*$AY75/$CZ75</f>
        <v>12453.565095500793</v>
      </c>
      <c r="EC75" s="677">
        <f>DZ75*$AY75/$DA75</f>
        <v>639.28300823570737</v>
      </c>
      <c r="ED75" s="410">
        <f>(BC75*ED$12+BD75*ED$13+BE75*ED$14+BG75*ED$17+BH75*ED$18+BI75*ED$19+BK75*ED$22+BL75*ED$23+ED$26*BN75+ED$27*BO75+ED$30*BQ75+BT75*ED$35+BU75*ED$36+BV75*ED$37+BX75*ED$40+BY75*ED$41+BZ75*ED$42+CB75*ED$45+CC75*ED$46+CD75*ED$47+CE75*ED$48+CF75*ED$49+CG75*ED$50+CI75*ED$53+CJ75*ED$54+CK75*ED$55)/AY75</f>
        <v>0.24612685532229972</v>
      </c>
      <c r="EE75" s="73">
        <f>ED75*$AY75</f>
        <v>518.34315730876324</v>
      </c>
      <c r="EF75" s="127">
        <f>ED75*$AY75/$CX75</f>
        <v>9.5989473575696902</v>
      </c>
      <c r="EG75" s="153">
        <f>EF75/$GG75</f>
        <v>22.854636565642121</v>
      </c>
      <c r="EH75" s="679">
        <f>ED75*$AY75/$CZ75</f>
        <v>1246.6165399441156</v>
      </c>
      <c r="EI75" s="110">
        <f>ED75*$AY75/$DA75</f>
        <v>63.992982383797937</v>
      </c>
      <c r="EJ75" s="410">
        <f>EK75+EL75+EM75</f>
        <v>0.14723441147951596</v>
      </c>
      <c r="EK75" s="127">
        <f>(BC75*EK$12+BD75*EK$13+BE75*EK$14+BG75*EK$17+BH75*EK$18+BI75*EK$19+BK75*EK$22+BL75*EK$23+EK$26*BN75+EK$27*BO75+EK$30*BQ75+BT75*EK$35+BU75*EK$36+BV75*EK$37+BX75*EK$40+BY75*EK$41+BZ75*EK$42+CB75*EK$45+CC75*EK$46+CD75*EK$47+CE75*EK$48+CF75*EK$49+CG75*EK$50+CI75*EK$53+CJ75*EK$54+CK75*EK$55)/AY75</f>
        <v>6.996134080222792E-2</v>
      </c>
      <c r="EL75" s="127">
        <f>(BC75*EL$12+BD75*EL$13+BE75*EL$14+BG75*EL$17+BH75*EL$18+BI75*EL$19+BK75*EL$22+BL75*EL$23+EL$26*BN75+EL$27*BO75+EL$30*BQ75+BT75*EL$35+BU75*EL$36+BV75*EL$37+BX75*EL$40+BY75*EL$41+BZ75*EL$42+CB75*EL$45+CC75*EL$46+CD75*EL$47+CE75*EL$48+CF75*EL$49+CG75*EL$50+CI75*EL$53+CJ75*EL$54+CK75*EL$55)/AY75</f>
        <v>5.0295983289412247E-2</v>
      </c>
      <c r="EM75" s="127">
        <f>(BC75*EM$12+BD75*EM$13+BE75*EM$14+BG75*EM$17+BH75*EM$18+BI75*EM$19+BK75*EM$22+BL75*EM$23+EM$26*BN75+EM$27*BO75+EM$30*BQ75+BT75*EM$35+BU75*EM$36+BV75*EM$37+BX75*EM$40+BY75*EM$41+BZ75*EM$42+CB75*EM$45+CC75*EM$46+CD75*EM$47+CE75*EM$48+CF75*EM$49+CG75*EM$50+CI75*EM$53+CJ75*EM$54+CK75*EM$55)/AY75</f>
        <v>2.6977087387875805E-2</v>
      </c>
      <c r="EN75" s="73">
        <f>ES75+ET75+EU75+EV75+EW75+EX75+EY75+EZ75</f>
        <v>2492.9396115134032</v>
      </c>
      <c r="EO75" s="110">
        <f>EN75/CX75</f>
        <v>46.16554836135932</v>
      </c>
      <c r="EP75" s="153">
        <f>EO75/$GG75</f>
        <v>109.91797228895076</v>
      </c>
      <c r="EQ75" s="73">
        <f>EN75/CZ75</f>
        <v>5995.5257612154955</v>
      </c>
      <c r="ER75" s="672">
        <f>EN75/DA75</f>
        <v>307.77032240906215</v>
      </c>
      <c r="ES75" s="73">
        <f>FE75*$DA75</f>
        <v>147.338583729492</v>
      </c>
      <c r="ET75" s="73">
        <f>FG75*$DA75</f>
        <v>105.9233408075022</v>
      </c>
      <c r="EU75" s="73">
        <f>FJ75*$DA75</f>
        <v>56.813746038866434</v>
      </c>
      <c r="EV75" s="73">
        <f>FM75*$DA75</f>
        <v>450.57600000000002</v>
      </c>
      <c r="EW75" s="73">
        <f>FP75*$DA75</f>
        <v>1520.2623409375431</v>
      </c>
      <c r="EX75" s="73">
        <f>FT75*$DA75</f>
        <v>22.68</v>
      </c>
      <c r="EY75" s="73">
        <f>FV75*$DA75</f>
        <v>141.6096</v>
      </c>
      <c r="EZ75" s="73">
        <f>FY75*$DA75</f>
        <v>47.735999999999997</v>
      </c>
      <c r="FA75" s="73">
        <f>ES75+ET75+EU75</f>
        <v>310.07567057586061</v>
      </c>
      <c r="FB75" s="115">
        <f>FA75/CX75</f>
        <v>5.7421420477011225</v>
      </c>
      <c r="FC75" s="73">
        <f>FA75/DA75</f>
        <v>38.280946984674152</v>
      </c>
      <c r="FD75" s="410">
        <f>EK75*$AY75/$CX75</f>
        <v>2.728492291286889</v>
      </c>
      <c r="FE75" s="73">
        <f>FD75*$DB75/$DA75</f>
        <v>18.189948608579261</v>
      </c>
      <c r="FF75" s="115">
        <f>ET75/$DB75</f>
        <v>1.9615433482870779</v>
      </c>
      <c r="FG75" s="483">
        <f>'Discounting metrics'!$B$6*FH75*$DB75/$DA75/10^3</f>
        <v>13.076955655247186</v>
      </c>
      <c r="FH75" s="680">
        <f>10^3*EL75*$AY75/$CX75/'Discounting metrics'!$B$6</f>
        <v>6.5823602291512682</v>
      </c>
      <c r="FI75" s="73">
        <f>EU75/$DB75</f>
        <v>1.0521064081271563</v>
      </c>
      <c r="FJ75" s="681">
        <f>'Discounting metrics'!$B$5*FK75*$DB75/$DA75/10^3</f>
        <v>7.0140427208477085</v>
      </c>
      <c r="FK75" s="682">
        <f>10^3*EM75*$AY75/$CX75/'Discounting metrics'!$B$5</f>
        <v>30.944306121386951</v>
      </c>
      <c r="FL75" s="115">
        <f>EV75/$DB75</f>
        <v>8.3440000000000012</v>
      </c>
      <c r="FM75" s="681">
        <f>'Discounting metrics'!$B$6*FN75*$DB75/$DA75/10^3</f>
        <v>55.626666666666672</v>
      </c>
      <c r="FN75" s="80">
        <v>28</v>
      </c>
      <c r="FO75" s="115">
        <f>EW75/$DB75</f>
        <v>28.153006313658206</v>
      </c>
      <c r="FP75" s="681">
        <f>'Discounting metrics'!$B$5*FR75*$DB75/$DA75/10^3</f>
        <v>187.68670875772136</v>
      </c>
      <c r="FQ75" s="82">
        <v>6.5000000000000002E-2</v>
      </c>
      <c r="FR75" s="73">
        <f>10^3*FQ75*AY75*GI75/55.7/DB75</f>
        <v>828.02959746053534</v>
      </c>
      <c r="FS75" s="80">
        <v>0.42</v>
      </c>
      <c r="FT75" s="115">
        <f>FS75*$DB75/$DA75</f>
        <v>2.8000000000000003</v>
      </c>
      <c r="FU75" s="115">
        <f>EY75/$DB75</f>
        <v>2.6223999999999998</v>
      </c>
      <c r="FV75" s="681">
        <f>'Discounting metrics'!$B$6*FW75*$DB75/$DA75/10^3</f>
        <v>17.482666666666667</v>
      </c>
      <c r="FW75" s="80">
        <v>8.8000000000000007</v>
      </c>
      <c r="FX75" s="115">
        <f>EZ75/$DB75</f>
        <v>0.8839999999999999</v>
      </c>
      <c r="FY75" s="681">
        <f>'Discounting metrics'!$B$5*FZ75*$DB75/$DA75/10^3</f>
        <v>5.8933333333333335</v>
      </c>
      <c r="FZ75" s="80">
        <v>26</v>
      </c>
      <c r="GA75" s="73">
        <f>DR75*44/12+EF75+EO75</f>
        <v>198.81146500957968</v>
      </c>
      <c r="GB75" s="677">
        <f>DT75*44/12+EH75+EQ75</f>
        <v>25819.67078046489</v>
      </c>
      <c r="GC75" s="676">
        <f>DU75*44/12+EI75+ER75</f>
        <v>1325.4097667305311</v>
      </c>
      <c r="GD75" s="73">
        <f>DV75*44/12+EF75+EO75</f>
        <v>231.15826332292957</v>
      </c>
      <c r="GE75" s="677">
        <f>DX75*44/12+EH75+EQ75</f>
        <v>30020.553678302538</v>
      </c>
      <c r="GF75" s="676">
        <f>DY75*44/12+EI75+ER75</f>
        <v>1541.0550888195305</v>
      </c>
      <c r="GG75" s="52">
        <f>GG95</f>
        <v>0.42</v>
      </c>
      <c r="GI75" s="26">
        <f>(BC75*GI$12+BD75*GI$13+BE75*GI$14+BG75*GI$17+BH75*GI$18+BI75*GI$19+BK75*GI$22+BL75*GI$23+GI$26*BN75+GI$27*BO75+GI$30*BQ75+BT75*GI$35+BU75*GI$36+BV75*GI$37+BX75*GI$40+BY75*GI$41+BZ75*GI$42+CB75*GI$45+CC75*GI$46+CD75*GI$47+CE75*GI$48+CF75*GI$49+CI75*GI$53+CJ75*GI$54+CK75*GI$55+CL75*GI$58)/AY75</f>
        <v>18.193786421519455</v>
      </c>
      <c r="GM75" s="683">
        <f>(BC75*GM$12+BD75*GM$13+BE75*GM$14+BG75*GM$17+BH75*GM$18+BI75*GM$19+BK75*GM$22+BL75*GM$23+GM$26*BN75+GM$27*BO75+GM$30*BQ75+BT75*GM$35+BU75*GM$36+BV75*GM$37+BX75*GM$40+BY75*GM$41+BZ75*GM$42+CB75*GM$45+CC75*GM$46+CD75*GM$47+CE75*GM$48+CF75*GM$49+CI75*GM$53+CJ75*GM$54+CK75*GM$55+CL75*GM$58)/AY75</f>
        <v>8.4782196452140871E-2</v>
      </c>
    </row>
    <row r="76" spans="1:295" x14ac:dyDescent="0.25">
      <c r="A76" s="4"/>
      <c r="B76" s="14"/>
      <c r="C76" s="14"/>
      <c r="D76" s="14"/>
      <c r="E76" s="14"/>
      <c r="F76" s="14"/>
      <c r="G76" s="14"/>
      <c r="H76" s="14"/>
      <c r="I76" s="14"/>
      <c r="J76" s="52"/>
      <c r="AT76" s="74"/>
      <c r="AY76" s="55"/>
      <c r="AZ76" s="55"/>
      <c r="BA76" s="55"/>
      <c r="BB76" s="55"/>
      <c r="BC76" s="73"/>
      <c r="BD76" s="73"/>
      <c r="BE76" s="73"/>
      <c r="BF76" s="55"/>
      <c r="BG76" s="73"/>
      <c r="BH76" s="73"/>
      <c r="BI76" s="73"/>
      <c r="BJ76" s="73"/>
      <c r="BK76" s="73"/>
      <c r="BL76" s="73"/>
      <c r="BM76" s="73"/>
      <c r="BN76" s="73"/>
      <c r="BO76" s="73"/>
      <c r="BP76" s="73"/>
      <c r="BQ76" s="73"/>
      <c r="BR76" s="73"/>
      <c r="BS76" s="55"/>
      <c r="BT76" s="73"/>
      <c r="BU76" s="73"/>
      <c r="BV76" s="73"/>
      <c r="BW76" s="55"/>
      <c r="BX76" s="73"/>
      <c r="BY76" s="73"/>
      <c r="BZ76" s="73"/>
      <c r="CA76" s="73"/>
      <c r="CB76" s="73"/>
      <c r="CC76" s="73"/>
      <c r="CD76" s="73"/>
      <c r="CE76" s="73"/>
      <c r="CF76" s="73"/>
      <c r="CG76" s="73"/>
      <c r="CH76" s="73"/>
      <c r="CI76" s="73"/>
      <c r="CJ76" s="73"/>
      <c r="CK76" s="73"/>
      <c r="CL76" s="73"/>
      <c r="CM76" s="74"/>
      <c r="CN76" s="74"/>
      <c r="CO76" s="74"/>
      <c r="CP76" s="73"/>
      <c r="CQ76" s="73"/>
      <c r="CR76" s="73"/>
      <c r="CW76" s="133"/>
      <c r="CZ76" s="335"/>
      <c r="DD76" s="335"/>
      <c r="DN76" s="73"/>
      <c r="DO76" s="115"/>
      <c r="DP76" s="115"/>
      <c r="DT76" s="55"/>
      <c r="ED76" s="335"/>
      <c r="EE76" s="127"/>
      <c r="EF76" s="469"/>
      <c r="EH76" s="60"/>
      <c r="EI76" s="97"/>
      <c r="EK76" s="127"/>
      <c r="EL76" s="127"/>
      <c r="EM76" s="133"/>
      <c r="EN76" s="123"/>
      <c r="EO76" s="153"/>
      <c r="EP76" s="37"/>
      <c r="EQ76" s="60"/>
      <c r="ER76" s="152"/>
      <c r="ES76" s="474"/>
      <c r="ET76" s="474"/>
      <c r="EU76" s="73"/>
      <c r="EW76" s="681"/>
      <c r="FA76" s="60"/>
      <c r="FB76" s="60"/>
      <c r="FC76" s="60"/>
      <c r="FE76" s="474"/>
      <c r="FF76" s="474"/>
      <c r="FG76" s="684"/>
      <c r="FH76" s="179"/>
      <c r="FI76" s="474"/>
      <c r="FJ76" s="73"/>
      <c r="FK76" s="73"/>
      <c r="FL76" s="474"/>
      <c r="FO76" s="474"/>
      <c r="FP76" s="669"/>
      <c r="FR76" s="73"/>
      <c r="FT76" s="115"/>
      <c r="FU76" s="474"/>
      <c r="FX76" s="474"/>
    </row>
    <row r="77" spans="1:295" x14ac:dyDescent="0.25">
      <c r="A77" s="4" t="s">
        <v>116</v>
      </c>
      <c r="H77" s="670">
        <f>J77+N77+Z77*(AA77+AE77)</f>
        <v>1.4999999999999999E-2</v>
      </c>
      <c r="I77" s="670">
        <f>R77+Z77*(AI77+AP77)</f>
        <v>7.4999999999999997E-3</v>
      </c>
      <c r="J77" s="63">
        <f>1-N77-R77-U77-X77-Z77</f>
        <v>0</v>
      </c>
      <c r="K77" s="129">
        <v>0.69</v>
      </c>
      <c r="L77" s="129">
        <v>0.17</v>
      </c>
      <c r="M77" s="130">
        <v>0.14000000000000001</v>
      </c>
      <c r="N77" s="39">
        <v>0</v>
      </c>
      <c r="O77" s="129">
        <v>0.52</v>
      </c>
      <c r="P77" s="129">
        <v>0.16</v>
      </c>
      <c r="Q77" s="130">
        <v>0.32</v>
      </c>
      <c r="R77" s="39">
        <v>0</v>
      </c>
      <c r="S77" s="57">
        <f>C$22</f>
        <v>0.91829596188296059</v>
      </c>
      <c r="T77" s="57">
        <f>C$23</f>
        <v>8.1704038117039385E-2</v>
      </c>
      <c r="U77" s="140">
        <v>0.03</v>
      </c>
      <c r="V77" s="129">
        <v>0.9</v>
      </c>
      <c r="W77" s="131">
        <f>1-V77</f>
        <v>9.9999999999999978E-2</v>
      </c>
      <c r="X77" s="139">
        <v>0.67</v>
      </c>
      <c r="Y77" s="129">
        <v>1</v>
      </c>
      <c r="Z77" s="90">
        <v>0.3</v>
      </c>
      <c r="AA77" s="39">
        <v>0.05</v>
      </c>
      <c r="AB77" s="57">
        <f>C$36</f>
        <v>0.32627633176706616</v>
      </c>
      <c r="AC77" s="57">
        <f>C$35</f>
        <v>0.12306636397233511</v>
      </c>
      <c r="AD77" s="57">
        <f>C$37</f>
        <v>0.55065730426059856</v>
      </c>
      <c r="AE77" s="39">
        <v>0</v>
      </c>
      <c r="AF77" s="57">
        <f>C$40</f>
        <v>0.46292585170340678</v>
      </c>
      <c r="AG77" s="57">
        <f>C$41</f>
        <v>0.21643286573146289</v>
      </c>
      <c r="AH77" s="57">
        <f>C$42</f>
        <v>0.32064128256513025</v>
      </c>
      <c r="AI77" s="39">
        <v>0</v>
      </c>
      <c r="AJ77" s="131">
        <f>C$45</f>
        <v>0.66906282055683264</v>
      </c>
      <c r="AK77" s="131">
        <f>C$46</f>
        <v>2.0464179068278004E-2</v>
      </c>
      <c r="AL77" s="131">
        <f>C$47</f>
        <v>0.10457441214444914</v>
      </c>
      <c r="AM77" s="131">
        <f>C$48</f>
        <v>6.6603941068190814E-2</v>
      </c>
      <c r="AN77" s="131">
        <f>C$49</f>
        <v>3.7777291743479158E-2</v>
      </c>
      <c r="AO77" s="132">
        <f>C$50</f>
        <v>0.10151735541877024</v>
      </c>
      <c r="AP77" s="45">
        <v>2.5000000000000001E-2</v>
      </c>
      <c r="AQ77" s="131">
        <f>C$53</f>
        <v>0.27362401715511081</v>
      </c>
      <c r="AR77" s="131">
        <f>C$54</f>
        <v>0.12094353109363824</v>
      </c>
      <c r="AS77" s="131">
        <f>C$55</f>
        <v>0.60543245175125082</v>
      </c>
      <c r="AT77" s="53">
        <f>1-AA77-AE77-AI77-AP77</f>
        <v>0.92499999999999993</v>
      </c>
      <c r="AU77" s="671">
        <f>Z77*AT77</f>
        <v>0.27749999999999997</v>
      </c>
      <c r="AV77" s="672">
        <f>AW77*DA77/CX77</f>
        <v>44.95</v>
      </c>
      <c r="AW77" s="112">
        <v>310</v>
      </c>
      <c r="AX77" s="73">
        <f>BA77/DA77</f>
        <v>6.9749999999999988</v>
      </c>
      <c r="AY77" s="673">
        <f>AW77*DA77</f>
        <v>449.5</v>
      </c>
      <c r="AZ77" s="55">
        <f>BB77+BF77+BJ77</f>
        <v>0</v>
      </c>
      <c r="BA77" s="673">
        <f>AZ77+BS77+BW77+CA77+CH77</f>
        <v>10.113749999999998</v>
      </c>
      <c r="BB77" s="55">
        <f>SUM(BC77:BE77)</f>
        <v>0</v>
      </c>
      <c r="BC77" s="73">
        <f>$AY77*$J77*K77</f>
        <v>0</v>
      </c>
      <c r="BD77" s="73">
        <f>$AY77*$J77*L77</f>
        <v>0</v>
      </c>
      <c r="BE77" s="73">
        <f>$AY77*$J77*M77</f>
        <v>0</v>
      </c>
      <c r="BF77" s="55">
        <f>SUM(BG77:BI77)</f>
        <v>0</v>
      </c>
      <c r="BG77" s="73">
        <f>$AY77*$N77*O77</f>
        <v>0</v>
      </c>
      <c r="BH77" s="73">
        <f>$AY77*$N77*P77</f>
        <v>0</v>
      </c>
      <c r="BI77" s="73">
        <f>$AY77*$N77*Q77</f>
        <v>0</v>
      </c>
      <c r="BJ77" s="629">
        <f>SUM(BK77:BL77)</f>
        <v>0</v>
      </c>
      <c r="BK77" s="73">
        <f>$AY77*$R77*S77</f>
        <v>0</v>
      </c>
      <c r="BL77" s="73">
        <f>$AY77*$R77*T77</f>
        <v>0</v>
      </c>
      <c r="BM77" s="674">
        <f>SUM(BN77:BO77)</f>
        <v>13.484999999999999</v>
      </c>
      <c r="BN77" s="73">
        <f>$AY77*$U77*V77</f>
        <v>12.1365</v>
      </c>
      <c r="BO77" s="73">
        <f>$AY77*$U77*W77</f>
        <v>1.3484999999999996</v>
      </c>
      <c r="BP77" s="674">
        <f>SUM(BQ77:BQ77)</f>
        <v>301.16500000000002</v>
      </c>
      <c r="BQ77" s="73">
        <f>$AY77*$X77*Y77</f>
        <v>301.16500000000002</v>
      </c>
      <c r="BR77" s="68">
        <f>BS77+BW77+CA77+CH77+CL77</f>
        <v>134.85</v>
      </c>
      <c r="BS77" s="55">
        <f>SUM(BT77:BV77)</f>
        <v>6.7424999999999979</v>
      </c>
      <c r="BT77" s="73">
        <f>$AY77*$Z77*$AA77*AC77</f>
        <v>0.82977495908346943</v>
      </c>
      <c r="BU77" s="73">
        <f>$AY77*$Z77*$AA77*AB77</f>
        <v>2.1999181669394434</v>
      </c>
      <c r="BV77" s="73">
        <f>$AY77*$Z77*$AA77*AD77</f>
        <v>3.7128068739770854</v>
      </c>
      <c r="BW77" s="55">
        <f>SUM(BX77:BZ77)</f>
        <v>0</v>
      </c>
      <c r="BX77" s="73">
        <f>$AY77*$Z77*$AE77*AF77</f>
        <v>0</v>
      </c>
      <c r="BY77" s="73">
        <f>$AY77*$Z77*$AE77*AG77</f>
        <v>0</v>
      </c>
      <c r="BZ77" s="73">
        <f>$AY77*$Z77*$AE77*AH77</f>
        <v>0</v>
      </c>
      <c r="CA77" s="73">
        <f>SUM(CB77:CG77)</f>
        <v>0</v>
      </c>
      <c r="CB77" s="73">
        <f t="shared" ref="CB77:CG77" si="30">$AY77*$Z77*$AI77*AJ77</f>
        <v>0</v>
      </c>
      <c r="CC77" s="73">
        <f t="shared" si="30"/>
        <v>0</v>
      </c>
      <c r="CD77" s="73">
        <f t="shared" si="30"/>
        <v>0</v>
      </c>
      <c r="CE77" s="73">
        <f t="shared" si="30"/>
        <v>0</v>
      </c>
      <c r="CF77" s="73">
        <f t="shared" si="30"/>
        <v>0</v>
      </c>
      <c r="CG77" s="73">
        <f t="shared" si="30"/>
        <v>0</v>
      </c>
      <c r="CH77" s="55">
        <f>SUM(CI77:CK77)</f>
        <v>3.3712499999999999</v>
      </c>
      <c r="CI77" s="73">
        <f>$AY77*$Z77*$AP77*AQ77</f>
        <v>0.92245496783416725</v>
      </c>
      <c r="CJ77" s="73">
        <f>$AY77*$Z77*$AP77*AR77</f>
        <v>0.40773087919942791</v>
      </c>
      <c r="CK77" s="73">
        <f>$AY77*$Z77*$AP77*AS77</f>
        <v>2.0410641529664044</v>
      </c>
      <c r="CL77" s="675">
        <f>$AY77*$Z77*AT77</f>
        <v>124.73624999999998</v>
      </c>
      <c r="CM77" s="97">
        <f>(BC77*CM$12+BD77*CM$13+BE77*CM$14+BG77*CM$17+BH77*CM$18+BI77*CM$19+BK77*CM$22+BL77*CM$23+CM$26*BN77+CM$27*BO77+CM$30*BQ77+BT77*CM$35+BU77*CM$36+BV77*CM$37+BX77*CM$40+BY77*CM$41+BZ77*CM$42+CB77*CM$45+CC77*CM$46+CD77*CM$47+CE77*CM$48+CF77*CM$49+CI77*CM$53+CJ77*CM$54+CK77*CM$55)/AY77</f>
        <v>8.4642442880810531</v>
      </c>
      <c r="CN77" s="97">
        <f>IF((BB77+BF77+BJ77+BM77)&gt;0,(BC77*CM$12+BD77*CM$13+BE77*CM$14+BG77*CM$17+BH77*CM$18+BI77*CM$19+BK77*CM$22+BL77*CM$23+CM$26*BN77+CM$27*BO77)/(BB77+BF77+BJ77+BM77),0)</f>
        <v>2.3115758440978973</v>
      </c>
      <c r="CO77" s="97">
        <f>(BT77*CM$35+BU77*CM$36+BV77*CM$37+BX77*CM$40+BY77*CM$41+BZ77*CM$42+CB77*CM$45+CC77*CM$46+CD77*CM$47+CE77*CM$48+CF77*CM$49+CI77*CM$53+CJ77*CM$54+CK77*CM$55)/(BS77+BW77+CA77+CH77)</f>
        <v>3.655196707088006</v>
      </c>
      <c r="CP77" s="68">
        <f>CM$30*BQ77/BP77</f>
        <v>12.406947890818858</v>
      </c>
      <c r="CQ77" s="68">
        <f>10*(CT77+CU77)/DA77</f>
        <v>46.992652382049279</v>
      </c>
      <c r="CR77" s="68">
        <f>10*CW77/$DA77</f>
        <v>2576.9230769230771</v>
      </c>
      <c r="CS77" s="261">
        <f>CM77*AY77/10</f>
        <v>380.46778074924333</v>
      </c>
      <c r="CT77" s="107">
        <f>CN77*(BB77+BF77+BJ77+BM77)/10</f>
        <v>3.1171600257660144</v>
      </c>
      <c r="CU77" s="107">
        <f>CO77*(BS77+BW77+CA77+CH77)/10</f>
        <v>3.6967745696311312</v>
      </c>
      <c r="CV77" s="107">
        <f>CP77*BP77/10</f>
        <v>373.65384615384613</v>
      </c>
      <c r="CW77" s="144">
        <f>CM$30*BQ77/10</f>
        <v>373.65384615384613</v>
      </c>
      <c r="CX77" s="26">
        <f>DB77+DF77</f>
        <v>10</v>
      </c>
      <c r="CY77" s="26">
        <f t="shared" ref="CY77:DA77" si="31">DC77+DG77</f>
        <v>4.0999999999999996</v>
      </c>
      <c r="CZ77" s="335">
        <f t="shared" si="31"/>
        <v>8.5000000000000006E-2</v>
      </c>
      <c r="DA77" s="26">
        <f t="shared" si="31"/>
        <v>1.45</v>
      </c>
      <c r="DB77" s="84">
        <v>10</v>
      </c>
      <c r="DC77" s="26">
        <f>DB77*GG$96</f>
        <v>4.0999999999999996</v>
      </c>
      <c r="DD77" s="335">
        <f>DB77*GJ$96/10^3</f>
        <v>8.5000000000000006E-2</v>
      </c>
      <c r="DE77" s="26">
        <f>DB77*GL$96</f>
        <v>1.45</v>
      </c>
      <c r="DN77" s="68"/>
      <c r="DO77" s="263">
        <f>10*DQ77/CM77</f>
        <v>1.553431756590224</v>
      </c>
      <c r="DP77" s="272">
        <f>(BC77*DP$12+BD77*DP$13+BE77*DP$14+BG77*DP$17+BH77*DP$18+BI77*DP$19+BK77*DP$22+BL77*DP$23+DP$26*BN77+DP$27*BO77+DP$30*BQ77+BT77*DP$35+BU77*DP$36+BV77*DP$37+BX77*DP$40+BY77*DP$41+BZ77*DP$42+CB77*DP$45+CC77*DP$46+CD77*DP$47+CE77*DP$48+CF77*DP$49+CG77*DP$50+CI77*DP$53+CJ77*DP$54+CK77*DP$55)/AY77</f>
        <v>1.0780403867433694</v>
      </c>
      <c r="DQ77" s="143">
        <f>(BC77*DQ$12+BD77*DQ$13+BE77*DQ$14+BG77*DQ$17+BH77*DQ$18+BI77*DQ$19+BK77*DQ$22+BL77*DQ$23+DQ$26*BN77+DQ$27*BO77+DQ$30*BQ77+BT77*DQ$35+BU77*DQ$36+BV77*DQ$37+BX77*DQ$40+BY77*DQ$41+BZ77*DQ$42+CB77*DQ$45+CC77*DQ$46+CD77*DQ$47+CE77*DQ$48+CF77*DQ$49+CG77*DQ$50+CI77*DQ$53+CJ77*DQ$54+CK77*DQ$55)/AY77</f>
        <v>1.3148625872642521</v>
      </c>
      <c r="DR77" s="26">
        <f>DP77*$AY77/$CX77</f>
        <v>48.457915384114457</v>
      </c>
      <c r="DS77" s="153">
        <f>DR77/$GG77</f>
        <v>118.1900375222304</v>
      </c>
      <c r="DT77" s="676">
        <f>DP77*$AY77/$CZ77</f>
        <v>5700.931221660524</v>
      </c>
      <c r="DU77" s="677">
        <f>DP77*$AY77/$DA77</f>
        <v>334.19251989044454</v>
      </c>
      <c r="DV77" s="26">
        <f>DQ77*$AY77/$CX77</f>
        <v>59.103073297528134</v>
      </c>
      <c r="DW77" s="153">
        <f>DV77/$GG77</f>
        <v>144.15383731104424</v>
      </c>
      <c r="DX77" s="676">
        <f>DQ77*$AY77/$CZ77</f>
        <v>6953.3027408856624</v>
      </c>
      <c r="DY77" s="677">
        <f>DQ77*$AY77/$DA77</f>
        <v>407.6074020519182</v>
      </c>
      <c r="DZ77" s="678">
        <f>(BC77*DZ$12+BD77*DZ$13+BE77*DZ$14+BG77*DZ$17+BH77*DZ$18+BI77*DZ$19+BK77*DZ$22+BL77*DZ$23+DZ$26*BN77+DZ$27*BO77+DZ$30*BQ77+BT77*DZ$35+BU77*DZ$36+BV77*DZ$37+BX77*DZ$40+BY77*DZ$41+BZ77*DZ$42+CB77*DZ$45+CC77*DZ$46+CD77*DZ$47+CE77*DZ$48+CF77*DZ$49+CG77*DZ$50+CI77*DZ$53+CJ77*DZ$54+CK77*DZ$55)/AY77</f>
        <v>2.6358583142781931</v>
      </c>
      <c r="EA77" s="26">
        <f>DZ77*$AY77/$CX77</f>
        <v>118.48183122680477</v>
      </c>
      <c r="EB77" s="676">
        <f>DZ77*$AY77/$CZ77</f>
        <v>13939.038967859384</v>
      </c>
      <c r="EC77" s="677">
        <f>DZ77*$AY77/$DA77</f>
        <v>817.11607742623983</v>
      </c>
      <c r="ED77" s="410">
        <f>(BC77*ED$12+BD77*ED$13+BE77*ED$14+BG77*ED$17+BH77*ED$18+BI77*ED$19+BK77*ED$22+BL77*ED$23+ED$26*BN77+ED$27*BO77+ED$30*BQ77+BT77*ED$35+BU77*ED$36+BV77*ED$37+BX77*ED$40+BY77*ED$41+BZ77*ED$42+CB77*ED$45+CC77*ED$46+CD77*ED$47+CE77*ED$48+CF77*ED$49+CG77*ED$50+CI77*ED$53+CJ77*ED$54+CK77*ED$55)/AY77</f>
        <v>0.2559696714801713</v>
      </c>
      <c r="EE77" s="73">
        <f>ED77*$AY77</f>
        <v>115.05836733033701</v>
      </c>
      <c r="EF77" s="127">
        <f>ED77*$AY77/$CX77</f>
        <v>11.5058367330337</v>
      </c>
      <c r="EG77" s="153">
        <f>EF77/$GG77</f>
        <v>28.063016422033417</v>
      </c>
      <c r="EH77" s="679">
        <f>ED77*$AY77/$CZ77</f>
        <v>1353.6278509451411</v>
      </c>
      <c r="EI77" s="110">
        <f>ED77*$AY77/$DA77</f>
        <v>79.350598158853117</v>
      </c>
      <c r="EJ77" s="410">
        <f>EK77+EL77+EM77</f>
        <v>9.2593767898767262E-2</v>
      </c>
      <c r="EK77" s="127">
        <f>(BC77*EK$12+BD77*EK$13+BE77*EK$14+BG77*EK$17+BH77*EK$18+BI77*EK$19+BK77*EK$22+BL77*EK$23+EK$26*BN77+EK$27*BO77+EK$30*BQ77+BT77*EK$35+BU77*EK$36+BV77*EK$37+BX77*EK$40+BY77*EK$41+BZ77*EK$42+CB77*EK$45+CC77*EK$46+CD77*EK$47+CE77*EK$48+CF77*EK$49+CG77*EK$50+CI77*EK$53+CJ77*EK$54+CK77*EK$55)/AY77</f>
        <v>4.6572621399351033E-2</v>
      </c>
      <c r="EL77" s="127">
        <f>(BC77*EL$12+BD77*EL$13+BE77*EL$14+BG77*EL$17+BH77*EL$18+BI77*EL$19+BK77*EL$22+BL77*EL$23+EL$26*BN77+EL$27*BO77+EL$30*BQ77+BT77*EL$35+BU77*EL$36+BV77*EL$37+BX77*EL$40+BY77*EL$41+BZ77*EL$42+CB77*EL$45+CC77*EL$46+CD77*EL$47+CE77*EL$48+CF77*EL$49+CG77*EL$50+CI77*EL$53+CJ77*EL$54+CK77*EL$55)/AY77</f>
        <v>3.2466187426098414E-2</v>
      </c>
      <c r="EM77" s="127">
        <f>(BC77*EM$12+BD77*EM$13+BE77*EM$14+BG77*EM$17+BH77*EM$18+BI77*EM$19+BK77*EM$22+BL77*EM$23+EM$26*BN77+EM$27*BO77+EM$30*BQ77+BT77*EM$35+BU77*EM$36+BV77*EM$37+BX77*EM$40+BY77*EM$41+BZ77*EM$42+CB77*EM$45+CC77*EM$46+CD77*EM$47+CE77*EM$48+CF77*EM$49+CG77*EM$50+CI77*EM$53+CJ77*EM$54+CK77*EM$55)/AY77</f>
        <v>1.3554959073317812E-2</v>
      </c>
      <c r="EN77" s="73">
        <f>ES77+ET77+EU77+EV77+EW77+EX77+EY77+EZ77</f>
        <v>422.90023769939302</v>
      </c>
      <c r="EO77" s="110">
        <f>EN77/CX77</f>
        <v>42.290023769939303</v>
      </c>
      <c r="EP77" s="153">
        <f>EO77/$GG77</f>
        <v>103.14639943887636</v>
      </c>
      <c r="EQ77" s="73">
        <f>EN77/CZ77</f>
        <v>4975.2969141105059</v>
      </c>
      <c r="ER77" s="672">
        <f>EN77/DA77</f>
        <v>291.65533634440897</v>
      </c>
      <c r="ES77" s="73">
        <f>FE77*$DA77</f>
        <v>20.93439331900829</v>
      </c>
      <c r="ET77" s="73">
        <f>FG77*$DA77</f>
        <v>14.59355124803124</v>
      </c>
      <c r="EU77" s="73">
        <f>FJ77*$DA77</f>
        <v>6.092954103456357</v>
      </c>
      <c r="EV77" s="73">
        <f>FM77*$DA77</f>
        <v>41.72</v>
      </c>
      <c r="EW77" s="73">
        <f>FP77*$DA77</f>
        <v>324.03133902889721</v>
      </c>
      <c r="EX77" s="115">
        <f>FT77*$DA77</f>
        <v>4.3</v>
      </c>
      <c r="EY77" s="73">
        <f>FV77*$DA77</f>
        <v>4.7679999999999998</v>
      </c>
      <c r="EZ77" s="115">
        <f>FY77*$DA77</f>
        <v>6.4599999999999991</v>
      </c>
      <c r="FA77" s="73">
        <f>ES77+ET77+EU77</f>
        <v>41.620898670495883</v>
      </c>
      <c r="FB77" s="115">
        <f>FA77/CX77</f>
        <v>4.1620898670495885</v>
      </c>
      <c r="FC77" s="73">
        <f>FA77/DA77</f>
        <v>28.704068048617852</v>
      </c>
      <c r="FD77" s="213">
        <f>EK77*$AY77/$CX77</f>
        <v>2.0934393319008291</v>
      </c>
      <c r="FE77" s="73">
        <f>FD77*$DB77/$DA77</f>
        <v>14.437512633798821</v>
      </c>
      <c r="FF77" s="115">
        <f>ET77/$DB77</f>
        <v>1.459355124803124</v>
      </c>
      <c r="FG77" s="483">
        <f>'Discounting metrics'!$B$6*FH77*$DB77/$DA77/10^3</f>
        <v>10.06451810209051</v>
      </c>
      <c r="FH77" s="680">
        <f>10^3*EL77*$AY77/$CX77/'Discounting metrics'!$B$6</f>
        <v>4.89716484833263</v>
      </c>
      <c r="FI77" s="73">
        <f>EU77/$DB77</f>
        <v>0.60929541034563572</v>
      </c>
      <c r="FJ77" s="681">
        <f>'Discounting metrics'!$B$5*FK77*$DB77/$DA77/10^3</f>
        <v>4.202037312728522</v>
      </c>
      <c r="FK77" s="682">
        <f>10^3*EM77*$AY77/$CX77/'Discounting metrics'!$B$5</f>
        <v>17.920453245459871</v>
      </c>
      <c r="FL77" s="115">
        <f>EV77/$DB77</f>
        <v>4.1719999999999997</v>
      </c>
      <c r="FM77" s="681">
        <f>'Discounting metrics'!$B$6*FN77*$DB77/$DA77/10^3</f>
        <v>28.77241379310345</v>
      </c>
      <c r="FN77" s="80">
        <v>14</v>
      </c>
      <c r="FO77" s="115">
        <f>EW77/$DB77</f>
        <v>32.403133902889721</v>
      </c>
      <c r="FP77" s="681">
        <f>'Discounting metrics'!$B$5*FR77*$DB77/$DA77/10^3</f>
        <v>223.46988898544635</v>
      </c>
      <c r="FQ77" s="82">
        <v>6.5000000000000002E-2</v>
      </c>
      <c r="FR77" s="73">
        <f>10^3*FQ77*AY77*GI77/55.7/DB77</f>
        <v>953.03335008499164</v>
      </c>
      <c r="FS77" s="80">
        <v>0.43</v>
      </c>
      <c r="FT77" s="115">
        <f>FS77*$DB77/$DA77</f>
        <v>2.9655172413793105</v>
      </c>
      <c r="FU77" s="115">
        <f>EY77/$DB77</f>
        <v>0.4768</v>
      </c>
      <c r="FV77" s="681">
        <f>'Discounting metrics'!$B$6*FW77*$DB77/$DA77/10^3</f>
        <v>3.2882758620689656</v>
      </c>
      <c r="FW77" s="80">
        <v>1.6</v>
      </c>
      <c r="FX77" s="115">
        <f>EZ77/$DB77</f>
        <v>0.64599999999999991</v>
      </c>
      <c r="FY77" s="681">
        <f>'Discounting metrics'!$B$5*FZ77*$DB77/$DA77/10^3</f>
        <v>4.455172413793103</v>
      </c>
      <c r="FZ77" s="80">
        <v>19</v>
      </c>
      <c r="GA77" s="73">
        <f>DR77*44/12+EF77+EO77</f>
        <v>231.47488357805935</v>
      </c>
      <c r="GB77" s="677">
        <f>DT77*44/12+EH77+EQ77</f>
        <v>27232.339244477567</v>
      </c>
      <c r="GC77" s="676">
        <f>DU77*44/12+EI77+ER77</f>
        <v>1596.3785074348921</v>
      </c>
      <c r="GD77" s="73">
        <f>DV77*44/12+EF77+EO77</f>
        <v>270.50712926057616</v>
      </c>
      <c r="GE77" s="677">
        <f>DX77*44/12+EH77+EQ77</f>
        <v>31824.368148303074</v>
      </c>
      <c r="GF77" s="676">
        <f>DY77*44/12+EI77+ER77</f>
        <v>1865.566408693629</v>
      </c>
      <c r="GG77" s="52">
        <f>GG96</f>
        <v>0.41</v>
      </c>
      <c r="GI77" s="26">
        <f>(BC77*GI$12+BD77*GI$13+BE77*GI$14+BG77*GI$17+BH77*GI$18+BI77*GI$19+BK77*GI$22+BL77*GI$23+GI$26*BN77+GI$27*BO77+GI$30*BQ77+BT77*GI$35+BU77*GI$36+BV77*GI$37+BX77*GI$40+BY77*GI$41+BZ77*GI$42+CB77*GI$45+CC77*GI$46+CD77*GI$47+CE77*GI$48+CF77*GI$49+CI77*GI$53+CJ77*GI$54+CK77*GI$55+CL77*GI$58)/AY77</f>
        <v>18.168548849057597</v>
      </c>
      <c r="GM77" s="683">
        <f>(BC77*GM$12+BD77*GM$13+BE77*GM$14+BG77*GM$17+BH77*GM$18+BI77*GM$19+BK77*GM$22+BL77*GM$23+GM$26*BN77+GM$27*BO77+GM$30*BQ77+BT77*GM$35+BU77*GM$36+BV77*GM$37+BX77*GM$40+BY77*GM$41+BZ77*GM$42+CB77*GM$45+CC77*GM$46+CD77*GM$47+CE77*GM$48+CF77*GM$49+CI77*GM$53+CJ77*GM$54+CK77*GM$55+CL77*GM$58)/AY77</f>
        <v>7.9354598226070425E-2</v>
      </c>
    </row>
    <row r="78" spans="1:295" x14ac:dyDescent="0.25">
      <c r="A78" s="4"/>
      <c r="J78" s="52"/>
      <c r="AT78" s="74"/>
      <c r="AY78" s="55"/>
      <c r="AZ78" s="55"/>
      <c r="BA78" s="55"/>
      <c r="BB78" s="55"/>
      <c r="BC78" s="73"/>
      <c r="BD78" s="73"/>
      <c r="BE78" s="73"/>
      <c r="BF78" s="55"/>
      <c r="BG78" s="73"/>
      <c r="BH78" s="73"/>
      <c r="BI78" s="73"/>
      <c r="BJ78" s="73"/>
      <c r="BK78" s="73"/>
      <c r="BL78" s="73"/>
      <c r="BM78" s="73"/>
      <c r="BN78" s="73"/>
      <c r="BO78" s="73"/>
      <c r="BP78" s="73"/>
      <c r="BQ78" s="73"/>
      <c r="BR78" s="73"/>
      <c r="BS78" s="55"/>
      <c r="BT78" s="73"/>
      <c r="BU78" s="73"/>
      <c r="BV78" s="73"/>
      <c r="BW78" s="55"/>
      <c r="BX78" s="73"/>
      <c r="BY78" s="73"/>
      <c r="BZ78" s="73"/>
      <c r="CA78" s="73"/>
      <c r="CB78" s="73"/>
      <c r="CC78" s="73"/>
      <c r="CD78" s="73"/>
      <c r="CE78" s="73"/>
      <c r="CF78" s="73"/>
      <c r="CG78" s="73"/>
      <c r="CH78" s="73"/>
      <c r="CI78" s="73"/>
      <c r="CJ78" s="73"/>
      <c r="CK78" s="73"/>
      <c r="CL78" s="73"/>
      <c r="CM78" s="74"/>
      <c r="CN78" s="74"/>
      <c r="CO78" s="74"/>
      <c r="CP78" s="73"/>
      <c r="CQ78" s="73"/>
      <c r="CR78" s="73"/>
      <c r="CW78" s="133"/>
      <c r="CZ78" s="335"/>
      <c r="DA78" s="133"/>
      <c r="DB78" s="645"/>
      <c r="DD78" s="335"/>
      <c r="DE78" s="133"/>
      <c r="DF78" s="645"/>
      <c r="DN78" s="73"/>
      <c r="DO78" s="115"/>
      <c r="DP78" s="115"/>
      <c r="DT78" s="55"/>
      <c r="ED78" s="335"/>
      <c r="EE78" s="127"/>
      <c r="EF78" s="469"/>
      <c r="EH78" s="74"/>
      <c r="EI78" s="115"/>
      <c r="EK78" s="127"/>
      <c r="EL78" s="127"/>
      <c r="EM78" s="133"/>
      <c r="EN78" s="123"/>
      <c r="EO78" s="153"/>
      <c r="EP78" s="37"/>
      <c r="ER78" s="152"/>
      <c r="ES78" s="474"/>
      <c r="ET78" s="474"/>
      <c r="EU78" s="68"/>
      <c r="EV78" s="60"/>
      <c r="EW78" s="543"/>
      <c r="EX78" s="60"/>
      <c r="EY78" s="60"/>
      <c r="EZ78" s="60"/>
      <c r="FE78" s="179"/>
      <c r="FF78" s="474"/>
      <c r="FG78" s="179"/>
      <c r="FH78" s="469"/>
      <c r="FI78" s="474"/>
      <c r="FJ78" s="68"/>
      <c r="FK78" s="68"/>
      <c r="FL78" s="474"/>
      <c r="FM78" s="60"/>
      <c r="FN78" s="60"/>
      <c r="FO78" s="474"/>
      <c r="FP78" s="669"/>
      <c r="FQ78" s="60"/>
      <c r="FR78" s="68"/>
      <c r="FS78" s="60"/>
      <c r="FT78" s="97"/>
      <c r="FU78" s="474"/>
      <c r="FV78" s="60"/>
      <c r="FW78" s="60"/>
      <c r="FX78" s="474"/>
      <c r="FY78" s="60"/>
      <c r="FZ78" s="60"/>
      <c r="GA78" s="60"/>
      <c r="GB78" s="60"/>
      <c r="GC78" s="60"/>
      <c r="GD78" s="60"/>
      <c r="GE78" s="60"/>
      <c r="GF78" s="60"/>
    </row>
    <row r="79" spans="1:295" x14ac:dyDescent="0.25">
      <c r="A79" s="4" t="s">
        <v>794</v>
      </c>
      <c r="H79" s="671">
        <f>J79+N79+Z79*(AA79+AE79)</f>
        <v>0.10450000000000001</v>
      </c>
      <c r="I79" s="670">
        <f>R79+Z79*(AI79+AP79)</f>
        <v>2.2499999999999999E-2</v>
      </c>
      <c r="J79" s="63">
        <f>1-N79-R79-U79-X79-Z79</f>
        <v>7.0000000000000007E-2</v>
      </c>
      <c r="K79" s="129">
        <v>0.69</v>
      </c>
      <c r="L79" s="129">
        <v>0.17</v>
      </c>
      <c r="M79" s="130">
        <v>0.14000000000000001</v>
      </c>
      <c r="N79" s="39">
        <v>0</v>
      </c>
      <c r="O79" s="129">
        <v>0.52</v>
      </c>
      <c r="P79" s="129">
        <v>0.16</v>
      </c>
      <c r="Q79" s="130">
        <v>0.32</v>
      </c>
      <c r="R79" s="39">
        <v>0</v>
      </c>
      <c r="S79" s="57">
        <f>C$22</f>
        <v>0.91829596188296059</v>
      </c>
      <c r="T79" s="57">
        <f>C$23</f>
        <v>8.1704038117039385E-2</v>
      </c>
      <c r="U79" s="142">
        <v>0.15</v>
      </c>
      <c r="V79" s="129">
        <v>0.72499999999999998</v>
      </c>
      <c r="W79" s="131">
        <f>1-V79</f>
        <v>0.27500000000000002</v>
      </c>
      <c r="X79" s="139">
        <v>0.48</v>
      </c>
      <c r="Y79" s="129">
        <v>1</v>
      </c>
      <c r="Z79" s="134">
        <v>0.3</v>
      </c>
      <c r="AA79" s="45">
        <v>0.09</v>
      </c>
      <c r="AB79" s="57">
        <f>C$36</f>
        <v>0.32627633176706616</v>
      </c>
      <c r="AC79" s="57">
        <f>C$35</f>
        <v>0.12306636397233511</v>
      </c>
      <c r="AD79" s="57">
        <f>C$37</f>
        <v>0.55065730426059856</v>
      </c>
      <c r="AE79" s="45">
        <v>2.5000000000000001E-2</v>
      </c>
      <c r="AF79" s="57">
        <f>C$40</f>
        <v>0.46292585170340678</v>
      </c>
      <c r="AG79" s="57">
        <f>C$41</f>
        <v>0.21643286573146289</v>
      </c>
      <c r="AH79" s="57">
        <f>C$42</f>
        <v>0.32064128256513025</v>
      </c>
      <c r="AI79" s="45">
        <v>7.4999999999999997E-2</v>
      </c>
      <c r="AJ79" s="131">
        <f>C$45</f>
        <v>0.66906282055683264</v>
      </c>
      <c r="AK79" s="131">
        <f>C$46</f>
        <v>2.0464179068278004E-2</v>
      </c>
      <c r="AL79" s="131">
        <f>C$47</f>
        <v>0.10457441214444914</v>
      </c>
      <c r="AM79" s="131">
        <f>C$48</f>
        <v>6.6603941068190814E-2</v>
      </c>
      <c r="AN79" s="131">
        <f>C$49</f>
        <v>3.7777291743479158E-2</v>
      </c>
      <c r="AO79" s="132">
        <f>C$50</f>
        <v>0.10151735541877024</v>
      </c>
      <c r="AP79" s="138">
        <v>0</v>
      </c>
      <c r="AQ79" s="131">
        <f>C$53</f>
        <v>0.27362401715511081</v>
      </c>
      <c r="AR79" s="131">
        <f>C$54</f>
        <v>0.12094353109363824</v>
      </c>
      <c r="AS79" s="131">
        <f>C$55</f>
        <v>0.60543245175125082</v>
      </c>
      <c r="AT79" s="53">
        <f>1-AA79-AE79-AI79-AP79</f>
        <v>0.81</v>
      </c>
      <c r="AU79" s="671">
        <f>Z79*AT79</f>
        <v>0.24299999999999999</v>
      </c>
      <c r="AV79" s="390">
        <f>AW79*DA79/DF79</f>
        <v>2.03952</v>
      </c>
      <c r="AW79" s="112">
        <v>60</v>
      </c>
      <c r="AX79" s="73">
        <f>BA79/DA79</f>
        <v>7.6199999999999992</v>
      </c>
      <c r="AY79" s="673">
        <f>AW79*DA79</f>
        <v>1274.7</v>
      </c>
      <c r="AZ79" s="55">
        <f>BB79+BF79+BJ79</f>
        <v>89.229000000000013</v>
      </c>
      <c r="BA79" s="673">
        <f>AZ79+BS79+BW79+CA79+CH79</f>
        <v>161.8869</v>
      </c>
      <c r="BB79" s="55">
        <f>SUM(BC79:BE79)</f>
        <v>89.229000000000013</v>
      </c>
      <c r="BC79" s="73">
        <f>$AY79*$J79*K79</f>
        <v>61.568010000000001</v>
      </c>
      <c r="BD79" s="73">
        <f>$AY79*$J79*L79</f>
        <v>15.168930000000003</v>
      </c>
      <c r="BE79" s="73">
        <f>$AY79*$J79*M79</f>
        <v>12.492060000000004</v>
      </c>
      <c r="BF79" s="55">
        <f>SUM(BG79:BI79)</f>
        <v>0</v>
      </c>
      <c r="BG79" s="73">
        <f>$AY79*$N79*O79</f>
        <v>0</v>
      </c>
      <c r="BH79" s="73">
        <f>$AY79*$N79*P79</f>
        <v>0</v>
      </c>
      <c r="BI79" s="73">
        <f>$AY79*$N79*Q79</f>
        <v>0</v>
      </c>
      <c r="BJ79" s="629">
        <f>SUM(BK79:BL79)</f>
        <v>0</v>
      </c>
      <c r="BK79" s="73">
        <f>$AY79*$R79*S79</f>
        <v>0</v>
      </c>
      <c r="BL79" s="73">
        <f>$AY79*$R79*T79</f>
        <v>0</v>
      </c>
      <c r="BM79" s="674">
        <f>SUM(BN79:BO79)</f>
        <v>191.20500000000001</v>
      </c>
      <c r="BN79" s="73">
        <f>$AY79*$U79*V79</f>
        <v>138.623625</v>
      </c>
      <c r="BO79" s="73">
        <f>$AY79*$U79*W79</f>
        <v>52.581375000000008</v>
      </c>
      <c r="BP79" s="674">
        <f>SUM(BQ79:BQ79)</f>
        <v>611.85599999999999</v>
      </c>
      <c r="BQ79" s="73">
        <f>$AY79*$X79*Y79</f>
        <v>611.85599999999999</v>
      </c>
      <c r="BR79" s="68">
        <f>BS79+BW79+CA79+CH79+CL79</f>
        <v>382.41</v>
      </c>
      <c r="BS79" s="55">
        <f>SUM(BT79:BV79)</f>
        <v>34.416899999999998</v>
      </c>
      <c r="BT79" s="73">
        <f>$AY79*$Z79*$AA79*AC79</f>
        <v>4.2355627421994599</v>
      </c>
      <c r="BU79" s="73">
        <f>$AY79*$Z79*$AA79*AB79</f>
        <v>11.229419882793939</v>
      </c>
      <c r="BV79" s="73">
        <f>$AY79*$Z79*$AA79*AD79</f>
        <v>18.951917375006595</v>
      </c>
      <c r="BW79" s="55">
        <f>SUM(BX79:BZ79)</f>
        <v>9.5602500000000017</v>
      </c>
      <c r="BX79" s="73">
        <f>$AY79*$Z79*$AE79*AF79</f>
        <v>4.4256868737474955</v>
      </c>
      <c r="BY79" s="73">
        <f>$AY79*$Z79*$AE79*AG79</f>
        <v>2.0691523046092186</v>
      </c>
      <c r="BZ79" s="73">
        <f>$AY79*$Z79*$AE79*AH79</f>
        <v>3.0654108216432872</v>
      </c>
      <c r="CA79" s="73">
        <f>SUM(CB79:CG79)</f>
        <v>28.680749999999996</v>
      </c>
      <c r="CB79" s="73">
        <f t="shared" ref="CB79:CG79" si="32">$AY79*$Z79*$AI79*AJ79</f>
        <v>19.189223490685379</v>
      </c>
      <c r="CC79" s="73">
        <f t="shared" si="32"/>
        <v>0.58692800381251431</v>
      </c>
      <c r="CD79" s="73">
        <f t="shared" si="32"/>
        <v>2.9992725711119097</v>
      </c>
      <c r="CE79" s="73">
        <f t="shared" si="32"/>
        <v>1.9102509827915137</v>
      </c>
      <c r="CF79" s="73">
        <f t="shared" si="32"/>
        <v>1.0834810601717899</v>
      </c>
      <c r="CG79" s="73">
        <f t="shared" si="32"/>
        <v>2.9115938914268948</v>
      </c>
      <c r="CH79" s="55">
        <f>SUM(CI79:CK79)</f>
        <v>0</v>
      </c>
      <c r="CI79" s="73">
        <f>$AY79*$Z79*$AP79*AQ79</f>
        <v>0</v>
      </c>
      <c r="CJ79" s="73">
        <f>$AY79*$Z79*$AP79*AR79</f>
        <v>0</v>
      </c>
      <c r="CK79" s="73">
        <f>$AY79*$Z79*$AP79*AS79</f>
        <v>0</v>
      </c>
      <c r="CL79" s="675">
        <f>$AY79*$Z79*AT79</f>
        <v>309.75210000000004</v>
      </c>
      <c r="CM79" s="97">
        <f>(BC79*CM$12+BD79*CM$13+BE79*CM$14+BG79*CM$17+BH79*CM$18+BI79*CM$19+BK79*CM$22+BL79*CM$23+CM$26*BN79+CM$27*BO79+CM$30*BQ79+BT79*CM$35+BU79*CM$36+BV79*CM$37+BX79*CM$40+BY79*CM$41+BZ79*CM$42+CB79*CM$45+CC79*CM$46+CD79*CM$47+CE79*CM$48+CF79*CM$49+CI79*CM$53+CJ79*CM$54+CK79*CM$55)/AY79</f>
        <v>6.6376441045313541</v>
      </c>
      <c r="CN79" s="97">
        <f>IF((BB79+BF79+BJ79+BM79)&gt;0,(BC79*CM$12+BD79*CM$13+BE79*CM$14+BG79*CM$17+BH79*CM$18+BI79*CM$19+BK79*CM$22+BL79*CM$23+CM$26*BN79+CM$27*BO79)/(BB79+BF79+BJ79+BM79),0)</f>
        <v>2.3010750644782036</v>
      </c>
      <c r="CO79" s="97">
        <f>(BT79*CM$35+BU79*CM$36+BV79*CM$37+BX79*CM$40+BY79*CM$41+BZ79*CM$42+CB79*CM$45+CC79*CM$46+CD79*CM$47+CE79*CM$48+CF79*CM$49+CI79*CM$53+CJ79*CM$54+CK79*CM$55)/(BS79+BW79+CA79+CH79)</f>
        <v>3.088993030756134</v>
      </c>
      <c r="CP79" s="68">
        <f>CM$30*BQ79/BP79</f>
        <v>12.406947890818858</v>
      </c>
      <c r="CQ79" s="68">
        <f>10*(CT79+CU79)/DA79</f>
        <v>40.938547016298266</v>
      </c>
      <c r="CR79" s="68">
        <f>10*CW79/$DA79</f>
        <v>357.32009925558305</v>
      </c>
      <c r="CS79" s="261">
        <f>CM79*AY79/10</f>
        <v>846.10049400461173</v>
      </c>
      <c r="CT79" s="107">
        <f>CN79*(BB79+BF79+BJ79+BM79)/10</f>
        <v>64.529968463188055</v>
      </c>
      <c r="CU79" s="107">
        <f>CO79*(BS79+BW79+CA79+CH79)/10</f>
        <v>22.44397467293761</v>
      </c>
      <c r="CV79" s="107">
        <f>CP79*BP79/10</f>
        <v>759.12655086848622</v>
      </c>
      <c r="CW79" s="144">
        <f>CM$30*BQ79/10</f>
        <v>759.12655086848622</v>
      </c>
      <c r="CX79" s="55">
        <f>DB79+DF79</f>
        <v>633.29999999999995</v>
      </c>
      <c r="CY79" s="26">
        <f t="shared" ref="CY79:DA79" si="33">DC79+DG79</f>
        <v>82.236000000000004</v>
      </c>
      <c r="CZ79" s="335">
        <f t="shared" si="33"/>
        <v>1.7514099999999999</v>
      </c>
      <c r="DA79" s="26">
        <f t="shared" si="33"/>
        <v>21.245000000000001</v>
      </c>
      <c r="DB79" s="80">
        <v>8.3000000000000007</v>
      </c>
      <c r="DC79" s="26">
        <f>DB79*GG$95</f>
        <v>3.4860000000000002</v>
      </c>
      <c r="DD79" s="335">
        <f>DB79*GJ$95/10^3</f>
        <v>6.3910000000000008E-2</v>
      </c>
      <c r="DE79" s="26">
        <f>DB79*GL$95</f>
        <v>1.2450000000000001</v>
      </c>
      <c r="DF79" s="80">
        <v>625</v>
      </c>
      <c r="DG79" s="37">
        <f>DF79*GG99</f>
        <v>78.75</v>
      </c>
      <c r="DH79" s="335">
        <f>DF79*GJ99/10^3</f>
        <v>1.6875</v>
      </c>
      <c r="DI79" s="37">
        <f>DF79*GL99</f>
        <v>20</v>
      </c>
      <c r="DN79" s="68"/>
      <c r="DO79" s="263">
        <f>10*DQ79/CM79</f>
        <v>1.6934262984651005</v>
      </c>
      <c r="DP79" s="272">
        <f>(BC79*DP$12+BD79*DP$13+BE79*DP$14+BG79*DP$17+BH79*DP$18+BI79*DP$19+BK79*DP$22+BL79*DP$23+DP$26*BN79+DP$27*BO79+DP$30*BQ79+BT79*DP$35+BU79*DP$36+BV79*DP$37+BX79*DP$40+BY79*DP$41+BZ79*DP$42+CB79*DP$45+CC79*DP$46+CD79*DP$47+CE79*DP$48+CF79*DP$49+CG79*DP$50+CI79*DP$53+CJ79*DP$54+CK79*DP$55)/AY79</f>
        <v>0.92110046464125583</v>
      </c>
      <c r="DQ79" s="143">
        <f>(BC79*DQ$12+BD79*DQ$13+BE79*DQ$14+BG79*DQ$17+BH79*DQ$18+BI79*DQ$19+BK79*DQ$22+BL79*DQ$23+DQ$26*BN79+DQ$27*BO79+DQ$30*BQ79+BT79*DQ$35+BU79*DQ$36+BV79*DQ$37+BX79*DQ$40+BY79*DQ$41+BZ79*DQ$42+CB79*DQ$45+CC79*DQ$46+CD79*DQ$47+CE79*DQ$48+CF79*DQ$49+CG79*DQ$50+CI79*DQ$53+CJ79*DQ$54+CK79*DQ$55)/AY79</f>
        <v>1.1240361086465227</v>
      </c>
      <c r="DR79" s="26">
        <f>DP79*$AY79/$CX79</f>
        <v>1.853981939488724</v>
      </c>
      <c r="DS79" s="153">
        <f>DR79/$GG79</f>
        <v>14.714142376894635</v>
      </c>
      <c r="DT79" s="676">
        <f>DP79*$AY79/$CZ79</f>
        <v>670.3894360990339</v>
      </c>
      <c r="DU79" s="677">
        <f>DP79*$AY79/$DA79</f>
        <v>55.266027878475349</v>
      </c>
      <c r="DV79" s="26">
        <f>DQ79*$AY79/$CX79</f>
        <v>2.2624488041871511</v>
      </c>
      <c r="DW79" s="153">
        <f>DV79/$GG79</f>
        <v>17.955942890374214</v>
      </c>
      <c r="DX79" s="676">
        <f>DQ79*$AY79/$CZ79</f>
        <v>818.08875574064484</v>
      </c>
      <c r="DY79" s="685">
        <f>DQ79*$AY79/$DA79</f>
        <v>67.442166518791367</v>
      </c>
      <c r="DZ79" s="678">
        <f>(BC79*DZ$12+BD79*DZ$13+BE79*DZ$14+BG79*DZ$17+BH79*DZ$18+BI79*DZ$19+BK79*DZ$22+BL79*DZ$23+DZ$26*BN79+DZ$27*BO79+DZ$30*BQ79+BT79*DZ$35+BU79*DZ$36+BV79*DZ$37+BX79*DZ$40+BY79*DZ$41+BZ79*DZ$42+CB79*DZ$45+CC79*DZ$46+CD79*DZ$47+CE79*DZ$48+CF79*DZ$49+CG79*DZ$50+CI79*DZ$53+CJ79*DZ$54+CK79*DZ$55)/AY79</f>
        <v>2.2533152522723645</v>
      </c>
      <c r="EA79" s="26">
        <f>DZ79*$AY79/$CX79</f>
        <v>4.5354507375202644</v>
      </c>
      <c r="EB79" s="676">
        <f>DZ79*$AY79/$CZ79</f>
        <v>1639.9934635930954</v>
      </c>
      <c r="EC79" s="677">
        <f>DZ79*$AY79/$DA79</f>
        <v>135.19891513634187</v>
      </c>
      <c r="ED79" s="410">
        <f>(BC79*ED$12+BD79*ED$13+BE79*ED$14+BG79*ED$17+BH79*ED$18+BI79*ED$19+BK79*ED$22+BL79*ED$23+ED$26*BN79+ED$27*BO79+ED$30*BQ79+BT79*ED$35+BU79*ED$36+BV79*ED$37+BX79*ED$40+BY79*ED$41+BZ79*ED$42+CB79*ED$45+CC79*ED$46+CD79*ED$47+CE79*ED$48+CF79*ED$49+CG79*ED$50+CI79*ED$53+CJ79*ED$54+CK79*ED$55)/AY79</f>
        <v>0.22745639424623468</v>
      </c>
      <c r="EE79" s="73">
        <f>ED79*$AY79</f>
        <v>289.93866574567534</v>
      </c>
      <c r="EF79" s="127">
        <f>ED79*$AY79/$CX79</f>
        <v>0.45782198917681249</v>
      </c>
      <c r="EG79" s="153">
        <f>EF79/$GG79</f>
        <v>3.633507850609623</v>
      </c>
      <c r="EH79" s="679">
        <f>ED79*$AY79/$CZ79</f>
        <v>165.54585490871662</v>
      </c>
      <c r="EI79" s="110">
        <f>ED79*$AY79/$DA79</f>
        <v>13.64738365477408</v>
      </c>
      <c r="EJ79" s="410">
        <f>EK79+EL79+EM79</f>
        <v>0.18169157610223974</v>
      </c>
      <c r="EK79" s="127">
        <f>(BC79*EK$12+BD79*EK$13+BE79*EK$14+BG79*EK$17+BH79*EK$18+BI79*EK$19+BK79*EK$22+BL79*EK$23+EK$26*BN79+EK$27*BO79+EK$30*BQ79+BT79*EK$35+BU79*EK$36+BV79*EK$37+BX79*EK$40+BY79*EK$41+BZ79*EK$42+CB79*EK$45+CC79*EK$46+CD79*EK$47+CE79*EK$48+CF79*EK$49+CG79*EK$50+CI79*EK$53+CJ79*EK$54+CK79*EK$55)/AY79</f>
        <v>9.0616675699790927E-2</v>
      </c>
      <c r="EL79" s="127">
        <f>(BC79*EL$12+BD79*EL$13+BE79*EL$14+BG79*EL$17+BH79*EL$18+BI79*EL$19+BK79*EL$22+BL79*EL$23+EL$26*BN79+EL$27*BO79+EL$30*BQ79+BT79*EL$35+BU79*EL$36+BV79*EL$37+BX79*EL$40+BY79*EL$41+BZ79*EL$42+CB79*EL$45+CC79*EL$46+CD79*EL$47+CE79*EL$48+CF79*EL$49+CG79*EL$50+CI79*EL$53+CJ79*EL$54+CK79*EL$55)/AY79</f>
        <v>6.6551935506587806E-2</v>
      </c>
      <c r="EM79" s="127">
        <f>(BC79*EM$12+BD79*EM$13+BE79*EM$14+BG79*EM$17+BH79*EM$18+BI79*EM$19+BK79*EM$22+BL79*EM$23+EM$26*BN79+EM$27*BO79+EM$30*BQ79+BT79*EM$35+BU79*EM$36+BV79*EM$37+BX79*EM$40+BY79*EM$41+BZ79*EM$42+CB79*EM$45+CC79*EM$46+CD79*EM$47+CE79*EM$48+CF79*EM$49+CG79*EM$50+CI79*EM$53+CJ79*EM$54+CK79*EM$55)/AY79</f>
        <v>2.4522964895860991E-2</v>
      </c>
      <c r="EN79" s="73">
        <f>ES79+ET79+EU79+EV79+EW79+EX79+EY79+EZ79</f>
        <v>1670.7643868166404</v>
      </c>
      <c r="EO79" s="110">
        <f>EN79/CX79</f>
        <v>2.6381878838096329</v>
      </c>
      <c r="EP79" s="153">
        <f>EO79/$GG79</f>
        <v>20.937999077854229</v>
      </c>
      <c r="EQ79" s="73">
        <f>EN79/CZ79</f>
        <v>953.95389247328751</v>
      </c>
      <c r="ER79" s="672">
        <f>EN79/DA79</f>
        <v>78.64271060563145</v>
      </c>
      <c r="ES79" s="73">
        <f>FE79*$DA79</f>
        <v>113.99521999301625</v>
      </c>
      <c r="ET79" s="73">
        <f>FG79*$DA79</f>
        <v>83.721925025903502</v>
      </c>
      <c r="EU79" s="73">
        <f>FJ79*$DA79</f>
        <v>30.849738821208359</v>
      </c>
      <c r="EV79" s="73">
        <f>FM79*$DA79</f>
        <v>298</v>
      </c>
      <c r="EW79" s="73">
        <f>FP79*$DA79</f>
        <v>919.08500297651221</v>
      </c>
      <c r="EX79" s="73">
        <f>FT79*$DA79</f>
        <v>38.75</v>
      </c>
      <c r="EY79" s="73">
        <f>FV79*$DA79</f>
        <v>94.987499999999997</v>
      </c>
      <c r="EZ79" s="73">
        <f>FY79*$DA79</f>
        <v>91.374999999999986</v>
      </c>
      <c r="FA79" s="73">
        <f>ES79+ET79+EU79</f>
        <v>228.5668838401281</v>
      </c>
      <c r="FB79" s="115">
        <f>FA79/CX79</f>
        <v>0.36091407522521413</v>
      </c>
      <c r="FC79" s="73">
        <f>FA79/DA79</f>
        <v>10.758620091321633</v>
      </c>
      <c r="FD79" s="410">
        <f>EK79*$AY79/$CX79</f>
        <v>0.182392351988826</v>
      </c>
      <c r="FE79" s="115">
        <f>FD79*$DF79/$DA79</f>
        <v>5.3657434687228172</v>
      </c>
      <c r="FF79" s="127">
        <f>ET79/$DF79</f>
        <v>0.1339550800414456</v>
      </c>
      <c r="FG79" s="483">
        <f>'Discounting metrics'!$B$6*FH79*$DF79/$DA79/10^3</f>
        <v>3.9407825382868205</v>
      </c>
      <c r="FH79" s="680">
        <f>10^3*EL79*$AY79/$CX79/'Discounting metrics'!$B$6</f>
        <v>0.44951369141424696</v>
      </c>
      <c r="FI79" s="73">
        <f>EU79/$DF79</f>
        <v>4.9359582113933376E-2</v>
      </c>
      <c r="FJ79" s="681">
        <f>'Discounting metrics'!$B$5*FK79*$DF79/$DA79/10^3</f>
        <v>1.452094084311996</v>
      </c>
      <c r="FK79" s="682">
        <f>10^3*EM79*$AY79/$CX79/'Discounting metrics'!$B$5</f>
        <v>1.4517524151156875</v>
      </c>
      <c r="FL79" s="127">
        <f>EV79/$DF79</f>
        <v>0.4768</v>
      </c>
      <c r="FM79" s="681">
        <f>'Discounting metrics'!$B$6*FN79*$DF79/$DA79/10^3</f>
        <v>14.026829842315838</v>
      </c>
      <c r="FN79" s="80">
        <v>1.6</v>
      </c>
      <c r="FO79" s="127">
        <f>EW79/$DF79</f>
        <v>1.4705360047624196</v>
      </c>
      <c r="FP79" s="681">
        <f>'Discounting metrics'!$B$5*FR79*$DF79/$DA79/10^3</f>
        <v>43.26123807844256</v>
      </c>
      <c r="FQ79" s="82">
        <v>6.5000000000000002E-2</v>
      </c>
      <c r="FR79" s="73">
        <f>10^3*FQ79*AY79*GI79/55.7/DF79</f>
        <v>43.251058963600578</v>
      </c>
      <c r="FS79" s="80">
        <v>6.2E-2</v>
      </c>
      <c r="FT79" s="115">
        <f>FS79*$DF79/$DA79</f>
        <v>1.8239585784890562</v>
      </c>
      <c r="FU79" s="127">
        <f>EY79/$DF79</f>
        <v>0.15198</v>
      </c>
      <c r="FV79" s="483">
        <f>'Discounting metrics'!$B$6*FW79*$DF79/$DA79/10^3</f>
        <v>4.4710520122381734</v>
      </c>
      <c r="FW79" s="80">
        <v>0.51</v>
      </c>
      <c r="FX79" s="127">
        <f>EZ79/$DF79</f>
        <v>0.14619999999999997</v>
      </c>
      <c r="FY79" s="483">
        <f>'Discounting metrics'!$B$5*FZ79*$DF79/$DA79/10^3</f>
        <v>4.3010120028241934</v>
      </c>
      <c r="FZ79" s="80">
        <v>4.3</v>
      </c>
      <c r="GA79" s="73">
        <f>DR79*44/12+EF79+EO79</f>
        <v>9.8939436511117673</v>
      </c>
      <c r="GB79" s="677">
        <f>DT79*44/12+EH79+EQ79</f>
        <v>3577.594346411795</v>
      </c>
      <c r="GC79" s="676">
        <f>DU79*44/12+EI79+ER79</f>
        <v>294.93219648148181</v>
      </c>
      <c r="GD79" s="73">
        <f>DV79*44/12+EF79+EO79</f>
        <v>11.391655488339332</v>
      </c>
      <c r="GE79" s="677">
        <f>DX79*44/12+EH79+EQ79</f>
        <v>4119.1585184310352</v>
      </c>
      <c r="GF79" s="676">
        <f>DY79*44/12+EI79+ER79</f>
        <v>339.57803816264055</v>
      </c>
      <c r="GG79" s="52">
        <f>GG99</f>
        <v>0.126</v>
      </c>
      <c r="GI79" s="26">
        <f>(BC79*GI$12+BD79*GI$13+BE79*GI$14+BG79*GI$17+BH79*GI$18+BI79*GI$19+BK79*GI$22+BL79*GI$23+GI$26*BN79+GI$27*BO79+GI$30*BQ79+BT79*GI$35+BU79*GI$36+BV79*GI$37+BX79*GI$40+BY79*GI$41+BZ79*GI$42+CB79*GI$45+CC79*GI$46+CD79*GI$47+CE79*GI$48+CF79*GI$49+CI79*GI$53+CJ79*GI$54+CK79*GI$55+CL79*GI$58)/AY79</f>
        <v>18.17233002239254</v>
      </c>
      <c r="GM79" s="683">
        <f>(BC79*GM$12+BD79*GM$13+BE79*GM$14+BG79*GM$17+BH79*GM$18+BI79*GM$19+BK79*GM$22+BL79*GM$23+GM$26*BN79+GM$27*BO79+GM$30*BQ79+BT79*GM$35+BU79*GM$36+BV79*GM$37+BX79*GM$40+BY79*GM$41+BZ79*GM$42+CB79*GM$45+CC79*GM$46+CD79*GM$47+CE79*GM$48+CF79*GM$49+CI79*GM$53+CJ79*GM$54+CK79*GM$55+CL79*GM$58)/AY79</f>
        <v>9.2589065338337787E-2</v>
      </c>
    </row>
    <row r="80" spans="1:295" x14ac:dyDescent="0.25">
      <c r="A80" s="4"/>
      <c r="J80" s="52"/>
      <c r="AT80" s="74"/>
      <c r="AY80" s="55"/>
      <c r="AZ80" s="55"/>
      <c r="BA80" s="55"/>
      <c r="BB80" s="55"/>
      <c r="BC80" s="73"/>
      <c r="BD80" s="73"/>
      <c r="BE80" s="73"/>
      <c r="BF80" s="55"/>
      <c r="BG80" s="73"/>
      <c r="BH80" s="73"/>
      <c r="BI80" s="73"/>
      <c r="BJ80" s="73"/>
      <c r="BK80" s="73"/>
      <c r="BL80" s="73"/>
      <c r="BM80" s="73"/>
      <c r="BN80" s="73"/>
      <c r="BO80" s="73"/>
      <c r="BP80" s="73"/>
      <c r="BQ80" s="73"/>
      <c r="BR80" s="73"/>
      <c r="BS80" s="55"/>
      <c r="BT80" s="73"/>
      <c r="BU80" s="73"/>
      <c r="BV80" s="73"/>
      <c r="BW80" s="55"/>
      <c r="BX80" s="73"/>
      <c r="BY80" s="73"/>
      <c r="BZ80" s="73"/>
      <c r="CA80" s="73"/>
      <c r="CB80" s="73"/>
      <c r="CC80" s="73"/>
      <c r="CD80" s="73"/>
      <c r="CE80" s="73"/>
      <c r="CF80" s="73"/>
      <c r="CG80" s="73"/>
      <c r="CH80" s="73"/>
      <c r="CI80" s="73"/>
      <c r="CJ80" s="73"/>
      <c r="CK80" s="73"/>
      <c r="CL80" s="73"/>
      <c r="CM80" s="74"/>
      <c r="CN80" s="74"/>
      <c r="CO80" s="74"/>
      <c r="CP80" s="73"/>
      <c r="CQ80" s="73"/>
      <c r="CR80" s="73"/>
      <c r="CW80" s="133"/>
      <c r="CZ80" s="335"/>
      <c r="DD80" s="335"/>
      <c r="DE80" s="133"/>
      <c r="DF80" s="686"/>
      <c r="DH80" s="335"/>
      <c r="DJ80" s="52"/>
      <c r="DN80" s="73"/>
      <c r="DO80" s="115"/>
      <c r="DP80" s="115"/>
      <c r="DT80" s="55"/>
      <c r="ED80" s="335"/>
      <c r="EE80" s="127"/>
      <c r="EF80" s="469"/>
      <c r="EH80" s="74"/>
      <c r="EI80" s="115"/>
      <c r="EK80" s="127"/>
      <c r="EL80" s="127"/>
      <c r="EM80" s="133"/>
      <c r="EN80" s="123"/>
      <c r="EO80" s="153"/>
      <c r="EP80" s="37"/>
      <c r="ER80" s="49"/>
      <c r="ES80" s="474"/>
      <c r="ET80" s="474"/>
      <c r="EU80" s="73"/>
      <c r="EW80" s="681"/>
      <c r="FE80" s="474"/>
      <c r="FF80" s="474"/>
      <c r="FG80" s="179"/>
      <c r="FI80" s="474"/>
      <c r="FJ80" s="73"/>
      <c r="FK80" s="73"/>
      <c r="FL80" s="474"/>
      <c r="FO80" s="474"/>
      <c r="FP80" s="73"/>
      <c r="FR80" s="73"/>
      <c r="FT80" s="115"/>
      <c r="FU80" s="474"/>
      <c r="FX80" s="474"/>
    </row>
    <row r="81" spans="1:295" x14ac:dyDescent="0.25">
      <c r="A81" s="4" t="s">
        <v>795</v>
      </c>
      <c r="H81" s="670">
        <f>J81+N81+Z81*(AA81+AE81)</f>
        <v>1.0029999999999954E-2</v>
      </c>
      <c r="I81" s="670">
        <f>R81+Z81*(AI81+AP81)</f>
        <v>0</v>
      </c>
      <c r="J81" s="63">
        <f>1-N81-R81-U81-X81-Z81</f>
        <v>9.9999999999999534E-3</v>
      </c>
      <c r="K81" s="129">
        <v>0.69</v>
      </c>
      <c r="L81" s="129">
        <v>0.17</v>
      </c>
      <c r="M81" s="130">
        <v>0.14000000000000001</v>
      </c>
      <c r="N81" s="39">
        <v>0</v>
      </c>
      <c r="O81" s="129">
        <v>0.52</v>
      </c>
      <c r="P81" s="129">
        <v>0.16</v>
      </c>
      <c r="Q81" s="130">
        <v>0.32</v>
      </c>
      <c r="R81" s="39">
        <v>0</v>
      </c>
      <c r="S81" s="57">
        <f>C$22</f>
        <v>0.91829596188296059</v>
      </c>
      <c r="T81" s="57">
        <f>C$23</f>
        <v>8.1704038117039385E-2</v>
      </c>
      <c r="U81" s="140">
        <v>7.0000000000000007E-2</v>
      </c>
      <c r="V81" s="129">
        <v>0.9</v>
      </c>
      <c r="W81" s="131">
        <f>1-V81</f>
        <v>9.9999999999999978E-2</v>
      </c>
      <c r="X81" s="139">
        <v>0.62</v>
      </c>
      <c r="Y81" s="129">
        <v>1</v>
      </c>
      <c r="Z81" s="90">
        <v>0.3</v>
      </c>
      <c r="AA81" s="39">
        <v>1E-4</v>
      </c>
      <c r="AB81" s="57">
        <f>C$36</f>
        <v>0.32627633176706616</v>
      </c>
      <c r="AC81" s="57">
        <f>C$35</f>
        <v>0.12306636397233511</v>
      </c>
      <c r="AD81" s="57">
        <f>C$37</f>
        <v>0.55065730426059856</v>
      </c>
      <c r="AE81" s="39">
        <v>0</v>
      </c>
      <c r="AF81" s="57">
        <f>C$40</f>
        <v>0.46292585170340678</v>
      </c>
      <c r="AG81" s="57">
        <f>C$41</f>
        <v>0.21643286573146289</v>
      </c>
      <c r="AH81" s="57">
        <f>C$42</f>
        <v>0.32064128256513025</v>
      </c>
      <c r="AI81" s="141">
        <v>0</v>
      </c>
      <c r="AJ81" s="131">
        <f>C$45</f>
        <v>0.66906282055683264</v>
      </c>
      <c r="AK81" s="131">
        <f>C$46</f>
        <v>2.0464179068278004E-2</v>
      </c>
      <c r="AL81" s="131">
        <f>C$47</f>
        <v>0.10457441214444914</v>
      </c>
      <c r="AM81" s="131">
        <f>C$48</f>
        <v>6.6603941068190814E-2</v>
      </c>
      <c r="AN81" s="131">
        <f>C$49</f>
        <v>3.7777291743479158E-2</v>
      </c>
      <c r="AO81" s="132">
        <f>C$50</f>
        <v>0.10151735541877024</v>
      </c>
      <c r="AP81" s="138">
        <v>0</v>
      </c>
      <c r="AQ81" s="131">
        <f>C$53</f>
        <v>0.27362401715511081</v>
      </c>
      <c r="AR81" s="131">
        <f>C$54</f>
        <v>0.12094353109363824</v>
      </c>
      <c r="AS81" s="131">
        <f>C$55</f>
        <v>0.60543245175125082</v>
      </c>
      <c r="AT81" s="53">
        <f>1-AA81-AE81-AI81-AP81</f>
        <v>0.99990000000000001</v>
      </c>
      <c r="AU81" s="671">
        <f>Z81*AT81</f>
        <v>0.29997000000000001</v>
      </c>
      <c r="AV81" s="390">
        <f>AW81*DA81/DF81</f>
        <v>9.9468750000000004</v>
      </c>
      <c r="AW81" s="112">
        <v>150</v>
      </c>
      <c r="AX81" s="73">
        <f>BA81/DA81</f>
        <v>1.5044999999999931</v>
      </c>
      <c r="AY81" s="673">
        <f>AW81*DA81</f>
        <v>238.72500000000002</v>
      </c>
      <c r="AZ81" s="55">
        <f>BB81+BF81+BJ81</f>
        <v>2.3872499999999892</v>
      </c>
      <c r="BA81" s="673">
        <f>AZ81+BS81+BW81+CA81+CH81</f>
        <v>2.3944117499999891</v>
      </c>
      <c r="BB81" s="55">
        <f>SUM(BC81:BE81)</f>
        <v>2.3872499999999892</v>
      </c>
      <c r="BC81" s="73">
        <f>$AY81*$J81*K81</f>
        <v>1.6472024999999924</v>
      </c>
      <c r="BD81" s="73">
        <f>$AY81*$J81*L81</f>
        <v>0.40583249999999821</v>
      </c>
      <c r="BE81" s="73">
        <f>$AY81*$J81*M81</f>
        <v>0.33421499999999854</v>
      </c>
      <c r="BF81" s="55">
        <f>SUM(BG81:BI81)</f>
        <v>0</v>
      </c>
      <c r="BG81" s="73">
        <f>$AY81*$N81*O81</f>
        <v>0</v>
      </c>
      <c r="BH81" s="73">
        <f>$AY81*$N81*P81</f>
        <v>0</v>
      </c>
      <c r="BI81" s="73">
        <f>$AY81*$N81*Q81</f>
        <v>0</v>
      </c>
      <c r="BJ81" s="629">
        <f>SUM(BK81:BL81)</f>
        <v>0</v>
      </c>
      <c r="BK81" s="73">
        <f>$AY81*$R81*S81</f>
        <v>0</v>
      </c>
      <c r="BL81" s="73">
        <f>$AY81*$R81*T81</f>
        <v>0</v>
      </c>
      <c r="BM81" s="674">
        <f>SUM(BN81:BO81)</f>
        <v>16.710750000000004</v>
      </c>
      <c r="BN81" s="73">
        <f>$AY81*$U81*V81</f>
        <v>15.039675000000004</v>
      </c>
      <c r="BO81" s="73">
        <f>$AY81*$U81*W81</f>
        <v>1.6710750000000001</v>
      </c>
      <c r="BP81" s="674">
        <f>SUM(BQ81:BQ81)</f>
        <v>148.0095</v>
      </c>
      <c r="BQ81" s="73">
        <f>$AY81*$X81*Y81</f>
        <v>148.0095</v>
      </c>
      <c r="BR81" s="68">
        <f>BS81+BW81+CA81+CH81+CL81</f>
        <v>71.617500000000007</v>
      </c>
      <c r="BS81" s="55">
        <f>SUM(BT81:BV81)</f>
        <v>7.1617499999999997E-3</v>
      </c>
      <c r="BT81" s="73">
        <f>$AY81*$Z81*$AA81*AC81</f>
        <v>8.813705321788712E-4</v>
      </c>
      <c r="BU81" s="73">
        <f>$AY81*$Z81*$AA81*AB81</f>
        <v>2.3367095190327866E-3</v>
      </c>
      <c r="BV81" s="73">
        <f>$AY81*$Z81*$AA81*AD81</f>
        <v>3.9436699487883425E-3</v>
      </c>
      <c r="BW81" s="55">
        <f>SUM(BX81:BZ81)</f>
        <v>0</v>
      </c>
      <c r="BX81" s="73">
        <f>$AY81*$Z81*$AE81*AF81</f>
        <v>0</v>
      </c>
      <c r="BY81" s="73">
        <f>$AY81*$Z81*$AE81*AG81</f>
        <v>0</v>
      </c>
      <c r="BZ81" s="73">
        <f>$AY81*$Z81*$AE81*AH81</f>
        <v>0</v>
      </c>
      <c r="CA81" s="73">
        <f>SUM(CB81:CG81)</f>
        <v>0</v>
      </c>
      <c r="CB81" s="73">
        <f t="shared" ref="CB81:CG81" si="34">$AY81*$Z81*$AI81*AJ81</f>
        <v>0</v>
      </c>
      <c r="CC81" s="73">
        <f t="shared" si="34"/>
        <v>0</v>
      </c>
      <c r="CD81" s="73">
        <f t="shared" si="34"/>
        <v>0</v>
      </c>
      <c r="CE81" s="73">
        <f t="shared" si="34"/>
        <v>0</v>
      </c>
      <c r="CF81" s="73">
        <f t="shared" si="34"/>
        <v>0</v>
      </c>
      <c r="CG81" s="73">
        <f t="shared" si="34"/>
        <v>0</v>
      </c>
      <c r="CH81" s="55">
        <f>SUM(CI81:CK81)</f>
        <v>0</v>
      </c>
      <c r="CI81" s="73">
        <f>$AY81*$Z81*$AP81*AQ81</f>
        <v>0</v>
      </c>
      <c r="CJ81" s="73">
        <f>$AY81*$Z81*$AP81*AR81</f>
        <v>0</v>
      </c>
      <c r="CK81" s="73">
        <f>$AY81*$Z81*$AP81*AS81</f>
        <v>0</v>
      </c>
      <c r="CL81" s="675">
        <f>$AY81*$Z81*AT81</f>
        <v>71.610338250000012</v>
      </c>
      <c r="CM81" s="97">
        <f>(BC81*CM$12+BD81*CM$13+BE81*CM$14+BG81*CM$17+BH81*CM$18+BI81*CM$19+BK81*CM$22+BL81*CM$23+CM$26*BN81+CM$27*BO81+CM$30*BQ81+BT81*CM$35+BU81*CM$36+BV81*CM$37+BX81*CM$40+BY81*CM$41+BZ81*CM$42+CB81*CM$45+CC81*CM$46+CD81*CM$47+CE81*CM$48+CF81*CM$49+CI81*CM$53+CJ81*CM$54+CK81*CM$55)/AY81</f>
        <v>7.8814782779120636</v>
      </c>
      <c r="CN81" s="97">
        <f>IF((BB81+BF81+BJ81+BM81)&gt;0,(BC81*CM$12+BD81*CM$13+BE81*CM$14+BG81*CM$17+BH81*CM$18+BI81*CM$19+BK81*CM$22+BL81*CM$23+CM$26*BN81+CM$27*BO81)/(BB81+BF81+BJ81+BM81),0)</f>
        <v>2.3634490265428689</v>
      </c>
      <c r="CO81" s="97">
        <f>(BT81*CM$35+BU81*CM$36+BV81*CM$37+BX81*CM$40+BY81*CM$41+BZ81*CM$42+CB81*CM$45+CC81*CM$46+CD81*CM$47+CE81*CM$48+CF81*CM$49+CI81*CM$53+CJ81*CM$54+CK81*CM$55)/(BS81+BW81+CA81+CH81)</f>
        <v>3.1554493647556527</v>
      </c>
      <c r="CP81" s="68">
        <f>CM$30*BQ81/BP81</f>
        <v>12.406947890818858</v>
      </c>
      <c r="CQ81" s="68">
        <f>10*(CT81+CU81)/DA81</f>
        <v>28.375587840655811</v>
      </c>
      <c r="CR81" s="68">
        <f>10*CW81/$DA81</f>
        <v>1153.8461538461538</v>
      </c>
      <c r="CS81" s="261">
        <f>CM81*AY81/10</f>
        <v>188.15059018945576</v>
      </c>
      <c r="CT81" s="107">
        <f>CN81*(BB81+BF81+BJ81+BM81)/10</f>
        <v>4.5137149508915693</v>
      </c>
      <c r="CU81" s="107">
        <f>CO81*(BS81+BW81+CA81+CH81)/10</f>
        <v>2.2598539488038792E-3</v>
      </c>
      <c r="CV81" s="107">
        <f>CP81*BP81/10</f>
        <v>183.63461538461539</v>
      </c>
      <c r="CW81" s="144">
        <f>CM$30*BQ81/10</f>
        <v>183.63461538461539</v>
      </c>
      <c r="CX81" s="26">
        <f>DB81+DF81</f>
        <v>26.7</v>
      </c>
      <c r="CY81" s="26">
        <f t="shared" ref="CY81:DA81" si="35">DC81+DG81</f>
        <v>4.7069999999999999</v>
      </c>
      <c r="CZ81" s="335">
        <f t="shared" si="35"/>
        <v>0.11895</v>
      </c>
      <c r="DA81" s="26">
        <f t="shared" si="35"/>
        <v>1.5915000000000001</v>
      </c>
      <c r="DB81" s="80">
        <v>2.7</v>
      </c>
      <c r="DC81" s="26">
        <f>DB81*GG$96</f>
        <v>1.107</v>
      </c>
      <c r="DD81" s="335">
        <f>DB81*GJ$96/10^3</f>
        <v>2.2950000000000002E-2</v>
      </c>
      <c r="DE81" s="26">
        <f>DB81*GL$96</f>
        <v>0.39150000000000001</v>
      </c>
      <c r="DF81" s="84">
        <v>24</v>
      </c>
      <c r="DG81" s="26">
        <f>DF81*GG100</f>
        <v>3.5999999999999996</v>
      </c>
      <c r="DH81" s="335">
        <f>DF81*GJ100/10^3</f>
        <v>9.6000000000000002E-2</v>
      </c>
      <c r="DI81" s="26">
        <f>DF81*GL100</f>
        <v>1.2000000000000002</v>
      </c>
      <c r="DN81" s="68"/>
      <c r="DO81" s="263">
        <f>10*DQ81/CM81</f>
        <v>1.5693091499935785</v>
      </c>
      <c r="DP81" s="272">
        <f>(BC81*DP$12+BD81*DP$13+BE81*DP$14+BG81*DP$17+BH81*DP$18+BI81*DP$19+BK81*DP$22+BL81*DP$23+DP$26*BN81+DP$27*BO81+DP$30*BQ81+BT81*DP$35+BU81*DP$36+BV81*DP$37+BX81*DP$40+BY81*DP$41+BZ81*DP$42+CB81*DP$45+CC81*DP$46+CD81*DP$47+CE81*DP$48+CF81*DP$49+CG81*DP$50+CI81*DP$53+CJ81*DP$54+CK81*DP$55)/AY81</f>
        <v>1.0106052877486544</v>
      </c>
      <c r="DQ81" s="143">
        <f>(BC81*DQ$12+BD81*DQ$13+BE81*DQ$14+BG81*DQ$17+BH81*DQ$18+BI81*DQ$19+BK81*DQ$22+BL81*DQ$23+DQ$26*BN81+DQ$27*BO81+DQ$30*BQ81+BT81*DQ$35+BU81*DQ$36+BV81*DQ$37+BX81*DQ$40+BY81*DQ$41+BZ81*DQ$42+CB81*DQ$45+CC81*DQ$46+CD81*DQ$47+CE81*DQ$48+CF81*DQ$49+CG81*DQ$50+CI81*DQ$53+CJ81*DQ$54+CK81*DQ$55)/AY81</f>
        <v>1.2368475977003033</v>
      </c>
      <c r="DR81" s="26">
        <f>DP81*$AY81/$CX81</f>
        <v>9.035833232876314</v>
      </c>
      <c r="DS81" s="153">
        <f>DR81/$GG81</f>
        <v>60.238888219175429</v>
      </c>
      <c r="DT81" s="676">
        <f>DP81*$AY81/$CZ81</f>
        <v>2028.2198177200301</v>
      </c>
      <c r="DU81" s="677">
        <f>DP81*$AY81/$DA81</f>
        <v>151.59079316229818</v>
      </c>
      <c r="DV81" s="26">
        <f>DQ81*$AY81/$CX81</f>
        <v>11.058668268202434</v>
      </c>
      <c r="DW81" s="153">
        <f>DV81/$GG81</f>
        <v>73.724455121349564</v>
      </c>
      <c r="DX81" s="676">
        <f>DQ81*$AY81/$CZ81</f>
        <v>2482.2735835309368</v>
      </c>
      <c r="DY81" s="677">
        <f>DQ81*$AY81/$DA81</f>
        <v>185.52713965504552</v>
      </c>
      <c r="DZ81" s="678">
        <f>(BC81*DZ$12+BD81*DZ$13+BE81*DZ$14+BG81*DZ$17+BH81*DZ$18+BI81*DZ$19+BK81*DZ$22+BL81*DZ$23+DZ$26*BN81+DZ$27*BO81+DZ$30*BQ81+BT81*DZ$35+BU81*DZ$36+BV81*DZ$37+BX81*DZ$40+BY81*DZ$41+BZ81*DZ$42+CB81*DZ$45+CC81*DZ$46+CD81*DZ$47+CE81*DZ$48+CF81*DZ$49+CG81*DZ$50+CI81*DZ$53+CJ81*DZ$54+CK81*DZ$55)/AY81</f>
        <v>2.4794644364142591</v>
      </c>
      <c r="EA81" s="26">
        <f>DZ81*$AY81/$CX81</f>
        <v>22.168919385130863</v>
      </c>
      <c r="EB81" s="676">
        <f>DZ81*$AY81/$CZ81</f>
        <v>4976.1256627405965</v>
      </c>
      <c r="EC81" s="677">
        <f>DZ81*$AY81/$DA81</f>
        <v>371.91966546213882</v>
      </c>
      <c r="ED81" s="410">
        <f>(BC81*ED$12+BD81*ED$13+BE81*ED$14+BG81*ED$17+BH81*ED$18+BI81*ED$19+BK81*ED$22+BL81*ED$23+ED$26*BN81+ED$27*BO81+ED$30*BQ81+BT81*ED$35+BU81*ED$36+BV81*ED$37+BX81*ED$40+BY81*ED$41+BZ81*ED$42+CB81*ED$45+CC81*ED$46+CD81*ED$47+CE81*ED$48+CF81*ED$49+CG81*ED$50+CI81*ED$53+CJ81*ED$54+CK81*ED$55)/AY81</f>
        <v>0.24397735394411674</v>
      </c>
      <c r="EE81" s="73">
        <f>ED81*$AY81</f>
        <v>58.243493820309276</v>
      </c>
      <c r="EF81" s="127">
        <f>ED81*$AY81/$CX81</f>
        <v>2.1814042629329315</v>
      </c>
      <c r="EG81" s="153">
        <f>EF81/$GG81</f>
        <v>14.542695086219544</v>
      </c>
      <c r="EH81" s="679">
        <f>ED81*$AY81/$CZ81</f>
        <v>489.64685851457989</v>
      </c>
      <c r="EI81" s="110">
        <f>ED81*$AY81/$DA81</f>
        <v>36.59660309161751</v>
      </c>
      <c r="EJ81" s="410">
        <f>EK81+EL81+EM81</f>
        <v>7.5118267062198721E-2</v>
      </c>
      <c r="EK81" s="127">
        <f>(BC81*EK$12+BD81*EK$13+BE81*EK$14+BG81*EK$17+BH81*EK$18+BI81*EK$19+BK81*EK$22+BL81*EK$23+EK$26*BN81+EK$27*BO81+EK$30*BQ81+BT81*EK$35+BU81*EK$36+BV81*EK$37+BX81*EK$40+BY81*EK$41+BZ81*EK$42+CB81*EK$45+CC81*EK$46+CD81*EK$47+CE81*EK$48+CF81*EK$49+CG81*EK$50+CI81*EK$53+CJ81*EK$54+CK81*EK$55)/AY81</f>
        <v>4.2150175208182865E-2</v>
      </c>
      <c r="EL81" s="127">
        <f>(BC81*EL$12+BD81*EL$13+BE81*EL$14+BG81*EL$17+BH81*EL$18+BI81*EL$19+BK81*EL$22+BL81*EL$23+EL$26*BN81+EL$27*BO81+EL$30*BQ81+BT81*EL$35+BU81*EL$36+BV81*EL$37+BX81*EL$40+BY81*EL$41+BZ81*EL$42+CB81*EL$45+CC81*EL$46+CD81*EL$47+CE81*EL$48+CF81*EL$49+CG81*EL$50+CI81*EL$53+CJ81*EL$54+CK81*EL$55)/AY81</f>
        <v>3.294142470506508E-2</v>
      </c>
      <c r="EM81" s="127">
        <f>(BC81*EM$12+BD81*EM$13+BE81*EM$14+BG81*EM$17+BH81*EM$18+BI81*EM$19+BK81*EM$22+BL81*EM$23+EM$26*BN81+EM$27*BO81+EM$30*BQ81+BT81*EM$35+BU81*EM$36+BV81*EM$37+BX81*EM$40+BY81*EM$41+BZ81*EM$42+CB81*EM$45+CC81*EM$46+CD81*EM$47+CE81*EM$48+CF81*EM$49+CG81*EM$50+CI81*EM$53+CJ81*EM$54+CK81*EM$55)/AY81</f>
        <v>2.6667148950769552E-5</v>
      </c>
      <c r="EN81" s="73">
        <f>ES81+ET81+EU81+EV81+EW81+EX81+EY81+EZ81</f>
        <v>224.74623376947665</v>
      </c>
      <c r="EO81" s="110">
        <f>EN81/CX81</f>
        <v>8.4174619389317105</v>
      </c>
      <c r="EP81" s="153">
        <f>EO81/$GG81</f>
        <v>56.116412926211403</v>
      </c>
      <c r="EQ81" s="73">
        <f>EN81/CZ81</f>
        <v>1889.4176861662602</v>
      </c>
      <c r="ER81" s="672">
        <f>EN81/DA81</f>
        <v>141.21660934305788</v>
      </c>
      <c r="ES81" s="73">
        <f>FE81*$DA81</f>
        <v>9.0447645632120945</v>
      </c>
      <c r="ET81" s="73">
        <f>FG81*$DA81</f>
        <v>7.0687115619925054</v>
      </c>
      <c r="EU81" s="73">
        <f>FJ81*$DA81</f>
        <v>5.7223506815932247E-3</v>
      </c>
      <c r="EV81" s="73">
        <f>FM81*$DA81</f>
        <v>24.316800000000001</v>
      </c>
      <c r="EW81" s="73">
        <f>FP81*$DA81</f>
        <v>171.97567529359043</v>
      </c>
      <c r="EX81" s="115">
        <f>FT81*$DA81</f>
        <v>2.4000000000000004</v>
      </c>
      <c r="EY81" s="73">
        <f>FV81*$DA81</f>
        <v>5.9361599999999992</v>
      </c>
      <c r="EZ81" s="115">
        <f>FY81*$DA81</f>
        <v>3.9984000000000006</v>
      </c>
      <c r="FA81" s="73">
        <f>ES81+ET81+EU81</f>
        <v>16.119198475886193</v>
      </c>
      <c r="FB81" s="115">
        <f>FA81/CX81</f>
        <v>0.60371529872232932</v>
      </c>
      <c r="FC81" s="73">
        <f>FA81/DA81</f>
        <v>10.128305671307691</v>
      </c>
      <c r="FD81" s="410">
        <f>EK81*$AY81/$CX81</f>
        <v>0.37686519013383729</v>
      </c>
      <c r="FE81" s="73">
        <f>FD81*$DF81/$DA81</f>
        <v>5.6831696909909484</v>
      </c>
      <c r="FF81" s="127">
        <f>ET81/$DF81</f>
        <v>0.29452964841635437</v>
      </c>
      <c r="FG81" s="483">
        <f>'Discounting metrics'!$B$6*FH81*$DF81/$DA81/10^3</f>
        <v>4.4415404096716964</v>
      </c>
      <c r="FH81" s="680">
        <f>10^3*EL81*$AY81/$CX81/'Discounting metrics'!$B$6</f>
        <v>0.9883545248870953</v>
      </c>
      <c r="FI81" s="73">
        <f>EU81/$DF81</f>
        <v>2.3843127839971769E-4</v>
      </c>
      <c r="FJ81" s="681">
        <f>'Discounting metrics'!$B$5*FK81*$DF81/$DA81/10^3</f>
        <v>3.5955706450475806E-3</v>
      </c>
      <c r="FK81" s="682">
        <f>10^3*EM81*$AY81/$CX81/'Discounting metrics'!$B$5</f>
        <v>7.0126846588152263E-3</v>
      </c>
      <c r="FL81" s="127">
        <f>EV81/$DF81</f>
        <v>1.0132000000000001</v>
      </c>
      <c r="FM81" s="681">
        <f>'Discounting metrics'!$B$6*FN81*$DF81/$DA81/10^3</f>
        <v>15.279170593779453</v>
      </c>
      <c r="FN81" s="80">
        <v>3.4</v>
      </c>
      <c r="FO81" s="127">
        <f>EW81/$DF81</f>
        <v>7.1656531372329342</v>
      </c>
      <c r="FP81" s="681">
        <f>'Discounting metrics'!$B$5*FR81*$DF81/$DA81/10^3</f>
        <v>108.05885975092077</v>
      </c>
      <c r="FQ81" s="82">
        <v>6.5000000000000002E-2</v>
      </c>
      <c r="FR81" s="73">
        <f>10^3*FQ81*AY81*GI81/55.7/DF81</f>
        <v>210.75450403626277</v>
      </c>
      <c r="FS81" s="687">
        <v>0.1</v>
      </c>
      <c r="FT81" s="115">
        <f>FS81*$DF81/$DA81</f>
        <v>1.5080113100848258</v>
      </c>
      <c r="FU81" s="127">
        <f>EY81/$DF81</f>
        <v>0.24733999999999998</v>
      </c>
      <c r="FV81" s="483">
        <f>'Discounting metrics'!$B$6*FW81*$DF81/$DA81/10^3</f>
        <v>3.729915174363807</v>
      </c>
      <c r="FW81" s="80">
        <v>0.83</v>
      </c>
      <c r="FX81" s="127">
        <f>EZ81/$DF81</f>
        <v>0.16660000000000003</v>
      </c>
      <c r="FY81" s="483">
        <f>'Discounting metrics'!$B$5*FZ81*$DF81/$DA81/10^3</f>
        <v>2.5123468426013198</v>
      </c>
      <c r="FZ81" s="80">
        <v>4.9000000000000004</v>
      </c>
      <c r="GA81" s="73">
        <f>DR81*44/12+EF81+EO81</f>
        <v>43.730254722411125</v>
      </c>
      <c r="GB81" s="677">
        <f>DT81*44/12+EH81+EQ81</f>
        <v>9815.8705429876172</v>
      </c>
      <c r="GC81" s="676">
        <f>DU81*44/12+EI81+ER81</f>
        <v>733.64612069643545</v>
      </c>
      <c r="GD81" s="73">
        <f>DV81*44/12+EF81+EO81</f>
        <v>51.147316518606893</v>
      </c>
      <c r="GE81" s="677">
        <f>DX81*44/12+EH81+EQ81</f>
        <v>11480.734350960942</v>
      </c>
      <c r="GF81" s="676">
        <f>DY81*44/12+EI81+ER81</f>
        <v>858.07939116984221</v>
      </c>
      <c r="GG81" s="52">
        <f>GG100</f>
        <v>0.15</v>
      </c>
      <c r="GI81" s="26">
        <f>(BC81*GI$12+BD81*GI$13+BE81*GI$14+BG81*GI$17+BH81*GI$18+BI81*GI$19+BK81*GI$22+BL81*GI$23+GI$26*BN81+GI$27*BO81+GI$30*BQ81+BT81*GI$35+BU81*GI$36+BV81*GI$37+BX81*GI$40+BY81*GI$41+BZ81*GI$42+CB81*GI$45+CC81*GI$46+CD81*GI$47+CE81*GI$48+CF81*GI$49+CI81*GI$53+CJ81*GI$54+CK81*GI$55+CL81*GI$58)/AY81</f>
        <v>18.156496193442795</v>
      </c>
      <c r="GM81" s="683">
        <f>(BC81*GM$12+BD81*GM$13+BE81*GM$14+BG81*GM$17+BH81*GM$18+BI81*GM$19+BK81*GM$22+BL81*GM$23+GM$26*BN81+GM$27*BO81+GM$30*BQ81+BT81*GM$35+BU81*GM$36+BV81*GM$37+BX81*GM$40+BY81*GM$41+BZ81*GM$42+CB81*GM$45+CC81*GM$46+CD81*GM$47+CE81*GM$48+CF81*GM$49+CI81*GM$53+CJ81*GM$54+CK81*GM$55+CL81*GM$58)/AY81</f>
        <v>7.7252799196452129E-2</v>
      </c>
    </row>
    <row r="82" spans="1:295" x14ac:dyDescent="0.25">
      <c r="AT82" s="74"/>
      <c r="AY82" s="55"/>
      <c r="AZ82" s="55"/>
      <c r="BA82" s="55"/>
      <c r="BB82" s="55"/>
      <c r="BC82" s="73"/>
      <c r="BD82" s="73"/>
      <c r="BE82" s="73"/>
      <c r="BF82" s="55"/>
      <c r="BG82" s="73"/>
      <c r="BH82" s="73"/>
      <c r="BI82" s="73"/>
      <c r="BJ82" s="73"/>
      <c r="BK82" s="73"/>
      <c r="BL82" s="73"/>
      <c r="BM82" s="73"/>
      <c r="BN82" s="73"/>
      <c r="BO82" s="73"/>
      <c r="BP82" s="73"/>
      <c r="BQ82" s="73"/>
      <c r="BR82" s="73"/>
      <c r="BS82" s="55"/>
      <c r="BT82" s="73"/>
      <c r="BU82" s="73"/>
      <c r="BV82" s="73"/>
      <c r="BW82" s="55"/>
      <c r="BX82" s="73"/>
      <c r="BY82" s="73"/>
      <c r="BZ82" s="73"/>
      <c r="CA82" s="73"/>
      <c r="CB82" s="73"/>
      <c r="CC82" s="73"/>
      <c r="CD82" s="73"/>
      <c r="CE82" s="73"/>
      <c r="CF82" s="73"/>
      <c r="CG82" s="73"/>
      <c r="CH82" s="73"/>
      <c r="CI82" s="73"/>
      <c r="CJ82" s="73"/>
      <c r="CK82" s="73"/>
      <c r="CL82" s="73"/>
      <c r="CM82" s="74"/>
      <c r="CN82" s="74"/>
      <c r="CO82" s="74"/>
      <c r="CP82" s="74"/>
      <c r="CQ82" s="55"/>
      <c r="CR82" s="55"/>
      <c r="DD82" s="335"/>
      <c r="DN82" s="73"/>
      <c r="DO82" s="74"/>
      <c r="DP82" s="115"/>
      <c r="DT82" s="55"/>
      <c r="EE82" s="74"/>
      <c r="EF82" s="127"/>
      <c r="EH82" s="74"/>
      <c r="EI82" s="115"/>
      <c r="EK82" s="74"/>
      <c r="EP82" s="37"/>
    </row>
    <row r="83" spans="1:295" ht="13.8" x14ac:dyDescent="0.3">
      <c r="A83" s="44" t="s">
        <v>118</v>
      </c>
      <c r="AT83" s="74"/>
      <c r="AV83" s="115">
        <f>AY83/CX83</f>
        <v>3.8719598308668073</v>
      </c>
      <c r="AW83" s="55">
        <f>AY83/DA83</f>
        <v>30.124796447076239</v>
      </c>
      <c r="AY83" s="73">
        <f>AY87+AY89+AY91</f>
        <v>915.71849999999995</v>
      </c>
      <c r="AZ83" s="55"/>
      <c r="BA83" s="55"/>
      <c r="BB83" s="55"/>
      <c r="BC83" s="73"/>
      <c r="BD83" s="73"/>
      <c r="BE83" s="73"/>
      <c r="BF83" s="55"/>
      <c r="BG83" s="73"/>
      <c r="BH83" s="73"/>
      <c r="BI83" s="73"/>
      <c r="BJ83" s="73"/>
      <c r="BK83" s="73"/>
      <c r="BL83" s="73"/>
      <c r="BM83" s="73"/>
      <c r="BN83" s="73"/>
      <c r="BO83" s="73"/>
      <c r="BP83" s="73"/>
      <c r="BQ83" s="73"/>
      <c r="BR83" s="73"/>
      <c r="BS83" s="55"/>
      <c r="BT83" s="73"/>
      <c r="BU83" s="73"/>
      <c r="BV83" s="73"/>
      <c r="BW83" s="55"/>
      <c r="BX83" s="73"/>
      <c r="BY83" s="73"/>
      <c r="BZ83" s="73"/>
      <c r="CA83" s="73"/>
      <c r="CB83" s="73"/>
      <c r="CC83" s="73"/>
      <c r="CD83" s="73"/>
      <c r="CE83" s="73"/>
      <c r="CF83" s="73"/>
      <c r="CG83" s="73"/>
      <c r="CH83" s="73"/>
      <c r="CI83" s="73"/>
      <c r="CJ83" s="73"/>
      <c r="CK83" s="73"/>
      <c r="CL83" s="73"/>
      <c r="CM83" s="74"/>
      <c r="CN83" s="74"/>
      <c r="CO83" s="74"/>
      <c r="CP83" s="74"/>
      <c r="CQ83" s="55"/>
      <c r="CR83" s="55"/>
      <c r="CS83" s="73">
        <f>CS87+CS89+CS91</f>
        <v>270.41620677911578</v>
      </c>
      <c r="CT83" s="73">
        <f t="shared" ref="CT83:CU83" si="36">CT87+CT89+CT91</f>
        <v>209.30069596206332</v>
      </c>
      <c r="CU83" s="73">
        <f t="shared" si="36"/>
        <v>61.115510817052467</v>
      </c>
      <c r="CX83" s="73">
        <f t="shared" ref="CX83:CZ83" si="37">CX87+CX89+CX91</f>
        <v>236.5</v>
      </c>
      <c r="CY83" s="73">
        <f t="shared" si="37"/>
        <v>90.649000000000001</v>
      </c>
      <c r="CZ83" s="115">
        <f t="shared" si="37"/>
        <v>1.7560799999999999</v>
      </c>
      <c r="DA83" s="73">
        <f>DA87+DA89+DA91</f>
        <v>30.397500000000001</v>
      </c>
      <c r="DB83" s="73"/>
      <c r="DC83" s="115"/>
      <c r="DD83" s="115"/>
      <c r="DE83" s="115"/>
      <c r="DF83" s="115"/>
      <c r="DG83" s="115"/>
      <c r="DH83" s="115"/>
      <c r="DI83" s="115"/>
      <c r="DN83" s="73"/>
      <c r="DO83" s="74"/>
      <c r="DP83" s="115"/>
      <c r="DT83" s="55"/>
      <c r="EE83" s="74"/>
      <c r="EF83" s="127"/>
      <c r="EH83" s="74"/>
      <c r="EI83" s="115"/>
      <c r="EK83" s="74"/>
      <c r="EL83" s="74"/>
      <c r="EM83" s="74"/>
      <c r="EN83" s="672">
        <f>EN87+EN89+EN91</f>
        <v>1038.2131301116017</v>
      </c>
      <c r="EO83" s="115">
        <f>EN83/CX83</f>
        <v>4.3899075268989503</v>
      </c>
      <c r="EP83" s="37"/>
      <c r="ER83" s="73">
        <f>EN83/DA83</f>
        <v>34.154556463906623</v>
      </c>
      <c r="FA83" s="73">
        <f t="shared" ref="FA83" si="38">FA87+FA89+FA91</f>
        <v>491.51859167803821</v>
      </c>
      <c r="FB83" s="73"/>
      <c r="FC83" s="73"/>
    </row>
    <row r="84" spans="1:295" s="54" customFormat="1" x14ac:dyDescent="0.25">
      <c r="A84" s="54" t="s">
        <v>842</v>
      </c>
      <c r="AO84" s="133"/>
      <c r="AT84" s="133"/>
      <c r="AV84" s="665">
        <f>AY84/CX84</f>
        <v>3.304267605633803</v>
      </c>
      <c r="AW84" s="688">
        <f>AY84/DA84</f>
        <v>26.598979591836734</v>
      </c>
      <c r="AX84" s="133"/>
      <c r="AY84" s="689">
        <f>AY89+AY91</f>
        <v>469.20600000000002</v>
      </c>
      <c r="AZ84" s="689"/>
      <c r="BA84" s="689"/>
      <c r="BB84" s="689"/>
      <c r="BC84" s="474"/>
      <c r="BD84" s="474"/>
      <c r="BE84" s="474"/>
      <c r="BF84" s="689"/>
      <c r="BG84" s="474"/>
      <c r="BH84" s="474"/>
      <c r="BI84" s="474"/>
      <c r="BJ84" s="474"/>
      <c r="BK84" s="474"/>
      <c r="BL84" s="474"/>
      <c r="BM84" s="474"/>
      <c r="BN84" s="474"/>
      <c r="BO84" s="474"/>
      <c r="BP84" s="474"/>
      <c r="BQ84" s="474"/>
      <c r="BR84" s="474"/>
      <c r="BS84" s="689"/>
      <c r="BT84" s="474"/>
      <c r="BU84" s="474"/>
      <c r="BV84" s="474"/>
      <c r="BW84" s="689"/>
      <c r="BX84" s="474"/>
      <c r="BY84" s="474"/>
      <c r="BZ84" s="474"/>
      <c r="CA84" s="474"/>
      <c r="CB84" s="474"/>
      <c r="CC84" s="474"/>
      <c r="CD84" s="474"/>
      <c r="CE84" s="474"/>
      <c r="CF84" s="474"/>
      <c r="CG84" s="474"/>
      <c r="CH84" s="474"/>
      <c r="CI84" s="474"/>
      <c r="CJ84" s="474"/>
      <c r="CK84" s="474"/>
      <c r="CL84" s="474"/>
      <c r="CM84" s="133"/>
      <c r="CN84" s="133"/>
      <c r="CO84" s="133"/>
      <c r="CP84" s="133"/>
      <c r="CQ84" s="144">
        <f>10*(CT84+CU84)/DA84</f>
        <v>81.870816933287472</v>
      </c>
      <c r="CR84" s="689"/>
      <c r="CS84" s="689">
        <f t="shared" ref="CS84:CU84" si="39">CS89+CS91</f>
        <v>144.42012107031911</v>
      </c>
      <c r="CT84" s="689">
        <f t="shared" si="39"/>
        <v>109.97053946434301</v>
      </c>
      <c r="CU84" s="689">
        <f t="shared" si="39"/>
        <v>34.449581605976114</v>
      </c>
      <c r="CX84" s="690">
        <f t="shared" ref="CX84:DA84" si="40">CX89+CX91</f>
        <v>142</v>
      </c>
      <c r="CY84" s="689">
        <f t="shared" si="40"/>
        <v>51.903999999999996</v>
      </c>
      <c r="CZ84" s="689">
        <f t="shared" si="40"/>
        <v>0.92447999999999997</v>
      </c>
      <c r="DA84" s="665">
        <f t="shared" si="40"/>
        <v>17.64</v>
      </c>
      <c r="DB84" s="689"/>
      <c r="DC84" s="689"/>
      <c r="DD84" s="689"/>
      <c r="DE84" s="689"/>
      <c r="DF84" s="689"/>
      <c r="DG84" s="689"/>
      <c r="DH84" s="689"/>
      <c r="DI84" s="689"/>
      <c r="DN84" s="474"/>
      <c r="DO84" s="133"/>
      <c r="DP84" s="179"/>
      <c r="DT84" s="689"/>
      <c r="EE84" s="133"/>
      <c r="EF84" s="127"/>
      <c r="EH84" s="74"/>
      <c r="EI84" s="115"/>
      <c r="EK84" s="133"/>
      <c r="EL84" s="133"/>
      <c r="EN84" s="689">
        <f>EN89+EN91</f>
        <v>522.41961799170076</v>
      </c>
      <c r="EO84" s="691">
        <f>EN84/CX84</f>
        <v>3.6790113943077518</v>
      </c>
      <c r="EQ84" s="74"/>
      <c r="ER84" s="688">
        <f>EN84/DA84</f>
        <v>29.615624602704123</v>
      </c>
      <c r="ES84" s="474">
        <f>ES89+ES91</f>
        <v>159.40766671226856</v>
      </c>
      <c r="ET84" s="474">
        <f>ET89+ET91</f>
        <v>100.24726145372505</v>
      </c>
      <c r="EU84" s="133"/>
      <c r="EV84" s="474">
        <f>EV89+EV91</f>
        <v>143.73136</v>
      </c>
      <c r="EW84" s="133"/>
      <c r="EX84" s="474">
        <f>EX89+EX91</f>
        <v>41.5</v>
      </c>
      <c r="EY84" s="474">
        <f>EY89+EY91</f>
        <v>39.395600000000002</v>
      </c>
      <c r="EZ84" s="474">
        <f>EZ89+EZ91</f>
        <v>35.958399999999997</v>
      </c>
      <c r="FA84" s="474">
        <f>ES84+ET84+EU84</f>
        <v>259.65492816599362</v>
      </c>
      <c r="FB84" s="179">
        <f>FA84/CX84</f>
        <v>1.8285558321548847</v>
      </c>
      <c r="FC84" s="474">
        <f>FA84/DA84</f>
        <v>14.719667129591475</v>
      </c>
      <c r="FD84" s="691">
        <f>ES84/$CX84</f>
        <v>1.1225892021990744</v>
      </c>
      <c r="FE84" s="179">
        <f>ES84/$DA84</f>
        <v>9.0367158000152248</v>
      </c>
      <c r="FF84" s="474"/>
      <c r="FG84" s="179">
        <f>ET84/$DA84</f>
        <v>5.6829513295762499</v>
      </c>
      <c r="FH84" s="691">
        <f>10^3*ET84/'Discounting metrics'!$B$6/$CX84</f>
        <v>2.3690155367644636</v>
      </c>
      <c r="FI84" s="133"/>
      <c r="FJ84" s="133"/>
      <c r="FK84" s="133"/>
      <c r="FL84" s="474"/>
      <c r="FM84" s="179">
        <f>EV84/$DA84</f>
        <v>8.148036281179138</v>
      </c>
      <c r="FN84" s="691">
        <f>10^3*EV84/'Discounting metrics'!$B$6/$CX84</f>
        <v>3.3966197183098585</v>
      </c>
      <c r="FO84" s="133"/>
      <c r="FP84" s="133"/>
      <c r="FQ84" s="133"/>
      <c r="FR84" s="133"/>
      <c r="FS84" s="692">
        <f>EX84/$CX84</f>
        <v>0.29225352112676056</v>
      </c>
      <c r="FT84" s="179">
        <f>EX84/$DA84</f>
        <v>2.3526077097505667</v>
      </c>
      <c r="FU84" s="474"/>
      <c r="FV84" s="179">
        <f>EY84/$DA84</f>
        <v>2.2333106575963719</v>
      </c>
      <c r="FW84" s="691">
        <f>10^3*EY84/'Discounting metrics'!$B$6/$CX84</f>
        <v>0.93098591549295762</v>
      </c>
      <c r="FX84" s="474"/>
      <c r="FY84" s="179">
        <f>EZ84/$DA84</f>
        <v>2.0384580498866209</v>
      </c>
      <c r="FZ84" s="691">
        <f>10^3*EZ84/'Discounting metrics'!$B$5/$CX84</f>
        <v>7.4478873239436609</v>
      </c>
      <c r="GA84" s="133"/>
      <c r="GB84" s="133"/>
      <c r="GC84" s="133"/>
      <c r="GD84" s="133"/>
      <c r="GE84" s="133"/>
      <c r="GF84" s="133"/>
      <c r="KD84" s="179"/>
      <c r="KE84" s="179"/>
      <c r="KF84" s="179"/>
      <c r="KG84" s="179"/>
      <c r="KH84" s="179"/>
      <c r="KI84" s="179"/>
    </row>
    <row r="85" spans="1:295" ht="13.8" x14ac:dyDescent="0.3">
      <c r="A85" s="44"/>
      <c r="AT85" s="74"/>
      <c r="AV85" s="693"/>
      <c r="AW85" s="689"/>
      <c r="AY85" s="55"/>
      <c r="AZ85" s="55"/>
      <c r="BA85" s="55"/>
      <c r="BB85" s="55"/>
      <c r="BC85" s="73"/>
      <c r="BD85" s="73"/>
      <c r="BE85" s="73"/>
      <c r="BF85" s="55"/>
      <c r="BG85" s="73"/>
      <c r="BH85" s="73"/>
      <c r="BI85" s="73"/>
      <c r="BJ85" s="73"/>
      <c r="BK85" s="73"/>
      <c r="BL85" s="73"/>
      <c r="BM85" s="73"/>
      <c r="BN85" s="73"/>
      <c r="BO85" s="73"/>
      <c r="BP85" s="73"/>
      <c r="BQ85" s="73"/>
      <c r="BR85" s="73"/>
      <c r="BS85" s="55"/>
      <c r="BT85" s="73"/>
      <c r="BU85" s="73"/>
      <c r="BV85" s="73"/>
      <c r="BW85" s="55"/>
      <c r="BX85" s="73"/>
      <c r="BY85" s="73"/>
      <c r="BZ85" s="73"/>
      <c r="CA85" s="73"/>
      <c r="CB85" s="73"/>
      <c r="CC85" s="73"/>
      <c r="CD85" s="73"/>
      <c r="CE85" s="73"/>
      <c r="CF85" s="73"/>
      <c r="CG85" s="73"/>
      <c r="CH85" s="73"/>
      <c r="CI85" s="73"/>
      <c r="CJ85" s="73"/>
      <c r="CK85" s="73"/>
      <c r="CL85" s="73"/>
      <c r="CM85" s="74"/>
      <c r="CN85" s="74"/>
      <c r="CO85" s="74"/>
      <c r="CP85" s="74"/>
      <c r="CQ85" s="55"/>
      <c r="CR85" s="55"/>
      <c r="CY85" s="133"/>
      <c r="DA85" s="54"/>
      <c r="DD85" s="335"/>
      <c r="DN85" s="73"/>
      <c r="DO85" s="74"/>
      <c r="DP85" s="115"/>
      <c r="DT85" s="55"/>
      <c r="EE85" s="74"/>
      <c r="EF85" s="469"/>
      <c r="EH85" s="74"/>
      <c r="EI85" s="115"/>
      <c r="EK85" s="74"/>
      <c r="EL85" s="133"/>
      <c r="EN85" s="645"/>
      <c r="EO85" s="179"/>
      <c r="EP85" s="37"/>
      <c r="ES85" s="474"/>
      <c r="ET85" s="474"/>
      <c r="EY85" s="133"/>
      <c r="EZ85" s="37"/>
      <c r="FA85" s="645"/>
      <c r="FE85" s="474"/>
      <c r="FF85" s="474"/>
      <c r="FG85" s="684"/>
      <c r="FH85" s="179"/>
      <c r="FM85" s="694"/>
      <c r="FP85" s="694"/>
      <c r="FT85" s="694"/>
      <c r="FV85" s="694"/>
      <c r="FY85" s="694"/>
    </row>
    <row r="86" spans="1:295" s="74" customFormat="1" ht="13.8" x14ac:dyDescent="0.3">
      <c r="A86" s="695"/>
      <c r="K86" s="133"/>
      <c r="L86" s="133"/>
      <c r="M86" s="133"/>
      <c r="O86" s="133"/>
      <c r="P86" s="133"/>
      <c r="Q86" s="133"/>
      <c r="S86" s="133"/>
      <c r="T86" s="133"/>
      <c r="V86" s="133"/>
      <c r="W86" s="133"/>
      <c r="Y86" s="133"/>
      <c r="AB86" s="133"/>
      <c r="AC86" s="133"/>
      <c r="AD86" s="133"/>
      <c r="AE86" s="133"/>
      <c r="AF86" s="133"/>
      <c r="AG86" s="133"/>
      <c r="AH86" s="133"/>
      <c r="AJ86" s="133"/>
      <c r="AK86" s="133"/>
      <c r="AL86" s="133"/>
      <c r="AM86" s="133"/>
      <c r="AN86" s="133"/>
      <c r="AO86" s="133"/>
      <c r="AP86" s="133"/>
      <c r="AQ86" s="133"/>
      <c r="AR86" s="133"/>
      <c r="AS86" s="133"/>
      <c r="AV86" s="179"/>
      <c r="AW86" s="474"/>
      <c r="AY86" s="73"/>
      <c r="AZ86" s="73"/>
      <c r="BA86" s="73"/>
      <c r="BB86" s="73"/>
      <c r="BC86" s="73"/>
      <c r="BD86" s="73"/>
      <c r="BE86" s="73"/>
      <c r="BF86" s="73"/>
      <c r="BG86" s="73"/>
      <c r="BH86" s="73"/>
      <c r="BI86" s="73"/>
      <c r="BJ86" s="73"/>
      <c r="BK86" s="73"/>
      <c r="BL86" s="73"/>
      <c r="BM86" s="73"/>
      <c r="BN86" s="73"/>
      <c r="BO86" s="73"/>
      <c r="BP86" s="73"/>
      <c r="BQ86" s="73"/>
      <c r="BR86" s="73"/>
      <c r="BS86" s="73"/>
      <c r="BT86" s="73"/>
      <c r="BU86" s="73"/>
      <c r="BV86" s="73"/>
      <c r="BW86" s="73"/>
      <c r="BX86" s="73"/>
      <c r="BY86" s="73"/>
      <c r="BZ86" s="73"/>
      <c r="CA86" s="73"/>
      <c r="CB86" s="73"/>
      <c r="CC86" s="73"/>
      <c r="CD86" s="73"/>
      <c r="CE86" s="73"/>
      <c r="CF86" s="73"/>
      <c r="CG86" s="73"/>
      <c r="CH86" s="73"/>
      <c r="CI86" s="73"/>
      <c r="CJ86" s="73"/>
      <c r="CK86" s="73"/>
      <c r="CL86" s="73"/>
      <c r="CQ86" s="73"/>
      <c r="CR86" s="73"/>
      <c r="CW86" s="133"/>
      <c r="CZ86" s="127"/>
      <c r="DA86" s="133"/>
      <c r="DB86" s="645"/>
      <c r="DD86" s="127"/>
      <c r="DN86" s="73"/>
      <c r="DP86" s="115"/>
      <c r="DT86" s="73"/>
      <c r="EF86" s="469"/>
      <c r="EI86" s="115"/>
      <c r="EM86" s="133"/>
      <c r="EN86" s="645"/>
      <c r="EO86" s="179"/>
      <c r="ES86" s="474"/>
      <c r="ET86" s="474"/>
      <c r="EY86" s="474"/>
      <c r="EZ86" s="133"/>
      <c r="FA86" s="645"/>
      <c r="FE86" s="474"/>
      <c r="FF86" s="474"/>
      <c r="FG86" s="684"/>
      <c r="FH86" s="179"/>
      <c r="FM86" s="694"/>
      <c r="FP86" s="694"/>
      <c r="FT86" s="694"/>
      <c r="FV86" s="694"/>
      <c r="FY86" s="694"/>
      <c r="JT86" s="133"/>
      <c r="JU86" s="133"/>
      <c r="KD86" s="179"/>
      <c r="KE86" s="179"/>
      <c r="KF86" s="179"/>
      <c r="KG86" s="179"/>
      <c r="KH86" s="179"/>
      <c r="KI86" s="179"/>
    </row>
    <row r="87" spans="1:295" x14ac:dyDescent="0.25">
      <c r="A87" s="4" t="s">
        <v>114</v>
      </c>
      <c r="H87" s="671">
        <f>J87+N87+Z87*(AA87+AE87)</f>
        <v>0.77500000000000002</v>
      </c>
      <c r="I87" s="671">
        <f>R87+Z87*(AI87+AP87)</f>
        <v>0.18500000000000003</v>
      </c>
      <c r="J87" s="62">
        <f>1-N87-R87-U87-X87-Z87</f>
        <v>0.67500000000000004</v>
      </c>
      <c r="K87" s="129">
        <v>0.69</v>
      </c>
      <c r="L87" s="129">
        <v>0.17</v>
      </c>
      <c r="M87" s="130">
        <v>0.14000000000000001</v>
      </c>
      <c r="N87" s="82">
        <v>0.1</v>
      </c>
      <c r="O87" s="129">
        <v>0.52</v>
      </c>
      <c r="P87" s="129">
        <v>0.16</v>
      </c>
      <c r="Q87" s="130">
        <v>0.32</v>
      </c>
      <c r="R87" s="82">
        <v>2.5000000000000001E-2</v>
      </c>
      <c r="S87" s="57">
        <f>C$22</f>
        <v>0.91829596188296059</v>
      </c>
      <c r="T87" s="57">
        <f>C$23</f>
        <v>8.1704038117039385E-2</v>
      </c>
      <c r="U87" s="39"/>
      <c r="X87" s="39"/>
      <c r="Z87" s="90">
        <v>0.2</v>
      </c>
      <c r="AA87" s="39">
        <v>0</v>
      </c>
      <c r="AB87" s="57">
        <f>C$36</f>
        <v>0.32627633176706616</v>
      </c>
      <c r="AC87" s="57">
        <f>C$35</f>
        <v>0.12306636397233511</v>
      </c>
      <c r="AD87" s="57">
        <f>C$37</f>
        <v>0.55065730426059856</v>
      </c>
      <c r="AE87" s="39">
        <v>0</v>
      </c>
      <c r="AF87" s="57">
        <f>C$40</f>
        <v>0.46292585170340678</v>
      </c>
      <c r="AG87" s="57">
        <f>C$41</f>
        <v>0.21643286573146289</v>
      </c>
      <c r="AH87" s="57">
        <f>C$42</f>
        <v>0.32064128256513025</v>
      </c>
      <c r="AI87" s="39">
        <v>0.75</v>
      </c>
      <c r="AJ87" s="131">
        <f>C$45</f>
        <v>0.66906282055683264</v>
      </c>
      <c r="AK87" s="131">
        <f>C$46</f>
        <v>2.0464179068278004E-2</v>
      </c>
      <c r="AL87" s="131">
        <f>C$47</f>
        <v>0.10457441214444914</v>
      </c>
      <c r="AM87" s="131">
        <f>C$48</f>
        <v>6.6603941068190814E-2</v>
      </c>
      <c r="AN87" s="131">
        <f>C$49</f>
        <v>3.7777291743479158E-2</v>
      </c>
      <c r="AO87" s="132">
        <f>C$50</f>
        <v>0.10151735541877024</v>
      </c>
      <c r="AP87" s="138">
        <v>0.05</v>
      </c>
      <c r="AQ87" s="131">
        <f>C$53</f>
        <v>0.27362401715511081</v>
      </c>
      <c r="AR87" s="131">
        <f>C$54</f>
        <v>0.12094353109363824</v>
      </c>
      <c r="AS87" s="131">
        <f>C$55</f>
        <v>0.60543245175125082</v>
      </c>
      <c r="AT87" s="53">
        <f>1-AA87-AE87-AI87-AP87</f>
        <v>0.2</v>
      </c>
      <c r="AU87" s="670">
        <f>Z87*AT87</f>
        <v>4.0000000000000008E-2</v>
      </c>
      <c r="AV87" s="390">
        <f>AW87*DA87/CX87</f>
        <v>4.7249999999999996</v>
      </c>
      <c r="AW87" s="72">
        <v>35</v>
      </c>
      <c r="AX87" s="73">
        <f>BA87/DA87</f>
        <v>33.6</v>
      </c>
      <c r="AY87" s="673">
        <f>AW87*DA87</f>
        <v>446.51249999999999</v>
      </c>
      <c r="AZ87" s="55">
        <f>BB87+BF87+BJ87</f>
        <v>357.21000000000004</v>
      </c>
      <c r="BA87" s="673">
        <f>AZ87+BS87+BW87+CA87+CH87</f>
        <v>428.65200000000004</v>
      </c>
      <c r="BB87" s="73">
        <f>SUM(BC87:BE87)</f>
        <v>301.3959375</v>
      </c>
      <c r="BC87" s="73">
        <f>$AY87*$J87*K87</f>
        <v>207.96319687499999</v>
      </c>
      <c r="BD87" s="73">
        <f>$AY87*$J87*L87</f>
        <v>51.237309375000002</v>
      </c>
      <c r="BE87" s="73">
        <f>$AY87*$J87*M87</f>
        <v>42.195431250000006</v>
      </c>
      <c r="BF87" s="73">
        <f>SUM(BG87:BI87)</f>
        <v>44.651250000000005</v>
      </c>
      <c r="BG87" s="73">
        <f>$AY87*$N87*O87</f>
        <v>23.218650000000004</v>
      </c>
      <c r="BH87" s="73">
        <f>$AY87*$N87*P87</f>
        <v>7.1442000000000005</v>
      </c>
      <c r="BI87" s="73">
        <f>$AY87*$N87*Q87</f>
        <v>14.288400000000001</v>
      </c>
      <c r="BJ87" s="629">
        <f>SUM(BK87:BL87)</f>
        <v>11.162812500000001</v>
      </c>
      <c r="BK87" s="73">
        <f>$AY87*$R87*S87</f>
        <v>10.250765642006638</v>
      </c>
      <c r="BL87" s="73">
        <f>$AY87*$R87*T87</f>
        <v>0.91204685799336382</v>
      </c>
      <c r="BM87" s="73"/>
      <c r="BN87" s="73"/>
      <c r="BO87" s="73"/>
      <c r="BP87" s="73"/>
      <c r="BQ87" s="73"/>
      <c r="BR87" s="68">
        <f>BS87+BW87+CA87+CH87+CL87</f>
        <v>89.302500000000009</v>
      </c>
      <c r="BS87" s="73">
        <f>SUM(BT87:BV87)</f>
        <v>0</v>
      </c>
      <c r="BT87" s="73">
        <f>$AY87*$Z87*$AA87*AC87</f>
        <v>0</v>
      </c>
      <c r="BU87" s="73">
        <f>$AY87*$Z87*$AA87*AB87</f>
        <v>0</v>
      </c>
      <c r="BV87" s="73">
        <f>$AY87*$Z87*$AA87*AD87</f>
        <v>0</v>
      </c>
      <c r="BW87" s="73">
        <f>SUM(BX87:BZ87)</f>
        <v>0</v>
      </c>
      <c r="BX87" s="73">
        <f>$AY87*$Z87*$AE87*AF87</f>
        <v>0</v>
      </c>
      <c r="BY87" s="73">
        <f>$AY87*$Z87*$AE87*AG87</f>
        <v>0</v>
      </c>
      <c r="BZ87" s="73">
        <f>$AY87*$Z87*$AE87*AH87</f>
        <v>0</v>
      </c>
      <c r="CA87" s="73">
        <f>SUM(CB87:CG87)</f>
        <v>66.976875000000007</v>
      </c>
      <c r="CB87" s="73">
        <f t="shared" ref="CB87:CG87" si="41">$AY87*$Z87*$AI87*AJ87</f>
        <v>44.811736899582414</v>
      </c>
      <c r="CC87" s="73">
        <f t="shared" si="41"/>
        <v>1.3706267634336724</v>
      </c>
      <c r="CD87" s="73">
        <f t="shared" si="41"/>
        <v>7.0040673303972527</v>
      </c>
      <c r="CE87" s="73">
        <f t="shared" si="41"/>
        <v>4.4609238354315828</v>
      </c>
      <c r="CF87" s="73">
        <f t="shared" si="41"/>
        <v>2.5302049469415357</v>
      </c>
      <c r="CG87" s="73">
        <f t="shared" si="41"/>
        <v>6.7993152242135482</v>
      </c>
      <c r="CH87" s="55">
        <f>SUM(CI87:CK87)</f>
        <v>4.4651249999999996</v>
      </c>
      <c r="CI87" s="73">
        <f>$AY87*$Z87*$AP87*AQ87</f>
        <v>1.2217654395997142</v>
      </c>
      <c r="CJ87" s="73">
        <f>$AY87*$Z87*$AP87*AR87</f>
        <v>0.54002798427448151</v>
      </c>
      <c r="CK87" s="73">
        <f>$AY87*$Z87*$AP87*AS87</f>
        <v>2.7033315761258039</v>
      </c>
      <c r="CL87" s="675">
        <f>$AY87*$Z87*AT87</f>
        <v>17.860500000000002</v>
      </c>
      <c r="CM87" s="97">
        <f>(BC87*CM$12+BD87*CM$13+BE87*CM$14+BG87*CM$17+BH87*CM$18+BI87*CM$19+BK87*CM$22+BL87*CM$23+CM$26*BN87+CM$27*BO87+CM$30*BQ87+BT87*CM$35+BU87*CM$36+BV87*CM$37+BX87*CM$40+BY87*CM$41+BZ87*CM$42+CB87*CM$45+CC87*CM$46+CD87*CM$47+CE87*CM$48+CF87*CM$49+CI87*CM$53+CJ87*CM$54+CK87*CM$55)/AY87</f>
        <v>2.8217818248939657</v>
      </c>
      <c r="CN87" s="97">
        <f>IF((BB87+BF87+BJ87+BM87)&gt;0,(BC87*CM$12+BD87*CM$13+BE87*CM$14+BG87*CM$17+BH87*CM$18+BI87*CM$19+BK87*CM$22+BL87*CM$23+CM$26*BN87+CM$27*BO87)/(BB87+BF87+BJ87+BM87),0)</f>
        <v>2.7807216062741889</v>
      </c>
      <c r="CO87" s="97">
        <f>(BT87*CM$35+BU87*CM$36+BV87*CM$37+BX87*CM$40+BY87*CM$41+BZ87*CM$42+CB87*CM$45+CC87*CM$46+CD87*CM$47+CE87*CM$48+CF87*CM$49+CI87*CM$53+CJ87*CM$54+CK87*CM$55)/(BS87+BW87+CA87+CH87)</f>
        <v>3.7325283742163364</v>
      </c>
      <c r="CP87" s="74"/>
      <c r="CQ87" s="68">
        <f>10*(CT87+CU87)/DA87</f>
        <v>98.762363871288798</v>
      </c>
      <c r="CR87" s="68"/>
      <c r="CS87" s="261">
        <f>CM87*AY87/10</f>
        <v>125.99608570879668</v>
      </c>
      <c r="CT87" s="107">
        <f>CN87*(BB87+BF87+BJ87+BM87)/10</f>
        <v>99.33015649772031</v>
      </c>
      <c r="CU87" s="107">
        <f>CO87*(BS87+BW87+CA87+CH87)/10</f>
        <v>26.665929211076353</v>
      </c>
      <c r="CX87" s="26">
        <f>DB87+DF87</f>
        <v>94.5</v>
      </c>
      <c r="CY87" s="26">
        <f t="shared" ref="CY87:DA87" si="42">DC87+DG87</f>
        <v>38.744999999999997</v>
      </c>
      <c r="CZ87" s="335">
        <f t="shared" si="42"/>
        <v>0.83160000000000001</v>
      </c>
      <c r="DA87" s="26">
        <f t="shared" si="42"/>
        <v>12.7575</v>
      </c>
      <c r="DB87" s="80">
        <v>94.5</v>
      </c>
      <c r="DC87" s="37">
        <f>DB87*GG97</f>
        <v>38.744999999999997</v>
      </c>
      <c r="DD87" s="335">
        <f>DB87*GJ$97/10^3</f>
        <v>0.83160000000000001</v>
      </c>
      <c r="DE87" s="37">
        <f>DB87*GL97</f>
        <v>12.7575</v>
      </c>
      <c r="DN87" s="68"/>
      <c r="DO87" s="263">
        <f>10*DQ87/CM87</f>
        <v>3.0856978152688885</v>
      </c>
      <c r="DP87" s="272">
        <f>(BC87*DP$12+BD87*DP$13+BE87*DP$14+BG87*DP$17+BH87*DP$18+BI87*DP$19+BK87*DP$22+BL87*DP$23+DP$26*BN87+DP$27*BO87+DP$30*BQ87+BT87*DP$35+BU87*DP$36+BV87*DP$37+BX87*DP$40+BY87*DP$41+BZ87*DP$42+CB87*DP$45+CC87*DP$46+CD87*DP$47+CE87*DP$48+CF87*DP$49+CG87*DP$50+CI87*DP$53+CJ87*DP$54+CK87*DP$55)/AY87</f>
        <v>0.78154440280476467</v>
      </c>
      <c r="DQ87" s="143">
        <f>(BC87*DQ$12+BD87*DQ$13+BE87*DQ$14+BG87*DQ$17+BH87*DQ$18+BI87*DQ$19+BK87*DQ$22+BL87*DQ$23+DQ$26*BN87+DQ$27*BO87+DQ$30*BQ87+BT87*DQ$35+BU87*DQ$36+BV87*DQ$37+BX87*DQ$40+BY87*DQ$41+BZ87*DQ$42+CB87*DQ$45+CC87*DQ$46+CD87*DQ$47+CE87*DQ$48+CF87*DQ$49+CG87*DQ$50+CI87*DQ$53+CJ87*DQ$54+CK87*DQ$55)/AY87</f>
        <v>0.87071660122407668</v>
      </c>
      <c r="DR87" s="26">
        <f>DP87*$AY87/$CX87</f>
        <v>3.6927973032525125</v>
      </c>
      <c r="DS87" s="153">
        <f>DR87/$GG87</f>
        <v>9.0068226908597868</v>
      </c>
      <c r="DT87" s="676">
        <f>DP87*$AY87/$CZ87</f>
        <v>419.63605718778553</v>
      </c>
      <c r="DU87" s="677">
        <f>DP87*$AY87/$DA87</f>
        <v>27.35405409816676</v>
      </c>
      <c r="DV87" s="26">
        <f>DQ87*$AY87/$CX87</f>
        <v>4.1141359407837621</v>
      </c>
      <c r="DW87" s="153">
        <f>DV87/$GG87</f>
        <v>10.03447790435064</v>
      </c>
      <c r="DX87" s="676">
        <f>DQ87*$AY87/$CZ87</f>
        <v>467.51544781633663</v>
      </c>
      <c r="DY87" s="677">
        <f>DQ87*$AY87/$DA87</f>
        <v>30.475081042842682</v>
      </c>
      <c r="DZ87" s="678">
        <f>(BC87*DZ$12+BD87*DZ$13+BE87*DZ$14+BG87*DZ$17+BH87*DZ$18+BI87*DZ$19+BK87*DZ$22+BL87*DZ$23+DZ$26*BN87+DZ$27*BO87+DZ$30*BQ87+BT87*DZ$35+BU87*DZ$36+BV87*DZ$37+BX87*DZ$40+BY87*DZ$41+BZ87*DZ$42+CB87*DZ$45+CC87*DZ$46+CD87*DZ$47+CE87*DZ$48+CF87*DZ$49+CG87*DZ$50+CI87*DZ$53+CJ87*DZ$54+CK87*DZ$55)/AY87</f>
        <v>1.745494635672741</v>
      </c>
      <c r="EA87" s="26">
        <f>DZ87*$AY87/$CX87</f>
        <v>8.2474621535537018</v>
      </c>
      <c r="EB87" s="676">
        <f>DZ87*$AY87/$CZ87</f>
        <v>937.21160835837509</v>
      </c>
      <c r="EC87" s="677">
        <f>DZ87*$AY87/$DA87</f>
        <v>61.09231224854593</v>
      </c>
      <c r="ED87" s="410">
        <f>(BC87*ED$12+BD87*ED$13+BE87*ED$14+BG87*ED$17+BH87*ED$18+BI87*ED$19+BK87*ED$22+BL87*ED$23+ED$26*BN87+ED$27*BO87+ED$30*BQ87+BT87*ED$35+BU87*ED$36+BV87*ED$37+BX87*ED$40+BY87*ED$41+BZ87*ED$42+CB87*ED$45+CC87*ED$46+CD87*ED$47+CE87*ED$48+CF87*ED$49+CG87*ED$50+CI87*ED$53+CJ87*ED$54+CK87*ED$55)/AY87</f>
        <v>0.16883953128717563</v>
      </c>
      <c r="EE87" s="73">
        <f>ED87*$AY87</f>
        <v>75.388961213865002</v>
      </c>
      <c r="EF87" s="127">
        <f>ED87*$AY87/$CX87</f>
        <v>0.79776678533190482</v>
      </c>
      <c r="EG87" s="153">
        <f>EF87/$GG87</f>
        <v>1.9457726471509875</v>
      </c>
      <c r="EH87" s="679">
        <f>ED87*$AY87/$CZ87</f>
        <v>90.655316514989181</v>
      </c>
      <c r="EI87" s="110">
        <f>ED87*$AY87/$DA87</f>
        <v>5.9093835950511462</v>
      </c>
      <c r="EJ87" s="410">
        <f>EK87+EL87+EM87</f>
        <v>0.51439620097161332</v>
      </c>
      <c r="EK87" s="127">
        <f>(BC87*EK$12+BD87*EK$13+BE87*EK$14+BG87*EK$17+BH87*EK$18+BI87*EK$19+BK87*EK$22+BL87*EK$23+EK$26*BN87+EK$27*BO87+EK$30*BQ87+BT87*EK$35+BU87*EK$36+BV87*EK$37+BX87*EK$40+BY87*EK$41+BZ87*EK$42+CB87*EK$45+CC87*EK$46+CD87*EK$47+CE87*EK$48+CF87*EK$49+CG87*EK$50+CI87*EK$53+CJ87*EK$54+CK87*EK$55)/AY87</f>
        <v>0.31220059567288261</v>
      </c>
      <c r="EL87" s="127">
        <f>(BC87*EL$12+BD87*EL$13+BE87*EL$14+BG87*EL$17+BH87*EL$18+BI87*EL$19+BK87*EL$22+BL87*EL$23+EL$26*BN87+EL$27*BO87+EL$30*BQ87+BT87*EL$35+BU87*EL$36+BV87*EL$37+BX87*EL$40+BY87*EL$41+BZ87*EL$42+CB87*EL$45+CC87*EL$46+CD87*EL$47+CE87*EL$48+CF87*EL$49+CG87*EL$50+CI87*EL$53+CJ87*EL$54+CK87*EL$55)/AY87</f>
        <v>0.19841688690036391</v>
      </c>
      <c r="EM87" s="127">
        <f>(BC87*EM$12+BD87*EM$13+BE87*EM$14+BG87*EM$17+BH87*EM$18+BI87*EM$19+BK87*EM$22+BL87*EM$23+EM$26*BN87+EM$27*BO87+EM$30*BQ87+BT87*EM$35+BU87*EM$36+BV87*EM$37+BX87*EM$40+BY87*EM$41+BZ87*EM$42+CB87*EM$45+CC87*EM$46+CD87*EM$47+CE87*EM$48+CF87*EM$49+CG87*EM$50+CI87*EM$53+CJ87*EM$54+CK87*EM$55)/AY87</f>
        <v>3.7787183983667223E-3</v>
      </c>
      <c r="EN87" s="73">
        <f>ES87+ET87+EU87+EV87+EW87+EX87+EY87+EZ87</f>
        <v>515.79351211990104</v>
      </c>
      <c r="EO87" s="390">
        <f>EN87/CX87</f>
        <v>5.4581324033851963</v>
      </c>
      <c r="EP87" s="153">
        <f>EO87/$GG87</f>
        <v>13.312518057037066</v>
      </c>
      <c r="EQ87" s="73">
        <f>EN87/CZ87</f>
        <v>620.24231856649953</v>
      </c>
      <c r="ER87" s="696">
        <f>EN87/DA87</f>
        <v>40.430610395445896</v>
      </c>
      <c r="ES87" s="73">
        <f>FE87*$DA87</f>
        <v>139.40146847538799</v>
      </c>
      <c r="ET87" s="73">
        <f>FG87*$DA87</f>
        <v>88.595620212098751</v>
      </c>
      <c r="EU87" s="73">
        <f>FJ87*$DA87</f>
        <v>1.687244998850721</v>
      </c>
      <c r="EV87" s="73">
        <f>FM87*$DA87</f>
        <v>45.057600000000001</v>
      </c>
      <c r="EW87" s="73">
        <f>FP87*$DA87</f>
        <v>25.156878433563659</v>
      </c>
      <c r="EX87" s="73">
        <f>FT87*$DA87</f>
        <v>17.009999999999998</v>
      </c>
      <c r="EY87" s="73">
        <f>FV87*$DA87</f>
        <v>47.873699999999999</v>
      </c>
      <c r="EZ87" s="73">
        <f>FY87*$DA87</f>
        <v>151.011</v>
      </c>
      <c r="FA87" s="73">
        <f>ES87+ET87+EU87</f>
        <v>229.68433368633745</v>
      </c>
      <c r="FB87" s="91">
        <f>FA87/CX87</f>
        <v>2.4305220495908726</v>
      </c>
      <c r="FC87" s="73">
        <f>FA87/DA87</f>
        <v>18.003867034006461</v>
      </c>
      <c r="FD87" s="213">
        <f>EK87*$AY87/$CX87</f>
        <v>1.4751478145543702</v>
      </c>
      <c r="FE87" s="73">
        <f>FD87*$DB87/$DA87</f>
        <v>10.927020848550891</v>
      </c>
      <c r="FF87" s="115">
        <f>ET87/$DB87</f>
        <v>0.93751979060421964</v>
      </c>
      <c r="FG87" s="483">
        <f>'Discounting metrics'!$B$6*FH87*$DB87/$DA87/10^3</f>
        <v>6.9445910415127372</v>
      </c>
      <c r="FH87" s="680">
        <f>10^3*EL87*$AY87/$CX87/'Discounting metrics'!$B$6</f>
        <v>3.1460395657859719</v>
      </c>
      <c r="FI87" s="73">
        <f>EU87/$DB87</f>
        <v>1.7854444432282762E-2</v>
      </c>
      <c r="FJ87" s="681">
        <f>'Discounting metrics'!$B$5*FK87*$DB87/$DA87/10^3</f>
        <v>0.13225514394283527</v>
      </c>
      <c r="FK87" s="682">
        <f>10^3*EM87*$AY87/$CX87/'Discounting metrics'!$B$5</f>
        <v>0.5251307185965518</v>
      </c>
      <c r="FL87" s="115">
        <f>EV87/$DB87</f>
        <v>0.4768</v>
      </c>
      <c r="FM87" s="483">
        <f>'Discounting metrics'!$B$6*FN87*$DB87/$DA87/10^3</f>
        <v>3.5318518518518518</v>
      </c>
      <c r="FN87" s="84">
        <v>1.6</v>
      </c>
      <c r="FO87" s="115">
        <f>EW87/$DB87</f>
        <v>0.26621035379432445</v>
      </c>
      <c r="FP87" s="681">
        <f>'Discounting metrics'!$B$5*FR87*$DB87/$DA87/10^3</f>
        <v>1.9719285466246255</v>
      </c>
      <c r="FQ87" s="82">
        <v>5.0000000000000001E-3</v>
      </c>
      <c r="FR87" s="115">
        <f>10^3*FQ87*AY87*GI87/55.7/DB87</f>
        <v>7.8297162880683651</v>
      </c>
      <c r="FS87" s="687">
        <v>0.18</v>
      </c>
      <c r="FT87" s="115">
        <f>FS87*$DB87/$DA87</f>
        <v>1.333333333333333</v>
      </c>
      <c r="FU87" s="127">
        <f>EY87/$DB87</f>
        <v>0.50659999999999994</v>
      </c>
      <c r="FV87" s="483">
        <f>'Discounting metrics'!$B$6*FW87*$DB87/$DA87/10^3</f>
        <v>3.7525925925925923</v>
      </c>
      <c r="FW87" s="80">
        <v>1.7</v>
      </c>
      <c r="FX87" s="115">
        <f>EZ87/$DB87</f>
        <v>1.5979999999999999</v>
      </c>
      <c r="FY87" s="483">
        <f>'Discounting metrics'!$B$5*FZ87*$DB87/$DA87/10^3</f>
        <v>11.837037037037037</v>
      </c>
      <c r="FZ87" s="80">
        <v>47</v>
      </c>
      <c r="GA87" s="73">
        <f>DR87*44/12+EF87+EO87</f>
        <v>19.796155967309645</v>
      </c>
      <c r="GB87" s="677">
        <f>DT87*44/12+EH87+EQ87</f>
        <v>2249.563178103369</v>
      </c>
      <c r="GC87" s="676">
        <f>DU87*44/12+EI87+ER87</f>
        <v>146.63819235044184</v>
      </c>
      <c r="GD87" s="73">
        <f>DV87*44/12+EF87+EO87</f>
        <v>21.341064304924231</v>
      </c>
      <c r="GE87" s="677">
        <f>DX87*44/12+EH87+EQ87</f>
        <v>2425.12094374139</v>
      </c>
      <c r="GF87" s="676">
        <f>DY87*44/12+EI87+ER87</f>
        <v>158.08195781425354</v>
      </c>
      <c r="GG87" s="52">
        <f>GG97</f>
        <v>0.41</v>
      </c>
      <c r="GI87" s="26">
        <f>(BC87*GI$12+BD87*GI$13+BE87*GI$14+BG87*GI$17+BH87*GI$18+BI87*GI$19+BK87*GI$22+BL87*GI$23+GI$26*BN87+GI$27*BO87+GI$30*BQ87+BT87*GI$35+BU87*GI$36+BV87*GI$37+BX87*GI$40+BY87*GI$41+BZ87*GI$42+CB87*GI$45+CC87*GI$46+CD87*GI$47+CE87*GI$48+CF87*GI$49+CI87*GI$53+CJ87*GI$54+CK87*GI$55+CL87*GI$58)/AY87</f>
        <v>18.459902528906156</v>
      </c>
      <c r="GM87" s="683">
        <f>(BC87*GM$12+BD87*GM$13+BE87*GM$14+BG87*GM$17+BH87*GM$18+BI87*GM$19+BK87*GM$22+BL87*GM$23+GM$26*BN87+GM$27*BO87+GM$30*BQ87+BT87*GM$35+BU87*GM$36+BV87*GM$37+BX87*GM$40+BY87*GM$41+BZ87*GM$42+CB87*GM$45+CC87*GM$46+CD87*GM$47+CE87*GM$48+CF87*GM$49+CI87*GM$53+CJ87*GM$54+CK87*GM$55+CL87*GM$58)/AY87</f>
        <v>0.1558969661077067</v>
      </c>
    </row>
    <row r="88" spans="1:295" x14ac:dyDescent="0.25">
      <c r="A88" s="4"/>
      <c r="H88" s="40"/>
      <c r="I88" s="40"/>
      <c r="R88" s="52"/>
      <c r="AT88" s="74"/>
      <c r="AW88" s="55"/>
      <c r="AY88" s="55"/>
      <c r="AZ88" s="55"/>
      <c r="BA88" s="55"/>
      <c r="BB88" s="73"/>
      <c r="BC88" s="73"/>
      <c r="BD88" s="73"/>
      <c r="BE88" s="73"/>
      <c r="BF88" s="55"/>
      <c r="BG88" s="73"/>
      <c r="BH88" s="73"/>
      <c r="BI88" s="73"/>
      <c r="BJ88" s="73"/>
      <c r="BK88" s="73"/>
      <c r="BL88" s="73"/>
      <c r="BM88" s="73"/>
      <c r="BN88" s="73"/>
      <c r="BO88" s="73"/>
      <c r="BP88" s="73"/>
      <c r="BQ88" s="73"/>
      <c r="BR88" s="73"/>
      <c r="BS88" s="55"/>
      <c r="BT88" s="73"/>
      <c r="BU88" s="73"/>
      <c r="BV88" s="73"/>
      <c r="BW88" s="55"/>
      <c r="BX88" s="73"/>
      <c r="BY88" s="73"/>
      <c r="BZ88" s="73"/>
      <c r="CA88" s="73"/>
      <c r="CB88" s="73"/>
      <c r="CC88" s="73"/>
      <c r="CD88" s="73"/>
      <c r="CE88" s="73"/>
      <c r="CF88" s="73"/>
      <c r="CG88" s="73"/>
      <c r="CH88" s="73"/>
      <c r="CI88" s="73"/>
      <c r="CJ88" s="73"/>
      <c r="CK88" s="73"/>
      <c r="CL88" s="73"/>
      <c r="CM88" s="74"/>
      <c r="CN88" s="74"/>
      <c r="CO88" s="74"/>
      <c r="CP88" s="74"/>
      <c r="CQ88" s="55"/>
      <c r="CR88" s="55"/>
      <c r="CZ88" s="335"/>
      <c r="DA88" s="133"/>
      <c r="DB88" s="645"/>
      <c r="DD88" s="335"/>
      <c r="DN88" s="73"/>
      <c r="DO88" s="115"/>
      <c r="DP88" s="115"/>
      <c r="DT88" s="55"/>
      <c r="ED88" s="335"/>
      <c r="EE88" s="127"/>
      <c r="EF88" s="469"/>
      <c r="EH88" s="74"/>
      <c r="EI88" s="115"/>
      <c r="EK88" s="127"/>
      <c r="EL88" s="127"/>
      <c r="EO88" s="179"/>
      <c r="EP88" s="37"/>
      <c r="ES88" s="474"/>
      <c r="ET88" s="474"/>
      <c r="FE88" s="474"/>
      <c r="FF88" s="474"/>
      <c r="FG88" s="684"/>
      <c r="FH88" s="179"/>
      <c r="FI88" s="474"/>
      <c r="FJ88" s="73"/>
      <c r="FL88" s="474"/>
      <c r="FM88" s="694"/>
      <c r="FO88" s="474"/>
      <c r="FT88" s="694"/>
      <c r="FU88" s="474"/>
      <c r="FV88" s="694"/>
      <c r="FX88" s="474"/>
      <c r="FY88" s="694"/>
    </row>
    <row r="89" spans="1:295" x14ac:dyDescent="0.25">
      <c r="A89" s="4" t="s">
        <v>518</v>
      </c>
      <c r="H89" s="671">
        <f>J89+N89+Z89*(AA89+AE89)</f>
        <v>0.74</v>
      </c>
      <c r="I89" s="671">
        <f>R89+Z89*(AI89+AP89)</f>
        <v>0.26</v>
      </c>
      <c r="J89" s="62">
        <f>1-N89-R89-U89-X89-Z89</f>
        <v>0.74</v>
      </c>
      <c r="K89" s="129">
        <v>0.69</v>
      </c>
      <c r="L89" s="129">
        <v>0.17</v>
      </c>
      <c r="M89" s="130">
        <v>0.14000000000000001</v>
      </c>
      <c r="N89" s="39">
        <v>0</v>
      </c>
      <c r="O89" s="129">
        <v>0.52</v>
      </c>
      <c r="P89" s="129">
        <v>0.16</v>
      </c>
      <c r="Q89" s="130">
        <v>0.32</v>
      </c>
      <c r="R89" s="82">
        <v>0.06</v>
      </c>
      <c r="S89" s="57">
        <f>C$22</f>
        <v>0.91829596188296059</v>
      </c>
      <c r="T89" s="57">
        <f>C$23</f>
        <v>8.1704038117039385E-2</v>
      </c>
      <c r="U89" s="39"/>
      <c r="X89" s="39"/>
      <c r="Z89" s="90">
        <v>0.2</v>
      </c>
      <c r="AA89" s="39">
        <v>0</v>
      </c>
      <c r="AB89" s="57">
        <f>C$36</f>
        <v>0.32627633176706616</v>
      </c>
      <c r="AC89" s="57">
        <f>C$35</f>
        <v>0.12306636397233511</v>
      </c>
      <c r="AD89" s="57">
        <f>C$37</f>
        <v>0.55065730426059856</v>
      </c>
      <c r="AE89" s="39">
        <v>0</v>
      </c>
      <c r="AF89" s="57">
        <f>C$40</f>
        <v>0.46292585170340678</v>
      </c>
      <c r="AG89" s="57">
        <f>C$41</f>
        <v>0.21643286573146289</v>
      </c>
      <c r="AH89" s="57">
        <f>C$42</f>
        <v>0.32064128256513025</v>
      </c>
      <c r="AI89" s="39">
        <v>1</v>
      </c>
      <c r="AJ89" s="131">
        <f>C$45</f>
        <v>0.66906282055683264</v>
      </c>
      <c r="AK89" s="131">
        <f>C$46</f>
        <v>2.0464179068278004E-2</v>
      </c>
      <c r="AL89" s="131">
        <f>C$47</f>
        <v>0.10457441214444914</v>
      </c>
      <c r="AM89" s="131">
        <f>C$48</f>
        <v>6.6603941068190814E-2</v>
      </c>
      <c r="AN89" s="131">
        <f>C$49</f>
        <v>3.7777291743479158E-2</v>
      </c>
      <c r="AO89" s="132">
        <f>C$50</f>
        <v>0.10151735541877024</v>
      </c>
      <c r="AP89" s="39">
        <v>0</v>
      </c>
      <c r="AQ89" s="131">
        <f>C$53</f>
        <v>0.27362401715511081</v>
      </c>
      <c r="AR89" s="131">
        <f>C$54</f>
        <v>0.12094353109363824</v>
      </c>
      <c r="AS89" s="131">
        <f>C$55</f>
        <v>0.60543245175125082</v>
      </c>
      <c r="AT89" s="53">
        <f>1-AA89-AE89-AI89-AP89</f>
        <v>0</v>
      </c>
      <c r="AU89" s="671">
        <f>Z89*AT89</f>
        <v>0</v>
      </c>
      <c r="AV89" s="390">
        <f>AW89*DA89/CX89</f>
        <v>3.3074999999999997</v>
      </c>
      <c r="AW89" s="72">
        <v>24.5</v>
      </c>
      <c r="AX89" s="73">
        <f>BA89/DA89</f>
        <v>24.5</v>
      </c>
      <c r="AY89" s="673">
        <f>AW89*DA89</f>
        <v>267.24599999999998</v>
      </c>
      <c r="AZ89" s="55">
        <f>BB89+BF89+BJ89</f>
        <v>213.79679999999999</v>
      </c>
      <c r="BA89" s="673">
        <f>AZ89+BS89+BW89+CA89+CH89</f>
        <v>267.24599999999998</v>
      </c>
      <c r="BB89" s="73">
        <f>SUM(BC89:BE89)</f>
        <v>197.76203999999998</v>
      </c>
      <c r="BC89" s="73">
        <f>$AY89*$J89*K89</f>
        <v>136.45580759999999</v>
      </c>
      <c r="BD89" s="73">
        <f>$AY89*$J89*L89</f>
        <v>33.619546800000002</v>
      </c>
      <c r="BE89" s="73">
        <f>$AY89*$J89*M89</f>
        <v>27.686685600000001</v>
      </c>
      <c r="BF89" s="55">
        <f>SUM(BG89:BI89)</f>
        <v>0</v>
      </c>
      <c r="BG89" s="73">
        <f>$AY89*$N89*O89</f>
        <v>0</v>
      </c>
      <c r="BH89" s="73">
        <f>$AY89*$N89*P89</f>
        <v>0</v>
      </c>
      <c r="BI89" s="73">
        <f>$AY89*$N89*Q89</f>
        <v>0</v>
      </c>
      <c r="BJ89" s="629">
        <f>SUM(BK89:BL89)</f>
        <v>16.034759999999999</v>
      </c>
      <c r="BK89" s="73">
        <f>$AY89*$R89*S89</f>
        <v>14.724655357762419</v>
      </c>
      <c r="BL89" s="73">
        <f>$AY89*$R89*T89</f>
        <v>1.3101046422375784</v>
      </c>
      <c r="BM89" s="73"/>
      <c r="BN89" s="73"/>
      <c r="BO89" s="73"/>
      <c r="BP89" s="73"/>
      <c r="BQ89" s="73"/>
      <c r="BR89" s="68">
        <f>BS89+BW89+CA89+CH89+CL89</f>
        <v>53.449199999999998</v>
      </c>
      <c r="BS89" s="55">
        <f>SUM(BT89:BV89)</f>
        <v>0</v>
      </c>
      <c r="BT89" s="73">
        <f>$AY89*$Z89*$AA89*AC89</f>
        <v>0</v>
      </c>
      <c r="BU89" s="73">
        <f>$AY89*$Z89*$AA89*AB89</f>
        <v>0</v>
      </c>
      <c r="BV89" s="73">
        <f>$AY89*$Z89*$AA89*AD89</f>
        <v>0</v>
      </c>
      <c r="BW89" s="55">
        <f>SUM(BX89:BZ89)</f>
        <v>0</v>
      </c>
      <c r="BX89" s="73">
        <f>$AY89*$Z89*$AE89*AF89</f>
        <v>0</v>
      </c>
      <c r="BY89" s="73">
        <f>$AY89*$Z89*$AE89*AG89</f>
        <v>0</v>
      </c>
      <c r="BZ89" s="73">
        <f>$AY89*$Z89*$AE89*AH89</f>
        <v>0</v>
      </c>
      <c r="CA89" s="73">
        <f>SUM(CB89:CG89)</f>
        <v>53.449199999999998</v>
      </c>
      <c r="CB89" s="73">
        <f t="shared" ref="CB89:CG89" si="43">$AY89*$Z89*$AI89*AJ89</f>
        <v>35.76087250850626</v>
      </c>
      <c r="CC89" s="73">
        <f t="shared" si="43"/>
        <v>1.0937939998562047</v>
      </c>
      <c r="CD89" s="73">
        <f t="shared" si="43"/>
        <v>5.5894186695910903</v>
      </c>
      <c r="CE89" s="73">
        <f t="shared" si="43"/>
        <v>3.5599273669419444</v>
      </c>
      <c r="CF89" s="73">
        <f t="shared" si="43"/>
        <v>2.019166021855566</v>
      </c>
      <c r="CG89" s="73">
        <f t="shared" si="43"/>
        <v>5.426021433248934</v>
      </c>
      <c r="CH89" s="55">
        <f>SUM(CI89:CK89)</f>
        <v>0</v>
      </c>
      <c r="CI89" s="73">
        <f>$AY89*$Z89*$AP89*AQ89</f>
        <v>0</v>
      </c>
      <c r="CJ89" s="73">
        <f>$AY89*$Z89*$AP89*AR89</f>
        <v>0</v>
      </c>
      <c r="CK89" s="73">
        <f>$AY89*$Z89*$AP89*AS89</f>
        <v>0</v>
      </c>
      <c r="CL89" s="675">
        <f>$AY89*$Z89*AT89</f>
        <v>0</v>
      </c>
      <c r="CM89" s="97">
        <f>(BC89*CM$12+BD89*CM$13+BE89*CM$14+BG89*CM$17+BH89*CM$18+BI89*CM$19+BK89*CM$22+BL89*CM$23+CM$26*BN89+CM$27*BO89+CM$30*BQ89+BT89*CM$35+BU89*CM$36+BV89*CM$37+BX89*CM$40+BY89*CM$41+BZ89*CM$42+CB89*CM$45+CC89*CM$46+CD89*CM$47+CE89*CM$48+CF89*CM$49+CI89*CM$53+CJ89*CM$54+CK89*CM$55)/AY89</f>
        <v>3.0779683352369562</v>
      </c>
      <c r="CN89" s="97">
        <f>IF((BB89+BF89+BJ89+BM89)&gt;0,(BC89*CM$12+BD89*CM$13+BE89*CM$14+BG89*CM$17+BH89*CM$18+BI89*CM$19+BK89*CM$22+BL89*CM$23+CM$26*BN89+CM$27*BO89)/(BB89+BF89+BJ89+BM89),0)</f>
        <v>2.929697709117717</v>
      </c>
      <c r="CO89" s="97">
        <f>(BT89*CM$35+BU89*CM$36+BV89*CM$37+BX89*CM$40+BY89*CM$41+BZ89*CM$42+CB89*CM$45+CC89*CM$46+CD89*CM$47+CE89*CM$48+CF89*CM$49+CI89*CM$53+CJ89*CM$54+CK89*CM$55)/(BS89+BW89+CA89+CH89)</f>
        <v>3.6710508397139114</v>
      </c>
      <c r="CP89" s="74"/>
      <c r="CQ89" s="68">
        <f>10*(CT89+CU89)/DA89</f>
        <v>75.410224213305426</v>
      </c>
      <c r="CR89" s="68"/>
      <c r="CS89" s="261">
        <f>CM89*AY89/10</f>
        <v>82.257472571873549</v>
      </c>
      <c r="CT89" s="107">
        <f>CN89*(BB89+BF89+BJ89+BM89)/10</f>
        <v>62.635999517669873</v>
      </c>
      <c r="CU89" s="107">
        <f>CO89*(BS89+BW89+CA89+CH89)/10</f>
        <v>19.62147305420368</v>
      </c>
      <c r="CX89" s="26">
        <f>DB89+DF89</f>
        <v>80.8</v>
      </c>
      <c r="CY89" s="26">
        <f t="shared" ref="CY89:DA89" si="44">DC89+DG89</f>
        <v>32.32</v>
      </c>
      <c r="CZ89" s="335">
        <f t="shared" si="44"/>
        <v>0.58175999999999994</v>
      </c>
      <c r="DA89" s="26">
        <f t="shared" si="44"/>
        <v>10.907999999999999</v>
      </c>
      <c r="DB89" s="80">
        <v>80.8</v>
      </c>
      <c r="DC89" s="37">
        <f>DB89*GG98</f>
        <v>32.32</v>
      </c>
      <c r="DD89" s="335">
        <f>DB89*GJ$98/10^3</f>
        <v>0.58175999999999994</v>
      </c>
      <c r="DE89" s="26">
        <f>DB89*GL98</f>
        <v>10.907999999999999</v>
      </c>
      <c r="DN89" s="68"/>
      <c r="DO89" s="263">
        <f>10*DQ89/CM89</f>
        <v>3.0717498901325047</v>
      </c>
      <c r="DP89" s="272">
        <f>(BC89*DP$12+BD89*DP$13+BE89*DP$14+BG89*DP$17+BH89*DP$18+BI89*DP$19+BK89*DP$22+BL89*DP$23+DP$26*BN89+DP$27*BO89+DP$30*BQ89+BT89*DP$35+BU89*DP$36+BV89*DP$37+BX89*DP$40+BY89*DP$41+BZ89*DP$42+CB89*DP$45+CC89*DP$46+CD89*DP$47+CE89*DP$48+CF89*DP$49+CG89*DP$50+CI89*DP$53+CJ89*DP$54+CK89*DP$55)/AY89</f>
        <v>0.83757482055715449</v>
      </c>
      <c r="DQ89" s="143">
        <f>(BC89*DQ$12+BD89*DQ$13+BE89*DQ$14+BG89*DQ$17+BH89*DQ$18+BI89*DQ$19+BK89*DQ$22+BL89*DQ$23+DQ$26*BN89+DQ$27*BO89+DQ$30*BQ89+BT89*DQ$35+BU89*DQ$36+BV89*DQ$37+BX89*DQ$40+BY89*DQ$41+BZ89*DQ$42+CB89*DQ$45+CC89*DQ$46+CD89*DQ$47+CE89*DQ$48+CF89*DQ$49+CG89*DQ$50+CI89*DQ$53+CJ89*DQ$54+CK89*DQ$55)/AY89</f>
        <v>0.94547488955954484</v>
      </c>
      <c r="DR89" s="26">
        <f>DP89*$AY89/$CX89</f>
        <v>2.7702787189927882</v>
      </c>
      <c r="DS89" s="153">
        <f>DR89/$GG89</f>
        <v>6.9256967974819705</v>
      </c>
      <c r="DT89" s="676">
        <f>DP89*$AY89/$CZ89</f>
        <v>384.76093319344284</v>
      </c>
      <c r="DU89" s="677">
        <f>DP89*$AY89/$DA89</f>
        <v>20.520583103650285</v>
      </c>
      <c r="DV89" s="26">
        <f>DQ89*$AY89/$CX89</f>
        <v>3.1271581972181943</v>
      </c>
      <c r="DW89" s="153">
        <f>DV89/$GG89</f>
        <v>7.8178954930454854</v>
      </c>
      <c r="DX89" s="676">
        <f>DQ89*$AY89/$CZ89</f>
        <v>434.32752739141591</v>
      </c>
      <c r="DY89" s="677">
        <f>DQ89*$AY89/$DA89</f>
        <v>23.164134794208849</v>
      </c>
      <c r="DZ89" s="678">
        <f>(BC89*DZ$12+BD89*DZ$13+BE89*DZ$14+BG89*DZ$17+BH89*DZ$18+BI89*DZ$19+BK89*DZ$22+BL89*DZ$23+DZ$26*BN89+DZ$27*BO89+DZ$30*BQ89+BT89*DZ$35+BU89*DZ$36+BV89*DZ$37+BX89*DZ$40+BY89*DZ$41+BZ89*DZ$42+CB89*DZ$45+CC89*DZ$46+CD89*DZ$47+CE89*DZ$48+CF89*DZ$49+CG89*DZ$50+CI89*DZ$53+CJ89*DZ$54+CK89*DZ$55)/AY89</f>
        <v>1.8953599202879516</v>
      </c>
      <c r="EA89" s="26">
        <f>DZ89*$AY89/$CX89</f>
        <v>6.2689029363523998</v>
      </c>
      <c r="EB89" s="676">
        <f>DZ89*$AY89/$CZ89</f>
        <v>870.68096338227781</v>
      </c>
      <c r="EC89" s="677">
        <f>DZ89*$AY89/$DA89</f>
        <v>46.436318047054812</v>
      </c>
      <c r="ED89" s="410">
        <f>(BC89*ED$12+BD89*ED$13+BE89*ED$14+BG89*ED$17+BH89*ED$18+BI89*ED$19+BK89*ED$22+BL89*ED$23+ED$26*BN89+ED$27*BO89+ED$30*BQ89+BT89*ED$35+BU89*ED$36+BV89*ED$37+BX89*ED$40+BY89*ED$41+BZ89*ED$42+CB89*ED$45+CC89*ED$46+CD89*ED$47+CE89*ED$48+CF89*ED$49+CG89*ED$50+CI89*ED$53+CJ89*ED$54+CK89*ED$55)/AY89</f>
        <v>0.15980535365960363</v>
      </c>
      <c r="EE89" s="73">
        <f>ED89*$AY89</f>
        <v>42.707341544114428</v>
      </c>
      <c r="EF89" s="127">
        <f>ED89*$AY89/$CX89</f>
        <v>0.52855620722913899</v>
      </c>
      <c r="EG89" s="153">
        <f>EF89/$GG89</f>
        <v>1.3213905180728474</v>
      </c>
      <c r="EH89" s="679">
        <f>ED89*$AY89/$CZ89</f>
        <v>73.410584337380413</v>
      </c>
      <c r="EI89" s="110">
        <f>ED89*$AY89/$DA89</f>
        <v>3.9152311646602889</v>
      </c>
      <c r="EJ89" s="410">
        <f>EK89+EL89+EM89</f>
        <v>0.55803689209366625</v>
      </c>
      <c r="EK89" s="127">
        <f>(BC89*EK$12+BD89*EK$13+BE89*EK$14+BG89*EK$17+BH89*EK$18+BI89*EK$19+BK89*EK$22+BL89*EK$23+EK$26*BN89+EK$27*BO89+EK$30*BQ89+BT89*EK$35+BU89*EK$36+BV89*EK$37+BX89*EK$40+BY89*EK$41+BZ89*EK$42+CB89*EK$45+CC89*EK$46+CD89*EK$47+CE89*EK$48+CF89*EK$49+CG89*EK$50+CI89*EK$53+CJ89*EK$54+CK89*EK$55)/AY89</f>
        <v>0.33973919070145858</v>
      </c>
      <c r="EL89" s="127">
        <f>(BC89*EL$12+BD89*EL$13+BE89*EL$14+BG89*EL$17+BH89*EL$18+BI89*EL$19+BK89*EL$22+BL89*EL$23+EL$26*BN89+EL$27*BO89+EL$30*BQ89+BT89*EL$35+BU89*EL$36+BV89*EL$37+BX89*EL$40+BY89*EL$41+BZ89*EL$42+CB89*EL$45+CC89*EL$46+CD89*EL$47+CE89*EL$48+CF89*EL$49+CG89*EL$50+CI89*EL$53+CJ89*EL$54+CK89*EL$55)/AY89</f>
        <v>0.21365298281293307</v>
      </c>
      <c r="EM89" s="127">
        <f>(BC89*EM$12+BD89*EM$13+BE89*EM$14+BG89*EM$17+BH89*EM$18+BI89*EM$19+BK89*EM$22+BL89*EM$23+EM$26*BN89+EM$27*BO89+EM$30*BQ89+BT89*EM$35+BU89*EM$36+BV89*EM$37+BX89*EM$40+BY89*EM$41+BZ89*EM$42+CB89*EM$45+CC89*EM$46+CD89*EM$47+CE89*EM$48+CF89*EM$49+CG89*EM$50+CI89*EM$53+CJ89*EM$54+CK89*EM$55)/AY89</f>
        <v>4.6447185792746733E-3</v>
      </c>
      <c r="EN89" s="73">
        <f>ES89+ET89+EU89+EV89+EW89+EX89+EY89+EZ89</f>
        <v>300.79472726446386</v>
      </c>
      <c r="EO89" s="390">
        <f>EN89/CX89</f>
        <v>3.7227070205998003</v>
      </c>
      <c r="EP89" s="153">
        <f>EO89/$GG89</f>
        <v>9.306767551499501</v>
      </c>
      <c r="EQ89" s="73">
        <f>EN89/CZ89</f>
        <v>517.04264174997229</v>
      </c>
      <c r="ER89" s="696">
        <f>EN89/DA89</f>
        <v>27.57560755999852</v>
      </c>
      <c r="ES89" s="73">
        <f>FE89*$DA89</f>
        <v>90.793939758202001</v>
      </c>
      <c r="ET89" s="73">
        <f>FG89*$DA89</f>
        <v>57.097905044825097</v>
      </c>
      <c r="EU89" s="73">
        <f>FJ89*$DA89</f>
        <v>1.2412824614368394</v>
      </c>
      <c r="EV89" s="73">
        <f>FM89*$DA89</f>
        <v>96.313599999999994</v>
      </c>
      <c r="EW89" s="73"/>
      <c r="EX89" s="73">
        <f>FT89*$DA89</f>
        <v>32.32</v>
      </c>
      <c r="EY89" s="73">
        <f>FV89*$DA89</f>
        <v>12.039199999999999</v>
      </c>
      <c r="EZ89" s="73">
        <f>FY89*$DA89</f>
        <v>10.988799999999998</v>
      </c>
      <c r="FA89" s="73">
        <f>ES89+ET89+EU89</f>
        <v>149.13312726446392</v>
      </c>
      <c r="FB89" s="91">
        <f>FA89/CX89</f>
        <v>1.8457070205998012</v>
      </c>
      <c r="FC89" s="73">
        <f>FA89/DA89</f>
        <v>13.671903856294824</v>
      </c>
      <c r="FD89" s="213">
        <f>EK89*$AY89/$CX89</f>
        <v>1.1236873732450743</v>
      </c>
      <c r="FE89" s="73">
        <f>FD89*$DB89/$DA89</f>
        <v>8.3236101721857363</v>
      </c>
      <c r="FF89" s="115">
        <f>ET89/$DB89</f>
        <v>0.706657240653776</v>
      </c>
      <c r="FG89" s="483">
        <f>'Discounting metrics'!$B$6*FH89*$DB89/$DA89/10^3</f>
        <v>5.2344980789168591</v>
      </c>
      <c r="FH89" s="680">
        <f>10^3*EL89*$AY89/$CX89/'Discounting metrics'!$B$6</f>
        <v>2.3713330223281077</v>
      </c>
      <c r="FI89" s="73">
        <f>EU89/$DB89</f>
        <v>1.5362406700950983E-2</v>
      </c>
      <c r="FJ89" s="681">
        <f>'Discounting metrics'!$B$5*FK89*$DB89/$DA89/10^3</f>
        <v>0.1137956051922295</v>
      </c>
      <c r="FK89" s="682">
        <f>10^3*EM89*$AY89/$CX89/'Discounting metrics'!$B$5</f>
        <v>0.45183549120444066</v>
      </c>
      <c r="FL89" s="115">
        <f>EV89/$DB89</f>
        <v>1.1919999999999999</v>
      </c>
      <c r="FM89" s="483">
        <f>'Discounting metrics'!$B$6*FN89*$DB89/$DA89/10^3</f>
        <v>8.8296296296296291</v>
      </c>
      <c r="FN89" s="84">
        <v>4</v>
      </c>
      <c r="FO89" s="115"/>
      <c r="FP89" s="681"/>
      <c r="FQ89" s="83"/>
      <c r="FR89" s="115"/>
      <c r="FS89" s="687">
        <v>0.4</v>
      </c>
      <c r="FT89" s="115">
        <f>FS89*$DB89/$DA89</f>
        <v>2.9629629629629632</v>
      </c>
      <c r="FU89" s="127">
        <f>EY89/$DB89</f>
        <v>0.14899999999999999</v>
      </c>
      <c r="FV89" s="483">
        <f>'Discounting metrics'!$B$6*FW89*$DB89/$DA89/10^3</f>
        <v>1.1037037037037036</v>
      </c>
      <c r="FW89" s="80">
        <v>0.5</v>
      </c>
      <c r="FX89" s="127">
        <f>EZ89/$DB89</f>
        <v>0.13599999999999998</v>
      </c>
      <c r="FY89" s="483">
        <f>'Discounting metrics'!$B$5*FZ89*$DB89/$DA89/10^3</f>
        <v>1.0074074074074073</v>
      </c>
      <c r="FZ89" s="84">
        <v>4</v>
      </c>
      <c r="GA89" s="73">
        <f>DR89*44/12+EF89+EO89</f>
        <v>14.40895186413583</v>
      </c>
      <c r="GB89" s="677">
        <f>DT89*44/12+EH89+EQ89</f>
        <v>2001.2433144633096</v>
      </c>
      <c r="GC89" s="676">
        <f>DU89*44/12+EI89+ER89</f>
        <v>106.73297677137651</v>
      </c>
      <c r="GD89" s="73">
        <f>DV89*44/12+EF89+EO89</f>
        <v>15.717509950962318</v>
      </c>
      <c r="GE89" s="677">
        <f>DX89*44/12+EH89+EQ89</f>
        <v>2182.9874931892109</v>
      </c>
      <c r="GF89" s="676">
        <f>DY89*44/12+EI89+ER89</f>
        <v>116.42599963675791</v>
      </c>
      <c r="GG89" s="52">
        <f>GG98</f>
        <v>0.4</v>
      </c>
      <c r="GI89" s="26">
        <f>(BC89*GI$12+BD89*GI$13+BE89*GI$14+BG89*GI$17+BH89*GI$18+BI89*GI$19+BK89*GI$22+BL89*GI$23+GI$26*BN89+GI$27*BO89+GI$30*BQ89+BT89*GI$35+BU89*GI$36+BV89*GI$37+BX89*GI$40+BY89*GI$41+BZ89*GI$42+CB89*GI$45+CC89*GI$46+CD89*GI$47+CE89*GI$48+CF89*GI$49+CI89*GI$53+CJ89*GI$54+CK89*GI$55+CL89*GI$58)/AY89</f>
        <v>18.687803993683801</v>
      </c>
      <c r="GM89" s="683">
        <f>(BC89*GM$12+BD89*GM$13+BE89*GM$14+BG89*GM$17+BH89*GM$18+BI89*GM$19+BK89*GM$22+BL89*GM$23+GM$26*BN89+GM$27*BO89+GM$30*BQ89+BT89*GM$35+BU89*GM$36+BV89*GM$37+BX89*GM$40+BY89*GM$41+BZ89*GM$42+CB89*GM$45+CC89*GM$46+CD89*GM$47+CE89*GM$48+CF89*GM$49+CI89*GM$53+CJ89*GM$54+CK89*GM$55+CL89*GM$58)/AY89</f>
        <v>0.188116684247643</v>
      </c>
    </row>
    <row r="90" spans="1:295" x14ac:dyDescent="0.25">
      <c r="A90" s="4"/>
      <c r="H90" s="40"/>
      <c r="I90" s="40"/>
      <c r="R90" s="45"/>
      <c r="AT90" s="74"/>
      <c r="AW90" s="55"/>
      <c r="AY90" s="55"/>
      <c r="AZ90" s="55"/>
      <c r="BA90" s="55"/>
      <c r="BB90" s="73"/>
      <c r="BC90" s="73"/>
      <c r="BD90" s="73"/>
      <c r="BE90" s="73"/>
      <c r="BF90" s="55"/>
      <c r="BG90" s="73"/>
      <c r="BH90" s="73"/>
      <c r="BI90" s="73"/>
      <c r="BJ90" s="73"/>
      <c r="BK90" s="73"/>
      <c r="BL90" s="73"/>
      <c r="BM90" s="73"/>
      <c r="BN90" s="73"/>
      <c r="BO90" s="73"/>
      <c r="BP90" s="73"/>
      <c r="BQ90" s="73"/>
      <c r="BR90" s="73"/>
      <c r="BS90" s="55"/>
      <c r="BT90" s="73"/>
      <c r="BU90" s="73"/>
      <c r="BV90" s="73"/>
      <c r="BW90" s="55"/>
      <c r="BX90" s="73"/>
      <c r="BY90" s="73"/>
      <c r="BZ90" s="73"/>
      <c r="CA90" s="73"/>
      <c r="CB90" s="73"/>
      <c r="CC90" s="73"/>
      <c r="CD90" s="73"/>
      <c r="CE90" s="73"/>
      <c r="CF90" s="73"/>
      <c r="CG90" s="73"/>
      <c r="CH90" s="73"/>
      <c r="CI90" s="73"/>
      <c r="CJ90" s="73"/>
      <c r="CK90" s="73"/>
      <c r="CL90" s="73"/>
      <c r="CM90" s="74"/>
      <c r="CN90" s="74"/>
      <c r="CO90" s="74"/>
      <c r="CP90" s="74"/>
      <c r="CQ90" s="55"/>
      <c r="CR90" s="55"/>
      <c r="CZ90" s="335"/>
      <c r="DE90" s="133"/>
      <c r="DF90" s="645"/>
      <c r="DN90" s="73"/>
      <c r="DO90" s="115"/>
      <c r="DP90" s="115"/>
      <c r="DT90" s="55"/>
      <c r="ED90" s="335"/>
      <c r="EE90" s="127"/>
      <c r="EF90" s="469"/>
      <c r="EH90" s="74"/>
      <c r="EI90" s="115"/>
      <c r="EK90" s="127"/>
      <c r="EL90" s="127"/>
      <c r="EM90" s="127"/>
      <c r="EN90" s="474"/>
      <c r="EO90" s="179"/>
      <c r="EP90" s="37"/>
      <c r="ES90" s="474"/>
      <c r="ET90" s="474"/>
      <c r="FD90" s="179"/>
      <c r="FE90" s="474"/>
      <c r="FF90" s="474"/>
      <c r="FG90" s="179"/>
      <c r="FH90" s="133"/>
      <c r="FI90" s="474"/>
      <c r="FJ90" s="73"/>
      <c r="FL90" s="474"/>
      <c r="FM90" s="694"/>
      <c r="FO90" s="474"/>
      <c r="FT90" s="694"/>
      <c r="FU90" s="474"/>
      <c r="FV90" s="694"/>
      <c r="FX90" s="474"/>
      <c r="FY90" s="694"/>
    </row>
    <row r="91" spans="1:295" x14ac:dyDescent="0.25">
      <c r="A91" s="4" t="s">
        <v>17</v>
      </c>
      <c r="H91" s="671">
        <f>J91+N91+Z91*(AA91+AE91)</f>
        <v>0.74</v>
      </c>
      <c r="I91" s="671">
        <f>R91+Z91*(AI91+AP91)</f>
        <v>0.26</v>
      </c>
      <c r="J91" s="62">
        <f>1-N91-R91-U91-X91-Z91</f>
        <v>0.74</v>
      </c>
      <c r="K91" s="129">
        <v>0.69</v>
      </c>
      <c r="L91" s="129">
        <v>0.17</v>
      </c>
      <c r="M91" s="130">
        <v>0.14000000000000001</v>
      </c>
      <c r="N91" s="39">
        <v>0</v>
      </c>
      <c r="O91" s="129">
        <v>0.52</v>
      </c>
      <c r="P91" s="129">
        <v>0.16</v>
      </c>
      <c r="Q91" s="130">
        <v>0.32</v>
      </c>
      <c r="R91" s="82">
        <v>0.06</v>
      </c>
      <c r="S91" s="57">
        <f>C$22</f>
        <v>0.91829596188296059</v>
      </c>
      <c r="T91" s="57">
        <f>C$23</f>
        <v>8.1704038117039385E-2</v>
      </c>
      <c r="U91" s="39"/>
      <c r="X91" s="39"/>
      <c r="Z91" s="90">
        <v>0.2</v>
      </c>
      <c r="AA91" s="39">
        <v>0</v>
      </c>
      <c r="AB91" s="57">
        <f>C$36</f>
        <v>0.32627633176706616</v>
      </c>
      <c r="AC91" s="57">
        <f>C$35</f>
        <v>0.12306636397233511</v>
      </c>
      <c r="AD91" s="57">
        <f>C$37</f>
        <v>0.55065730426059856</v>
      </c>
      <c r="AE91" s="39">
        <v>0</v>
      </c>
      <c r="AF91" s="57">
        <f>C$40</f>
        <v>0.46292585170340678</v>
      </c>
      <c r="AG91" s="57">
        <f>C$41</f>
        <v>0.21643286573146289</v>
      </c>
      <c r="AH91" s="57">
        <f>C$42</f>
        <v>0.32064128256513025</v>
      </c>
      <c r="AI91" s="39">
        <v>1</v>
      </c>
      <c r="AJ91" s="131">
        <f>C$45</f>
        <v>0.66906282055683264</v>
      </c>
      <c r="AK91" s="131">
        <f>C$46</f>
        <v>2.0464179068278004E-2</v>
      </c>
      <c r="AL91" s="131">
        <f>C$47</f>
        <v>0.10457441214444914</v>
      </c>
      <c r="AM91" s="131">
        <f>C$48</f>
        <v>6.6603941068190814E-2</v>
      </c>
      <c r="AN91" s="131">
        <f>C$49</f>
        <v>3.7777291743479158E-2</v>
      </c>
      <c r="AO91" s="132">
        <f>C$50</f>
        <v>0.10151735541877024</v>
      </c>
      <c r="AP91" s="39">
        <v>0</v>
      </c>
      <c r="AQ91" s="131">
        <f>C$53</f>
        <v>0.27362401715511081</v>
      </c>
      <c r="AR91" s="131">
        <f>C$54</f>
        <v>0.12094353109363824</v>
      </c>
      <c r="AS91" s="131">
        <f>C$55</f>
        <v>0.60543245175125082</v>
      </c>
      <c r="AT91" s="53">
        <f>1-AA91-AE91-AI91-AP91</f>
        <v>0</v>
      </c>
      <c r="AU91" s="671">
        <f>Z91*AT91</f>
        <v>0</v>
      </c>
      <c r="AV91" s="390">
        <f>AW91*DA91/CX91</f>
        <v>3.3</v>
      </c>
      <c r="AW91" s="72">
        <v>30</v>
      </c>
      <c r="AX91" s="73">
        <f>BA91/DA91</f>
        <v>30</v>
      </c>
      <c r="AY91" s="673">
        <f>AW91*DA91</f>
        <v>201.96</v>
      </c>
      <c r="AZ91" s="55">
        <f>BB91+BF91+BJ91</f>
        <v>161.56800000000001</v>
      </c>
      <c r="BA91" s="673">
        <f>AZ91+BS91+BW91+CA91+CH91</f>
        <v>201.96</v>
      </c>
      <c r="BB91" s="73">
        <f>SUM(BC91:BE91)</f>
        <v>149.4504</v>
      </c>
      <c r="BC91" s="73">
        <f>$AY91*$J91*K91</f>
        <v>103.12077599999999</v>
      </c>
      <c r="BD91" s="73">
        <f>$AY91*$J91*L91</f>
        <v>25.406568000000004</v>
      </c>
      <c r="BE91" s="73">
        <f>$AY91*$J91*M91</f>
        <v>20.923056000000003</v>
      </c>
      <c r="BF91" s="55">
        <f>SUM(BG91:BI91)</f>
        <v>0</v>
      </c>
      <c r="BG91" s="73">
        <f>$AY91*$N91*O91</f>
        <v>0</v>
      </c>
      <c r="BH91" s="73">
        <f>$AY91*$N91*P91</f>
        <v>0</v>
      </c>
      <c r="BI91" s="73">
        <f>$AY91*$N91*Q91</f>
        <v>0</v>
      </c>
      <c r="BJ91" s="629">
        <f>SUM(BK91:BL91)</f>
        <v>12.117599999999999</v>
      </c>
      <c r="BK91" s="73">
        <f>$AY91*$R91*S91</f>
        <v>11.127543147712963</v>
      </c>
      <c r="BL91" s="73">
        <f>$AY91*$R91*T91</f>
        <v>0.99005685228703644</v>
      </c>
      <c r="BM91" s="73"/>
      <c r="BN91" s="73"/>
      <c r="BO91" s="73"/>
      <c r="BP91" s="73"/>
      <c r="BQ91" s="73"/>
      <c r="BR91" s="68">
        <f>BS91+BW91+CA91+CH91+CL91</f>
        <v>40.392000000000003</v>
      </c>
      <c r="BS91" s="55">
        <f>SUM(BT91:BV91)</f>
        <v>0</v>
      </c>
      <c r="BT91" s="73">
        <f>$AY91*$Z91*$AA91*AC91</f>
        <v>0</v>
      </c>
      <c r="BU91" s="73">
        <f>$AY91*$Z91*$AA91*AB91</f>
        <v>0</v>
      </c>
      <c r="BV91" s="73">
        <f>$AY91*$Z91*$AA91*AD91</f>
        <v>0</v>
      </c>
      <c r="BW91" s="55">
        <f>SUM(BX91:BZ91)</f>
        <v>0</v>
      </c>
      <c r="BX91" s="73">
        <f>$AY91*$Z91*$AE91*AF91</f>
        <v>0</v>
      </c>
      <c r="BY91" s="73">
        <f>$AY91*$Z91*$AE91*AG91</f>
        <v>0</v>
      </c>
      <c r="BZ91" s="73">
        <f>$AY91*$Z91*$AE91*AH91</f>
        <v>0</v>
      </c>
      <c r="CA91" s="73">
        <f>SUM(CB91:CG91)</f>
        <v>40.392000000000003</v>
      </c>
      <c r="CB91" s="73">
        <f t="shared" ref="CB91:CG91" si="45">$AY91*$Z91*$AI91*AJ91</f>
        <v>27.024785447931585</v>
      </c>
      <c r="CC91" s="73">
        <f t="shared" si="45"/>
        <v>0.82658912092588521</v>
      </c>
      <c r="CD91" s="73">
        <f t="shared" si="45"/>
        <v>4.2239696553385899</v>
      </c>
      <c r="CE91" s="73">
        <f t="shared" si="45"/>
        <v>2.6902663876263637</v>
      </c>
      <c r="CF91" s="73">
        <f t="shared" si="45"/>
        <v>1.5259003681026102</v>
      </c>
      <c r="CG91" s="73">
        <f t="shared" si="45"/>
        <v>4.100489020074968</v>
      </c>
      <c r="CH91" s="55">
        <f>SUM(CI91:CK91)</f>
        <v>0</v>
      </c>
      <c r="CI91" s="73">
        <f>$AY91*$Z91*$AP91*AQ91</f>
        <v>0</v>
      </c>
      <c r="CJ91" s="73">
        <f>$AY91*$Z91*$AP91*AR91</f>
        <v>0</v>
      </c>
      <c r="CK91" s="73">
        <f>$AY91*$Z91*$AP91*AS91</f>
        <v>0</v>
      </c>
      <c r="CL91" s="675">
        <f>$AY91*$Z91*AT91</f>
        <v>0</v>
      </c>
      <c r="CM91" s="97">
        <f>(BC91*CM$12+BD91*CM$13+BE91*CM$14+BG91*CM$17+BH91*CM$18+BI91*CM$19+BK91*CM$22+BL91*CM$23+CM$26*BN91+CM$27*BO91+CM$30*BQ91+BT91*CM$35+BU91*CM$36+BV91*CM$37+BX91*CM$40+BY91*CM$41+BZ91*CM$42+CB91*CM$45+CC91*CM$46+CD91*CM$47+CE91*CM$48+CF91*CM$49+CI91*CM$53+CJ91*CM$54+CK91*CM$55)/AY91</f>
        <v>3.0779683352369558</v>
      </c>
      <c r="CN91" s="97">
        <f>IF((BB91+BF91+BJ91+BM91)&gt;0,(BC91*CM$12+BD91*CM$13+BE91*CM$14+BG91*CM$17+BH91*CM$18+BI91*CM$19+BK91*CM$22+BL91*CM$23+CM$26*BN91+CM$27*BO91)/(BB91+BF91+BJ91+BM91),0)</f>
        <v>2.9296977091177165</v>
      </c>
      <c r="CO91" s="97">
        <f>(BT91*CM$35+BU91*CM$36+BV91*CM$37+BX91*CM$40+BY91*CM$41+BZ91*CM$42+CB91*CM$45+CC91*CM$46+CD91*CM$47+CE91*CM$48+CF91*CM$49+CI91*CM$53+CJ91*CM$54+CK91*CM$55)/(BS91+BW91+CA91+CH91)</f>
        <v>3.6710508397139119</v>
      </c>
      <c r="CP91" s="74"/>
      <c r="CQ91" s="68">
        <f>10*(CT91+CU91)/DA91</f>
        <v>92.339050057108679</v>
      </c>
      <c r="CR91" s="68"/>
      <c r="CS91" s="261">
        <f>CM91*AY91/10</f>
        <v>62.162648498445563</v>
      </c>
      <c r="CT91" s="107">
        <f>CN91*(BB91+BF91+BJ91+BM91)/10</f>
        <v>47.334539946673125</v>
      </c>
      <c r="CU91" s="107">
        <f>CO91*(BS91+BW91+CA91+CH91)/10</f>
        <v>14.828108551772434</v>
      </c>
      <c r="CX91" s="26">
        <f>DB91+DF91</f>
        <v>61.2</v>
      </c>
      <c r="CY91" s="26">
        <f t="shared" ref="CY91:DA91" si="46">DC91+DG91</f>
        <v>19.584</v>
      </c>
      <c r="CZ91" s="335">
        <f t="shared" si="46"/>
        <v>0.34271999999999997</v>
      </c>
      <c r="DA91" s="26">
        <f t="shared" si="46"/>
        <v>6.7320000000000002</v>
      </c>
      <c r="DF91" s="80">
        <v>61.2</v>
      </c>
      <c r="DG91" s="37">
        <f>DF91*GG101</f>
        <v>19.584</v>
      </c>
      <c r="DH91" s="335">
        <f>DF91*GJ101/10^3</f>
        <v>0.34271999999999997</v>
      </c>
      <c r="DI91" s="26">
        <f>DF91*GL101</f>
        <v>6.7320000000000002</v>
      </c>
      <c r="DJ91" s="26"/>
      <c r="DK91" s="26"/>
      <c r="DL91" s="26"/>
      <c r="DM91" s="26"/>
      <c r="DN91" s="68"/>
      <c r="DO91" s="263">
        <f>10*DQ91/CM91</f>
        <v>3.0717498901325042</v>
      </c>
      <c r="DP91" s="272">
        <f>(BC91*DP$12+BD91*DP$13+BE91*DP$14+BG91*DP$17+BH91*DP$18+BI91*DP$19+BK91*DP$22+BL91*DP$23+DP$26*BN91+DP$27*BO91+DP$30*BQ91+BT91*DP$35+BU91*DP$36+BV91*DP$37+BX91*DP$40+BY91*DP$41+BZ91*DP$42+CB91*DP$45+CC91*DP$46+CD91*DP$47+CE91*DP$48+CF91*DP$49+CG91*DP$50+CI91*DP$53+CJ91*DP$54+CK91*DP$55)/AY91</f>
        <v>0.83757482055715404</v>
      </c>
      <c r="DQ91" s="143">
        <f>(BC91*DQ$12+BD91*DQ$13+BE91*DQ$14+BG91*DQ$17+BH91*DQ$18+BI91*DQ$19+BK91*DQ$22+BL91*DQ$23+DQ$26*BN91+DQ$27*BO91+DQ$30*BQ91+BT91*DQ$35+BU91*DQ$36+BV91*DQ$37+BX91*DQ$40+BY91*DQ$41+BZ91*DQ$42+CB91*DQ$45+CC91*DQ$46+CD91*DQ$47+CE91*DQ$48+CF91*DQ$49+CG91*DQ$50+CI91*DQ$53+CJ91*DQ$54+CK91*DQ$55)/AY91</f>
        <v>0.94547488955954451</v>
      </c>
      <c r="DR91" s="26">
        <f>DP91*$AY91/$CX91</f>
        <v>2.7639969078386084</v>
      </c>
      <c r="DS91" s="153">
        <f>DR91/$GG91</f>
        <v>8.6374903369956506</v>
      </c>
      <c r="DT91" s="676">
        <f>DP91*$AY91/$CZ91</f>
        <v>493.57087639975157</v>
      </c>
      <c r="DU91" s="677">
        <f>DP91*$AY91/$DA91</f>
        <v>25.12724461671462</v>
      </c>
      <c r="DV91" s="26">
        <f>DQ91*$AY91/$CX91</f>
        <v>3.1200671355464968</v>
      </c>
      <c r="DW91" s="153">
        <f>DV91/$GG91</f>
        <v>9.7502097985828016</v>
      </c>
      <c r="DX91" s="676">
        <f>DQ91*$AY91/$CZ91</f>
        <v>557.15484563330313</v>
      </c>
      <c r="DY91" s="677">
        <f>DQ91*$AY91/$DA91</f>
        <v>28.364246686786338</v>
      </c>
      <c r="DZ91" s="678">
        <f>(BC91*DZ$12+BD91*DZ$13+BE91*DZ$14+BG91*DZ$17+BH91*DZ$18+BI91*DZ$19+BK91*DZ$22+BL91*DZ$23+DZ$26*BN91+DZ$27*BO91+DZ$30*BQ91+BT91*DZ$35+BU91*DZ$36+BV91*DZ$37+BX91*DZ$40+BY91*DZ$41+BZ91*DZ$42+CB91*DZ$45+CC91*DZ$46+CD91*DZ$47+CE91*DZ$48+CF91*DZ$49+CG91*DZ$50+CI91*DZ$53+CJ91*DZ$54+CK91*DZ$55)/AY91</f>
        <v>1.8953599202879514</v>
      </c>
      <c r="EA91" s="26">
        <f>DZ91*$AY91/$CX91</f>
        <v>6.2546877369502392</v>
      </c>
      <c r="EB91" s="676">
        <f>DZ91*$AY91/$CZ91</f>
        <v>1116.9085244554001</v>
      </c>
      <c r="EC91" s="677">
        <f>DZ91*$AY91/$DA91</f>
        <v>56.860797608638542</v>
      </c>
      <c r="ED91" s="410">
        <f>(BC91*ED$12+BD91*ED$13+BE91*ED$14+BG91*ED$17+BH91*ED$18+BI91*ED$19+BK91*ED$22+BL91*ED$23+ED$26*BN91+ED$27*BO91+ED$30*BQ91+BT91*ED$35+BU91*ED$36+BV91*ED$37+BX91*ED$40+BY91*ED$41+BZ91*ED$42+CB91*ED$45+CC91*ED$46+CD91*ED$47+CE91*ED$48+CF91*ED$49+CG91*ED$50+CI91*ED$53+CJ91*ED$54+CK91*ED$55)/AY91</f>
        <v>0.15980535365960361</v>
      </c>
      <c r="EE91" s="73">
        <f>ED91*$AY91</f>
        <v>32.274289225093547</v>
      </c>
      <c r="EF91" s="127">
        <f>ED91*$AY91/$CX91</f>
        <v>0.52735766707669196</v>
      </c>
      <c r="EG91" s="153">
        <f>EF91/$GG91</f>
        <v>1.6479927096146623</v>
      </c>
      <c r="EH91" s="679">
        <f>ED91*$AY91/$CZ91</f>
        <v>94.171011977980712</v>
      </c>
      <c r="EI91" s="110">
        <f>ED91*$AY91/$DA91</f>
        <v>4.7941606097881087</v>
      </c>
      <c r="EJ91" s="410">
        <f>EK91+EL91+EM91</f>
        <v>0.55803689209366625</v>
      </c>
      <c r="EK91" s="127">
        <f>(BC91*EK$12+BD91*EK$13+BE91*EK$14+BG91*EK$17+BH91*EK$18+BI91*EK$19+BK91*EK$22+BL91*EK$23+EK$26*BN91+EK$27*BO91+EK$30*BQ91+BT91*EK$35+BU91*EK$36+BV91*EK$37+BX91*EK$40+BY91*EK$41+BZ91*EK$42+CB91*EK$45+CC91*EK$46+CD91*EK$47+CE91*EK$48+CF91*EK$49+CG91*EK$50+CI91*EK$53+CJ91*EK$54+CK91*EK$55)/AY91</f>
        <v>0.33973919070145858</v>
      </c>
      <c r="EL91" s="127">
        <f>(BC91*EL$12+BD91*EL$13+BE91*EL$14+BG91*EL$17+BH91*EL$18+BI91*EL$19+BK91*EL$22+BL91*EL$23+EL$26*BN91+EL$27*BO91+EL$30*BQ91+BT91*EL$35+BU91*EL$36+BV91*EL$37+BX91*EL$40+BY91*EL$41+BZ91*EL$42+CB91*EL$45+CC91*EL$46+CD91*EL$47+CE91*EL$48+CF91*EL$49+CG91*EL$50+CI91*EL$53+CJ91*EL$54+CK91*EL$55)/AY91</f>
        <v>0.21365298281293302</v>
      </c>
      <c r="EM91" s="127">
        <f>(BC91*EM$12+BD91*EM$13+BE91*EM$14+BG91*EM$17+BH91*EM$18+BI91*EM$19+BK91*EM$22+BL91*EM$23+EM$26*BN91+EM$27*BO91+EM$30*BQ91+BT91*EM$35+BU91*EM$36+BV91*EM$37+BX91*EM$40+BY91*EM$41+BZ91*EM$42+CB91*EM$45+CC91*EM$46+CD91*EM$47+CE91*EM$48+CF91*EM$49+CG91*EM$50+CI91*EM$53+CJ91*EM$54+CK91*EM$55)/AY91</f>
        <v>4.6447185792746716E-3</v>
      </c>
      <c r="EN91" s="73">
        <f>ES91+ET91+EU91+EV91+EW91+EX91+EY91+EZ91</f>
        <v>221.62489072723687</v>
      </c>
      <c r="EO91" s="390">
        <f>EN91/CX91</f>
        <v>3.6213217439090992</v>
      </c>
      <c r="EP91" s="153">
        <f>EO91/$GG91</f>
        <v>11.316630449715936</v>
      </c>
      <c r="EQ91" s="73">
        <f>EN91/CZ91</f>
        <v>646.66459712662493</v>
      </c>
      <c r="ER91" s="696">
        <f>EN91/DA91</f>
        <v>32.921106762809991</v>
      </c>
      <c r="ES91" s="73">
        <f>FE91*$DA91</f>
        <v>68.613726954066578</v>
      </c>
      <c r="ET91" s="73">
        <f>FG91*$DA91</f>
        <v>43.149356408899948</v>
      </c>
      <c r="EU91" s="73">
        <f>FJ91*$DA91</f>
        <v>0.93804736427031288</v>
      </c>
      <c r="EV91" s="73">
        <f>FM91*$DA91</f>
        <v>47.417760000000008</v>
      </c>
      <c r="EW91" s="73"/>
      <c r="EX91" s="73">
        <f>FT91*$DA91</f>
        <v>9.18</v>
      </c>
      <c r="EY91" s="73">
        <f>FV91*$DA91</f>
        <v>27.356400000000001</v>
      </c>
      <c r="EZ91" s="73">
        <f>FY91*$DA91</f>
        <v>24.969600000000003</v>
      </c>
      <c r="FA91" s="73">
        <f>ES91+ET91+EU91</f>
        <v>112.70113072723684</v>
      </c>
      <c r="FB91" s="91">
        <f>FA91/CX91</f>
        <v>1.8415217439090987</v>
      </c>
      <c r="FC91" s="73">
        <f>FA91/DA91</f>
        <v>16.741106762809988</v>
      </c>
      <c r="FD91" s="213">
        <f>EK91*$AY91/$CX91</f>
        <v>1.1211393293148133</v>
      </c>
      <c r="FE91" s="115">
        <f>FD91*$DF91/$DA91</f>
        <v>10.192175721043757</v>
      </c>
      <c r="FF91" s="127">
        <f>ET91/$DF91</f>
        <v>0.70505484328267887</v>
      </c>
      <c r="FG91" s="483">
        <f>'Discounting metrics'!$B$6*FH91*$DF91/$DA91/10^3</f>
        <v>6.4095894843879897</v>
      </c>
      <c r="FH91" s="680">
        <f>10^3*EL91*$AY91/$CX91/'Discounting metrics'!$B$6</f>
        <v>2.3659558499418756</v>
      </c>
      <c r="FI91" s="73">
        <f>EU91/$DF91</f>
        <v>1.5327571311606419E-2</v>
      </c>
      <c r="FJ91" s="681">
        <f>'Discounting metrics'!$B$5*FK91*$DF91/$DA91/10^3</f>
        <v>0.13934155737824017</v>
      </c>
      <c r="FK91" s="682">
        <f>10^3*EM91*$AY91/$CX91/'Discounting metrics'!$B$5</f>
        <v>0.45081092092960046</v>
      </c>
      <c r="FL91" s="127">
        <f>EV91/$DF91</f>
        <v>0.77480000000000016</v>
      </c>
      <c r="FM91" s="483">
        <f>'Discounting metrics'!$B$6*FN91*$DF91/$DA91/10^3</f>
        <v>7.0436363636363648</v>
      </c>
      <c r="FN91" s="80">
        <v>2.6</v>
      </c>
      <c r="FO91" s="127"/>
      <c r="FP91" s="681"/>
      <c r="FQ91" s="83"/>
      <c r="FR91" s="681"/>
      <c r="FS91" s="687">
        <v>0.15</v>
      </c>
      <c r="FT91" s="115">
        <f>FS91*$DF91/$DA91</f>
        <v>1.3636363636363635</v>
      </c>
      <c r="FU91" s="127">
        <f>EY91/$DF91</f>
        <v>0.44700000000000001</v>
      </c>
      <c r="FV91" s="483">
        <f>'Discounting metrics'!$B$6*FW91*$DF91/$DA91/10^3</f>
        <v>4.0636363636363635</v>
      </c>
      <c r="FW91" s="80">
        <v>1.5</v>
      </c>
      <c r="FX91" s="127">
        <f>EZ91/$DF91</f>
        <v>0.40800000000000003</v>
      </c>
      <c r="FY91" s="483">
        <f>'Discounting metrics'!$B$5*FZ91*$DF91/$DA91/10^3</f>
        <v>3.7090909090909094</v>
      </c>
      <c r="FZ91" s="697">
        <v>12</v>
      </c>
      <c r="GA91" s="73">
        <f>DR91*44/12+EF91+EO91</f>
        <v>14.283334739727355</v>
      </c>
      <c r="GB91" s="677">
        <f>DT91*44/12+EH91+EQ91</f>
        <v>2550.5954892370278</v>
      </c>
      <c r="GC91" s="676">
        <f>DU91*44/12+EI91+ER91</f>
        <v>129.84849763388505</v>
      </c>
      <c r="GD91" s="73">
        <f>DV91*44/12+EF91+EO91</f>
        <v>15.58892557465628</v>
      </c>
      <c r="GE91" s="677">
        <f>DX91*44/12+EH91+EQ91</f>
        <v>2783.7367097600504</v>
      </c>
      <c r="GF91" s="676">
        <f>DY91*44/12+EI91+ER91</f>
        <v>141.717505224148</v>
      </c>
      <c r="GG91" s="52">
        <f>GG101</f>
        <v>0.32</v>
      </c>
      <c r="GI91" s="26">
        <f>(BC91*GI$12+BD91*GI$13+BE91*GI$14+BG91*GI$17+BH91*GI$18+BI91*GI$19+BK91*GI$22+BL91*GI$23+GI$26*BN91+GI$27*BO91+GI$30*BQ91+BT91*GI$35+BU91*GI$36+BV91*GI$37+BX91*GI$40+BY91*GI$41+BZ91*GI$42+CB91*GI$45+CC91*GI$46+CD91*GI$47+CE91*GI$48+CF91*GI$49+CI91*GI$53+CJ91*GI$54+CK91*GI$55+CL91*GI$58)/AY91</f>
        <v>18.687803993683804</v>
      </c>
      <c r="GM91" s="683">
        <f>(BC91*GM$12+BD91*GM$13+BE91*GM$14+BG91*GM$17+BH91*GM$18+BI91*GM$19+BK91*GM$22+BL91*GM$23+GM$26*BN91+GM$27*BO91+GM$30*BQ91+BT91*GM$35+BU91*GM$36+BV91*GM$37+BX91*GM$40+BY91*GM$41+BZ91*GM$42+CB91*GM$45+CC91*GM$46+CD91*GM$47+CE91*GM$48+CF91*GM$49+CI91*GM$53+CJ91*GM$54+CK91*GM$55+CL91*GM$58)/AY91</f>
        <v>0.18811668424764302</v>
      </c>
    </row>
    <row r="92" spans="1:295" x14ac:dyDescent="0.25">
      <c r="A92" s="4"/>
      <c r="DN92" s="74"/>
      <c r="EE92" s="74"/>
    </row>
    <row r="94" spans="1:295" ht="14.4" x14ac:dyDescent="0.3">
      <c r="A94" s="358" t="s">
        <v>112</v>
      </c>
    </row>
    <row r="95" spans="1:295" x14ac:dyDescent="0.25">
      <c r="A95" s="37" t="s">
        <v>24</v>
      </c>
      <c r="GG95" s="45">
        <v>0.42</v>
      </c>
      <c r="GH95" s="45"/>
      <c r="GI95" s="45"/>
      <c r="GJ95" s="9">
        <v>7.7</v>
      </c>
      <c r="GK95" s="26">
        <f t="shared" ref="GK95:GK101" si="47">GJ95/GG95</f>
        <v>18.333333333333336</v>
      </c>
      <c r="GL95" s="45">
        <v>0.15</v>
      </c>
      <c r="GM95" s="40">
        <f t="shared" ref="GM95:GM101" si="48">GL95/GG95</f>
        <v>0.35714285714285715</v>
      </c>
    </row>
    <row r="96" spans="1:295" x14ac:dyDescent="0.25">
      <c r="A96" s="37" t="s">
        <v>23</v>
      </c>
      <c r="GG96" s="45">
        <v>0.41</v>
      </c>
      <c r="GH96" s="45"/>
      <c r="GI96" s="45"/>
      <c r="GJ96" s="9">
        <v>8.5</v>
      </c>
      <c r="GK96" s="26">
        <f t="shared" si="47"/>
        <v>20.731707317073173</v>
      </c>
      <c r="GL96" s="45">
        <v>0.14499999999999999</v>
      </c>
      <c r="GM96" s="40">
        <f t="shared" si="48"/>
        <v>0.35365853658536583</v>
      </c>
    </row>
    <row r="97" spans="1:195" x14ac:dyDescent="0.25">
      <c r="A97" s="37" t="s">
        <v>21</v>
      </c>
      <c r="GG97" s="45">
        <v>0.41</v>
      </c>
      <c r="GH97" s="45"/>
      <c r="GI97" s="45"/>
      <c r="GJ97" s="9">
        <v>8.8000000000000007</v>
      </c>
      <c r="GK97" s="26">
        <f t="shared" si="47"/>
        <v>21.463414634146343</v>
      </c>
      <c r="GL97" s="45">
        <v>0.13500000000000001</v>
      </c>
      <c r="GM97" s="40">
        <f t="shared" si="48"/>
        <v>0.32926829268292684</v>
      </c>
    </row>
    <row r="98" spans="1:195" x14ac:dyDescent="0.25">
      <c r="A98" s="37" t="s">
        <v>22</v>
      </c>
      <c r="GG98" s="45">
        <v>0.4</v>
      </c>
      <c r="GH98" s="45"/>
      <c r="GI98" s="45"/>
      <c r="GJ98" s="9">
        <v>7.2</v>
      </c>
      <c r="GK98" s="26">
        <f t="shared" si="47"/>
        <v>18</v>
      </c>
      <c r="GL98" s="45">
        <v>0.13500000000000001</v>
      </c>
      <c r="GM98" s="40">
        <f t="shared" si="48"/>
        <v>0.33750000000000002</v>
      </c>
    </row>
    <row r="99" spans="1:195" x14ac:dyDescent="0.25">
      <c r="A99" s="37" t="s">
        <v>27</v>
      </c>
      <c r="GG99" s="45">
        <v>0.126</v>
      </c>
      <c r="GH99" s="45"/>
      <c r="GI99" s="45"/>
      <c r="GJ99" s="9">
        <v>2.7</v>
      </c>
      <c r="GK99" s="26">
        <f t="shared" si="47"/>
        <v>21.428571428571431</v>
      </c>
      <c r="GL99" s="45">
        <v>3.2000000000000001E-2</v>
      </c>
      <c r="GM99" s="40">
        <f t="shared" si="48"/>
        <v>0.25396825396825395</v>
      </c>
    </row>
    <row r="100" spans="1:195" x14ac:dyDescent="0.25">
      <c r="A100" s="37" t="s">
        <v>28</v>
      </c>
      <c r="GG100" s="45">
        <v>0.15</v>
      </c>
      <c r="GH100" s="45"/>
      <c r="GI100" s="45"/>
      <c r="GJ100" s="43">
        <v>4</v>
      </c>
      <c r="GK100" s="26">
        <f t="shared" si="47"/>
        <v>26.666666666666668</v>
      </c>
      <c r="GL100" s="45">
        <v>0.05</v>
      </c>
      <c r="GM100" s="40">
        <f t="shared" si="48"/>
        <v>0.33333333333333337</v>
      </c>
    </row>
    <row r="101" spans="1:195" x14ac:dyDescent="0.25">
      <c r="A101" s="37" t="s">
        <v>17</v>
      </c>
      <c r="GG101" s="45">
        <v>0.32</v>
      </c>
      <c r="GH101" s="45"/>
      <c r="GI101" s="45"/>
      <c r="GJ101" s="9">
        <v>5.6</v>
      </c>
      <c r="GK101" s="26">
        <f t="shared" si="47"/>
        <v>17.5</v>
      </c>
      <c r="GL101" s="45">
        <v>0.11</v>
      </c>
      <c r="GM101" s="40">
        <f t="shared" si="48"/>
        <v>0.34375</v>
      </c>
    </row>
    <row r="103" spans="1:195" x14ac:dyDescent="0.25">
      <c r="EN103" s="133"/>
      <c r="EO103" s="133"/>
      <c r="EP103" s="133"/>
      <c r="EQ103" s="133"/>
      <c r="ER103" s="133"/>
      <c r="ES103" s="133"/>
      <c r="ET103" s="133"/>
      <c r="EU103" s="133"/>
      <c r="EV103" s="133"/>
      <c r="EW103" s="133"/>
      <c r="EX103" s="133"/>
      <c r="EY103" s="133"/>
      <c r="EZ103" s="133"/>
      <c r="FA103" s="133"/>
      <c r="FB103" s="133"/>
      <c r="FC103" s="133"/>
      <c r="FD103" s="133"/>
      <c r="FE103" s="133"/>
      <c r="FF103" s="133"/>
      <c r="FG103" s="133"/>
      <c r="FH103" s="133"/>
      <c r="FI103" s="133"/>
      <c r="FJ103" s="133"/>
      <c r="FK103" s="133"/>
      <c r="FL103" s="133"/>
      <c r="FM103" s="133"/>
      <c r="FN103" s="133"/>
      <c r="FO103" s="133"/>
      <c r="FP103" s="133"/>
      <c r="FQ103" s="133"/>
      <c r="FR103" s="133"/>
      <c r="FS103" s="133"/>
      <c r="FT103" s="133"/>
      <c r="FU103" s="133"/>
      <c r="FV103" s="133"/>
      <c r="FW103" s="133"/>
      <c r="FX103" s="133"/>
      <c r="FY103" s="133"/>
      <c r="FZ103" s="133"/>
      <c r="GA103" s="133"/>
      <c r="GB103" s="133"/>
      <c r="GC103" s="133"/>
      <c r="GD103" s="133"/>
      <c r="GE103" s="133"/>
      <c r="GF103" s="133"/>
    </row>
    <row r="104" spans="1:195" x14ac:dyDescent="0.25">
      <c r="EN104" s="133"/>
      <c r="EO104" s="133"/>
      <c r="EP104" s="133"/>
      <c r="EQ104" s="133"/>
      <c r="ER104" s="133"/>
      <c r="ES104" s="133"/>
      <c r="ET104" s="133"/>
      <c r="EU104" s="133"/>
      <c r="EV104" s="133"/>
      <c r="EW104" s="133"/>
      <c r="EX104" s="133"/>
      <c r="EY104" s="133"/>
      <c r="EZ104" s="133"/>
      <c r="FA104" s="133"/>
      <c r="FB104" s="133"/>
      <c r="FC104" s="133"/>
      <c r="FD104" s="133"/>
      <c r="FE104" s="133"/>
      <c r="FF104" s="133"/>
      <c r="FG104" s="133"/>
      <c r="FH104" s="133"/>
      <c r="FI104" s="133"/>
      <c r="FJ104" s="133"/>
      <c r="FK104" s="133"/>
      <c r="FL104" s="133"/>
      <c r="FM104" s="133"/>
      <c r="FN104" s="133"/>
      <c r="FO104" s="133"/>
      <c r="FP104" s="133"/>
      <c r="FQ104" s="133"/>
      <c r="FR104" s="133"/>
      <c r="FS104" s="133"/>
      <c r="FT104" s="133"/>
      <c r="FU104" s="133"/>
      <c r="FV104" s="133"/>
      <c r="FW104" s="133"/>
      <c r="FX104" s="133"/>
      <c r="FY104" s="133"/>
      <c r="FZ104" s="133"/>
      <c r="GA104" s="133"/>
      <c r="GB104" s="133"/>
      <c r="GC104" s="133"/>
      <c r="GD104" s="133"/>
      <c r="GE104" s="133"/>
      <c r="GF104" s="133"/>
    </row>
  </sheetData>
  <printOptions gridLines="1"/>
  <pageMargins left="0.31496062992125984" right="0.31496062992125984" top="0.35433070866141736" bottom="0.35433070866141736" header="0.31496062992125984" footer="0.31496062992125984"/>
  <pageSetup paperSize="8" scale="8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LW104"/>
  <sheetViews>
    <sheetView workbookViewId="0">
      <pane xSplit="1" ySplit="7" topLeftCell="B8" activePane="bottomRight" state="frozen"/>
      <selection activeCell="Q6" sqref="Q6"/>
      <selection pane="topRight" activeCell="Q6" sqref="Q6"/>
      <selection pane="bottomLeft" activeCell="Q6" sqref="Q6"/>
      <selection pane="bottomRight" activeCell="B2" sqref="B2"/>
    </sheetView>
  </sheetViews>
  <sheetFormatPr defaultColWidth="9.109375" defaultRowHeight="12" x14ac:dyDescent="0.25"/>
  <cols>
    <col min="1" max="1" width="27.6640625" style="37" customWidth="1"/>
    <col min="2" max="2" width="7.6640625" style="37" customWidth="1"/>
    <col min="3" max="9" width="5.6640625" style="37" customWidth="1"/>
    <col min="10" max="10" width="6.6640625" style="37" customWidth="1"/>
    <col min="11" max="13" width="4.6640625" style="54" customWidth="1"/>
    <col min="14" max="14" width="6.6640625" style="37" customWidth="1"/>
    <col min="15" max="17" width="4.6640625" style="54" customWidth="1"/>
    <col min="18" max="18" width="6.6640625" style="37" customWidth="1"/>
    <col min="19" max="20" width="4.6640625" style="54" customWidth="1"/>
    <col min="21" max="21" width="6.6640625" style="37" customWidth="1"/>
    <col min="22" max="23" width="4.6640625" style="54" customWidth="1"/>
    <col min="24" max="24" width="6.6640625" style="37" customWidth="1"/>
    <col min="25" max="25" width="4.6640625" style="54" customWidth="1"/>
    <col min="26" max="26" width="6.6640625" style="37" customWidth="1"/>
    <col min="27" max="27" width="5.6640625" style="37" customWidth="1"/>
    <col min="28" max="30" width="4.6640625" style="54" customWidth="1"/>
    <col min="31" max="31" width="5.6640625" style="54" customWidth="1"/>
    <col min="32" max="34" width="4.6640625" style="54" customWidth="1"/>
    <col min="35" max="35" width="5.6640625" style="37" customWidth="1"/>
    <col min="36" max="40" width="4.6640625" style="54" customWidth="1"/>
    <col min="41" max="41" width="4.6640625" style="133" customWidth="1"/>
    <col min="42" max="42" width="5.6640625" style="54" customWidth="1"/>
    <col min="43" max="45" width="4.6640625" style="54" customWidth="1"/>
    <col min="46" max="47" width="6.6640625" style="37" customWidth="1"/>
    <col min="48" max="49" width="7.33203125" style="37" customWidth="1"/>
    <col min="50" max="50" width="7.33203125" style="74" customWidth="1"/>
    <col min="51" max="53" width="4.6640625" style="37" customWidth="1"/>
    <col min="54" max="54" width="5.6640625" style="37" customWidth="1"/>
    <col min="55" max="57" width="4.6640625" style="74" customWidth="1"/>
    <col min="58" max="58" width="5.6640625" style="74" customWidth="1"/>
    <col min="59" max="61" width="4.6640625" style="74" customWidth="1"/>
    <col min="62" max="62" width="5.6640625" style="74" customWidth="1"/>
    <col min="63" max="64" width="4.6640625" style="74" customWidth="1"/>
    <col min="65" max="65" width="5.6640625" style="74" customWidth="1"/>
    <col min="66" max="67" width="4.6640625" style="74" customWidth="1"/>
    <col min="68" max="68" width="5.6640625" style="74" customWidth="1"/>
    <col min="69" max="90" width="4.6640625" style="74" customWidth="1"/>
    <col min="91" max="94" width="5.6640625" style="37" customWidth="1"/>
    <col min="95" max="96" width="8.6640625" style="37" customWidth="1"/>
    <col min="97" max="100" width="5.6640625" style="37" customWidth="1"/>
    <col min="101" max="101" width="5.6640625" style="54" customWidth="1"/>
    <col min="102" max="113" width="4.6640625" style="37" customWidth="1"/>
    <col min="114" max="117" width="6.6640625" style="37" customWidth="1"/>
    <col min="118" max="119" width="10.6640625" style="37" customWidth="1"/>
    <col min="120" max="121" width="7.6640625" style="37" customWidth="1"/>
    <col min="122" max="129" width="5.6640625" style="37" customWidth="1"/>
    <col min="130" max="133" width="6.6640625" style="37" customWidth="1"/>
    <col min="134" max="134" width="7.6640625" style="37" customWidth="1"/>
    <col min="135" max="139" width="6.109375" style="37" customWidth="1"/>
    <col min="140" max="143" width="5.6640625" style="37" customWidth="1"/>
    <col min="144" max="148" width="5.6640625" style="74" customWidth="1"/>
    <col min="149" max="156" width="6.6640625" style="74" customWidth="1"/>
    <col min="157" max="157" width="5.33203125" style="74" customWidth="1"/>
    <col min="158" max="159" width="5.6640625" style="74" customWidth="1"/>
    <col min="160" max="182" width="5.33203125" style="74" customWidth="1"/>
    <col min="183" max="188" width="6.6640625" style="74" customWidth="1"/>
    <col min="189" max="274" width="5.6640625" style="37" customWidth="1"/>
    <col min="275" max="277" width="8.33203125" style="37" customWidth="1"/>
    <col min="278" max="279" width="6.33203125" style="37" customWidth="1"/>
    <col min="280" max="281" width="4.6640625" style="54" customWidth="1"/>
    <col min="282" max="289" width="5.6640625" style="37" customWidth="1"/>
    <col min="290" max="295" width="6.6640625" style="179" customWidth="1"/>
    <col min="296" max="336" width="5.6640625" style="37" customWidth="1"/>
    <col min="337" max="16384" width="9.109375" style="37"/>
  </cols>
  <sheetData>
    <row r="1" spans="1:335" s="17" customFormat="1" ht="20.100000000000001" customHeight="1" x14ac:dyDescent="0.3">
      <c r="A1" s="17" t="s">
        <v>997</v>
      </c>
      <c r="AO1" s="58"/>
      <c r="AX1" s="58"/>
      <c r="AY1" s="113"/>
      <c r="BC1" s="58"/>
      <c r="BD1" s="58"/>
      <c r="BE1" s="58"/>
      <c r="BF1" s="58"/>
      <c r="BG1" s="58"/>
      <c r="BH1" s="58"/>
      <c r="BI1" s="58"/>
      <c r="BJ1" s="58"/>
      <c r="BK1" s="58"/>
      <c r="BL1" s="58"/>
      <c r="BM1" s="58"/>
      <c r="BN1" s="58"/>
      <c r="BO1" s="58"/>
      <c r="BP1" s="58"/>
      <c r="BQ1" s="58"/>
      <c r="BR1" s="58"/>
      <c r="BS1" s="58"/>
      <c r="BT1" s="58"/>
      <c r="BU1" s="58"/>
      <c r="BV1" s="58"/>
      <c r="BW1" s="58"/>
      <c r="BX1" s="58"/>
      <c r="BY1" s="58"/>
      <c r="BZ1" s="58"/>
      <c r="CA1" s="58"/>
      <c r="CB1" s="58"/>
      <c r="CC1" s="58"/>
      <c r="CD1" s="58"/>
      <c r="CE1" s="58"/>
      <c r="CF1" s="58"/>
      <c r="CG1" s="58"/>
      <c r="CH1" s="58"/>
      <c r="CI1" s="58"/>
      <c r="CJ1" s="58"/>
      <c r="CK1" s="58"/>
      <c r="CL1" s="58"/>
      <c r="CM1" s="513"/>
      <c r="CN1" s="58"/>
      <c r="CO1" s="58"/>
      <c r="CP1" s="58"/>
      <c r="CS1" s="58"/>
      <c r="CT1" s="58"/>
      <c r="CU1" s="58"/>
      <c r="CV1" s="58"/>
      <c r="CW1" s="58"/>
      <c r="DO1" s="513"/>
      <c r="DP1" s="113"/>
      <c r="DQ1" s="513"/>
      <c r="DR1" s="513"/>
      <c r="DS1" s="513"/>
      <c r="DT1" s="698"/>
      <c r="DU1" s="698"/>
      <c r="DV1" s="513"/>
      <c r="DW1" s="513"/>
      <c r="DX1" s="513"/>
      <c r="DY1" s="513"/>
      <c r="DZ1" s="113"/>
      <c r="EA1" s="113"/>
      <c r="EB1" s="113"/>
      <c r="EC1" s="113"/>
      <c r="EE1" s="58"/>
      <c r="EF1" s="513"/>
      <c r="EG1" s="513"/>
      <c r="EH1" s="513"/>
      <c r="EI1" s="513"/>
      <c r="EJ1" s="113"/>
      <c r="EK1" s="113"/>
      <c r="EL1" s="113"/>
      <c r="EM1" s="113"/>
      <c r="EN1" s="58"/>
      <c r="EO1" s="513"/>
      <c r="EP1" s="513"/>
      <c r="EQ1" s="513"/>
      <c r="ER1" s="513"/>
      <c r="ES1" s="513"/>
      <c r="ET1" s="513"/>
      <c r="EU1" s="513"/>
      <c r="EV1" s="513"/>
      <c r="EW1" s="513"/>
      <c r="EX1" s="513"/>
      <c r="EY1" s="513"/>
      <c r="EZ1" s="513"/>
      <c r="FA1" s="513"/>
      <c r="FB1" s="513"/>
      <c r="FC1" s="513"/>
      <c r="FD1" s="513"/>
      <c r="FE1" s="513"/>
      <c r="FF1" s="513"/>
      <c r="FG1" s="513"/>
      <c r="FH1" s="513"/>
      <c r="FI1" s="513"/>
      <c r="FJ1" s="513"/>
      <c r="FK1" s="513"/>
      <c r="FL1" s="513"/>
      <c r="FM1" s="513"/>
      <c r="FN1" s="513"/>
      <c r="FO1" s="513"/>
      <c r="FP1" s="513"/>
      <c r="FQ1" s="513"/>
      <c r="FR1" s="513"/>
      <c r="FS1" s="513"/>
      <c r="FT1" s="513"/>
      <c r="FU1" s="513"/>
      <c r="FV1" s="513"/>
      <c r="FW1" s="513"/>
      <c r="FX1" s="513"/>
      <c r="FY1" s="113"/>
      <c r="FZ1" s="513"/>
      <c r="GA1" s="513"/>
      <c r="GB1" s="513"/>
      <c r="GC1" s="513"/>
      <c r="GD1" s="513"/>
      <c r="GE1" s="58"/>
      <c r="GF1" s="58"/>
      <c r="KE1" s="271"/>
      <c r="KF1" s="271"/>
      <c r="KG1" s="271"/>
      <c r="KH1" s="271"/>
      <c r="KI1" s="271"/>
      <c r="KJ1" s="271"/>
    </row>
    <row r="2" spans="1:335" s="19" customFormat="1" ht="18" customHeight="1" x14ac:dyDescent="0.3">
      <c r="A2" s="19" t="s">
        <v>87</v>
      </c>
      <c r="B2" s="18" t="s">
        <v>251</v>
      </c>
      <c r="C2" s="18" t="s">
        <v>247</v>
      </c>
      <c r="D2" s="18"/>
      <c r="E2" s="18"/>
      <c r="F2" s="18"/>
      <c r="G2" s="18"/>
      <c r="H2" s="18" t="s">
        <v>119</v>
      </c>
      <c r="I2" s="18"/>
      <c r="J2" s="18"/>
      <c r="K2" s="92"/>
      <c r="L2" s="92"/>
      <c r="M2" s="92"/>
      <c r="N2" s="18"/>
      <c r="O2" s="92"/>
      <c r="P2" s="92"/>
      <c r="Q2" s="92"/>
      <c r="R2" s="18"/>
      <c r="S2" s="92"/>
      <c r="T2" s="92"/>
      <c r="U2" s="18"/>
      <c r="V2" s="92"/>
      <c r="W2" s="92"/>
      <c r="X2" s="18"/>
      <c r="Y2" s="92"/>
      <c r="Z2" s="18"/>
      <c r="AA2" s="18"/>
      <c r="AB2" s="92"/>
      <c r="AC2" s="92"/>
      <c r="AD2" s="92"/>
      <c r="AE2" s="92"/>
      <c r="AF2" s="92"/>
      <c r="AG2" s="92"/>
      <c r="AH2" s="92"/>
      <c r="AI2" s="18"/>
      <c r="AJ2" s="92"/>
      <c r="AK2" s="92"/>
      <c r="AL2" s="92"/>
      <c r="AM2" s="92"/>
      <c r="AN2" s="92"/>
      <c r="AO2" s="92"/>
      <c r="AP2" s="92"/>
      <c r="AQ2" s="92"/>
      <c r="AR2" s="92"/>
      <c r="AS2" s="92"/>
      <c r="AT2" s="18"/>
      <c r="AU2" s="18"/>
      <c r="AV2" s="18" t="s">
        <v>30</v>
      </c>
      <c r="AW2" s="18"/>
      <c r="AX2" s="18"/>
      <c r="AY2" s="18" t="s">
        <v>191</v>
      </c>
      <c r="AZ2" s="18"/>
      <c r="BA2" s="18"/>
      <c r="BB2" s="18"/>
      <c r="BC2" s="18"/>
      <c r="BD2" s="18"/>
      <c r="BE2" s="18"/>
      <c r="BF2" s="18"/>
      <c r="BG2" s="18"/>
      <c r="BH2" s="18"/>
      <c r="BI2" s="18"/>
      <c r="BJ2" s="18"/>
      <c r="BK2" s="18"/>
      <c r="BL2" s="18"/>
      <c r="BM2" s="18"/>
      <c r="BN2" s="18"/>
      <c r="BO2" s="18"/>
      <c r="BP2" s="18"/>
      <c r="BQ2" s="18"/>
      <c r="BR2" s="18"/>
      <c r="BS2" s="18"/>
      <c r="BT2" s="18"/>
      <c r="BU2" s="18"/>
      <c r="BV2" s="18"/>
      <c r="BW2" s="18"/>
      <c r="BX2" s="18"/>
      <c r="BY2" s="18"/>
      <c r="BZ2" s="18"/>
      <c r="CA2" s="18"/>
      <c r="CB2" s="18"/>
      <c r="CC2" s="18"/>
      <c r="CD2" s="18"/>
      <c r="CE2" s="18"/>
      <c r="CF2" s="18"/>
      <c r="CG2" s="18"/>
      <c r="CH2" s="18"/>
      <c r="CI2" s="18"/>
      <c r="CJ2" s="18"/>
      <c r="CK2" s="18"/>
      <c r="CL2" s="18"/>
      <c r="CM2" s="18" t="s">
        <v>224</v>
      </c>
      <c r="CN2" s="18"/>
      <c r="CO2" s="18"/>
      <c r="CP2" s="18"/>
      <c r="CQ2" s="18"/>
      <c r="CR2" s="18"/>
      <c r="CS2" s="18"/>
      <c r="CT2" s="18"/>
      <c r="CU2" s="18"/>
      <c r="CV2" s="18"/>
      <c r="CW2" s="92"/>
      <c r="CX2" s="18" t="s">
        <v>1003</v>
      </c>
      <c r="CY2" s="18"/>
      <c r="CZ2" s="18"/>
      <c r="DA2" s="18"/>
      <c r="DB2" s="18"/>
      <c r="DC2" s="18"/>
      <c r="DD2" s="18"/>
      <c r="DE2" s="18"/>
      <c r="DF2" s="18"/>
      <c r="DG2" s="18"/>
      <c r="DH2" s="18"/>
      <c r="DI2" s="18"/>
      <c r="DJ2" s="18" t="s">
        <v>796</v>
      </c>
      <c r="DK2" s="18"/>
      <c r="DL2" s="18"/>
      <c r="DM2" s="18"/>
      <c r="DN2" s="71" t="s">
        <v>420</v>
      </c>
      <c r="DO2" s="71"/>
      <c r="DP2" s="619" t="s">
        <v>98</v>
      </c>
      <c r="DQ2" s="619"/>
      <c r="DR2" s="619" t="s">
        <v>378</v>
      </c>
      <c r="DS2" s="619"/>
      <c r="DT2" s="619"/>
      <c r="DU2" s="619"/>
      <c r="DV2" s="619"/>
      <c r="DW2" s="619"/>
      <c r="DX2" s="619"/>
      <c r="DY2" s="619"/>
      <c r="DZ2" s="517" t="s">
        <v>62</v>
      </c>
      <c r="EA2" s="517"/>
      <c r="EB2" s="517"/>
      <c r="EC2" s="517"/>
      <c r="ED2" s="568" t="s">
        <v>745</v>
      </c>
      <c r="EE2" s="568"/>
      <c r="EF2" s="568"/>
      <c r="EG2" s="568"/>
      <c r="EH2" s="568"/>
      <c r="EI2" s="568"/>
      <c r="EJ2" s="177" t="s">
        <v>530</v>
      </c>
      <c r="EK2" s="177"/>
      <c r="EL2" s="177"/>
      <c r="EM2" s="177"/>
      <c r="EN2" s="177" t="s">
        <v>527</v>
      </c>
      <c r="EO2" s="177"/>
      <c r="EP2" s="177"/>
      <c r="EQ2" s="177"/>
      <c r="ER2" s="177"/>
      <c r="ES2" s="177"/>
      <c r="ET2" s="177"/>
      <c r="EU2" s="177"/>
      <c r="EV2" s="177"/>
      <c r="EW2" s="177"/>
      <c r="EX2" s="177"/>
      <c r="EY2" s="177"/>
      <c r="EZ2" s="177"/>
      <c r="FA2" s="177"/>
      <c r="FB2" s="177"/>
      <c r="FC2" s="177"/>
      <c r="FD2" s="177"/>
      <c r="FE2" s="177"/>
      <c r="FF2" s="177"/>
      <c r="FG2" s="177"/>
      <c r="FH2" s="177"/>
      <c r="FI2" s="177"/>
      <c r="FJ2" s="177"/>
      <c r="FK2" s="177"/>
      <c r="FL2" s="177"/>
      <c r="FM2" s="177"/>
      <c r="FN2" s="177"/>
      <c r="FO2" s="177"/>
      <c r="FP2" s="177"/>
      <c r="FQ2" s="177"/>
      <c r="FR2" s="177"/>
      <c r="FS2" s="177"/>
      <c r="FT2" s="177"/>
      <c r="FU2" s="177"/>
      <c r="FV2" s="177"/>
      <c r="FW2" s="177"/>
      <c r="FX2" s="177"/>
      <c r="FY2" s="177"/>
      <c r="FZ2" s="177"/>
      <c r="GA2" s="571" t="s">
        <v>297</v>
      </c>
      <c r="GB2" s="571"/>
      <c r="GC2" s="571"/>
      <c r="GD2" s="571"/>
      <c r="GE2" s="571"/>
      <c r="GF2" s="571"/>
      <c r="GG2" s="19" t="s">
        <v>88</v>
      </c>
      <c r="JO2" s="19" t="s">
        <v>8</v>
      </c>
      <c r="JP2" s="19" t="s">
        <v>35</v>
      </c>
      <c r="JR2" s="19" t="s">
        <v>0</v>
      </c>
      <c r="JT2" s="19" t="s">
        <v>19</v>
      </c>
      <c r="JV2" s="19" t="s">
        <v>1</v>
      </c>
      <c r="KD2" s="620"/>
      <c r="KE2" s="620"/>
      <c r="KF2" s="620"/>
      <c r="KG2" s="620"/>
      <c r="KH2" s="620"/>
      <c r="KI2" s="620"/>
      <c r="LP2" s="19" t="s">
        <v>5</v>
      </c>
    </row>
    <row r="3" spans="1:335" s="25" customFormat="1" ht="15" customHeight="1" x14ac:dyDescent="0.3">
      <c r="A3" s="621"/>
      <c r="B3" s="25" t="s">
        <v>249</v>
      </c>
      <c r="C3" s="12" t="s">
        <v>93</v>
      </c>
      <c r="E3" s="12" t="s">
        <v>248</v>
      </c>
      <c r="J3" s="25" t="s">
        <v>74</v>
      </c>
      <c r="K3" s="93"/>
      <c r="L3" s="93"/>
      <c r="M3" s="93"/>
      <c r="N3" s="25" t="s">
        <v>75</v>
      </c>
      <c r="O3" s="93"/>
      <c r="P3" s="93"/>
      <c r="Q3" s="93"/>
      <c r="R3" s="25" t="s">
        <v>202</v>
      </c>
      <c r="S3" s="93"/>
      <c r="T3" s="93"/>
      <c r="U3" s="25" t="s">
        <v>86</v>
      </c>
      <c r="V3" s="93"/>
      <c r="W3" s="93"/>
      <c r="X3" s="25" t="s">
        <v>108</v>
      </c>
      <c r="Y3" s="93"/>
      <c r="Z3" s="25" t="s">
        <v>101</v>
      </c>
      <c r="AB3" s="93"/>
      <c r="AC3" s="93"/>
      <c r="AD3" s="93"/>
      <c r="AE3" s="93"/>
      <c r="AF3" s="93"/>
      <c r="AG3" s="93"/>
      <c r="AH3" s="93"/>
      <c r="AJ3" s="93"/>
      <c r="AK3" s="93"/>
      <c r="AL3" s="93"/>
      <c r="AM3" s="93"/>
      <c r="AN3" s="93"/>
      <c r="AO3" s="178"/>
      <c r="AP3" s="93"/>
      <c r="AQ3" s="93"/>
      <c r="AR3" s="93"/>
      <c r="AS3" s="93"/>
      <c r="AX3" s="89"/>
      <c r="AY3" s="25" t="s">
        <v>211</v>
      </c>
      <c r="BC3" s="89"/>
      <c r="BD3" s="89"/>
      <c r="BE3" s="89"/>
      <c r="BF3" s="89"/>
      <c r="BG3" s="89"/>
      <c r="BH3" s="89"/>
      <c r="BI3" s="89"/>
      <c r="BJ3" s="89"/>
      <c r="BK3" s="89"/>
      <c r="BL3" s="89"/>
      <c r="BM3" s="89"/>
      <c r="BN3" s="89"/>
      <c r="BO3" s="89"/>
      <c r="BP3" s="89"/>
      <c r="BQ3" s="89"/>
      <c r="BR3" s="89"/>
      <c r="BS3" s="89"/>
      <c r="BT3" s="89"/>
      <c r="BU3" s="89"/>
      <c r="BV3" s="89"/>
      <c r="BW3" s="89"/>
      <c r="BX3" s="89"/>
      <c r="BY3" s="89"/>
      <c r="BZ3" s="89"/>
      <c r="CA3" s="89"/>
      <c r="CB3" s="89"/>
      <c r="CC3" s="89"/>
      <c r="CD3" s="89"/>
      <c r="CE3" s="89"/>
      <c r="CF3" s="89"/>
      <c r="CG3" s="89"/>
      <c r="CH3" s="89"/>
      <c r="CI3" s="89"/>
      <c r="CJ3" s="89"/>
      <c r="CK3" s="89"/>
      <c r="CL3" s="89"/>
      <c r="CM3" s="25" t="s">
        <v>376</v>
      </c>
      <c r="CQ3" s="25" t="s">
        <v>746</v>
      </c>
      <c r="CS3" s="25" t="s">
        <v>382</v>
      </c>
      <c r="CW3" s="93"/>
      <c r="CX3" s="25" t="s">
        <v>6</v>
      </c>
      <c r="DB3" s="25" t="s">
        <v>25</v>
      </c>
      <c r="DF3" s="25" t="s">
        <v>26</v>
      </c>
      <c r="DJ3" s="25" t="s">
        <v>793</v>
      </c>
      <c r="DN3" s="25" t="s">
        <v>987</v>
      </c>
      <c r="DO3" s="25" t="s">
        <v>421</v>
      </c>
      <c r="DP3" s="25" t="s">
        <v>987</v>
      </c>
      <c r="DQ3" s="25" t="s">
        <v>421</v>
      </c>
      <c r="DR3" s="25" t="s">
        <v>988</v>
      </c>
      <c r="DV3" s="25" t="s">
        <v>512</v>
      </c>
      <c r="DZ3" s="25" t="s">
        <v>383</v>
      </c>
      <c r="EA3" s="25" t="s">
        <v>112</v>
      </c>
      <c r="ED3" s="25" t="s">
        <v>383</v>
      </c>
      <c r="EE3" s="25" t="s">
        <v>112</v>
      </c>
      <c r="EN3" s="89" t="s">
        <v>274</v>
      </c>
      <c r="EO3" s="89"/>
      <c r="EP3" s="89"/>
      <c r="EQ3" s="89"/>
      <c r="ER3" s="89"/>
      <c r="EU3" s="89"/>
      <c r="EW3" s="89"/>
      <c r="EZ3" s="89"/>
      <c r="FA3" s="89" t="s">
        <v>272</v>
      </c>
      <c r="FB3" s="89"/>
      <c r="FC3" s="89"/>
      <c r="FD3" s="89"/>
      <c r="FE3" s="89"/>
      <c r="FH3" s="89"/>
      <c r="FI3" s="89"/>
      <c r="FJ3" s="89"/>
      <c r="FK3" s="89"/>
      <c r="FL3" s="25" t="s">
        <v>271</v>
      </c>
      <c r="FM3" s="89"/>
      <c r="FN3" s="89"/>
      <c r="FO3" s="89"/>
      <c r="FP3" s="89"/>
      <c r="FR3" s="89"/>
      <c r="FS3" s="25" t="s">
        <v>218</v>
      </c>
      <c r="FT3" s="89"/>
      <c r="FW3" s="89"/>
      <c r="FX3" s="89"/>
      <c r="FZ3" s="89"/>
      <c r="GA3" s="25" t="s">
        <v>988</v>
      </c>
      <c r="GD3" s="25" t="s">
        <v>512</v>
      </c>
      <c r="KD3" s="180"/>
      <c r="KE3" s="180"/>
      <c r="KF3" s="180"/>
      <c r="KG3" s="180"/>
      <c r="KH3" s="180"/>
      <c r="KI3" s="180"/>
    </row>
    <row r="4" spans="1:335" s="20" customFormat="1" ht="15" customHeight="1" x14ac:dyDescent="0.3">
      <c r="A4" s="622"/>
      <c r="BS4" s="65"/>
      <c r="BT4" s="65"/>
      <c r="BV4" s="65"/>
      <c r="BW4" s="65"/>
      <c r="BX4" s="65"/>
      <c r="BY4" s="65"/>
      <c r="BZ4" s="65"/>
      <c r="CA4" s="65"/>
      <c r="CB4" s="65"/>
      <c r="CC4" s="65"/>
      <c r="CD4" s="65"/>
      <c r="CE4" s="65"/>
      <c r="CF4" s="65"/>
      <c r="CG4" s="65"/>
      <c r="CH4" s="65"/>
      <c r="CI4" s="65"/>
      <c r="CJ4" s="65"/>
      <c r="CK4" s="65"/>
      <c r="CL4" s="65"/>
      <c r="CM4" s="20" t="s">
        <v>491</v>
      </c>
      <c r="CX4" s="20" t="s">
        <v>149</v>
      </c>
      <c r="DB4" s="20" t="s">
        <v>149</v>
      </c>
      <c r="DF4" s="20" t="s">
        <v>149</v>
      </c>
      <c r="DN4" s="20" t="s">
        <v>46</v>
      </c>
      <c r="DO4" s="20" t="s">
        <v>46</v>
      </c>
      <c r="DP4" s="20" t="s">
        <v>46</v>
      </c>
      <c r="DQ4" s="20" t="s">
        <v>46</v>
      </c>
      <c r="DR4" s="20" t="s">
        <v>504</v>
      </c>
      <c r="DV4" s="20" t="s">
        <v>504</v>
      </c>
      <c r="DZ4" s="20" t="s">
        <v>46</v>
      </c>
      <c r="EA4" s="20" t="s">
        <v>504</v>
      </c>
      <c r="ED4" s="20" t="s">
        <v>46</v>
      </c>
      <c r="EE4" s="20" t="s">
        <v>504</v>
      </c>
      <c r="EJ4" s="65" t="s">
        <v>2</v>
      </c>
      <c r="EK4" s="65" t="s">
        <v>529</v>
      </c>
      <c r="EL4" s="65" t="s">
        <v>528</v>
      </c>
      <c r="EM4" s="65" t="s">
        <v>269</v>
      </c>
      <c r="EN4" s="65" t="s">
        <v>273</v>
      </c>
      <c r="EO4" s="65"/>
      <c r="EP4" s="65"/>
      <c r="EQ4" s="65"/>
      <c r="ER4" s="65"/>
      <c r="ES4" s="65" t="s">
        <v>848</v>
      </c>
      <c r="ET4" s="65"/>
      <c r="EU4" s="65"/>
      <c r="EV4" s="65"/>
      <c r="EW4" s="65"/>
      <c r="EX4" s="65"/>
      <c r="EY4" s="65"/>
      <c r="EZ4" s="65"/>
      <c r="FA4" s="65" t="s">
        <v>2</v>
      </c>
      <c r="FB4" s="65"/>
      <c r="FC4" s="65"/>
      <c r="FD4" s="65" t="s">
        <v>865</v>
      </c>
      <c r="FF4" s="65" t="s">
        <v>866</v>
      </c>
      <c r="FH4" s="65"/>
      <c r="FI4" s="65" t="s">
        <v>218</v>
      </c>
      <c r="FJ4" s="65"/>
      <c r="FK4" s="65"/>
      <c r="FL4" s="65" t="s">
        <v>864</v>
      </c>
      <c r="FN4" s="65"/>
      <c r="FO4" s="65" t="s">
        <v>863</v>
      </c>
      <c r="FP4" s="65"/>
      <c r="FR4" s="65"/>
      <c r="FS4" s="65" t="s">
        <v>862</v>
      </c>
      <c r="FU4" s="65" t="s">
        <v>861</v>
      </c>
      <c r="FW4" s="65"/>
      <c r="FX4" s="65"/>
      <c r="FZ4" s="65"/>
      <c r="GA4" s="20" t="s">
        <v>504</v>
      </c>
      <c r="GB4" s="65"/>
      <c r="GC4" s="65"/>
      <c r="GD4" s="20" t="s">
        <v>504</v>
      </c>
      <c r="GE4" s="65"/>
      <c r="GF4" s="65"/>
      <c r="GG4" s="20" t="s">
        <v>33</v>
      </c>
      <c r="GH4" s="20" t="s">
        <v>127</v>
      </c>
      <c r="GJ4" s="20" t="s">
        <v>130</v>
      </c>
      <c r="GL4" s="20" t="s">
        <v>16</v>
      </c>
      <c r="JP4" s="20" t="s">
        <v>36</v>
      </c>
      <c r="JQ4" s="20" t="s">
        <v>37</v>
      </c>
      <c r="JV4" s="20" t="s">
        <v>9</v>
      </c>
      <c r="KD4" s="119" t="s">
        <v>31</v>
      </c>
      <c r="KE4" s="119"/>
      <c r="KF4" s="119"/>
      <c r="KG4" s="119" t="s">
        <v>32</v>
      </c>
      <c r="KH4" s="119"/>
      <c r="KI4" s="119"/>
      <c r="KJ4" s="20" t="s">
        <v>968</v>
      </c>
      <c r="KR4" s="20" t="s">
        <v>12</v>
      </c>
      <c r="KZ4" s="20" t="s">
        <v>13</v>
      </c>
      <c r="LH4" s="20" t="s">
        <v>14</v>
      </c>
      <c r="LP4" s="20" t="s">
        <v>2</v>
      </c>
      <c r="LR4" s="20" t="s">
        <v>3</v>
      </c>
      <c r="LU4" s="20" t="s">
        <v>4</v>
      </c>
    </row>
    <row r="5" spans="1:335" s="94" customFormat="1" ht="15" customHeight="1" x14ac:dyDescent="0.3">
      <c r="A5" s="573"/>
      <c r="K5" s="94" t="s">
        <v>107</v>
      </c>
      <c r="O5" s="94" t="s">
        <v>107</v>
      </c>
      <c r="S5" s="94" t="s">
        <v>107</v>
      </c>
      <c r="V5" s="94" t="s">
        <v>107</v>
      </c>
      <c r="Y5" s="94" t="s">
        <v>107</v>
      </c>
      <c r="Z5" s="94" t="s">
        <v>6</v>
      </c>
      <c r="AA5" s="94" t="s">
        <v>207</v>
      </c>
      <c r="AE5" s="94" t="s">
        <v>210</v>
      </c>
      <c r="AI5" s="94" t="s">
        <v>208</v>
      </c>
      <c r="AO5" s="114"/>
      <c r="AP5" s="94" t="s">
        <v>255</v>
      </c>
      <c r="AT5" s="94" t="s">
        <v>969</v>
      </c>
      <c r="AV5" s="94" t="s">
        <v>111</v>
      </c>
      <c r="AX5" s="114"/>
      <c r="AY5" s="94" t="s">
        <v>6</v>
      </c>
      <c r="BB5" s="114" t="s">
        <v>74</v>
      </c>
      <c r="BD5" s="114"/>
      <c r="BE5" s="114"/>
      <c r="BF5" s="114" t="s">
        <v>75</v>
      </c>
      <c r="BH5" s="114"/>
      <c r="BI5" s="114"/>
      <c r="BJ5" s="114" t="s">
        <v>192</v>
      </c>
      <c r="BL5" s="114"/>
      <c r="BM5" s="114" t="s">
        <v>86</v>
      </c>
      <c r="BO5" s="114"/>
      <c r="BP5" s="114" t="s">
        <v>201</v>
      </c>
      <c r="BR5" s="114" t="s">
        <v>157</v>
      </c>
      <c r="BS5" s="114"/>
      <c r="BT5" s="114"/>
      <c r="BV5" s="114"/>
      <c r="BW5" s="114"/>
      <c r="BX5" s="114"/>
      <c r="BY5" s="114"/>
      <c r="BZ5" s="114"/>
      <c r="CA5" s="114"/>
      <c r="CB5" s="114"/>
      <c r="CC5" s="114"/>
      <c r="CD5" s="114"/>
      <c r="CE5" s="114"/>
      <c r="CF5" s="114"/>
      <c r="CG5" s="114"/>
      <c r="CH5" s="114"/>
      <c r="CI5" s="114"/>
      <c r="CJ5" s="114"/>
      <c r="CK5" s="114"/>
      <c r="CL5" s="114"/>
      <c r="CM5" s="114" t="s">
        <v>377</v>
      </c>
      <c r="DJ5" s="94" t="s">
        <v>792</v>
      </c>
      <c r="DN5" s="114" t="s">
        <v>411</v>
      </c>
      <c r="DO5" s="114" t="s">
        <v>411</v>
      </c>
      <c r="DP5" s="114" t="s">
        <v>411</v>
      </c>
      <c r="DQ5" s="114" t="s">
        <v>411</v>
      </c>
      <c r="DR5" s="114" t="s">
        <v>411</v>
      </c>
      <c r="DS5" s="114"/>
      <c r="DV5" s="114" t="s">
        <v>411</v>
      </c>
      <c r="DW5" s="114"/>
      <c r="DZ5" s="114" t="s">
        <v>333</v>
      </c>
      <c r="EA5" s="114" t="s">
        <v>411</v>
      </c>
      <c r="ED5" s="114" t="s">
        <v>411</v>
      </c>
      <c r="EE5" s="114" t="s">
        <v>6</v>
      </c>
      <c r="EF5" s="114" t="s">
        <v>363</v>
      </c>
      <c r="EG5" s="114"/>
      <c r="EN5" s="114" t="s">
        <v>6</v>
      </c>
      <c r="EO5" s="114" t="s">
        <v>363</v>
      </c>
      <c r="EP5" s="114"/>
      <c r="EQ5" s="114"/>
      <c r="ER5" s="114"/>
      <c r="ES5" s="94" t="s">
        <v>970</v>
      </c>
      <c r="EV5" s="114" t="s">
        <v>859</v>
      </c>
      <c r="EW5" s="114" t="s">
        <v>858</v>
      </c>
      <c r="EX5" s="114" t="s">
        <v>857</v>
      </c>
      <c r="EY5" s="114" t="s">
        <v>856</v>
      </c>
      <c r="EZ5" s="114"/>
      <c r="FA5" s="114" t="s">
        <v>6</v>
      </c>
      <c r="FB5" s="114" t="s">
        <v>363</v>
      </c>
      <c r="FC5" s="114"/>
      <c r="FD5" s="114" t="s">
        <v>529</v>
      </c>
      <c r="FF5" s="114" t="s">
        <v>867</v>
      </c>
      <c r="FH5" s="114"/>
      <c r="FI5" s="114" t="s">
        <v>269</v>
      </c>
      <c r="FJ5" s="114"/>
      <c r="FK5" s="114"/>
      <c r="FL5" s="94" t="s">
        <v>528</v>
      </c>
      <c r="FN5" s="114"/>
      <c r="FO5" s="114" t="s">
        <v>269</v>
      </c>
      <c r="FP5" s="114"/>
      <c r="FQ5" s="114"/>
      <c r="FR5" s="114"/>
      <c r="FS5" s="114" t="s">
        <v>529</v>
      </c>
      <c r="FU5" s="114" t="s">
        <v>528</v>
      </c>
      <c r="FW5" s="114"/>
      <c r="FX5" s="114" t="s">
        <v>269</v>
      </c>
      <c r="FZ5" s="114"/>
      <c r="GA5" s="114" t="s">
        <v>411</v>
      </c>
      <c r="GD5" s="114" t="s">
        <v>411</v>
      </c>
      <c r="KD5" s="120"/>
      <c r="KE5" s="120"/>
      <c r="KF5" s="120"/>
      <c r="KG5" s="120"/>
      <c r="KH5" s="120"/>
      <c r="KI5" s="120"/>
    </row>
    <row r="6" spans="1:335" s="94" customFormat="1" ht="15" customHeight="1" x14ac:dyDescent="0.3">
      <c r="A6" s="573"/>
      <c r="AO6" s="114"/>
      <c r="AX6" s="114"/>
      <c r="BB6" s="114"/>
      <c r="BD6" s="114"/>
      <c r="BE6" s="114"/>
      <c r="BF6" s="114"/>
      <c r="BH6" s="114"/>
      <c r="BI6" s="114"/>
      <c r="BJ6" s="114"/>
      <c r="BL6" s="114"/>
      <c r="BM6" s="114"/>
      <c r="BO6" s="114"/>
      <c r="BP6" s="114"/>
      <c r="BR6" s="114"/>
      <c r="BS6" s="114"/>
      <c r="BT6" s="114"/>
      <c r="BV6" s="114"/>
      <c r="BW6" s="114"/>
      <c r="BX6" s="114"/>
      <c r="BY6" s="114"/>
      <c r="BZ6" s="114"/>
      <c r="CA6" s="114"/>
      <c r="CB6" s="114"/>
      <c r="CC6" s="114"/>
      <c r="CD6" s="114"/>
      <c r="CE6" s="114"/>
      <c r="CF6" s="114"/>
      <c r="CG6" s="114"/>
      <c r="CH6" s="114"/>
      <c r="CI6" s="114"/>
      <c r="CJ6" s="114"/>
      <c r="CK6" s="114"/>
      <c r="CL6" s="114"/>
      <c r="ED6" s="94" t="s">
        <v>273</v>
      </c>
      <c r="EE6" s="94" t="s">
        <v>273</v>
      </c>
      <c r="EF6" s="94" t="s">
        <v>273</v>
      </c>
      <c r="EN6" s="114"/>
      <c r="EO6" s="114"/>
      <c r="EP6" s="114"/>
      <c r="EQ6" s="114"/>
      <c r="ER6" s="114"/>
      <c r="ES6" s="114" t="s">
        <v>869</v>
      </c>
      <c r="ET6" s="114" t="s">
        <v>868</v>
      </c>
      <c r="EU6" s="114" t="s">
        <v>269</v>
      </c>
      <c r="EV6" s="114" t="s">
        <v>528</v>
      </c>
      <c r="EW6" s="114" t="s">
        <v>269</v>
      </c>
      <c r="EX6" s="114" t="s">
        <v>529</v>
      </c>
      <c r="EY6" s="114" t="s">
        <v>854</v>
      </c>
      <c r="EZ6" s="114" t="s">
        <v>855</v>
      </c>
      <c r="FA6" s="114"/>
      <c r="FB6" s="114"/>
      <c r="FC6" s="114"/>
      <c r="FD6" s="114"/>
      <c r="FF6" s="114"/>
      <c r="FH6" s="114"/>
      <c r="FI6" s="114"/>
      <c r="FJ6" s="114"/>
      <c r="FK6" s="114"/>
      <c r="FL6" s="114"/>
      <c r="FN6" s="114"/>
      <c r="FO6" s="114"/>
      <c r="FP6" s="114"/>
      <c r="FQ6" s="114"/>
      <c r="FR6" s="114"/>
      <c r="FS6" s="114"/>
      <c r="FU6" s="114"/>
      <c r="FW6" s="114"/>
      <c r="FX6" s="114"/>
      <c r="FZ6" s="114"/>
      <c r="GA6" s="114"/>
      <c r="GB6" s="114"/>
      <c r="GC6" s="114"/>
      <c r="GD6" s="114"/>
      <c r="GE6" s="114"/>
      <c r="GF6" s="114"/>
      <c r="KD6" s="120"/>
      <c r="KE6" s="120"/>
      <c r="KF6" s="120"/>
      <c r="KG6" s="120"/>
      <c r="KH6" s="120"/>
      <c r="KI6" s="120"/>
    </row>
    <row r="7" spans="1:335" s="4" customFormat="1" ht="84" customHeight="1" x14ac:dyDescent="0.25">
      <c r="A7" s="49"/>
      <c r="B7" s="4" t="s">
        <v>133</v>
      </c>
      <c r="C7" s="4" t="s">
        <v>205</v>
      </c>
      <c r="D7" s="4" t="s">
        <v>204</v>
      </c>
      <c r="E7" s="4" t="s">
        <v>48</v>
      </c>
      <c r="F7" s="4" t="s">
        <v>50</v>
      </c>
      <c r="G7" s="4" t="s">
        <v>170</v>
      </c>
      <c r="H7" s="4" t="s">
        <v>380</v>
      </c>
      <c r="I7" s="4" t="s">
        <v>381</v>
      </c>
      <c r="J7" s="4" t="s">
        <v>96</v>
      </c>
      <c r="K7" s="49" t="s">
        <v>103</v>
      </c>
      <c r="L7" s="49" t="s">
        <v>104</v>
      </c>
      <c r="M7" s="49" t="s">
        <v>105</v>
      </c>
      <c r="N7" s="4" t="s">
        <v>96</v>
      </c>
      <c r="O7" s="49" t="s">
        <v>120</v>
      </c>
      <c r="P7" s="49" t="s">
        <v>198</v>
      </c>
      <c r="Q7" s="49" t="s">
        <v>197</v>
      </c>
      <c r="R7" s="4" t="s">
        <v>96</v>
      </c>
      <c r="S7" s="49" t="s">
        <v>195</v>
      </c>
      <c r="T7" s="49" t="s">
        <v>212</v>
      </c>
      <c r="U7" s="4" t="s">
        <v>96</v>
      </c>
      <c r="V7" s="49" t="s">
        <v>99</v>
      </c>
      <c r="W7" s="49" t="s">
        <v>100</v>
      </c>
      <c r="X7" s="4" t="s">
        <v>96</v>
      </c>
      <c r="Y7" s="49" t="s">
        <v>493</v>
      </c>
      <c r="Z7" s="4" t="s">
        <v>96</v>
      </c>
      <c r="AA7" s="4" t="s">
        <v>971</v>
      </c>
      <c r="AB7" s="49" t="s">
        <v>184</v>
      </c>
      <c r="AC7" s="49" t="s">
        <v>189</v>
      </c>
      <c r="AD7" s="49" t="s">
        <v>185</v>
      </c>
      <c r="AE7" s="4" t="s">
        <v>972</v>
      </c>
      <c r="AF7" s="49" t="s">
        <v>186</v>
      </c>
      <c r="AG7" s="49" t="s">
        <v>187</v>
      </c>
      <c r="AH7" s="49" t="s">
        <v>188</v>
      </c>
      <c r="AI7" s="4" t="s">
        <v>973</v>
      </c>
      <c r="AJ7" s="49" t="s">
        <v>102</v>
      </c>
      <c r="AK7" s="49" t="s">
        <v>183</v>
      </c>
      <c r="AL7" s="49" t="s">
        <v>121</v>
      </c>
      <c r="AM7" s="49" t="s">
        <v>190</v>
      </c>
      <c r="AN7" s="49" t="s">
        <v>182</v>
      </c>
      <c r="AO7" s="123" t="s">
        <v>373</v>
      </c>
      <c r="AP7" s="4" t="s">
        <v>974</v>
      </c>
      <c r="AQ7" s="49" t="s">
        <v>256</v>
      </c>
      <c r="AR7" s="49" t="s">
        <v>257</v>
      </c>
      <c r="AS7" s="49" t="s">
        <v>258</v>
      </c>
      <c r="AT7" s="4" t="s">
        <v>374</v>
      </c>
      <c r="AU7" s="4" t="s">
        <v>375</v>
      </c>
      <c r="AV7" s="4" t="s">
        <v>975</v>
      </c>
      <c r="AW7" s="4" t="s">
        <v>976</v>
      </c>
      <c r="AX7" s="4" t="s">
        <v>305</v>
      </c>
      <c r="AY7" s="4" t="s">
        <v>50</v>
      </c>
      <c r="AZ7" s="64" t="s">
        <v>213</v>
      </c>
      <c r="BA7" s="64" t="s">
        <v>259</v>
      </c>
      <c r="BB7" s="4" t="s">
        <v>6</v>
      </c>
      <c r="BC7" s="4" t="s">
        <v>199</v>
      </c>
      <c r="BD7" s="4" t="s">
        <v>104</v>
      </c>
      <c r="BE7" s="4" t="s">
        <v>105</v>
      </c>
      <c r="BF7" s="4" t="s">
        <v>6</v>
      </c>
      <c r="BG7" s="4" t="s">
        <v>120</v>
      </c>
      <c r="BH7" s="4" t="s">
        <v>198</v>
      </c>
      <c r="BI7" s="4" t="s">
        <v>197</v>
      </c>
      <c r="BJ7" s="4" t="s">
        <v>6</v>
      </c>
      <c r="BK7" s="4" t="s">
        <v>196</v>
      </c>
      <c r="BL7" s="4" t="s">
        <v>212</v>
      </c>
      <c r="BM7" s="4" t="s">
        <v>6</v>
      </c>
      <c r="BN7" s="4" t="s">
        <v>194</v>
      </c>
      <c r="BO7" s="4" t="s">
        <v>193</v>
      </c>
      <c r="BP7" s="4" t="s">
        <v>6</v>
      </c>
      <c r="BQ7" s="49" t="s">
        <v>493</v>
      </c>
      <c r="BR7" s="4" t="s">
        <v>6</v>
      </c>
      <c r="BS7" s="64" t="s">
        <v>214</v>
      </c>
      <c r="BT7" s="49" t="s">
        <v>200</v>
      </c>
      <c r="BU7" s="49" t="s">
        <v>184</v>
      </c>
      <c r="BV7" s="49" t="s">
        <v>185</v>
      </c>
      <c r="BW7" s="64" t="s">
        <v>215</v>
      </c>
      <c r="BX7" s="49" t="s">
        <v>186</v>
      </c>
      <c r="BY7" s="49" t="s">
        <v>187</v>
      </c>
      <c r="BZ7" s="49" t="s">
        <v>188</v>
      </c>
      <c r="CA7" s="64" t="s">
        <v>216</v>
      </c>
      <c r="CB7" s="49" t="s">
        <v>102</v>
      </c>
      <c r="CC7" s="49" t="s">
        <v>183</v>
      </c>
      <c r="CD7" s="49" t="s">
        <v>121</v>
      </c>
      <c r="CE7" s="49" t="s">
        <v>190</v>
      </c>
      <c r="CF7" s="49" t="s">
        <v>182</v>
      </c>
      <c r="CG7" s="123" t="s">
        <v>373</v>
      </c>
      <c r="CH7" s="64" t="s">
        <v>303</v>
      </c>
      <c r="CI7" s="49" t="s">
        <v>256</v>
      </c>
      <c r="CJ7" s="49" t="s">
        <v>257</v>
      </c>
      <c r="CK7" s="49" t="s">
        <v>258</v>
      </c>
      <c r="CL7" s="4" t="s">
        <v>977</v>
      </c>
      <c r="CM7" s="4" t="s">
        <v>228</v>
      </c>
      <c r="CN7" s="4" t="s">
        <v>229</v>
      </c>
      <c r="CO7" s="4" t="s">
        <v>230</v>
      </c>
      <c r="CP7" s="4" t="s">
        <v>231</v>
      </c>
      <c r="CQ7" s="4" t="s">
        <v>747</v>
      </c>
      <c r="CR7" s="4" t="s">
        <v>748</v>
      </c>
      <c r="CS7" s="4" t="s">
        <v>6</v>
      </c>
      <c r="CT7" s="4" t="s">
        <v>232</v>
      </c>
      <c r="CU7" s="4" t="s">
        <v>260</v>
      </c>
      <c r="CV7" s="4" t="s">
        <v>306</v>
      </c>
      <c r="CW7" s="49" t="s">
        <v>493</v>
      </c>
      <c r="CX7" s="4" t="s">
        <v>48</v>
      </c>
      <c r="CY7" s="4" t="s">
        <v>50</v>
      </c>
      <c r="CZ7" s="4" t="s">
        <v>150</v>
      </c>
      <c r="DA7" s="4" t="s">
        <v>110</v>
      </c>
      <c r="DB7" s="4" t="s">
        <v>48</v>
      </c>
      <c r="DC7" s="4" t="s">
        <v>50</v>
      </c>
      <c r="DD7" s="4" t="s">
        <v>150</v>
      </c>
      <c r="DE7" s="4" t="s">
        <v>110</v>
      </c>
      <c r="DF7" s="4" t="s">
        <v>48</v>
      </c>
      <c r="DG7" s="4" t="s">
        <v>50</v>
      </c>
      <c r="DH7" s="4" t="s">
        <v>150</v>
      </c>
      <c r="DI7" s="4" t="s">
        <v>110</v>
      </c>
      <c r="DJ7" s="4" t="s">
        <v>792</v>
      </c>
      <c r="DK7" s="4" t="s">
        <v>791</v>
      </c>
      <c r="DL7" s="4" t="s">
        <v>808</v>
      </c>
      <c r="DM7" s="4" t="s">
        <v>399</v>
      </c>
      <c r="DN7" s="4" t="s">
        <v>41</v>
      </c>
      <c r="DO7" s="4" t="s">
        <v>470</v>
      </c>
      <c r="DP7" s="4" t="s">
        <v>154</v>
      </c>
      <c r="DQ7" s="4" t="s">
        <v>154</v>
      </c>
      <c r="DR7" s="4" t="s">
        <v>261</v>
      </c>
      <c r="DS7" s="4" t="s">
        <v>941</v>
      </c>
      <c r="DT7" s="4" t="s">
        <v>85</v>
      </c>
      <c r="DU7" s="4" t="s">
        <v>155</v>
      </c>
      <c r="DV7" s="4" t="s">
        <v>261</v>
      </c>
      <c r="DW7" s="4" t="s">
        <v>941</v>
      </c>
      <c r="DX7" s="4" t="s">
        <v>85</v>
      </c>
      <c r="DY7" s="4" t="s">
        <v>155</v>
      </c>
      <c r="DZ7" s="4" t="s">
        <v>318</v>
      </c>
      <c r="EA7" s="4" t="s">
        <v>384</v>
      </c>
      <c r="EB7" s="4" t="s">
        <v>360</v>
      </c>
      <c r="EC7" s="4" t="s">
        <v>317</v>
      </c>
      <c r="ED7" s="4" t="s">
        <v>286</v>
      </c>
      <c r="EE7" s="60" t="s">
        <v>275</v>
      </c>
      <c r="EF7" s="4" t="s">
        <v>280</v>
      </c>
      <c r="EG7" s="4" t="s">
        <v>942</v>
      </c>
      <c r="EH7" s="4" t="s">
        <v>281</v>
      </c>
      <c r="EI7" s="60" t="s">
        <v>276</v>
      </c>
      <c r="EJ7" s="4" t="s">
        <v>286</v>
      </c>
      <c r="EK7" s="4" t="s">
        <v>287</v>
      </c>
      <c r="EL7" s="4" t="s">
        <v>286</v>
      </c>
      <c r="EM7" s="4" t="s">
        <v>286</v>
      </c>
      <c r="EN7" s="60" t="s">
        <v>275</v>
      </c>
      <c r="EO7" s="60" t="s">
        <v>843</v>
      </c>
      <c r="EP7" s="60" t="s">
        <v>943</v>
      </c>
      <c r="EQ7" s="60" t="s">
        <v>283</v>
      </c>
      <c r="ER7" s="60" t="s">
        <v>279</v>
      </c>
      <c r="ES7" s="60" t="s">
        <v>852</v>
      </c>
      <c r="ET7" s="60" t="s">
        <v>851</v>
      </c>
      <c r="EU7" s="60" t="s">
        <v>851</v>
      </c>
      <c r="EV7" s="60" t="s">
        <v>851</v>
      </c>
      <c r="EW7" s="60" t="s">
        <v>851</v>
      </c>
      <c r="EX7" s="60" t="s">
        <v>852</v>
      </c>
      <c r="EY7" s="60" t="s">
        <v>851</v>
      </c>
      <c r="EZ7" s="60" t="s">
        <v>851</v>
      </c>
      <c r="FA7" s="60" t="s">
        <v>275</v>
      </c>
      <c r="FB7" s="60" t="s">
        <v>843</v>
      </c>
      <c r="FC7" s="60" t="s">
        <v>279</v>
      </c>
      <c r="FD7" s="60" t="s">
        <v>844</v>
      </c>
      <c r="FE7" s="60" t="s">
        <v>277</v>
      </c>
      <c r="FF7" s="60" t="s">
        <v>847</v>
      </c>
      <c r="FG7" s="60" t="s">
        <v>276</v>
      </c>
      <c r="FH7" s="60" t="s">
        <v>845</v>
      </c>
      <c r="FI7" s="60" t="s">
        <v>847</v>
      </c>
      <c r="FJ7" s="60" t="s">
        <v>276</v>
      </c>
      <c r="FK7" s="60" t="s">
        <v>846</v>
      </c>
      <c r="FL7" s="60" t="s">
        <v>847</v>
      </c>
      <c r="FM7" s="60" t="s">
        <v>276</v>
      </c>
      <c r="FN7" s="60" t="s">
        <v>845</v>
      </c>
      <c r="FO7" s="60" t="s">
        <v>847</v>
      </c>
      <c r="FP7" s="60" t="s">
        <v>276</v>
      </c>
      <c r="FQ7" s="60" t="s">
        <v>278</v>
      </c>
      <c r="FR7" s="60" t="s">
        <v>846</v>
      </c>
      <c r="FS7" s="60" t="s">
        <v>844</v>
      </c>
      <c r="FT7" s="60" t="s">
        <v>277</v>
      </c>
      <c r="FU7" s="60" t="s">
        <v>847</v>
      </c>
      <c r="FV7" s="60" t="s">
        <v>276</v>
      </c>
      <c r="FW7" s="60" t="s">
        <v>845</v>
      </c>
      <c r="FX7" s="60" t="s">
        <v>847</v>
      </c>
      <c r="FY7" s="60" t="s">
        <v>276</v>
      </c>
      <c r="FZ7" s="60" t="s">
        <v>846</v>
      </c>
      <c r="GA7" s="4" t="s">
        <v>280</v>
      </c>
      <c r="GB7" s="4" t="s">
        <v>281</v>
      </c>
      <c r="GC7" s="4" t="s">
        <v>282</v>
      </c>
      <c r="GD7" s="4" t="s">
        <v>280</v>
      </c>
      <c r="GE7" s="4" t="s">
        <v>281</v>
      </c>
      <c r="GF7" s="4" t="s">
        <v>282</v>
      </c>
      <c r="GG7" s="4" t="s">
        <v>34</v>
      </c>
      <c r="GH7" s="4" t="s">
        <v>128</v>
      </c>
      <c r="GI7" s="4" t="s">
        <v>129</v>
      </c>
      <c r="GJ7" s="4" t="s">
        <v>131</v>
      </c>
      <c r="GK7" s="4" t="s">
        <v>132</v>
      </c>
      <c r="GL7" s="4" t="s">
        <v>34</v>
      </c>
      <c r="GM7" s="4" t="s">
        <v>18</v>
      </c>
      <c r="JO7" s="4" t="s">
        <v>6</v>
      </c>
      <c r="JP7" s="4" t="s">
        <v>6</v>
      </c>
      <c r="JQ7" s="4" t="s">
        <v>6</v>
      </c>
      <c r="JR7" s="4" t="s">
        <v>6</v>
      </c>
      <c r="JS7" s="4" t="s">
        <v>7</v>
      </c>
      <c r="JT7" s="49" t="s">
        <v>6</v>
      </c>
      <c r="JU7" s="49" t="s">
        <v>29</v>
      </c>
      <c r="JV7" s="4" t="s">
        <v>6</v>
      </c>
      <c r="JW7" s="4" t="s">
        <v>10</v>
      </c>
      <c r="JX7" s="4" t="s">
        <v>6</v>
      </c>
      <c r="JY7" s="4" t="s">
        <v>11</v>
      </c>
      <c r="JZ7" s="4" t="s">
        <v>10</v>
      </c>
      <c r="KA7" s="4" t="s">
        <v>7</v>
      </c>
      <c r="KB7" s="4" t="s">
        <v>6</v>
      </c>
      <c r="KC7" s="4" t="s">
        <v>11</v>
      </c>
      <c r="KD7" s="149"/>
      <c r="KE7" s="149"/>
      <c r="KF7" s="149"/>
      <c r="KG7" s="149"/>
      <c r="KH7" s="149"/>
      <c r="KI7" s="149"/>
      <c r="KJ7" s="4" t="s">
        <v>6</v>
      </c>
      <c r="KK7" s="4" t="s">
        <v>15</v>
      </c>
      <c r="KL7" s="4" t="s">
        <v>6</v>
      </c>
      <c r="KM7" s="4" t="s">
        <v>20</v>
      </c>
      <c r="KN7" s="4" t="s">
        <v>15</v>
      </c>
      <c r="KO7" s="4" t="s">
        <v>6</v>
      </c>
      <c r="KP7" s="4" t="s">
        <v>20</v>
      </c>
      <c r="KQ7" s="4" t="s">
        <v>15</v>
      </c>
      <c r="KR7" s="4" t="s">
        <v>6</v>
      </c>
      <c r="KS7" s="4" t="s">
        <v>15</v>
      </c>
      <c r="KT7" s="4" t="s">
        <v>6</v>
      </c>
      <c r="KU7" s="4" t="s">
        <v>20</v>
      </c>
      <c r="KV7" s="4" t="s">
        <v>15</v>
      </c>
      <c r="KW7" s="4" t="s">
        <v>6</v>
      </c>
      <c r="KX7" s="4" t="s">
        <v>20</v>
      </c>
      <c r="KY7" s="4" t="s">
        <v>15</v>
      </c>
      <c r="KZ7" s="4" t="s">
        <v>6</v>
      </c>
      <c r="LA7" s="4" t="s">
        <v>15</v>
      </c>
      <c r="LB7" s="4" t="s">
        <v>6</v>
      </c>
      <c r="LC7" s="4" t="s">
        <v>20</v>
      </c>
      <c r="LD7" s="4" t="s">
        <v>15</v>
      </c>
      <c r="LE7" s="4" t="s">
        <v>6</v>
      </c>
      <c r="LF7" s="4" t="s">
        <v>20</v>
      </c>
      <c r="LG7" s="4" t="s">
        <v>15</v>
      </c>
      <c r="LH7" s="4" t="s">
        <v>6</v>
      </c>
      <c r="LI7" s="4" t="s">
        <v>15</v>
      </c>
      <c r="LJ7" s="4" t="s">
        <v>6</v>
      </c>
      <c r="LK7" s="4" t="s">
        <v>20</v>
      </c>
      <c r="LL7" s="4" t="s">
        <v>15</v>
      </c>
      <c r="LM7" s="4" t="s">
        <v>6</v>
      </c>
      <c r="LN7" s="4" t="s">
        <v>20</v>
      </c>
      <c r="LO7" s="4" t="s">
        <v>15</v>
      </c>
      <c r="LP7" s="4" t="s">
        <v>6</v>
      </c>
      <c r="LQ7" s="4" t="s">
        <v>10</v>
      </c>
      <c r="LR7" s="4" t="s">
        <v>6</v>
      </c>
      <c r="LS7" s="4" t="s">
        <v>20</v>
      </c>
      <c r="LT7" s="4" t="s">
        <v>15</v>
      </c>
      <c r="LU7" s="4" t="s">
        <v>6</v>
      </c>
      <c r="LV7" s="4" t="s">
        <v>20</v>
      </c>
      <c r="LW7" s="4" t="s">
        <v>15</v>
      </c>
    </row>
    <row r="8" spans="1:335" s="4" customFormat="1" x14ac:dyDescent="0.25">
      <c r="A8" s="14"/>
      <c r="B8" s="14"/>
      <c r="C8" s="14"/>
      <c r="D8" s="14"/>
      <c r="E8" s="14"/>
      <c r="F8" s="14"/>
      <c r="G8" s="14"/>
      <c r="H8" s="14"/>
      <c r="I8" s="14"/>
      <c r="J8" s="14"/>
      <c r="K8" s="50"/>
      <c r="L8" s="50"/>
      <c r="M8" s="50"/>
      <c r="N8" s="14"/>
      <c r="O8" s="50"/>
      <c r="P8" s="50"/>
      <c r="Q8" s="50"/>
      <c r="R8" s="14"/>
      <c r="S8" s="50"/>
      <c r="T8" s="50"/>
      <c r="U8" s="14"/>
      <c r="V8" s="50"/>
      <c r="W8" s="50"/>
      <c r="X8" s="14"/>
      <c r="Y8" s="50"/>
      <c r="Z8" s="14"/>
      <c r="AA8" s="14"/>
      <c r="AB8" s="50"/>
      <c r="AC8" s="50"/>
      <c r="AD8" s="50"/>
      <c r="AE8" s="50"/>
      <c r="AF8" s="50"/>
      <c r="AG8" s="50"/>
      <c r="AH8" s="50"/>
      <c r="AI8" s="14"/>
      <c r="AJ8" s="50"/>
      <c r="AK8" s="50"/>
      <c r="AL8" s="50"/>
      <c r="AM8" s="50"/>
      <c r="AN8" s="50"/>
      <c r="AO8" s="575"/>
      <c r="AP8" s="50"/>
      <c r="AQ8" s="50"/>
      <c r="AR8" s="50"/>
      <c r="AS8" s="50"/>
      <c r="AT8" s="14"/>
      <c r="AU8" s="14"/>
      <c r="AV8" s="14"/>
      <c r="AW8" s="14"/>
      <c r="AX8" s="102"/>
      <c r="AY8" s="14"/>
      <c r="AZ8" s="14"/>
      <c r="BA8" s="14"/>
      <c r="BB8" s="14"/>
      <c r="BC8" s="102"/>
      <c r="BD8" s="102"/>
      <c r="BE8" s="102"/>
      <c r="BF8" s="102"/>
      <c r="BG8" s="102"/>
      <c r="BH8" s="102"/>
      <c r="BI8" s="102"/>
      <c r="BJ8" s="102"/>
      <c r="BK8" s="102"/>
      <c r="BL8" s="102"/>
      <c r="BM8" s="102"/>
      <c r="BN8" s="102"/>
      <c r="BO8" s="102"/>
      <c r="BP8" s="102"/>
      <c r="BQ8" s="102"/>
      <c r="BR8" s="102"/>
      <c r="BS8" s="102"/>
      <c r="BT8" s="102"/>
      <c r="BU8" s="102"/>
      <c r="BV8" s="102"/>
      <c r="BW8" s="102"/>
      <c r="BX8" s="102"/>
      <c r="BY8" s="102"/>
      <c r="BZ8" s="102"/>
      <c r="CA8" s="102"/>
      <c r="CB8" s="102"/>
      <c r="CC8" s="102"/>
      <c r="CD8" s="102"/>
      <c r="CE8" s="102"/>
      <c r="CF8" s="102"/>
      <c r="CG8" s="102"/>
      <c r="CH8" s="102"/>
      <c r="CI8" s="102"/>
      <c r="CJ8" s="102"/>
      <c r="CK8" s="102"/>
      <c r="CL8" s="102"/>
      <c r="CW8" s="49"/>
      <c r="EN8" s="60"/>
      <c r="EO8" s="60"/>
      <c r="EP8" s="60"/>
      <c r="EQ8" s="60"/>
      <c r="ER8" s="60"/>
      <c r="ES8" s="60"/>
      <c r="ET8" s="60"/>
      <c r="EU8" s="60"/>
      <c r="EV8" s="60"/>
      <c r="EW8" s="60"/>
      <c r="EX8" s="60"/>
      <c r="EY8" s="60"/>
      <c r="EZ8" s="60"/>
      <c r="FA8" s="60"/>
      <c r="FB8" s="60"/>
      <c r="FC8" s="60"/>
      <c r="FD8" s="60"/>
      <c r="FE8" s="60"/>
      <c r="FF8" s="60"/>
      <c r="FG8" s="60"/>
      <c r="FH8" s="60"/>
      <c r="FI8" s="60"/>
      <c r="FJ8" s="60"/>
      <c r="FK8" s="60"/>
      <c r="FL8" s="60"/>
      <c r="FM8" s="60"/>
      <c r="FN8" s="60"/>
      <c r="FO8" s="60"/>
      <c r="FP8" s="60"/>
      <c r="FQ8" s="60"/>
      <c r="FR8" s="60"/>
      <c r="FS8" s="60"/>
      <c r="FT8" s="60"/>
      <c r="FU8" s="60"/>
      <c r="FV8" s="60"/>
      <c r="FW8" s="60"/>
      <c r="FX8" s="60"/>
      <c r="FY8" s="60"/>
      <c r="FZ8" s="60"/>
      <c r="GA8" s="60"/>
      <c r="GB8" s="60"/>
      <c r="GC8" s="60"/>
      <c r="GD8" s="60"/>
      <c r="GE8" s="60"/>
      <c r="GF8" s="60"/>
      <c r="KD8" s="97"/>
      <c r="KE8" s="97"/>
      <c r="KF8" s="97"/>
      <c r="KG8" s="97"/>
      <c r="KH8" s="97"/>
      <c r="KI8" s="97"/>
    </row>
    <row r="9" spans="1:335" s="11" customFormat="1" ht="14.4" x14ac:dyDescent="0.3">
      <c r="A9" s="23" t="s">
        <v>123</v>
      </c>
      <c r="B9" s="13"/>
      <c r="C9" s="13"/>
      <c r="D9" s="13"/>
      <c r="E9" s="13"/>
      <c r="F9" s="13"/>
      <c r="G9" s="13"/>
      <c r="H9" s="13"/>
      <c r="I9" s="13"/>
      <c r="J9" s="13"/>
      <c r="K9" s="158"/>
      <c r="L9" s="158"/>
      <c r="M9" s="158"/>
      <c r="N9" s="13"/>
      <c r="O9" s="158"/>
      <c r="P9" s="158"/>
      <c r="Q9" s="158"/>
      <c r="R9" s="13"/>
      <c r="S9" s="158"/>
      <c r="T9" s="158"/>
      <c r="U9" s="13"/>
      <c r="V9" s="158"/>
      <c r="W9" s="158"/>
      <c r="X9" s="13"/>
      <c r="Y9" s="158"/>
      <c r="Z9" s="13"/>
      <c r="AA9" s="13"/>
      <c r="AB9" s="158"/>
      <c r="AC9" s="158"/>
      <c r="AD9" s="158"/>
      <c r="AE9" s="158"/>
      <c r="AF9" s="158"/>
      <c r="AG9" s="158"/>
      <c r="AH9" s="158"/>
      <c r="AI9" s="13"/>
      <c r="AJ9" s="158"/>
      <c r="AK9" s="158"/>
      <c r="AL9" s="158"/>
      <c r="AM9" s="158"/>
      <c r="AN9" s="158"/>
      <c r="AO9" s="356"/>
      <c r="AP9" s="158"/>
      <c r="AQ9" s="158"/>
      <c r="AR9" s="158"/>
      <c r="AS9" s="158"/>
      <c r="AT9" s="13"/>
      <c r="AU9" s="13"/>
      <c r="AV9" s="13"/>
      <c r="AW9" s="13"/>
      <c r="AX9" s="23"/>
      <c r="AY9" s="13"/>
      <c r="AZ9" s="13"/>
      <c r="BA9" s="13"/>
      <c r="BB9" s="1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c r="CJ9" s="23"/>
      <c r="CK9" s="23"/>
      <c r="CL9" s="23"/>
      <c r="CW9" s="137"/>
      <c r="EN9" s="623"/>
      <c r="EO9" s="623"/>
      <c r="EP9" s="623"/>
      <c r="EQ9" s="623"/>
      <c r="ER9" s="623"/>
      <c r="ES9" s="623"/>
      <c r="ET9" s="623"/>
      <c r="EU9" s="623"/>
      <c r="EV9" s="623"/>
      <c r="EW9" s="623"/>
      <c r="EX9" s="623"/>
      <c r="EY9" s="623"/>
      <c r="EZ9" s="623"/>
      <c r="FA9" s="623"/>
      <c r="FB9" s="623"/>
      <c r="FC9" s="623"/>
      <c r="FD9" s="623"/>
      <c r="FE9" s="623"/>
      <c r="FF9" s="623"/>
      <c r="FG9" s="623"/>
      <c r="FH9" s="623"/>
      <c r="FI9" s="623"/>
      <c r="FJ9" s="623"/>
      <c r="FK9" s="623"/>
      <c r="FL9" s="623"/>
      <c r="FM9" s="623"/>
      <c r="FN9" s="623"/>
      <c r="FO9" s="623"/>
      <c r="FP9" s="623"/>
      <c r="FQ9" s="623"/>
      <c r="FR9" s="623"/>
      <c r="FS9" s="623"/>
      <c r="FT9" s="623"/>
      <c r="FU9" s="623"/>
      <c r="FV9" s="623"/>
      <c r="FW9" s="623"/>
      <c r="FX9" s="623"/>
      <c r="FY9" s="623"/>
      <c r="FZ9" s="623"/>
      <c r="GA9" s="623"/>
      <c r="GB9" s="623"/>
      <c r="GC9" s="623"/>
      <c r="GD9" s="623"/>
      <c r="GE9" s="623"/>
      <c r="GF9" s="623"/>
      <c r="KD9" s="624"/>
      <c r="KE9" s="624"/>
      <c r="KF9" s="624"/>
      <c r="KG9" s="624"/>
      <c r="KH9" s="624"/>
      <c r="KI9" s="624"/>
    </row>
    <row r="10" spans="1:335" s="4" customFormat="1" x14ac:dyDescent="0.25">
      <c r="A10" s="14"/>
      <c r="B10" s="14"/>
      <c r="C10" s="14"/>
      <c r="D10" s="14"/>
      <c r="E10" s="14"/>
      <c r="F10" s="14"/>
      <c r="G10" s="14"/>
      <c r="H10" s="102"/>
      <c r="I10" s="102"/>
      <c r="J10" s="14"/>
      <c r="K10" s="50"/>
      <c r="L10" s="50"/>
      <c r="M10" s="50"/>
      <c r="N10" s="14"/>
      <c r="O10" s="50"/>
      <c r="P10" s="50"/>
      <c r="Q10" s="50"/>
      <c r="R10" s="14"/>
      <c r="S10" s="50"/>
      <c r="T10" s="50"/>
      <c r="U10" s="14"/>
      <c r="V10" s="50"/>
      <c r="W10" s="50"/>
      <c r="X10" s="14"/>
      <c r="Y10" s="50"/>
      <c r="Z10" s="14"/>
      <c r="AA10" s="14"/>
      <c r="AB10" s="50"/>
      <c r="AC10" s="50"/>
      <c r="AD10" s="50"/>
      <c r="AE10" s="50"/>
      <c r="AF10" s="50"/>
      <c r="AG10" s="50"/>
      <c r="AH10" s="50"/>
      <c r="AI10" s="14"/>
      <c r="AJ10" s="50"/>
      <c r="AK10" s="50"/>
      <c r="AL10" s="50"/>
      <c r="AM10" s="50"/>
      <c r="AN10" s="50"/>
      <c r="AO10" s="575"/>
      <c r="AP10" s="50"/>
      <c r="AQ10" s="50"/>
      <c r="AR10" s="50"/>
      <c r="AS10" s="50"/>
      <c r="AT10" s="14"/>
      <c r="AU10" s="14"/>
      <c r="AV10" s="14"/>
      <c r="AW10" s="14"/>
      <c r="AX10" s="102"/>
      <c r="AY10" s="14"/>
      <c r="AZ10" s="14"/>
      <c r="BA10" s="14"/>
      <c r="BB10" s="14"/>
      <c r="BC10" s="102"/>
      <c r="BD10" s="102"/>
      <c r="BE10" s="102"/>
      <c r="BF10" s="102"/>
      <c r="BG10" s="102"/>
      <c r="BH10" s="102"/>
      <c r="BI10" s="102"/>
      <c r="BJ10" s="102"/>
      <c r="BK10" s="102"/>
      <c r="BL10" s="102"/>
      <c r="BM10" s="102"/>
      <c r="BN10" s="102"/>
      <c r="BO10" s="102"/>
      <c r="BP10" s="102"/>
      <c r="BQ10" s="102"/>
      <c r="BR10" s="102"/>
      <c r="BS10" s="102"/>
      <c r="BT10" s="102"/>
      <c r="BU10" s="102"/>
      <c r="BV10" s="102"/>
      <c r="BW10" s="102"/>
      <c r="BX10" s="102"/>
      <c r="BY10" s="102"/>
      <c r="BZ10" s="102"/>
      <c r="CA10" s="102"/>
      <c r="CB10" s="102"/>
      <c r="CC10" s="102"/>
      <c r="CD10" s="102"/>
      <c r="CE10" s="102"/>
      <c r="CF10" s="102"/>
      <c r="CG10" s="102"/>
      <c r="CH10" s="102"/>
      <c r="CI10" s="102"/>
      <c r="CJ10" s="102"/>
      <c r="CK10" s="102"/>
      <c r="CL10" s="102"/>
      <c r="CW10" s="49"/>
      <c r="EN10" s="60"/>
      <c r="EO10" s="60"/>
      <c r="EP10" s="60"/>
      <c r="EQ10" s="60"/>
      <c r="ER10" s="60"/>
      <c r="ES10" s="60"/>
      <c r="ET10" s="60"/>
      <c r="EU10" s="60"/>
      <c r="EV10" s="60"/>
      <c r="EW10" s="60"/>
      <c r="EX10" s="60"/>
      <c r="EY10" s="60"/>
      <c r="EZ10" s="60"/>
      <c r="FA10" s="60"/>
      <c r="FB10" s="60"/>
      <c r="FC10" s="60"/>
      <c r="FD10" s="60"/>
      <c r="FE10" s="60"/>
      <c r="FF10" s="60"/>
      <c r="FG10" s="60"/>
      <c r="FH10" s="60"/>
      <c r="FI10" s="60"/>
      <c r="FJ10" s="60"/>
      <c r="FK10" s="60"/>
      <c r="FL10" s="60"/>
      <c r="FM10" s="60"/>
      <c r="FN10" s="60"/>
      <c r="FO10" s="60"/>
      <c r="FP10" s="60"/>
      <c r="FQ10" s="60"/>
      <c r="FR10" s="60"/>
      <c r="FS10" s="60"/>
      <c r="FT10" s="60"/>
      <c r="FU10" s="60"/>
      <c r="FV10" s="60"/>
      <c r="FW10" s="60"/>
      <c r="FX10" s="60"/>
      <c r="FY10" s="60"/>
      <c r="FZ10" s="60"/>
      <c r="GA10" s="60"/>
      <c r="GB10" s="60"/>
      <c r="GC10" s="60"/>
      <c r="GD10" s="60"/>
      <c r="GE10" s="60"/>
      <c r="GF10" s="60"/>
      <c r="KD10" s="97"/>
      <c r="KE10" s="97"/>
      <c r="KF10" s="97"/>
      <c r="KG10" s="97"/>
      <c r="KH10" s="97"/>
      <c r="KI10" s="97"/>
    </row>
    <row r="11" spans="1:335" s="4" customFormat="1" ht="13.8" x14ac:dyDescent="0.3">
      <c r="A11" s="15" t="s">
        <v>74</v>
      </c>
      <c r="B11" s="14"/>
      <c r="C11" s="14"/>
      <c r="D11" s="625">
        <f>'Crops; pasture AMORTIZED'!P19</f>
        <v>1922.0228</v>
      </c>
      <c r="E11" s="144">
        <f>E12+E13+E14</f>
        <v>889.0279857954547</v>
      </c>
      <c r="F11" s="577">
        <f>F12+F13+F14</f>
        <v>782.34462750000012</v>
      </c>
      <c r="G11" s="626">
        <f>F11/D11</f>
        <v>0.40704232410770574</v>
      </c>
      <c r="H11" s="154"/>
      <c r="I11" s="154"/>
      <c r="J11" s="14"/>
      <c r="K11" s="50"/>
      <c r="L11" s="50"/>
      <c r="M11" s="50"/>
      <c r="N11" s="14"/>
      <c r="O11" s="50"/>
      <c r="P11" s="50"/>
      <c r="Q11" s="50"/>
      <c r="R11" s="14"/>
      <c r="S11" s="50"/>
      <c r="T11" s="50"/>
      <c r="U11" s="14"/>
      <c r="V11" s="50"/>
      <c r="W11" s="50"/>
      <c r="X11" s="14"/>
      <c r="Y11" s="50"/>
      <c r="Z11" s="14"/>
      <c r="AA11" s="14"/>
      <c r="AB11" s="50"/>
      <c r="AC11" s="50"/>
      <c r="AD11" s="50"/>
      <c r="AE11" s="50"/>
      <c r="AF11" s="50"/>
      <c r="AG11" s="50"/>
      <c r="AH11" s="50"/>
      <c r="AI11" s="14"/>
      <c r="AJ11" s="50"/>
      <c r="AK11" s="50"/>
      <c r="AL11" s="50"/>
      <c r="AM11" s="50"/>
      <c r="AN11" s="50"/>
      <c r="AO11" s="575"/>
      <c r="AP11" s="50"/>
      <c r="AQ11" s="50"/>
      <c r="AR11" s="50"/>
      <c r="AS11" s="50"/>
      <c r="AT11" s="14"/>
      <c r="AU11" s="14"/>
      <c r="AV11" s="14"/>
      <c r="AW11" s="14"/>
      <c r="AX11" s="102"/>
      <c r="AY11" s="14"/>
      <c r="AZ11" s="14"/>
      <c r="BA11" s="14"/>
      <c r="BB11" s="14"/>
      <c r="BC11" s="102"/>
      <c r="BD11" s="102"/>
      <c r="BE11" s="102"/>
      <c r="BF11" s="102"/>
      <c r="BG11" s="102"/>
      <c r="BH11" s="102"/>
      <c r="BI11" s="102"/>
      <c r="BJ11" s="102"/>
      <c r="BK11" s="102"/>
      <c r="BL11" s="102"/>
      <c r="BM11" s="102"/>
      <c r="BN11" s="102"/>
      <c r="BO11" s="102"/>
      <c r="BP11" s="102"/>
      <c r="BQ11" s="102"/>
      <c r="BR11" s="102"/>
      <c r="BS11" s="102"/>
      <c r="BT11" s="102"/>
      <c r="BU11" s="102"/>
      <c r="BV11" s="102"/>
      <c r="BW11" s="102"/>
      <c r="BX11" s="102"/>
      <c r="BY11" s="102"/>
      <c r="BZ11" s="102"/>
      <c r="CA11" s="102"/>
      <c r="CB11" s="102"/>
      <c r="CC11" s="102"/>
      <c r="CD11" s="102"/>
      <c r="CE11" s="102"/>
      <c r="CF11" s="102"/>
      <c r="CG11" s="102"/>
      <c r="CH11" s="102"/>
      <c r="CI11" s="102"/>
      <c r="CJ11" s="102"/>
      <c r="CK11" s="102"/>
      <c r="CL11" s="102"/>
      <c r="CM11" s="16"/>
      <c r="CW11" s="49"/>
      <c r="DP11" s="16"/>
      <c r="EN11" s="60"/>
      <c r="EO11" s="60"/>
      <c r="EP11" s="60"/>
      <c r="EQ11" s="60"/>
      <c r="ER11" s="60"/>
      <c r="ES11" s="60"/>
      <c r="ET11" s="60"/>
      <c r="EU11" s="60"/>
      <c r="EV11" s="60"/>
      <c r="EW11" s="60"/>
      <c r="EX11" s="60"/>
      <c r="EY11" s="60"/>
      <c r="EZ11" s="60"/>
      <c r="FA11" s="60"/>
      <c r="FB11" s="60"/>
      <c r="FC11" s="60"/>
      <c r="FD11" s="60"/>
      <c r="FE11" s="60"/>
      <c r="FF11" s="60"/>
      <c r="FG11" s="60"/>
      <c r="FH11" s="60"/>
      <c r="FI11" s="60"/>
      <c r="FJ11" s="60"/>
      <c r="FK11" s="60"/>
      <c r="FL11" s="60"/>
      <c r="FM11" s="60"/>
      <c r="FN11" s="60"/>
      <c r="FO11" s="60"/>
      <c r="FP11" s="60"/>
      <c r="FQ11" s="60"/>
      <c r="FR11" s="60"/>
      <c r="FS11" s="60"/>
      <c r="FT11" s="60"/>
      <c r="FU11" s="60"/>
      <c r="FV11" s="60"/>
      <c r="FW11" s="60"/>
      <c r="FX11" s="60"/>
      <c r="FY11" s="60"/>
      <c r="FZ11" s="60"/>
      <c r="GA11" s="60"/>
      <c r="GB11" s="60"/>
      <c r="GC11" s="60"/>
      <c r="GD11" s="60"/>
      <c r="GE11" s="60"/>
      <c r="GF11" s="60"/>
      <c r="KD11" s="97"/>
      <c r="KE11" s="97"/>
      <c r="KF11" s="97"/>
      <c r="KG11" s="97"/>
      <c r="KH11" s="97"/>
      <c r="KI11" s="97"/>
    </row>
    <row r="12" spans="1:335" s="4" customFormat="1" x14ac:dyDescent="0.25">
      <c r="A12" s="14" t="s">
        <v>52</v>
      </c>
      <c r="B12" s="14"/>
      <c r="C12" s="627"/>
      <c r="D12" s="628">
        <f>'Crops; pasture AMORTIZED'!P20</f>
        <v>626.68319999999994</v>
      </c>
      <c r="E12" s="629">
        <f>F12/GG12</f>
        <v>613.42931019886373</v>
      </c>
      <c r="F12" s="630">
        <f>BC62</f>
        <v>539.81779297500009</v>
      </c>
      <c r="G12" s="294"/>
      <c r="H12" s="294"/>
      <c r="I12" s="294"/>
      <c r="J12" s="14"/>
      <c r="K12" s="50"/>
      <c r="L12" s="50"/>
      <c r="M12" s="50"/>
      <c r="N12" s="14"/>
      <c r="O12" s="50"/>
      <c r="P12" s="50"/>
      <c r="Q12" s="50"/>
      <c r="R12" s="14"/>
      <c r="S12" s="50"/>
      <c r="T12" s="50"/>
      <c r="U12" s="14"/>
      <c r="V12" s="50"/>
      <c r="W12" s="50"/>
      <c r="X12" s="14"/>
      <c r="Y12" s="50"/>
      <c r="Z12" s="14"/>
      <c r="AA12" s="14"/>
      <c r="AB12" s="50"/>
      <c r="AC12" s="50"/>
      <c r="AD12" s="50"/>
      <c r="AE12" s="50"/>
      <c r="AF12" s="50"/>
      <c r="AG12" s="50"/>
      <c r="AH12" s="50"/>
      <c r="AI12" s="14"/>
      <c r="AJ12" s="50"/>
      <c r="AK12" s="50"/>
      <c r="AL12" s="50"/>
      <c r="AM12" s="50"/>
      <c r="AN12" s="50"/>
      <c r="AO12" s="575"/>
      <c r="AP12" s="50"/>
      <c r="AQ12" s="50"/>
      <c r="AR12" s="50"/>
      <c r="AS12" s="50"/>
      <c r="AT12" s="14"/>
      <c r="AU12" s="14"/>
      <c r="AV12" s="14"/>
      <c r="AW12" s="14"/>
      <c r="AX12" s="102"/>
      <c r="AY12" s="14"/>
      <c r="AZ12" s="14"/>
      <c r="BA12" s="14"/>
      <c r="BB12" s="14"/>
      <c r="BC12" s="102"/>
      <c r="BD12" s="102"/>
      <c r="BE12" s="102"/>
      <c r="BF12" s="102"/>
      <c r="BG12" s="102"/>
      <c r="BH12" s="102"/>
      <c r="BI12" s="102"/>
      <c r="BJ12" s="102"/>
      <c r="BK12" s="102"/>
      <c r="BL12" s="102"/>
      <c r="BM12" s="102"/>
      <c r="BN12" s="102"/>
      <c r="BO12" s="102"/>
      <c r="BP12" s="102"/>
      <c r="BQ12" s="102"/>
      <c r="BR12" s="102"/>
      <c r="BS12" s="102"/>
      <c r="BT12" s="102"/>
      <c r="BU12" s="102"/>
      <c r="BV12" s="102"/>
      <c r="BW12" s="102"/>
      <c r="BX12" s="102"/>
      <c r="BY12" s="102"/>
      <c r="BZ12" s="102"/>
      <c r="CA12" s="102"/>
      <c r="CB12" s="102"/>
      <c r="CC12" s="102"/>
      <c r="CD12" s="102"/>
      <c r="CE12" s="102"/>
      <c r="CF12" s="102"/>
      <c r="CG12" s="102"/>
      <c r="CH12" s="102"/>
      <c r="CI12" s="102"/>
      <c r="CJ12" s="102"/>
      <c r="CK12" s="102"/>
      <c r="CL12" s="102"/>
      <c r="CM12" s="126">
        <f>'Crops; pasture AMORTIZED'!L20</f>
        <v>2.1685598082093156</v>
      </c>
      <c r="CW12" s="49"/>
      <c r="DP12" s="126">
        <f>'Crops; pasture AMORTIZED'!CZ20</f>
        <v>0.77146568322279163</v>
      </c>
      <c r="DQ12" s="126">
        <f>'Crops; pasture AMORTIZED'!DL20</f>
        <v>0.72292185104754914</v>
      </c>
      <c r="DZ12" s="126">
        <f>'Crops; pasture AMORTIZED'!DX20</f>
        <v>1.4396316990785778</v>
      </c>
      <c r="ED12" s="334">
        <f>'Crops; pasture AMORTIZED'!EK20</f>
        <v>0.12614324514635142</v>
      </c>
      <c r="EE12" s="334"/>
      <c r="EJ12" s="264">
        <f>EK12+EL12+EM12</f>
        <v>0.52477383931818178</v>
      </c>
      <c r="EK12" s="334">
        <f>'Crops; pasture AMORTIZED'!FY20</f>
        <v>0.28117640313636361</v>
      </c>
      <c r="EL12" s="334">
        <f>'Crops; pasture AMORTIZED'!FW20</f>
        <v>0.2435974361818182</v>
      </c>
      <c r="EM12" s="334">
        <f>'Crops; pasture AMORTIZED'!GA20</f>
        <v>0</v>
      </c>
      <c r="EN12" s="123"/>
      <c r="EO12" s="123"/>
      <c r="EP12" s="123"/>
      <c r="EQ12" s="123"/>
      <c r="ER12" s="123"/>
      <c r="ES12" s="123"/>
      <c r="ET12" s="123"/>
      <c r="EU12" s="123"/>
      <c r="EV12" s="123"/>
      <c r="EW12" s="123"/>
      <c r="EX12" s="123"/>
      <c r="EY12" s="123"/>
      <c r="EZ12" s="123"/>
      <c r="FA12" s="123"/>
      <c r="FB12" s="123"/>
      <c r="FC12" s="123"/>
      <c r="FD12" s="123"/>
      <c r="FE12" s="123"/>
      <c r="FF12" s="123"/>
      <c r="FG12" s="123"/>
      <c r="FH12" s="123"/>
      <c r="FI12" s="123"/>
      <c r="FJ12" s="123"/>
      <c r="FK12" s="123"/>
      <c r="FL12" s="123"/>
      <c r="FM12" s="123"/>
      <c r="FN12" s="123"/>
      <c r="FO12" s="123"/>
      <c r="FP12" s="123"/>
      <c r="FQ12" s="123"/>
      <c r="FR12" s="123"/>
      <c r="FS12" s="123"/>
      <c r="FT12" s="123"/>
      <c r="FU12" s="123"/>
      <c r="FV12" s="123"/>
      <c r="FW12" s="123"/>
      <c r="FX12" s="123"/>
      <c r="FY12" s="123"/>
      <c r="FZ12" s="123"/>
      <c r="GA12" s="123"/>
      <c r="GB12" s="123"/>
      <c r="GC12" s="123"/>
      <c r="GD12" s="123"/>
      <c r="GE12" s="123"/>
      <c r="GF12" s="123"/>
      <c r="GG12" s="631">
        <f>'Crops; pasture AMORTIZED'!HB20</f>
        <v>0.88</v>
      </c>
      <c r="GH12" s="41">
        <f>'Crops; pasture AMORTIZED'!HC20</f>
        <v>16.544</v>
      </c>
      <c r="GI12" s="41">
        <f>'Crops; pasture AMORTIZED'!HD20</f>
        <v>18.8</v>
      </c>
      <c r="GJ12" s="41">
        <f>'Crops; pasture AMORTIZED'!HE20</f>
        <v>13.2</v>
      </c>
      <c r="GK12" s="41">
        <f>'Crops; pasture AMORTIZED'!HF20</f>
        <v>15</v>
      </c>
      <c r="GL12" s="631">
        <f>'Crops; pasture AMORTIZED'!HG20</f>
        <v>8.8000000000000009E-2</v>
      </c>
      <c r="GM12" s="631">
        <f>'Crops; pasture AMORTIZED'!HH20</f>
        <v>0.1</v>
      </c>
      <c r="KD12" s="97"/>
      <c r="KE12" s="97"/>
      <c r="KF12" s="97"/>
      <c r="KG12" s="97"/>
      <c r="KH12" s="97"/>
      <c r="KI12" s="97"/>
    </row>
    <row r="13" spans="1:335" s="4" customFormat="1" x14ac:dyDescent="0.25">
      <c r="A13" s="4" t="s">
        <v>65</v>
      </c>
      <c r="B13" s="14"/>
      <c r="C13" s="627"/>
      <c r="D13" s="628">
        <f>'Crops; pasture AMORTIZED'!P22</f>
        <v>544.09431999999993</v>
      </c>
      <c r="E13" s="629">
        <f>F13/GG13</f>
        <v>151.13475758522728</v>
      </c>
      <c r="F13" s="630">
        <f>BD62</f>
        <v>132.99858667500001</v>
      </c>
      <c r="G13" s="294"/>
      <c r="H13" s="294"/>
      <c r="I13" s="294"/>
      <c r="J13" s="14"/>
      <c r="K13" s="50"/>
      <c r="L13" s="50"/>
      <c r="M13" s="50"/>
      <c r="N13" s="14"/>
      <c r="O13" s="50"/>
      <c r="P13" s="50"/>
      <c r="Q13" s="50"/>
      <c r="R13" s="14"/>
      <c r="S13" s="50"/>
      <c r="T13" s="50"/>
      <c r="U13" s="14"/>
      <c r="V13" s="50"/>
      <c r="W13" s="50"/>
      <c r="X13" s="14"/>
      <c r="Y13" s="50"/>
      <c r="Z13" s="14"/>
      <c r="AA13" s="14"/>
      <c r="AB13" s="50"/>
      <c r="AC13" s="50"/>
      <c r="AD13" s="50"/>
      <c r="AE13" s="50"/>
      <c r="AF13" s="50"/>
      <c r="AG13" s="50"/>
      <c r="AH13" s="50"/>
      <c r="AI13" s="14"/>
      <c r="AJ13" s="50"/>
      <c r="AK13" s="50"/>
      <c r="AL13" s="50"/>
      <c r="AM13" s="50"/>
      <c r="AN13" s="50"/>
      <c r="AO13" s="575"/>
      <c r="AP13" s="50"/>
      <c r="AQ13" s="50"/>
      <c r="AR13" s="50"/>
      <c r="AS13" s="50"/>
      <c r="AT13" s="14"/>
      <c r="AU13" s="14"/>
      <c r="AV13" s="14"/>
      <c r="AW13" s="14"/>
      <c r="AX13" s="102"/>
      <c r="AY13" s="14"/>
      <c r="AZ13" s="14"/>
      <c r="BA13" s="14"/>
      <c r="BB13" s="14"/>
      <c r="BC13" s="102"/>
      <c r="BD13" s="102"/>
      <c r="BE13" s="102"/>
      <c r="BF13" s="102"/>
      <c r="BG13" s="102"/>
      <c r="BH13" s="102"/>
      <c r="BI13" s="102"/>
      <c r="BJ13" s="102"/>
      <c r="BK13" s="102"/>
      <c r="BL13" s="102"/>
      <c r="BM13" s="102"/>
      <c r="BN13" s="102"/>
      <c r="BO13" s="102"/>
      <c r="BP13" s="102"/>
      <c r="BQ13" s="102"/>
      <c r="BR13" s="102"/>
      <c r="BS13" s="102"/>
      <c r="BT13" s="102"/>
      <c r="BU13" s="102"/>
      <c r="BV13" s="102"/>
      <c r="BW13" s="102"/>
      <c r="BX13" s="102"/>
      <c r="BY13" s="102"/>
      <c r="BZ13" s="102"/>
      <c r="CA13" s="102"/>
      <c r="CB13" s="102"/>
      <c r="CC13" s="102"/>
      <c r="CD13" s="102"/>
      <c r="CE13" s="102"/>
      <c r="CF13" s="102"/>
      <c r="CG13" s="102"/>
      <c r="CH13" s="102"/>
      <c r="CI13" s="102"/>
      <c r="CJ13" s="102"/>
      <c r="CK13" s="102"/>
      <c r="CL13" s="102"/>
      <c r="CM13" s="126">
        <f>'Crops; pasture AMORTIZED'!L22</f>
        <v>3.607830348238152</v>
      </c>
      <c r="CW13" s="49"/>
      <c r="DP13" s="126">
        <f>'Crops; pasture AMORTIZED'!CZ22</f>
        <v>0.61599069680503005</v>
      </c>
      <c r="DQ13" s="126">
        <f>'Crops; pasture AMORTIZED'!DL22</f>
        <v>0.79110797353721041</v>
      </c>
      <c r="DZ13" s="126">
        <f>'Crops; pasture AMORTIZED'!DX22</f>
        <v>1.5754180267862383</v>
      </c>
      <c r="ED13" s="334">
        <f>'Crops; pasture AMORTIZED'!EK22</f>
        <v>0.12730423645613503</v>
      </c>
      <c r="EE13" s="334"/>
      <c r="EJ13" s="264">
        <f t="shared" ref="EJ13:EJ14" si="0">EK13+EL13+EM13</f>
        <v>0.78242785652272728</v>
      </c>
      <c r="EK13" s="334">
        <f>'Crops; pasture AMORTIZED'!FY22</f>
        <v>0.44639067488636364</v>
      </c>
      <c r="EL13" s="334">
        <f>'Crops; pasture AMORTIZED'!FW22</f>
        <v>0.33603718163636365</v>
      </c>
      <c r="EM13" s="334">
        <f>'Crops; pasture AMORTIZED'!GA22</f>
        <v>0</v>
      </c>
      <c r="EN13" s="60"/>
      <c r="EO13" s="60"/>
      <c r="EP13" s="60"/>
      <c r="EQ13" s="60"/>
      <c r="ER13" s="60"/>
      <c r="ES13" s="60"/>
      <c r="ET13" s="60"/>
      <c r="EU13" s="60"/>
      <c r="EV13" s="60"/>
      <c r="EW13" s="60"/>
      <c r="EX13" s="60"/>
      <c r="EY13" s="60"/>
      <c r="EZ13" s="60"/>
      <c r="FA13" s="60"/>
      <c r="FB13" s="60"/>
      <c r="FC13" s="60"/>
      <c r="FD13" s="60"/>
      <c r="FE13" s="60"/>
      <c r="FF13" s="60"/>
      <c r="FG13" s="60"/>
      <c r="FH13" s="60"/>
      <c r="FI13" s="60"/>
      <c r="FJ13" s="60"/>
      <c r="FK13" s="60"/>
      <c r="FL13" s="60"/>
      <c r="FM13" s="60"/>
      <c r="FN13" s="60"/>
      <c r="FO13" s="60"/>
      <c r="FP13" s="60"/>
      <c r="FQ13" s="60"/>
      <c r="FR13" s="60"/>
      <c r="FS13" s="60"/>
      <c r="FT13" s="60"/>
      <c r="FU13" s="60"/>
      <c r="FV13" s="60"/>
      <c r="FW13" s="60"/>
      <c r="FX13" s="60"/>
      <c r="FY13" s="60"/>
      <c r="FZ13" s="60"/>
      <c r="GA13" s="60"/>
      <c r="GB13" s="60"/>
      <c r="GC13" s="60"/>
      <c r="GD13" s="60"/>
      <c r="GE13" s="60"/>
      <c r="GF13" s="60"/>
      <c r="GG13" s="631">
        <f>'Crops; pasture AMORTIZED'!HB22</f>
        <v>0.88</v>
      </c>
      <c r="GH13" s="41">
        <f>'Crops; pasture AMORTIZED'!HC22</f>
        <v>16.192</v>
      </c>
      <c r="GI13" s="41">
        <f>'Crops; pasture AMORTIZED'!HD22</f>
        <v>18.399999999999999</v>
      </c>
      <c r="GJ13" s="41">
        <f>'Crops; pasture AMORTIZED'!HE22</f>
        <v>12.32</v>
      </c>
      <c r="GK13" s="41">
        <f>'Crops; pasture AMORTIZED'!HF22</f>
        <v>14</v>
      </c>
      <c r="GL13" s="631">
        <f>'Crops; pasture AMORTIZED'!HG22</f>
        <v>0.1144</v>
      </c>
      <c r="GM13" s="631">
        <f>'Crops; pasture AMORTIZED'!HH22</f>
        <v>0.13</v>
      </c>
      <c r="KD13" s="97"/>
      <c r="KE13" s="97"/>
      <c r="KF13" s="97"/>
      <c r="KG13" s="97"/>
      <c r="KH13" s="97"/>
      <c r="KI13" s="97"/>
    </row>
    <row r="14" spans="1:335" s="4" customFormat="1" x14ac:dyDescent="0.25">
      <c r="A14" s="4" t="s">
        <v>67</v>
      </c>
      <c r="B14" s="14"/>
      <c r="C14" s="627"/>
      <c r="D14" s="628">
        <f>'Crops; pasture AMORTIZED'!P23</f>
        <v>126.17439999999999</v>
      </c>
      <c r="E14" s="629">
        <f>F14/GG14</f>
        <v>124.46391801136367</v>
      </c>
      <c r="F14" s="630">
        <f>BE62</f>
        <v>109.52824785000003</v>
      </c>
      <c r="G14" s="294"/>
      <c r="H14" s="294"/>
      <c r="I14" s="294"/>
      <c r="J14" s="14"/>
      <c r="K14" s="50"/>
      <c r="L14" s="50"/>
      <c r="M14" s="50"/>
      <c r="N14" s="14"/>
      <c r="O14" s="50"/>
      <c r="P14" s="50"/>
      <c r="Q14" s="50"/>
      <c r="R14" s="14"/>
      <c r="S14" s="50"/>
      <c r="T14" s="50"/>
      <c r="U14" s="14"/>
      <c r="V14" s="50"/>
      <c r="W14" s="50"/>
      <c r="X14" s="14"/>
      <c r="Y14" s="50"/>
      <c r="Z14" s="14"/>
      <c r="AA14" s="14"/>
      <c r="AB14" s="50"/>
      <c r="AC14" s="50"/>
      <c r="AD14" s="50"/>
      <c r="AE14" s="50"/>
      <c r="AF14" s="50"/>
      <c r="AG14" s="50"/>
      <c r="AH14" s="50"/>
      <c r="AI14" s="14"/>
      <c r="AJ14" s="50"/>
      <c r="AK14" s="50"/>
      <c r="AL14" s="50"/>
      <c r="AM14" s="50"/>
      <c r="AN14" s="50"/>
      <c r="AO14" s="575"/>
      <c r="AP14" s="50"/>
      <c r="AQ14" s="50"/>
      <c r="AR14" s="50"/>
      <c r="AS14" s="50"/>
      <c r="AT14" s="14"/>
      <c r="AU14" s="14"/>
      <c r="AV14" s="14"/>
      <c r="AW14" s="14"/>
      <c r="AX14" s="102"/>
      <c r="AY14" s="14"/>
      <c r="AZ14" s="14"/>
      <c r="BA14" s="14"/>
      <c r="BB14" s="14"/>
      <c r="BC14" s="102"/>
      <c r="BD14" s="102"/>
      <c r="BE14" s="102"/>
      <c r="BF14" s="102"/>
      <c r="BG14" s="102"/>
      <c r="BH14" s="102"/>
      <c r="BI14" s="102"/>
      <c r="BJ14" s="102"/>
      <c r="BK14" s="102"/>
      <c r="BL14" s="102"/>
      <c r="BM14" s="102"/>
      <c r="BN14" s="102"/>
      <c r="BO14" s="102"/>
      <c r="BP14" s="102"/>
      <c r="BQ14" s="102"/>
      <c r="BR14" s="102"/>
      <c r="BS14" s="102"/>
      <c r="BT14" s="102"/>
      <c r="BU14" s="102"/>
      <c r="BV14" s="102"/>
      <c r="BW14" s="102"/>
      <c r="BX14" s="102"/>
      <c r="BY14" s="102"/>
      <c r="BZ14" s="102"/>
      <c r="CA14" s="102"/>
      <c r="CB14" s="102"/>
      <c r="CC14" s="102"/>
      <c r="CD14" s="102"/>
      <c r="CE14" s="102"/>
      <c r="CF14" s="102"/>
      <c r="CG14" s="102"/>
      <c r="CH14" s="102"/>
      <c r="CI14" s="102"/>
      <c r="CJ14" s="102"/>
      <c r="CK14" s="102"/>
      <c r="CL14" s="102"/>
      <c r="CM14" s="126">
        <f>'Crops; pasture AMORTIZED'!L23</f>
        <v>4.4065991199482619</v>
      </c>
      <c r="CW14" s="49"/>
      <c r="DP14" s="126">
        <f>'Crops; pasture AMORTIZED'!CZ23</f>
        <v>0.81565868021347876</v>
      </c>
      <c r="DQ14" s="126">
        <f>'Crops; pasture AMORTIZED'!DL23</f>
        <v>1.0243743269106484</v>
      </c>
      <c r="DZ14" s="126">
        <f>'Crops; pasture AMORTIZED'!DX23</f>
        <v>2.0399462965546102</v>
      </c>
      <c r="ED14" s="334">
        <f>'Crops; pasture AMORTIZED'!EK23</f>
        <v>0.23970175407803801</v>
      </c>
      <c r="EE14" s="334"/>
      <c r="EJ14" s="264">
        <f t="shared" si="0"/>
        <v>0.58731877234090912</v>
      </c>
      <c r="EK14" s="334">
        <f>'Crops; pasture AMORTIZED'!FY23</f>
        <v>0.37168456490909091</v>
      </c>
      <c r="EL14" s="334">
        <f>'Crops; pasture AMORTIZED'!FW23</f>
        <v>0.21563420743181819</v>
      </c>
      <c r="EM14" s="334">
        <f>'Crops; pasture AMORTIZED'!GA23</f>
        <v>0</v>
      </c>
      <c r="EN14" s="60"/>
      <c r="EO14" s="60"/>
      <c r="EP14" s="60"/>
      <c r="EQ14" s="60"/>
      <c r="ER14" s="60"/>
      <c r="ES14" s="60"/>
      <c r="ET14" s="60"/>
      <c r="EU14" s="60"/>
      <c r="EV14" s="60"/>
      <c r="EW14" s="60"/>
      <c r="EX14" s="60"/>
      <c r="EY14" s="60"/>
      <c r="EZ14" s="60"/>
      <c r="FA14" s="60"/>
      <c r="FB14" s="60"/>
      <c r="FC14" s="60"/>
      <c r="FD14" s="60"/>
      <c r="FE14" s="60"/>
      <c r="FF14" s="60"/>
      <c r="FG14" s="60"/>
      <c r="FH14" s="60"/>
      <c r="FI14" s="60"/>
      <c r="FJ14" s="60"/>
      <c r="FK14" s="60"/>
      <c r="FL14" s="60"/>
      <c r="FM14" s="60"/>
      <c r="FN14" s="60"/>
      <c r="FO14" s="60"/>
      <c r="FP14" s="60"/>
      <c r="FQ14" s="60"/>
      <c r="FR14" s="60"/>
      <c r="FS14" s="60"/>
      <c r="FT14" s="60"/>
      <c r="FU14" s="60"/>
      <c r="FV14" s="60"/>
      <c r="FW14" s="60"/>
      <c r="FX14" s="60"/>
      <c r="FY14" s="60"/>
      <c r="FZ14" s="60"/>
      <c r="GA14" s="60"/>
      <c r="GB14" s="60"/>
      <c r="GC14" s="60"/>
      <c r="GD14" s="60"/>
      <c r="GE14" s="60"/>
      <c r="GF14" s="60"/>
      <c r="GG14" s="631">
        <f>'Crops; pasture AMORTIZED'!HB23</f>
        <v>0.88</v>
      </c>
      <c r="GH14" s="41">
        <f>'Crops; pasture AMORTIZED'!HC23</f>
        <v>16.015999999999998</v>
      </c>
      <c r="GI14" s="41">
        <f>'Crops; pasture AMORTIZED'!HD23</f>
        <v>18.2</v>
      </c>
      <c r="GJ14" s="41">
        <f>'Crops; pasture AMORTIZED'!HE23</f>
        <v>12.32</v>
      </c>
      <c r="GK14" s="41">
        <f>'Crops; pasture AMORTIZED'!HF23</f>
        <v>14</v>
      </c>
      <c r="GL14" s="631">
        <f>'Crops; pasture AMORTIZED'!HG23</f>
        <v>0.1056</v>
      </c>
      <c r="GM14" s="631">
        <f>'Crops; pasture AMORTIZED'!HH23</f>
        <v>0.12</v>
      </c>
      <c r="KD14" s="97"/>
      <c r="KE14" s="97"/>
      <c r="KF14" s="97"/>
      <c r="KG14" s="97"/>
      <c r="KH14" s="97"/>
      <c r="KI14" s="97"/>
    </row>
    <row r="15" spans="1:335" s="4" customFormat="1" x14ac:dyDescent="0.25">
      <c r="A15" s="14"/>
      <c r="B15" s="14"/>
      <c r="C15" s="14"/>
      <c r="D15" s="14"/>
      <c r="E15" s="102"/>
      <c r="F15" s="14"/>
      <c r="G15" s="14"/>
      <c r="H15" s="102"/>
      <c r="I15" s="102"/>
      <c r="J15" s="14"/>
      <c r="K15" s="50"/>
      <c r="L15" s="50"/>
      <c r="M15" s="50"/>
      <c r="N15" s="14"/>
      <c r="O15" s="50"/>
      <c r="P15" s="50"/>
      <c r="Q15" s="50"/>
      <c r="R15" s="14"/>
      <c r="S15" s="50"/>
      <c r="T15" s="50"/>
      <c r="U15" s="14"/>
      <c r="V15" s="50"/>
      <c r="W15" s="50"/>
      <c r="X15" s="14"/>
      <c r="Y15" s="50"/>
      <c r="Z15" s="14"/>
      <c r="AA15" s="14"/>
      <c r="AB15" s="50"/>
      <c r="AC15" s="50"/>
      <c r="AD15" s="50"/>
      <c r="AE15" s="50"/>
      <c r="AF15" s="50"/>
      <c r="AG15" s="50"/>
      <c r="AH15" s="50"/>
      <c r="AI15" s="14"/>
      <c r="AJ15" s="50"/>
      <c r="AK15" s="50"/>
      <c r="AL15" s="50"/>
      <c r="AM15" s="50"/>
      <c r="AN15" s="50"/>
      <c r="AO15" s="575"/>
      <c r="AP15" s="50"/>
      <c r="AQ15" s="50"/>
      <c r="AR15" s="50"/>
      <c r="AS15" s="50"/>
      <c r="AT15" s="14"/>
      <c r="AU15" s="14"/>
      <c r="AV15" s="14"/>
      <c r="AW15" s="14"/>
      <c r="AX15" s="102"/>
      <c r="AY15" s="14"/>
      <c r="AZ15" s="14"/>
      <c r="BA15" s="14"/>
      <c r="BB15" s="14"/>
      <c r="BC15" s="102"/>
      <c r="BD15" s="102"/>
      <c r="BE15" s="102"/>
      <c r="BF15" s="102"/>
      <c r="BG15" s="102"/>
      <c r="BH15" s="102"/>
      <c r="BI15" s="102"/>
      <c r="BJ15" s="102"/>
      <c r="BK15" s="102"/>
      <c r="BL15" s="102"/>
      <c r="BM15" s="102"/>
      <c r="BN15" s="102"/>
      <c r="BO15" s="102"/>
      <c r="BP15" s="102"/>
      <c r="BQ15" s="102"/>
      <c r="BR15" s="102"/>
      <c r="BS15" s="102"/>
      <c r="BT15" s="102"/>
      <c r="BU15" s="102"/>
      <c r="BV15" s="102"/>
      <c r="BW15" s="102"/>
      <c r="BX15" s="102"/>
      <c r="BY15" s="102"/>
      <c r="BZ15" s="102"/>
      <c r="CA15" s="102"/>
      <c r="CB15" s="102"/>
      <c r="CC15" s="102"/>
      <c r="CD15" s="102"/>
      <c r="CE15" s="102"/>
      <c r="CF15" s="102"/>
      <c r="CG15" s="102"/>
      <c r="CH15" s="102"/>
      <c r="CI15" s="102"/>
      <c r="CJ15" s="102"/>
      <c r="CK15" s="102"/>
      <c r="CL15" s="102"/>
      <c r="CM15" s="97"/>
      <c r="CW15" s="49"/>
      <c r="DP15" s="97"/>
      <c r="DQ15" s="97"/>
      <c r="DZ15" s="97"/>
      <c r="ED15" s="522"/>
      <c r="EE15" s="522"/>
      <c r="EK15" s="522"/>
      <c r="EL15" s="522"/>
      <c r="EM15" s="522"/>
      <c r="EN15" s="60"/>
      <c r="EO15" s="60"/>
      <c r="EP15" s="60"/>
      <c r="EQ15" s="60"/>
      <c r="ER15" s="60"/>
      <c r="ES15" s="60"/>
      <c r="ET15" s="60"/>
      <c r="EU15" s="60"/>
      <c r="EV15" s="60"/>
      <c r="EW15" s="60"/>
      <c r="EX15" s="60"/>
      <c r="EY15" s="60"/>
      <c r="EZ15" s="60"/>
      <c r="FA15" s="60"/>
      <c r="FB15" s="60"/>
      <c r="FC15" s="60"/>
      <c r="FD15" s="60"/>
      <c r="FE15" s="60"/>
      <c r="FF15" s="60"/>
      <c r="FG15" s="60"/>
      <c r="FH15" s="60"/>
      <c r="FI15" s="60"/>
      <c r="FJ15" s="60"/>
      <c r="FK15" s="60"/>
      <c r="FL15" s="60"/>
      <c r="FM15" s="60"/>
      <c r="FN15" s="60"/>
      <c r="FO15" s="60"/>
      <c r="FP15" s="60"/>
      <c r="FQ15" s="60"/>
      <c r="FR15" s="60"/>
      <c r="FS15" s="60"/>
      <c r="FT15" s="60"/>
      <c r="FU15" s="60"/>
      <c r="FV15" s="60"/>
      <c r="FW15" s="60"/>
      <c r="FX15" s="60"/>
      <c r="FY15" s="60"/>
      <c r="FZ15" s="60"/>
      <c r="GA15" s="60"/>
      <c r="GB15" s="60"/>
      <c r="GC15" s="60"/>
      <c r="GD15" s="60"/>
      <c r="GE15" s="60"/>
      <c r="GF15" s="60"/>
      <c r="KD15" s="97"/>
      <c r="KE15" s="97"/>
      <c r="KF15" s="97"/>
      <c r="KG15" s="97"/>
      <c r="KH15" s="97"/>
      <c r="KI15" s="97"/>
    </row>
    <row r="16" spans="1:335" s="4" customFormat="1" ht="13.8" x14ac:dyDescent="0.3">
      <c r="A16" s="15" t="s">
        <v>75</v>
      </c>
      <c r="B16" s="14"/>
      <c r="C16" s="14"/>
      <c r="D16" s="625">
        <f>'Crops; pasture AMORTIZED'!P27</f>
        <v>191.29891000000001</v>
      </c>
      <c r="E16" s="144">
        <f>E17+E18+E19</f>
        <v>149.62934482758624</v>
      </c>
      <c r="F16" s="577">
        <f>F17+F18+F19</f>
        <v>44.651250000000005</v>
      </c>
      <c r="G16" s="626">
        <f>F16/D16</f>
        <v>0.23341089606835713</v>
      </c>
      <c r="H16" s="154"/>
      <c r="I16" s="154"/>
      <c r="J16" s="14"/>
      <c r="K16" s="50"/>
      <c r="L16" s="50"/>
      <c r="M16" s="50"/>
      <c r="N16" s="14"/>
      <c r="O16" s="50"/>
      <c r="P16" s="50"/>
      <c r="Q16" s="50"/>
      <c r="R16" s="14"/>
      <c r="S16" s="50"/>
      <c r="T16" s="50"/>
      <c r="U16" s="14"/>
      <c r="V16" s="50"/>
      <c r="W16" s="50"/>
      <c r="X16" s="14"/>
      <c r="Y16" s="50"/>
      <c r="Z16" s="14"/>
      <c r="AA16" s="14"/>
      <c r="AB16" s="50"/>
      <c r="AC16" s="50"/>
      <c r="AD16" s="50"/>
      <c r="AE16" s="50"/>
      <c r="AF16" s="50"/>
      <c r="AG16" s="50"/>
      <c r="AH16" s="50"/>
      <c r="AI16" s="14"/>
      <c r="AJ16" s="50"/>
      <c r="AK16" s="50"/>
      <c r="AL16" s="50"/>
      <c r="AM16" s="50"/>
      <c r="AN16" s="50"/>
      <c r="AO16" s="575"/>
      <c r="AP16" s="50"/>
      <c r="AQ16" s="50"/>
      <c r="AR16" s="50"/>
      <c r="AS16" s="50"/>
      <c r="AT16" s="14"/>
      <c r="AU16" s="14"/>
      <c r="AV16" s="14"/>
      <c r="AW16" s="14"/>
      <c r="AX16" s="102"/>
      <c r="AY16" s="14"/>
      <c r="AZ16" s="14"/>
      <c r="BA16" s="14"/>
      <c r="BB16" s="14"/>
      <c r="BC16" s="102"/>
      <c r="BD16" s="102"/>
      <c r="BE16" s="102"/>
      <c r="BF16" s="102"/>
      <c r="BG16" s="102"/>
      <c r="BH16" s="102"/>
      <c r="BI16" s="102"/>
      <c r="BJ16" s="102"/>
      <c r="BK16" s="102"/>
      <c r="BL16" s="102"/>
      <c r="BM16" s="102"/>
      <c r="BN16" s="102"/>
      <c r="BO16" s="102"/>
      <c r="BP16" s="102"/>
      <c r="BQ16" s="102"/>
      <c r="BR16" s="102"/>
      <c r="BS16" s="102"/>
      <c r="BT16" s="102"/>
      <c r="BU16" s="102"/>
      <c r="BV16" s="102"/>
      <c r="BW16" s="102"/>
      <c r="BX16" s="102"/>
      <c r="BY16" s="102"/>
      <c r="BZ16" s="102"/>
      <c r="CA16" s="102"/>
      <c r="CB16" s="102"/>
      <c r="CC16" s="102"/>
      <c r="CD16" s="102"/>
      <c r="CE16" s="102"/>
      <c r="CF16" s="102"/>
      <c r="CG16" s="102"/>
      <c r="CH16" s="102"/>
      <c r="CI16" s="102"/>
      <c r="CJ16" s="102"/>
      <c r="CK16" s="102"/>
      <c r="CL16" s="102"/>
      <c r="CM16" s="115"/>
      <c r="CW16" s="49"/>
      <c r="DP16" s="115"/>
      <c r="DQ16" s="115"/>
      <c r="DZ16" s="115"/>
      <c r="ED16" s="127"/>
      <c r="EE16" s="127"/>
      <c r="EK16" s="127"/>
      <c r="EL16" s="127"/>
      <c r="EM16" s="127"/>
      <c r="EN16" s="60"/>
      <c r="EO16" s="60"/>
      <c r="EP16" s="60"/>
      <c r="EQ16" s="60"/>
      <c r="ER16" s="60"/>
      <c r="ES16" s="60"/>
      <c r="ET16" s="60"/>
      <c r="EU16" s="60"/>
      <c r="EV16" s="60"/>
      <c r="EW16" s="60"/>
      <c r="EX16" s="60"/>
      <c r="EY16" s="60"/>
      <c r="EZ16" s="60"/>
      <c r="FA16" s="60"/>
      <c r="FB16" s="60"/>
      <c r="FC16" s="60"/>
      <c r="FD16" s="60"/>
      <c r="FE16" s="60"/>
      <c r="FF16" s="60"/>
      <c r="FG16" s="60"/>
      <c r="FH16" s="60"/>
      <c r="FI16" s="60"/>
      <c r="FJ16" s="60"/>
      <c r="FK16" s="60"/>
      <c r="FL16" s="60"/>
      <c r="FM16" s="60"/>
      <c r="FN16" s="60"/>
      <c r="FO16" s="60"/>
      <c r="FP16" s="60"/>
      <c r="FQ16" s="60"/>
      <c r="FR16" s="60"/>
      <c r="FS16" s="60"/>
      <c r="FT16" s="60"/>
      <c r="FU16" s="60"/>
      <c r="FV16" s="60"/>
      <c r="FW16" s="60"/>
      <c r="FX16" s="60"/>
      <c r="FY16" s="60"/>
      <c r="FZ16" s="60"/>
      <c r="GA16" s="60"/>
      <c r="GB16" s="60"/>
      <c r="GC16" s="60"/>
      <c r="GD16" s="60"/>
      <c r="GE16" s="60"/>
      <c r="GF16" s="60"/>
      <c r="KD16" s="97"/>
      <c r="KE16" s="97"/>
      <c r="KF16" s="97"/>
      <c r="KG16" s="97"/>
      <c r="KH16" s="97"/>
      <c r="KI16" s="97"/>
    </row>
    <row r="17" spans="1:295" s="4" customFormat="1" x14ac:dyDescent="0.25">
      <c r="A17" s="14" t="s">
        <v>68</v>
      </c>
      <c r="B17" s="14"/>
      <c r="C17" s="627"/>
      <c r="D17" s="628">
        <f>'Crops; pasture AMORTIZED'!P28</f>
        <v>73.729600000000005</v>
      </c>
      <c r="E17" s="629">
        <f>F17/GG17</f>
        <v>66.339000000000013</v>
      </c>
      <c r="F17" s="630">
        <f>BG62</f>
        <v>23.218650000000004</v>
      </c>
      <c r="G17" s="294"/>
      <c r="H17" s="294"/>
      <c r="I17" s="294"/>
      <c r="J17" s="14"/>
      <c r="K17" s="50"/>
      <c r="L17" s="50"/>
      <c r="M17" s="50"/>
      <c r="N17" s="14"/>
      <c r="O17" s="50"/>
      <c r="P17" s="50"/>
      <c r="Q17" s="50"/>
      <c r="R17" s="14"/>
      <c r="S17" s="50"/>
      <c r="T17" s="50"/>
      <c r="U17" s="14"/>
      <c r="V17" s="50"/>
      <c r="W17" s="50"/>
      <c r="X17" s="14"/>
      <c r="Y17" s="50"/>
      <c r="Z17" s="14"/>
      <c r="AA17" s="14"/>
      <c r="AB17" s="50"/>
      <c r="AC17" s="50"/>
      <c r="AD17" s="50"/>
      <c r="AE17" s="50"/>
      <c r="AF17" s="50"/>
      <c r="AG17" s="50"/>
      <c r="AH17" s="50"/>
      <c r="AI17" s="14"/>
      <c r="AJ17" s="50"/>
      <c r="AK17" s="50"/>
      <c r="AL17" s="50"/>
      <c r="AM17" s="50"/>
      <c r="AN17" s="50"/>
      <c r="AO17" s="575"/>
      <c r="AP17" s="50"/>
      <c r="AQ17" s="50"/>
      <c r="AR17" s="50"/>
      <c r="AS17" s="50"/>
      <c r="AT17" s="14"/>
      <c r="AU17" s="14"/>
      <c r="AV17" s="14"/>
      <c r="AW17" s="14"/>
      <c r="AX17" s="102"/>
      <c r="AY17" s="14"/>
      <c r="AZ17" s="14"/>
      <c r="BA17" s="14"/>
      <c r="BB17" s="14"/>
      <c r="BC17" s="102"/>
      <c r="BD17" s="102"/>
      <c r="BE17" s="102"/>
      <c r="BF17" s="102"/>
      <c r="BG17" s="102"/>
      <c r="BH17" s="102"/>
      <c r="BI17" s="102"/>
      <c r="BJ17" s="102"/>
      <c r="BK17" s="102"/>
      <c r="BL17" s="102"/>
      <c r="BM17" s="102"/>
      <c r="BN17" s="102"/>
      <c r="BO17" s="102"/>
      <c r="BP17" s="102"/>
      <c r="BQ17" s="102"/>
      <c r="BR17" s="102"/>
      <c r="BS17" s="102"/>
      <c r="BT17" s="102"/>
      <c r="BU17" s="102"/>
      <c r="BV17" s="102"/>
      <c r="BW17" s="102"/>
      <c r="BX17" s="102"/>
      <c r="BY17" s="102"/>
      <c r="BZ17" s="102"/>
      <c r="CA17" s="102"/>
      <c r="CB17" s="102"/>
      <c r="CC17" s="102"/>
      <c r="CD17" s="102"/>
      <c r="CE17" s="102"/>
      <c r="CF17" s="102"/>
      <c r="CG17" s="102"/>
      <c r="CH17" s="102"/>
      <c r="CI17" s="102"/>
      <c r="CJ17" s="102"/>
      <c r="CK17" s="102"/>
      <c r="CL17" s="102"/>
      <c r="CM17" s="126">
        <f>'Crops; pasture AMORTIZED'!L28</f>
        <v>2.4386406544996855</v>
      </c>
      <c r="CW17" s="49"/>
      <c r="DP17" s="126">
        <f>'Crops; pasture AMORTIZED'!CZ28</f>
        <v>1.1746136335876298</v>
      </c>
      <c r="DQ17" s="126">
        <f>'Crops; pasture AMORTIZED'!DL28</f>
        <v>1.0451811516899552</v>
      </c>
      <c r="DZ17" s="126">
        <f>'Crops; pasture AMORTIZED'!DX28</f>
        <v>2.0813811549228536</v>
      </c>
      <c r="ED17" s="334">
        <f>'Crops; pasture AMORTIZED'!EK28</f>
        <v>0.4652513633601702</v>
      </c>
      <c r="EE17" s="334"/>
      <c r="EJ17" s="264">
        <f t="shared" ref="EJ17:EJ19" si="1">EK17+EL17+EM17</f>
        <v>0.11665947285714287</v>
      </c>
      <c r="EK17" s="334">
        <f>'Crops; pasture AMORTIZED'!FY28</f>
        <v>8.2058135771428578E-2</v>
      </c>
      <c r="EL17" s="334">
        <f>'Crops; pasture AMORTIZED'!FW28</f>
        <v>3.4601337085714286E-2</v>
      </c>
      <c r="EM17" s="334">
        <f>'Crops; pasture AMORTIZED'!GA28</f>
        <v>0</v>
      </c>
      <c r="EN17" s="60"/>
      <c r="EO17" s="60"/>
      <c r="EP17" s="60"/>
      <c r="EQ17" s="60"/>
      <c r="ER17" s="60"/>
      <c r="ES17" s="60"/>
      <c r="ET17" s="60"/>
      <c r="EU17" s="60"/>
      <c r="EV17" s="60"/>
      <c r="EW17" s="60"/>
      <c r="EX17" s="60"/>
      <c r="EY17" s="60"/>
      <c r="EZ17" s="60"/>
      <c r="FA17" s="60"/>
      <c r="FB17" s="60"/>
      <c r="FC17" s="60"/>
      <c r="FD17" s="60"/>
      <c r="FE17" s="60"/>
      <c r="FF17" s="60"/>
      <c r="FG17" s="60"/>
      <c r="FH17" s="60"/>
      <c r="FI17" s="60"/>
      <c r="FJ17" s="60"/>
      <c r="FK17" s="60"/>
      <c r="FL17" s="60"/>
      <c r="FM17" s="60"/>
      <c r="FN17" s="60"/>
      <c r="FO17" s="60"/>
      <c r="FP17" s="60"/>
      <c r="FQ17" s="60"/>
      <c r="FR17" s="60"/>
      <c r="FS17" s="60"/>
      <c r="FT17" s="60"/>
      <c r="FU17" s="60"/>
      <c r="FV17" s="60"/>
      <c r="FW17" s="60"/>
      <c r="FX17" s="60"/>
      <c r="FY17" s="60"/>
      <c r="FZ17" s="60"/>
      <c r="GA17" s="60"/>
      <c r="GB17" s="60"/>
      <c r="GC17" s="60"/>
      <c r="GD17" s="60"/>
      <c r="GE17" s="60"/>
      <c r="GF17" s="60"/>
      <c r="GG17" s="631">
        <f>'Crops; pasture AMORTIZED'!HB28</f>
        <v>0.35</v>
      </c>
      <c r="GH17" s="41">
        <f>'Crops; pasture AMORTIZED'!HC28</f>
        <v>6.0549999999999997</v>
      </c>
      <c r="GI17" s="41">
        <f>'Crops; pasture AMORTIZED'!HD28</f>
        <v>17.3</v>
      </c>
      <c r="GJ17" s="41">
        <f>'Crops; pasture AMORTIZED'!HE28</f>
        <v>4.4799999999999995</v>
      </c>
      <c r="GK17" s="41">
        <f>'Crops; pasture AMORTIZED'!HF28</f>
        <v>12.8</v>
      </c>
      <c r="GL17" s="631">
        <f>'Crops; pasture AMORTIZED'!HG28</f>
        <v>1.0499999999999999E-2</v>
      </c>
      <c r="GM17" s="631">
        <f>'Crops; pasture AMORTIZED'!HH28</f>
        <v>0.03</v>
      </c>
      <c r="KD17" s="97"/>
      <c r="KE17" s="97"/>
      <c r="KF17" s="97"/>
      <c r="KG17" s="97"/>
      <c r="KH17" s="97"/>
      <c r="KI17" s="97"/>
    </row>
    <row r="18" spans="1:295" s="4" customFormat="1" x14ac:dyDescent="0.25">
      <c r="A18" s="14" t="s">
        <v>69</v>
      </c>
      <c r="B18" s="14"/>
      <c r="C18" s="627"/>
      <c r="D18" s="628">
        <f>'Crops; pasture AMORTIZED'!P29</f>
        <v>67.536000000000001</v>
      </c>
      <c r="E18" s="629">
        <f>F18/GG18</f>
        <v>34.020000000000003</v>
      </c>
      <c r="F18" s="630">
        <f>BH62</f>
        <v>7.1442000000000005</v>
      </c>
      <c r="G18" s="294"/>
      <c r="H18" s="294"/>
      <c r="I18" s="294"/>
      <c r="J18" s="14"/>
      <c r="K18" s="50"/>
      <c r="L18" s="50"/>
      <c r="M18" s="50"/>
      <c r="N18" s="14"/>
      <c r="O18" s="50"/>
      <c r="P18" s="50"/>
      <c r="Q18" s="50"/>
      <c r="R18" s="14"/>
      <c r="S18" s="50"/>
      <c r="T18" s="50"/>
      <c r="U18" s="14"/>
      <c r="V18" s="50"/>
      <c r="W18" s="50"/>
      <c r="X18" s="14"/>
      <c r="Y18" s="50"/>
      <c r="Z18" s="14"/>
      <c r="AA18" s="14"/>
      <c r="AB18" s="50"/>
      <c r="AC18" s="50"/>
      <c r="AD18" s="50"/>
      <c r="AE18" s="50"/>
      <c r="AF18" s="50"/>
      <c r="AG18" s="50"/>
      <c r="AH18" s="50"/>
      <c r="AI18" s="14"/>
      <c r="AJ18" s="50"/>
      <c r="AK18" s="50"/>
      <c r="AL18" s="50"/>
      <c r="AM18" s="50"/>
      <c r="AN18" s="50"/>
      <c r="AO18" s="575"/>
      <c r="AP18" s="50"/>
      <c r="AQ18" s="50"/>
      <c r="AR18" s="50"/>
      <c r="AS18" s="50"/>
      <c r="AT18" s="14"/>
      <c r="AU18" s="14"/>
      <c r="AV18" s="14"/>
      <c r="AW18" s="14"/>
      <c r="AX18" s="102"/>
      <c r="AY18" s="14"/>
      <c r="AZ18" s="14"/>
      <c r="BA18" s="14"/>
      <c r="BB18" s="14"/>
      <c r="BC18" s="102"/>
      <c r="BD18" s="102"/>
      <c r="BE18" s="102"/>
      <c r="BF18" s="102"/>
      <c r="BG18" s="102"/>
      <c r="BH18" s="102"/>
      <c r="BI18" s="102"/>
      <c r="BJ18" s="102"/>
      <c r="BK18" s="102"/>
      <c r="BL18" s="102"/>
      <c r="BM18" s="102"/>
      <c r="BN18" s="102"/>
      <c r="BO18" s="102"/>
      <c r="BP18" s="102"/>
      <c r="BQ18" s="102"/>
      <c r="BR18" s="102"/>
      <c r="BS18" s="102"/>
      <c r="BT18" s="102"/>
      <c r="BU18" s="102"/>
      <c r="BV18" s="102"/>
      <c r="BW18" s="102"/>
      <c r="BX18" s="102"/>
      <c r="BY18" s="102"/>
      <c r="BZ18" s="102"/>
      <c r="CA18" s="102"/>
      <c r="CB18" s="102"/>
      <c r="CC18" s="102"/>
      <c r="CD18" s="102"/>
      <c r="CE18" s="102"/>
      <c r="CF18" s="102"/>
      <c r="CG18" s="102"/>
      <c r="CH18" s="102"/>
      <c r="CI18" s="102"/>
      <c r="CJ18" s="102"/>
      <c r="CK18" s="102"/>
      <c r="CL18" s="102"/>
      <c r="CM18" s="126">
        <f>'Crops; pasture AMORTIZED'!L29</f>
        <v>2.7837005448945749</v>
      </c>
      <c r="CW18" s="49"/>
      <c r="DP18" s="126">
        <f>'Crops; pasture AMORTIZED'!CZ29</f>
        <v>0.84248768299588017</v>
      </c>
      <c r="DQ18" s="126">
        <f>'Crops; pasture AMORTIZED'!DL29</f>
        <v>0.7820558748866242</v>
      </c>
      <c r="DZ18" s="126">
        <f>'Crops; pasture AMORTIZED'!DX29</f>
        <v>1.5573916133617627</v>
      </c>
      <c r="ED18" s="334">
        <f>'Crops; pasture AMORTIZED'!EK29</f>
        <v>0.16247060760732057</v>
      </c>
      <c r="EE18" s="334"/>
      <c r="EJ18" s="264">
        <f t="shared" si="1"/>
        <v>0.42407291866666669</v>
      </c>
      <c r="EK18" s="334">
        <f>'Crops; pasture AMORTIZED'!FY29</f>
        <v>0.31243669485714287</v>
      </c>
      <c r="EL18" s="334">
        <f>'Crops; pasture AMORTIZED'!FW29</f>
        <v>0.11163622380952382</v>
      </c>
      <c r="EM18" s="334">
        <f>'Crops; pasture AMORTIZED'!GA29</f>
        <v>0</v>
      </c>
      <c r="EN18" s="123"/>
      <c r="EO18" s="123"/>
      <c r="EP18" s="123"/>
      <c r="EQ18" s="123"/>
      <c r="ER18" s="123"/>
      <c r="ES18" s="123"/>
      <c r="ET18" s="123"/>
      <c r="EU18" s="123"/>
      <c r="EV18" s="123"/>
      <c r="EW18" s="123"/>
      <c r="EX18" s="123"/>
      <c r="EY18" s="123"/>
      <c r="EZ18" s="123"/>
      <c r="FA18" s="123"/>
      <c r="FB18" s="123"/>
      <c r="FC18" s="123"/>
      <c r="FD18" s="123"/>
      <c r="FE18" s="123"/>
      <c r="FF18" s="123"/>
      <c r="FG18" s="123"/>
      <c r="FH18" s="123"/>
      <c r="FI18" s="123"/>
      <c r="FJ18" s="123"/>
      <c r="FK18" s="123"/>
      <c r="FL18" s="123"/>
      <c r="FM18" s="123"/>
      <c r="FN18" s="123"/>
      <c r="FO18" s="123"/>
      <c r="FP18" s="123"/>
      <c r="FQ18" s="123"/>
      <c r="FR18" s="123"/>
      <c r="FS18" s="123"/>
      <c r="FT18" s="123"/>
      <c r="FU18" s="123"/>
      <c r="FV18" s="123"/>
      <c r="FW18" s="123"/>
      <c r="FX18" s="123"/>
      <c r="FY18" s="123"/>
      <c r="FZ18" s="123"/>
      <c r="GA18" s="123"/>
      <c r="GB18" s="123"/>
      <c r="GC18" s="123"/>
      <c r="GD18" s="123"/>
      <c r="GE18" s="123"/>
      <c r="GF18" s="123"/>
      <c r="GG18" s="631">
        <f>'Crops; pasture AMORTIZED'!HB29</f>
        <v>0.21</v>
      </c>
      <c r="GH18" s="41">
        <f>'Crops; pasture AMORTIZED'!HC29</f>
        <v>3.633</v>
      </c>
      <c r="GI18" s="41">
        <f>'Crops; pasture AMORTIZED'!HD29</f>
        <v>17.3</v>
      </c>
      <c r="GJ18" s="41">
        <f>'Crops; pasture AMORTIZED'!HE29</f>
        <v>2.835</v>
      </c>
      <c r="GK18" s="41">
        <f>'Crops; pasture AMORTIZED'!HF29</f>
        <v>13.5</v>
      </c>
      <c r="GL18" s="631">
        <f>'Crops; pasture AMORTIZED'!HG29</f>
        <v>1.89E-2</v>
      </c>
      <c r="GM18" s="631">
        <f>'Crops; pasture AMORTIZED'!HH29</f>
        <v>0.09</v>
      </c>
      <c r="KD18" s="97"/>
      <c r="KE18" s="97"/>
      <c r="KF18" s="97"/>
      <c r="KG18" s="97"/>
      <c r="KH18" s="97"/>
      <c r="KI18" s="97"/>
    </row>
    <row r="19" spans="1:295" s="4" customFormat="1" x14ac:dyDescent="0.25">
      <c r="A19" s="14" t="s">
        <v>70</v>
      </c>
      <c r="B19" s="14"/>
      <c r="C19" s="627"/>
      <c r="D19" s="628">
        <f>'Crops; pasture AMORTIZED'!P30</f>
        <v>34.985309999999991</v>
      </c>
      <c r="E19" s="629">
        <f>F19/GG19</f>
        <v>49.270344827586214</v>
      </c>
      <c r="F19" s="630">
        <f>BI62</f>
        <v>14.288400000000001</v>
      </c>
      <c r="G19" s="294"/>
      <c r="H19" s="294"/>
      <c r="I19" s="294"/>
      <c r="J19" s="14"/>
      <c r="K19" s="50"/>
      <c r="L19" s="50"/>
      <c r="M19" s="50"/>
      <c r="N19" s="14"/>
      <c r="O19" s="50"/>
      <c r="P19" s="50"/>
      <c r="Q19" s="50"/>
      <c r="R19" s="14"/>
      <c r="S19" s="50"/>
      <c r="T19" s="50"/>
      <c r="U19" s="14"/>
      <c r="V19" s="50"/>
      <c r="W19" s="50"/>
      <c r="X19" s="14"/>
      <c r="Y19" s="50"/>
      <c r="Z19" s="14"/>
      <c r="AA19" s="14"/>
      <c r="AB19" s="50"/>
      <c r="AC19" s="50"/>
      <c r="AD19" s="50"/>
      <c r="AE19" s="50"/>
      <c r="AF19" s="50"/>
      <c r="AG19" s="50"/>
      <c r="AH19" s="50"/>
      <c r="AI19" s="14"/>
      <c r="AJ19" s="50"/>
      <c r="AK19" s="50"/>
      <c r="AL19" s="50"/>
      <c r="AM19" s="50"/>
      <c r="AN19" s="50"/>
      <c r="AO19" s="575"/>
      <c r="AP19" s="50"/>
      <c r="AQ19" s="50"/>
      <c r="AR19" s="50"/>
      <c r="AS19" s="50"/>
      <c r="AT19" s="14"/>
      <c r="AU19" s="14"/>
      <c r="AV19" s="14"/>
      <c r="AW19" s="14"/>
      <c r="AX19" s="102"/>
      <c r="AY19" s="14"/>
      <c r="AZ19" s="14"/>
      <c r="BA19" s="14"/>
      <c r="BB19" s="14"/>
      <c r="BC19" s="102"/>
      <c r="BD19" s="102"/>
      <c r="BE19" s="102"/>
      <c r="BF19" s="102"/>
      <c r="BG19" s="102"/>
      <c r="BH19" s="102"/>
      <c r="BI19" s="102"/>
      <c r="BJ19" s="102"/>
      <c r="BK19" s="102"/>
      <c r="BL19" s="102"/>
      <c r="BM19" s="102"/>
      <c r="BN19" s="102"/>
      <c r="BO19" s="102"/>
      <c r="BP19" s="102"/>
      <c r="BQ19" s="102"/>
      <c r="BR19" s="102"/>
      <c r="BS19" s="102"/>
      <c r="BT19" s="102"/>
      <c r="BU19" s="102"/>
      <c r="BV19" s="102"/>
      <c r="BW19" s="102"/>
      <c r="BX19" s="102"/>
      <c r="BY19" s="102"/>
      <c r="BZ19" s="102"/>
      <c r="CA19" s="102"/>
      <c r="CB19" s="102"/>
      <c r="CC19" s="102"/>
      <c r="CD19" s="102"/>
      <c r="CE19" s="102"/>
      <c r="CF19" s="102"/>
      <c r="CG19" s="102"/>
      <c r="CH19" s="102"/>
      <c r="CI19" s="102"/>
      <c r="CJ19" s="102"/>
      <c r="CK19" s="102"/>
      <c r="CL19" s="102"/>
      <c r="CM19" s="126">
        <f>'Crops; pasture AMORTIZED'!L30</f>
        <v>2.4038660797917761</v>
      </c>
      <c r="CW19" s="49"/>
      <c r="DP19" s="126">
        <f>'Crops; pasture AMORTIZED'!CZ30</f>
        <v>1.18930352631309</v>
      </c>
      <c r="DQ19" s="126">
        <f>'Crops; pasture AMORTIZED'!DL30</f>
        <v>0.87905418352970455</v>
      </c>
      <c r="DZ19" s="126">
        <f>'Crops; pasture AMORTIZED'!DX30</f>
        <v>1.7505547328292934</v>
      </c>
      <c r="ED19" s="334">
        <f>'Crops; pasture AMORTIZED'!EK30</f>
        <v>0.21942928680637677</v>
      </c>
      <c r="EE19" s="334"/>
      <c r="EJ19" s="264">
        <f t="shared" si="1"/>
        <v>0.26957596724138616</v>
      </c>
      <c r="EK19" s="334">
        <f>'Crops; pasture AMORTIZED'!FY30</f>
        <v>0.23103510096551721</v>
      </c>
      <c r="EL19" s="334">
        <f>'Crops; pasture AMORTIZED'!FW30</f>
        <v>3.8540866275868967E-2</v>
      </c>
      <c r="EM19" s="334">
        <f>'Crops; pasture AMORTIZED'!GA30</f>
        <v>0</v>
      </c>
      <c r="EN19" s="60"/>
      <c r="EO19" s="60"/>
      <c r="EP19" s="60"/>
      <c r="EQ19" s="60"/>
      <c r="ER19" s="60"/>
      <c r="ES19" s="60"/>
      <c r="ET19" s="60"/>
      <c r="EU19" s="60"/>
      <c r="EV19" s="60"/>
      <c r="EW19" s="60"/>
      <c r="EX19" s="60"/>
      <c r="EY19" s="60"/>
      <c r="EZ19" s="60"/>
      <c r="FA19" s="60"/>
      <c r="FB19" s="60"/>
      <c r="FC19" s="60"/>
      <c r="FD19" s="60"/>
      <c r="FE19" s="60"/>
      <c r="FF19" s="60"/>
      <c r="FG19" s="60"/>
      <c r="FH19" s="60"/>
      <c r="FI19" s="60"/>
      <c r="FJ19" s="60"/>
      <c r="FK19" s="60"/>
      <c r="FL19" s="60"/>
      <c r="FM19" s="60"/>
      <c r="FN19" s="60"/>
      <c r="FO19" s="60"/>
      <c r="FP19" s="60"/>
      <c r="FQ19" s="60"/>
      <c r="FR19" s="60"/>
      <c r="FS19" s="60"/>
      <c r="FT19" s="60"/>
      <c r="FU19" s="60"/>
      <c r="FV19" s="60"/>
      <c r="FW19" s="60"/>
      <c r="FX19" s="60"/>
      <c r="FY19" s="60"/>
      <c r="FZ19" s="60"/>
      <c r="GA19" s="60"/>
      <c r="GB19" s="60"/>
      <c r="GC19" s="60"/>
      <c r="GD19" s="60"/>
      <c r="GE19" s="60"/>
      <c r="GF19" s="60"/>
      <c r="GG19" s="631">
        <f>'Crops; pasture AMORTIZED'!HB30</f>
        <v>0.28999999999999998</v>
      </c>
      <c r="GH19" s="41">
        <f>'Crops; pasture AMORTIZED'!HC30</f>
        <v>5.0169999999999995</v>
      </c>
      <c r="GI19" s="41">
        <f>'Crops; pasture AMORTIZED'!HD30</f>
        <v>17.3</v>
      </c>
      <c r="GJ19" s="41">
        <f>'Crops; pasture AMORTIZED'!HE30</f>
        <v>3.9149999999999996</v>
      </c>
      <c r="GK19" s="41">
        <f>'Crops; pasture AMORTIZED'!HF30</f>
        <v>13.5</v>
      </c>
      <c r="GL19" s="631">
        <f>'Crops; pasture AMORTIZED'!HG30</f>
        <v>1.4499999999999999E-2</v>
      </c>
      <c r="GM19" s="631">
        <f>'Crops; pasture AMORTIZED'!HH30</f>
        <v>0.05</v>
      </c>
      <c r="KD19" s="97"/>
      <c r="KE19" s="97"/>
      <c r="KF19" s="97"/>
      <c r="KG19" s="97"/>
      <c r="KH19" s="97"/>
      <c r="KI19" s="97"/>
    </row>
    <row r="20" spans="1:295" s="4" customFormat="1" x14ac:dyDescent="0.25">
      <c r="A20" s="14"/>
      <c r="B20" s="14"/>
      <c r="C20" s="14"/>
      <c r="D20" s="14"/>
      <c r="E20" s="102"/>
      <c r="F20" s="14"/>
      <c r="G20" s="14"/>
      <c r="H20" s="102"/>
      <c r="I20" s="102"/>
      <c r="J20" s="14"/>
      <c r="K20" s="50"/>
      <c r="L20" s="50"/>
      <c r="M20" s="50"/>
      <c r="N20" s="14"/>
      <c r="O20" s="50"/>
      <c r="P20" s="50"/>
      <c r="Q20" s="50"/>
      <c r="R20" s="14"/>
      <c r="S20" s="50"/>
      <c r="T20" s="50"/>
      <c r="U20" s="14"/>
      <c r="V20" s="50"/>
      <c r="W20" s="50"/>
      <c r="X20" s="14"/>
      <c r="Y20" s="50"/>
      <c r="Z20" s="14"/>
      <c r="AA20" s="14"/>
      <c r="AB20" s="50"/>
      <c r="AC20" s="50"/>
      <c r="AD20" s="50"/>
      <c r="AE20" s="50"/>
      <c r="AF20" s="50"/>
      <c r="AG20" s="50"/>
      <c r="AH20" s="50"/>
      <c r="AI20" s="14"/>
      <c r="AJ20" s="50"/>
      <c r="AK20" s="50"/>
      <c r="AL20" s="50"/>
      <c r="AM20" s="50"/>
      <c r="AN20" s="50"/>
      <c r="AO20" s="575"/>
      <c r="AP20" s="50"/>
      <c r="AQ20" s="50"/>
      <c r="AR20" s="50"/>
      <c r="AS20" s="50"/>
      <c r="AT20" s="14"/>
      <c r="AU20" s="14"/>
      <c r="AV20" s="14"/>
      <c r="AW20" s="14"/>
      <c r="AX20" s="102"/>
      <c r="AY20" s="14"/>
      <c r="AZ20" s="14"/>
      <c r="BA20" s="14"/>
      <c r="BB20" s="14"/>
      <c r="BC20" s="102"/>
      <c r="BD20" s="102"/>
      <c r="BE20" s="102"/>
      <c r="BF20" s="102"/>
      <c r="BG20" s="102"/>
      <c r="BH20" s="102"/>
      <c r="BI20" s="102"/>
      <c r="BJ20" s="102"/>
      <c r="BK20" s="102"/>
      <c r="BL20" s="102"/>
      <c r="BM20" s="102"/>
      <c r="BN20" s="102"/>
      <c r="BO20" s="102"/>
      <c r="BP20" s="102"/>
      <c r="BQ20" s="102"/>
      <c r="BR20" s="102"/>
      <c r="BS20" s="102"/>
      <c r="BT20" s="102"/>
      <c r="BU20" s="102"/>
      <c r="BV20" s="102"/>
      <c r="BW20" s="102"/>
      <c r="BX20" s="102"/>
      <c r="BY20" s="102"/>
      <c r="BZ20" s="102"/>
      <c r="CA20" s="102"/>
      <c r="CB20" s="102"/>
      <c r="CC20" s="102"/>
      <c r="CD20" s="102"/>
      <c r="CE20" s="102"/>
      <c r="CF20" s="102"/>
      <c r="CG20" s="102"/>
      <c r="CH20" s="102"/>
      <c r="CI20" s="102"/>
      <c r="CJ20" s="102"/>
      <c r="CK20" s="102"/>
      <c r="CL20" s="102"/>
      <c r="CM20" s="97"/>
      <c r="CW20" s="49"/>
      <c r="DP20" s="97"/>
      <c r="DQ20" s="97"/>
      <c r="DZ20" s="97"/>
      <c r="ED20" s="522"/>
      <c r="EE20" s="522"/>
      <c r="EK20" s="522"/>
      <c r="EL20" s="522"/>
      <c r="EM20" s="522"/>
      <c r="EN20" s="60"/>
      <c r="EO20" s="60"/>
      <c r="EP20" s="60"/>
      <c r="EQ20" s="60"/>
      <c r="ER20" s="60"/>
      <c r="ES20" s="60"/>
      <c r="ET20" s="60"/>
      <c r="EU20" s="60"/>
      <c r="EV20" s="60"/>
      <c r="EW20" s="60"/>
      <c r="EX20" s="60"/>
      <c r="EY20" s="60"/>
      <c r="EZ20" s="60"/>
      <c r="FA20" s="60"/>
      <c r="FB20" s="60"/>
      <c r="FC20" s="60"/>
      <c r="FD20" s="60"/>
      <c r="FE20" s="60"/>
      <c r="FF20" s="60"/>
      <c r="FG20" s="60"/>
      <c r="FH20" s="60"/>
      <c r="FI20" s="60"/>
      <c r="FJ20" s="60"/>
      <c r="FK20" s="60"/>
      <c r="FL20" s="60"/>
      <c r="FM20" s="60"/>
      <c r="FN20" s="60"/>
      <c r="FO20" s="60"/>
      <c r="FP20" s="60"/>
      <c r="FQ20" s="60"/>
      <c r="FR20" s="60"/>
      <c r="FS20" s="60"/>
      <c r="FT20" s="60"/>
      <c r="FU20" s="60"/>
      <c r="FV20" s="60"/>
      <c r="FW20" s="60"/>
      <c r="FX20" s="60"/>
      <c r="FY20" s="60"/>
      <c r="FZ20" s="60"/>
      <c r="GA20" s="60"/>
      <c r="GB20" s="60"/>
      <c r="GC20" s="60"/>
      <c r="GD20" s="60"/>
      <c r="GE20" s="60"/>
      <c r="GF20" s="60"/>
      <c r="KD20" s="97"/>
      <c r="KE20" s="97"/>
      <c r="KF20" s="97"/>
      <c r="KG20" s="97"/>
      <c r="KH20" s="97"/>
      <c r="KI20" s="97"/>
    </row>
    <row r="21" spans="1:295" s="4" customFormat="1" ht="13.8" x14ac:dyDescent="0.3">
      <c r="A21" s="15" t="s">
        <v>97</v>
      </c>
      <c r="B21" s="14"/>
      <c r="C21" s="14"/>
      <c r="D21" s="625">
        <f>'Crops; pasture AMORTIZED'!P37+'Crops; pasture AMORTIZED'!P45</f>
        <v>454.23196300000001</v>
      </c>
      <c r="E21" s="607">
        <f>E22+E23</f>
        <v>43.242707366941609</v>
      </c>
      <c r="F21" s="632">
        <f>F22+F23</f>
        <v>39.315172499999996</v>
      </c>
      <c r="G21" s="633">
        <f>F21/D21</f>
        <v>8.6553073544936771E-2</v>
      </c>
      <c r="H21" s="594"/>
      <c r="I21" s="594"/>
      <c r="J21" s="14"/>
      <c r="K21" s="50"/>
      <c r="L21" s="50"/>
      <c r="M21" s="50"/>
      <c r="N21" s="14"/>
      <c r="O21" s="50"/>
      <c r="P21" s="50"/>
      <c r="Q21" s="50"/>
      <c r="R21" s="14"/>
      <c r="S21" s="50"/>
      <c r="T21" s="50"/>
      <c r="U21" s="14"/>
      <c r="V21" s="50"/>
      <c r="W21" s="50"/>
      <c r="X21" s="14"/>
      <c r="Y21" s="50"/>
      <c r="Z21" s="14"/>
      <c r="AA21" s="14"/>
      <c r="AB21" s="50"/>
      <c r="AC21" s="50"/>
      <c r="AD21" s="50"/>
      <c r="AE21" s="50"/>
      <c r="AF21" s="50"/>
      <c r="AG21" s="50"/>
      <c r="AH21" s="50"/>
      <c r="AI21" s="14"/>
      <c r="AJ21" s="50"/>
      <c r="AK21" s="50"/>
      <c r="AL21" s="50"/>
      <c r="AM21" s="50"/>
      <c r="AN21" s="50"/>
      <c r="AO21" s="575"/>
      <c r="AP21" s="50"/>
      <c r="AQ21" s="50"/>
      <c r="AR21" s="50"/>
      <c r="AS21" s="50"/>
      <c r="AT21" s="14"/>
      <c r="AU21" s="14"/>
      <c r="AV21" s="14"/>
      <c r="AW21" s="14"/>
      <c r="AX21" s="102"/>
      <c r="AY21" s="14"/>
      <c r="AZ21" s="14"/>
      <c r="BA21" s="14"/>
      <c r="BB21" s="14"/>
      <c r="BC21" s="102"/>
      <c r="BD21" s="102"/>
      <c r="BE21" s="102"/>
      <c r="BF21" s="102"/>
      <c r="BG21" s="102"/>
      <c r="BH21" s="102"/>
      <c r="BI21" s="102"/>
      <c r="BJ21" s="102"/>
      <c r="BK21" s="102"/>
      <c r="BL21" s="102"/>
      <c r="BM21" s="102"/>
      <c r="BN21" s="102"/>
      <c r="BO21" s="102"/>
      <c r="BP21" s="102"/>
      <c r="BQ21" s="102"/>
      <c r="BR21" s="102"/>
      <c r="BS21" s="102"/>
      <c r="BT21" s="102"/>
      <c r="BU21" s="102"/>
      <c r="BV21" s="102"/>
      <c r="BW21" s="102"/>
      <c r="BX21" s="102"/>
      <c r="BY21" s="102"/>
      <c r="BZ21" s="102"/>
      <c r="CA21" s="102"/>
      <c r="CB21" s="102"/>
      <c r="CC21" s="102"/>
      <c r="CD21" s="102"/>
      <c r="CE21" s="102"/>
      <c r="CF21" s="102"/>
      <c r="CG21" s="102"/>
      <c r="CH21" s="102"/>
      <c r="CI21" s="102"/>
      <c r="CJ21" s="102"/>
      <c r="CK21" s="102"/>
      <c r="CL21" s="102"/>
      <c r="CM21" s="115"/>
      <c r="CW21" s="49"/>
      <c r="DP21" s="115"/>
      <c r="DQ21" s="115"/>
      <c r="DZ21" s="115"/>
      <c r="ED21" s="127"/>
      <c r="EE21" s="127"/>
      <c r="EK21" s="127"/>
      <c r="EL21" s="127"/>
      <c r="EM21" s="127"/>
      <c r="EN21" s="60"/>
      <c r="EO21" s="60"/>
      <c r="EP21" s="60"/>
      <c r="EQ21" s="60"/>
      <c r="ER21" s="60"/>
      <c r="ES21" s="60"/>
      <c r="ET21" s="60"/>
      <c r="EU21" s="60"/>
      <c r="EV21" s="60"/>
      <c r="EW21" s="60"/>
      <c r="EX21" s="60"/>
      <c r="EY21" s="60"/>
      <c r="EZ21" s="60"/>
      <c r="FA21" s="60"/>
      <c r="FB21" s="60"/>
      <c r="FC21" s="60"/>
      <c r="FD21" s="60"/>
      <c r="FE21" s="60"/>
      <c r="FF21" s="60"/>
      <c r="FG21" s="60"/>
      <c r="FH21" s="60"/>
      <c r="FI21" s="60"/>
      <c r="FJ21" s="60"/>
      <c r="FK21" s="60"/>
      <c r="FL21" s="60"/>
      <c r="FM21" s="60"/>
      <c r="FN21" s="60"/>
      <c r="FO21" s="60"/>
      <c r="FP21" s="60"/>
      <c r="FQ21" s="60"/>
      <c r="FR21" s="60"/>
      <c r="FS21" s="60"/>
      <c r="FT21" s="60"/>
      <c r="FU21" s="60"/>
      <c r="FV21" s="60"/>
      <c r="FW21" s="60"/>
      <c r="FX21" s="60"/>
      <c r="FY21" s="60"/>
      <c r="FZ21" s="60"/>
      <c r="GA21" s="60"/>
      <c r="GB21" s="60"/>
      <c r="GC21" s="60"/>
      <c r="GD21" s="60"/>
      <c r="GE21" s="60"/>
      <c r="GF21" s="60"/>
      <c r="KD21" s="97"/>
      <c r="KE21" s="97"/>
      <c r="KF21" s="97"/>
      <c r="KG21" s="97"/>
      <c r="KH21" s="97"/>
      <c r="KI21" s="97"/>
    </row>
    <row r="22" spans="1:295" s="4" customFormat="1" x14ac:dyDescent="0.25">
      <c r="A22" s="14" t="s">
        <v>106</v>
      </c>
      <c r="B22" s="14"/>
      <c r="C22" s="627">
        <f>D22/(D22+D23)</f>
        <v>0.91829596188296059</v>
      </c>
      <c r="D22" s="628">
        <f>'Crops; pasture AMORTIZED'!P38</f>
        <v>194.63989999999998</v>
      </c>
      <c r="E22" s="630">
        <f>F22/GG22</f>
        <v>39.673586975254963</v>
      </c>
      <c r="F22" s="630">
        <f>BK62</f>
        <v>36.10296414748202</v>
      </c>
      <c r="G22" s="294"/>
      <c r="H22" s="294"/>
      <c r="I22" s="294"/>
      <c r="J22" s="14"/>
      <c r="K22" s="50"/>
      <c r="L22" s="50"/>
      <c r="M22" s="50"/>
      <c r="N22" s="14"/>
      <c r="O22" s="50"/>
      <c r="P22" s="50"/>
      <c r="Q22" s="50"/>
      <c r="R22" s="14"/>
      <c r="S22" s="50"/>
      <c r="T22" s="50"/>
      <c r="U22" s="14"/>
      <c r="V22" s="50"/>
      <c r="W22" s="50"/>
      <c r="X22" s="14"/>
      <c r="Y22" s="50"/>
      <c r="Z22" s="14"/>
      <c r="AA22" s="14"/>
      <c r="AB22" s="50"/>
      <c r="AC22" s="50"/>
      <c r="AD22" s="50"/>
      <c r="AE22" s="50"/>
      <c r="AF22" s="50"/>
      <c r="AG22" s="50"/>
      <c r="AH22" s="50"/>
      <c r="AI22" s="14"/>
      <c r="AJ22" s="50"/>
      <c r="AK22" s="50"/>
      <c r="AL22" s="50"/>
      <c r="AM22" s="50"/>
      <c r="AN22" s="50"/>
      <c r="AO22" s="575"/>
      <c r="AP22" s="50"/>
      <c r="AQ22" s="50"/>
      <c r="AR22" s="50"/>
      <c r="AS22" s="50"/>
      <c r="AT22" s="14"/>
      <c r="AU22" s="14"/>
      <c r="AV22" s="14"/>
      <c r="AW22" s="14"/>
      <c r="AX22" s="102"/>
      <c r="AY22" s="14"/>
      <c r="AZ22" s="14"/>
      <c r="BA22" s="14"/>
      <c r="BB22" s="14"/>
      <c r="BC22" s="102"/>
      <c r="BD22" s="102"/>
      <c r="BE22" s="102"/>
      <c r="BF22" s="102"/>
      <c r="BG22" s="102"/>
      <c r="BH22" s="102"/>
      <c r="BI22" s="102"/>
      <c r="BJ22" s="102"/>
      <c r="BK22" s="102"/>
      <c r="BL22" s="102"/>
      <c r="BM22" s="102"/>
      <c r="BN22" s="102"/>
      <c r="BO22" s="102"/>
      <c r="BP22" s="102"/>
      <c r="BQ22" s="102"/>
      <c r="BR22" s="102"/>
      <c r="BS22" s="102"/>
      <c r="BT22" s="102"/>
      <c r="BU22" s="102"/>
      <c r="BV22" s="102"/>
      <c r="BW22" s="102"/>
      <c r="BX22" s="102"/>
      <c r="BY22" s="102"/>
      <c r="BZ22" s="102"/>
      <c r="CA22" s="102"/>
      <c r="CB22" s="102"/>
      <c r="CC22" s="102"/>
      <c r="CD22" s="102"/>
      <c r="CE22" s="102"/>
      <c r="CF22" s="102"/>
      <c r="CG22" s="102"/>
      <c r="CH22" s="102"/>
      <c r="CI22" s="102"/>
      <c r="CJ22" s="102"/>
      <c r="CK22" s="102"/>
      <c r="CL22" s="102"/>
      <c r="CM22" s="126">
        <f>'Crops; pasture AMORTIZED'!L38</f>
        <v>4.593097304304</v>
      </c>
      <c r="CW22" s="49"/>
      <c r="DP22" s="126">
        <f>'Crops; pasture AMORTIZED'!CZ38</f>
        <v>1.8986484701644974</v>
      </c>
      <c r="DQ22" s="126">
        <f>'Crops; pasture AMORTIZED'!DL38</f>
        <v>1.5990592470041349</v>
      </c>
      <c r="DZ22" s="126">
        <f>'Crops; pasture AMORTIZED'!DX38</f>
        <v>3.1843779204572136</v>
      </c>
      <c r="ED22" s="334">
        <f>'Crops; pasture AMORTIZED'!EK38</f>
        <v>0.18231504820092898</v>
      </c>
      <c r="EE22" s="334"/>
      <c r="EJ22" s="264">
        <f t="shared" ref="EJ22:EJ23" si="2">EK22+EL22+EM22</f>
        <v>0.28655196109890108</v>
      </c>
      <c r="EK22" s="334">
        <f>'Crops; pasture AMORTIZED'!FY38</f>
        <v>0.27545726916483515</v>
      </c>
      <c r="EL22" s="334">
        <f>'Crops; pasture AMORTIZED'!FW38</f>
        <v>1.1094691934065939E-2</v>
      </c>
      <c r="EM22" s="334">
        <f>'Crops; pasture AMORTIZED'!GA38</f>
        <v>0</v>
      </c>
      <c r="EN22" s="123"/>
      <c r="EO22" s="123"/>
      <c r="EP22" s="123"/>
      <c r="EQ22" s="123"/>
      <c r="ER22" s="123"/>
      <c r="ES22" s="123"/>
      <c r="ET22" s="123"/>
      <c r="EU22" s="123"/>
      <c r="EV22" s="123"/>
      <c r="EW22" s="123"/>
      <c r="EX22" s="123"/>
      <c r="EY22" s="123"/>
      <c r="EZ22" s="123"/>
      <c r="FA22" s="123"/>
      <c r="FB22" s="123"/>
      <c r="FC22" s="123"/>
      <c r="FD22" s="123"/>
      <c r="FE22" s="123"/>
      <c r="FF22" s="123"/>
      <c r="FG22" s="123"/>
      <c r="FH22" s="123"/>
      <c r="FI22" s="123"/>
      <c r="FJ22" s="123"/>
      <c r="FK22" s="123"/>
      <c r="FL22" s="123"/>
      <c r="FM22" s="123"/>
      <c r="FN22" s="123"/>
      <c r="FO22" s="123"/>
      <c r="FP22" s="123"/>
      <c r="FQ22" s="123"/>
      <c r="FR22" s="123"/>
      <c r="FS22" s="123"/>
      <c r="FT22" s="123"/>
      <c r="FU22" s="123"/>
      <c r="FV22" s="123"/>
      <c r="FW22" s="123"/>
      <c r="FX22" s="123"/>
      <c r="FY22" s="123"/>
      <c r="FZ22" s="123"/>
      <c r="GA22" s="123"/>
      <c r="GB22" s="123"/>
      <c r="GC22" s="123"/>
      <c r="GD22" s="123"/>
      <c r="GE22" s="123"/>
      <c r="GF22" s="123"/>
      <c r="GG22" s="631">
        <f>'Crops; pasture AMORTIZED'!HB38</f>
        <v>0.91</v>
      </c>
      <c r="GH22" s="41">
        <f>'Crops; pasture AMORTIZED'!HC38</f>
        <v>21.385000000000002</v>
      </c>
      <c r="GI22" s="41">
        <f>'Crops; pasture AMORTIZED'!HD38</f>
        <v>23.5</v>
      </c>
      <c r="GJ22" s="41">
        <f>'Crops; pasture AMORTIZED'!HE38</f>
        <v>17.29</v>
      </c>
      <c r="GK22" s="41">
        <f>'Crops; pasture AMORTIZED'!HF38</f>
        <v>19</v>
      </c>
      <c r="GL22" s="631">
        <f>'Crops; pasture AMORTIZED'!HG38</f>
        <v>0.36400000000000005</v>
      </c>
      <c r="GM22" s="631">
        <f>'Crops; pasture AMORTIZED'!HH38</f>
        <v>0.4</v>
      </c>
      <c r="KD22" s="97"/>
      <c r="KE22" s="97"/>
      <c r="KF22" s="97"/>
      <c r="KG22" s="97"/>
      <c r="KH22" s="97"/>
      <c r="KI22" s="97"/>
    </row>
    <row r="23" spans="1:295" s="4" customFormat="1" x14ac:dyDescent="0.25">
      <c r="A23" s="14" t="s">
        <v>82</v>
      </c>
      <c r="B23" s="14"/>
      <c r="C23" s="627">
        <f>D23/(D22+D23)</f>
        <v>8.1704038117039385E-2</v>
      </c>
      <c r="D23" s="628">
        <f>'Crops; pasture AMORTIZED'!P46</f>
        <v>17.317799999999998</v>
      </c>
      <c r="E23" s="630">
        <f>F23/GG23</f>
        <v>3.569120391686643</v>
      </c>
      <c r="F23" s="630">
        <f>BL62</f>
        <v>3.2122083525179788</v>
      </c>
      <c r="G23" s="294"/>
      <c r="H23" s="294"/>
      <c r="I23" s="294"/>
      <c r="J23" s="14"/>
      <c r="K23" s="50"/>
      <c r="L23" s="50"/>
      <c r="M23" s="50"/>
      <c r="N23" s="14"/>
      <c r="O23" s="50"/>
      <c r="P23" s="50"/>
      <c r="Q23" s="50"/>
      <c r="R23" s="14"/>
      <c r="S23" s="50"/>
      <c r="T23" s="50"/>
      <c r="U23" s="14"/>
      <c r="V23" s="50"/>
      <c r="W23" s="50"/>
      <c r="X23" s="14"/>
      <c r="Y23" s="50"/>
      <c r="Z23" s="14"/>
      <c r="AA23" s="14"/>
      <c r="AB23" s="50"/>
      <c r="AC23" s="50"/>
      <c r="AD23" s="50"/>
      <c r="AE23" s="50"/>
      <c r="AF23" s="50"/>
      <c r="AG23" s="50"/>
      <c r="AH23" s="50"/>
      <c r="AI23" s="14"/>
      <c r="AJ23" s="50"/>
      <c r="AK23" s="50"/>
      <c r="AL23" s="50"/>
      <c r="AM23" s="50"/>
      <c r="AN23" s="50"/>
      <c r="AO23" s="575"/>
      <c r="AP23" s="50"/>
      <c r="AQ23" s="50"/>
      <c r="AR23" s="50"/>
      <c r="AS23" s="50"/>
      <c r="AT23" s="14"/>
      <c r="AU23" s="14"/>
      <c r="AV23" s="14"/>
      <c r="AW23" s="14"/>
      <c r="AX23" s="102"/>
      <c r="AY23" s="14"/>
      <c r="AZ23" s="14"/>
      <c r="BA23" s="14"/>
      <c r="BB23" s="14"/>
      <c r="BC23" s="102"/>
      <c r="BD23" s="102"/>
      <c r="BE23" s="102"/>
      <c r="BF23" s="102"/>
      <c r="BG23" s="102"/>
      <c r="BH23" s="102"/>
      <c r="BI23" s="102"/>
      <c r="BJ23" s="102"/>
      <c r="BK23" s="102"/>
      <c r="BL23" s="102"/>
      <c r="BM23" s="102"/>
      <c r="BN23" s="102"/>
      <c r="BO23" s="102"/>
      <c r="BP23" s="102"/>
      <c r="BQ23" s="102"/>
      <c r="BR23" s="102"/>
      <c r="BS23" s="102"/>
      <c r="BT23" s="102"/>
      <c r="BU23" s="102"/>
      <c r="BV23" s="102"/>
      <c r="BW23" s="102"/>
      <c r="BX23" s="102"/>
      <c r="BY23" s="102"/>
      <c r="BZ23" s="102"/>
      <c r="CA23" s="102"/>
      <c r="CB23" s="102"/>
      <c r="CC23" s="102"/>
      <c r="CD23" s="102"/>
      <c r="CE23" s="102"/>
      <c r="CF23" s="102"/>
      <c r="CG23" s="102"/>
      <c r="CH23" s="102"/>
      <c r="CI23" s="102"/>
      <c r="CJ23" s="102"/>
      <c r="CK23" s="102"/>
      <c r="CL23" s="102"/>
      <c r="CM23" s="126">
        <f>'Crops; pasture AMORTIZED'!L46</f>
        <v>14.897966254374115</v>
      </c>
      <c r="CW23" s="49"/>
      <c r="DP23" s="126">
        <f>'Crops; pasture AMORTIZED'!CZ46</f>
        <v>4.2317287100255196</v>
      </c>
      <c r="DQ23" s="126">
        <f>'Crops; pasture AMORTIZED'!DL46</f>
        <v>4.6555217650051679</v>
      </c>
      <c r="DZ23" s="126">
        <f>'Crops; pasture AMORTIZED'!DX46</f>
        <v>9.2710390465301611</v>
      </c>
      <c r="ED23" s="334">
        <f>'Crops; pasture AMORTIZED'!EK46</f>
        <v>0.61723397088452348</v>
      </c>
      <c r="EE23" s="334"/>
      <c r="EJ23" s="264">
        <f t="shared" si="2"/>
        <v>0.69143348764444446</v>
      </c>
      <c r="EK23" s="334">
        <f>'Crops; pasture AMORTIZED'!FY46</f>
        <v>0.62274170297777776</v>
      </c>
      <c r="EL23" s="334">
        <f>'Crops; pasture AMORTIZED'!FW46</f>
        <v>6.8691784666666658E-2</v>
      </c>
      <c r="EM23" s="334">
        <f>'Crops; pasture AMORTIZED'!GA46</f>
        <v>0</v>
      </c>
      <c r="EN23" s="60"/>
      <c r="EO23" s="60"/>
      <c r="EP23" s="60"/>
      <c r="EQ23" s="60"/>
      <c r="ER23" s="60"/>
      <c r="ES23" s="60"/>
      <c r="ET23" s="60"/>
      <c r="EU23" s="60"/>
      <c r="EV23" s="60"/>
      <c r="EW23" s="60"/>
      <c r="EX23" s="60"/>
      <c r="EY23" s="60"/>
      <c r="EZ23" s="60"/>
      <c r="FA23" s="60"/>
      <c r="FB23" s="60"/>
      <c r="FC23" s="60"/>
      <c r="FD23" s="60"/>
      <c r="FE23" s="60"/>
      <c r="FF23" s="60"/>
      <c r="FG23" s="60"/>
      <c r="FH23" s="60"/>
      <c r="FI23" s="60"/>
      <c r="FJ23" s="60"/>
      <c r="FK23" s="60"/>
      <c r="FL23" s="60"/>
      <c r="FM23" s="60"/>
      <c r="FN23" s="60"/>
      <c r="FO23" s="60"/>
      <c r="FP23" s="60"/>
      <c r="FQ23" s="60"/>
      <c r="FR23" s="60"/>
      <c r="FS23" s="60"/>
      <c r="FT23" s="60"/>
      <c r="FU23" s="60"/>
      <c r="FV23" s="60"/>
      <c r="FW23" s="60"/>
      <c r="FX23" s="60"/>
      <c r="FY23" s="60"/>
      <c r="FZ23" s="60"/>
      <c r="GA23" s="60"/>
      <c r="GB23" s="60"/>
      <c r="GC23" s="60"/>
      <c r="GD23" s="60"/>
      <c r="GE23" s="60"/>
      <c r="GF23" s="60"/>
      <c r="GG23" s="631">
        <f>'Crops; pasture AMORTIZED'!HB46</f>
        <v>0.9</v>
      </c>
      <c r="GH23" s="41">
        <f>'Crops; pasture AMORTIZED'!HC46</f>
        <v>17.100000000000001</v>
      </c>
      <c r="GI23" s="41">
        <f>'Crops; pasture AMORTIZED'!HD46</f>
        <v>19</v>
      </c>
      <c r="GJ23" s="41">
        <f>'Crops; pasture AMORTIZED'!HE46</f>
        <v>13.950000000000001</v>
      </c>
      <c r="GK23" s="41">
        <f>'Crops; pasture AMORTIZED'!HF46</f>
        <v>15.5</v>
      </c>
      <c r="GL23" s="631">
        <f>'Crops; pasture AMORTIZED'!HG46</f>
        <v>0.216</v>
      </c>
      <c r="GM23" s="631">
        <f>'Crops; pasture AMORTIZED'!HH46</f>
        <v>0.24</v>
      </c>
      <c r="KD23" s="97"/>
      <c r="KE23" s="97"/>
      <c r="KF23" s="97"/>
      <c r="KG23" s="97"/>
      <c r="KH23" s="97"/>
      <c r="KI23" s="97"/>
    </row>
    <row r="24" spans="1:295" s="4" customFormat="1" x14ac:dyDescent="0.25">
      <c r="A24" s="14"/>
      <c r="B24" s="14"/>
      <c r="C24" s="14"/>
      <c r="D24" s="14"/>
      <c r="E24" s="14"/>
      <c r="F24" s="14"/>
      <c r="G24" s="14"/>
      <c r="H24" s="102"/>
      <c r="I24" s="102"/>
      <c r="J24" s="14"/>
      <c r="K24" s="50"/>
      <c r="L24" s="50"/>
      <c r="M24" s="50"/>
      <c r="N24" s="14"/>
      <c r="O24" s="50"/>
      <c r="P24" s="50"/>
      <c r="Q24" s="50"/>
      <c r="R24" s="14"/>
      <c r="S24" s="50"/>
      <c r="T24" s="50"/>
      <c r="U24" s="14"/>
      <c r="V24" s="50"/>
      <c r="W24" s="50"/>
      <c r="X24" s="14"/>
      <c r="Y24" s="50"/>
      <c r="Z24" s="14"/>
      <c r="AA24" s="14"/>
      <c r="AB24" s="50"/>
      <c r="AC24" s="50"/>
      <c r="AD24" s="50"/>
      <c r="AE24" s="50"/>
      <c r="AF24" s="50"/>
      <c r="AG24" s="50"/>
      <c r="AH24" s="50"/>
      <c r="AI24" s="14"/>
      <c r="AJ24" s="50"/>
      <c r="AK24" s="50"/>
      <c r="AL24" s="50"/>
      <c r="AM24" s="50"/>
      <c r="AN24" s="50"/>
      <c r="AO24" s="575"/>
      <c r="AP24" s="50"/>
      <c r="AQ24" s="50"/>
      <c r="AR24" s="50"/>
      <c r="AS24" s="50"/>
      <c r="AT24" s="14"/>
      <c r="AU24" s="14"/>
      <c r="AV24" s="14"/>
      <c r="AW24" s="14"/>
      <c r="AX24" s="102"/>
      <c r="AY24" s="14"/>
      <c r="AZ24" s="14"/>
      <c r="BA24" s="14"/>
      <c r="BB24" s="14"/>
      <c r="BC24" s="102"/>
      <c r="BD24" s="102"/>
      <c r="BE24" s="102"/>
      <c r="BF24" s="102"/>
      <c r="BG24" s="102"/>
      <c r="BH24" s="102"/>
      <c r="BI24" s="102"/>
      <c r="BJ24" s="102"/>
      <c r="BK24" s="102"/>
      <c r="BL24" s="102"/>
      <c r="BM24" s="102"/>
      <c r="BN24" s="102"/>
      <c r="BO24" s="102"/>
      <c r="BP24" s="102"/>
      <c r="BQ24" s="102"/>
      <c r="BR24" s="102"/>
      <c r="BS24" s="102"/>
      <c r="BT24" s="102"/>
      <c r="BU24" s="102"/>
      <c r="BV24" s="102"/>
      <c r="BW24" s="102"/>
      <c r="BX24" s="102"/>
      <c r="BY24" s="102"/>
      <c r="BZ24" s="102"/>
      <c r="CA24" s="102"/>
      <c r="CB24" s="102"/>
      <c r="CC24" s="102"/>
      <c r="CD24" s="102"/>
      <c r="CE24" s="102"/>
      <c r="CF24" s="102"/>
      <c r="CG24" s="102"/>
      <c r="CH24" s="102"/>
      <c r="CI24" s="102"/>
      <c r="CJ24" s="102"/>
      <c r="CK24" s="102"/>
      <c r="CL24" s="102"/>
      <c r="CM24" s="97"/>
      <c r="CW24" s="49"/>
      <c r="DP24" s="97"/>
      <c r="DQ24" s="97"/>
      <c r="DZ24" s="97"/>
      <c r="ED24" s="522"/>
      <c r="EE24" s="522"/>
      <c r="EK24" s="522"/>
      <c r="EL24" s="522"/>
      <c r="EM24" s="522"/>
      <c r="EN24" s="60"/>
      <c r="EO24" s="60"/>
      <c r="EP24" s="60"/>
      <c r="EQ24" s="60"/>
      <c r="ER24" s="60"/>
      <c r="ES24" s="60"/>
      <c r="ET24" s="60"/>
      <c r="EU24" s="60"/>
      <c r="EV24" s="60"/>
      <c r="EW24" s="60"/>
      <c r="EX24" s="60"/>
      <c r="EY24" s="60"/>
      <c r="EZ24" s="60"/>
      <c r="FA24" s="60"/>
      <c r="FB24" s="60"/>
      <c r="FC24" s="60"/>
      <c r="FD24" s="60"/>
      <c r="FE24" s="60"/>
      <c r="FF24" s="60"/>
      <c r="FG24" s="60"/>
      <c r="FH24" s="60"/>
      <c r="FI24" s="60"/>
      <c r="FJ24" s="60"/>
      <c r="FK24" s="60"/>
      <c r="FL24" s="60"/>
      <c r="FM24" s="60"/>
      <c r="FN24" s="60"/>
      <c r="FO24" s="60"/>
      <c r="FP24" s="60"/>
      <c r="FQ24" s="60"/>
      <c r="FR24" s="60"/>
      <c r="FS24" s="60"/>
      <c r="FT24" s="60"/>
      <c r="FU24" s="60"/>
      <c r="FV24" s="60"/>
      <c r="FW24" s="60"/>
      <c r="FX24" s="60"/>
      <c r="FY24" s="60"/>
      <c r="FZ24" s="60"/>
      <c r="GA24" s="60"/>
      <c r="GB24" s="60"/>
      <c r="GC24" s="60"/>
      <c r="GD24" s="60"/>
      <c r="GE24" s="60"/>
      <c r="GF24" s="60"/>
      <c r="KD24" s="97"/>
      <c r="KE24" s="97"/>
      <c r="KF24" s="97"/>
      <c r="KG24" s="97"/>
      <c r="KH24" s="97"/>
      <c r="KI24" s="97"/>
    </row>
    <row r="25" spans="1:295" s="4" customFormat="1" ht="13.8" x14ac:dyDescent="0.3">
      <c r="A25" s="15" t="s">
        <v>89</v>
      </c>
      <c r="B25" s="14"/>
      <c r="C25" s="14"/>
      <c r="D25" s="634">
        <f>D26+D27</f>
        <v>431.89402865329515</v>
      </c>
      <c r="E25" s="634"/>
      <c r="F25" s="632">
        <f>F26+F27</f>
        <v>432.00075000000004</v>
      </c>
      <c r="G25" s="635">
        <f>F25/D25</f>
        <v>1.0002471007692273</v>
      </c>
      <c r="H25" s="154"/>
      <c r="I25" s="154"/>
      <c r="J25" s="14"/>
      <c r="K25" s="50"/>
      <c r="L25" s="50"/>
      <c r="M25" s="50"/>
      <c r="N25" s="14"/>
      <c r="O25" s="50"/>
      <c r="P25" s="50"/>
      <c r="Q25" s="50"/>
      <c r="R25" s="14"/>
      <c r="S25" s="50"/>
      <c r="T25" s="50"/>
      <c r="U25" s="14"/>
      <c r="V25" s="50"/>
      <c r="W25" s="50"/>
      <c r="X25" s="14"/>
      <c r="Y25" s="50"/>
      <c r="Z25" s="14"/>
      <c r="AA25" s="14"/>
      <c r="AB25" s="50"/>
      <c r="AC25" s="50"/>
      <c r="AD25" s="50"/>
      <c r="AE25" s="50"/>
      <c r="AF25" s="50"/>
      <c r="AG25" s="50"/>
      <c r="AH25" s="50"/>
      <c r="AI25" s="14"/>
      <c r="AJ25" s="50"/>
      <c r="AK25" s="50"/>
      <c r="AL25" s="50"/>
      <c r="AM25" s="50"/>
      <c r="AN25" s="50"/>
      <c r="AO25" s="575"/>
      <c r="AP25" s="50"/>
      <c r="AQ25" s="50"/>
      <c r="AR25" s="50"/>
      <c r="AS25" s="50"/>
      <c r="AT25" s="14"/>
      <c r="AU25" s="14"/>
      <c r="AV25" s="14"/>
      <c r="AW25" s="14"/>
      <c r="AX25" s="102"/>
      <c r="AY25" s="14"/>
      <c r="AZ25" s="14"/>
      <c r="BA25" s="14"/>
      <c r="BB25" s="14"/>
      <c r="BC25" s="102"/>
      <c r="BD25" s="102"/>
      <c r="BE25" s="102"/>
      <c r="BF25" s="102"/>
      <c r="BG25" s="102"/>
      <c r="BH25" s="102"/>
      <c r="BI25" s="102"/>
      <c r="BJ25" s="102"/>
      <c r="BK25" s="102"/>
      <c r="BL25" s="102"/>
      <c r="BM25" s="102"/>
      <c r="BN25" s="102"/>
      <c r="BO25" s="102"/>
      <c r="BP25" s="102"/>
      <c r="BQ25" s="102"/>
      <c r="BR25" s="102"/>
      <c r="BS25" s="102"/>
      <c r="BT25" s="102"/>
      <c r="BU25" s="102"/>
      <c r="BV25" s="102"/>
      <c r="BW25" s="102"/>
      <c r="BX25" s="102"/>
      <c r="BY25" s="102"/>
      <c r="BZ25" s="102"/>
      <c r="CA25" s="102"/>
      <c r="CB25" s="102"/>
      <c r="CC25" s="102"/>
      <c r="CD25" s="102"/>
      <c r="CE25" s="102"/>
      <c r="CF25" s="102"/>
      <c r="CG25" s="102"/>
      <c r="CH25" s="102"/>
      <c r="CI25" s="102"/>
      <c r="CJ25" s="102"/>
      <c r="CK25" s="102"/>
      <c r="CL25" s="102"/>
      <c r="CM25" s="115"/>
      <c r="CW25" s="49"/>
      <c r="DP25" s="115"/>
      <c r="DQ25" s="115"/>
      <c r="DZ25" s="115"/>
      <c r="ED25" s="127"/>
      <c r="EE25" s="127"/>
      <c r="EK25" s="127"/>
      <c r="EL25" s="127"/>
      <c r="EM25" s="127"/>
      <c r="EN25" s="60"/>
      <c r="EO25" s="60"/>
      <c r="EP25" s="60"/>
      <c r="EQ25" s="60"/>
      <c r="ER25" s="60"/>
      <c r="ES25" s="60"/>
      <c r="ET25" s="60"/>
      <c r="EU25" s="60"/>
      <c r="EV25" s="60"/>
      <c r="EW25" s="60"/>
      <c r="EX25" s="60"/>
      <c r="EY25" s="60"/>
      <c r="EZ25" s="60"/>
      <c r="FA25" s="60"/>
      <c r="FB25" s="60"/>
      <c r="FC25" s="60"/>
      <c r="FD25" s="60"/>
      <c r="FE25" s="60"/>
      <c r="FF25" s="60"/>
      <c r="FG25" s="60"/>
      <c r="FH25" s="60"/>
      <c r="FI25" s="60"/>
      <c r="FJ25" s="60"/>
      <c r="FK25" s="60"/>
      <c r="FL25" s="60"/>
      <c r="FM25" s="60"/>
      <c r="FN25" s="60"/>
      <c r="FO25" s="60"/>
      <c r="FP25" s="60"/>
      <c r="FQ25" s="60"/>
      <c r="FR25" s="60"/>
      <c r="FS25" s="60"/>
      <c r="FT25" s="60"/>
      <c r="FU25" s="60"/>
      <c r="FV25" s="60"/>
      <c r="FW25" s="60"/>
      <c r="FX25" s="60"/>
      <c r="FY25" s="60"/>
      <c r="FZ25" s="60"/>
      <c r="GA25" s="60"/>
      <c r="GB25" s="60"/>
      <c r="GC25" s="60"/>
      <c r="GD25" s="60"/>
      <c r="GE25" s="60"/>
      <c r="GF25" s="60"/>
      <c r="KD25" s="97"/>
      <c r="KE25" s="97"/>
      <c r="KF25" s="97"/>
      <c r="KG25" s="97"/>
      <c r="KH25" s="97"/>
      <c r="KI25" s="97"/>
    </row>
    <row r="26" spans="1:295" s="4" customFormat="1" x14ac:dyDescent="0.25">
      <c r="A26" s="14" t="s">
        <v>95</v>
      </c>
      <c r="B26" s="128">
        <v>0.8</v>
      </c>
      <c r="C26" s="627"/>
      <c r="D26" s="628">
        <f>B26*'Crops; pasture AMORTIZED'!P62</f>
        <v>344.54400000000004</v>
      </c>
      <c r="E26" s="630"/>
      <c r="F26" s="630">
        <f>BN62</f>
        <v>344.8098</v>
      </c>
      <c r="G26" s="154">
        <f t="shared" ref="G26:G27" si="3">F26/D26</f>
        <v>1.0007714544441346</v>
      </c>
      <c r="H26" s="154"/>
      <c r="I26" s="154"/>
      <c r="J26" s="14"/>
      <c r="K26" s="50"/>
      <c r="L26" s="50"/>
      <c r="M26" s="50"/>
      <c r="N26" s="14"/>
      <c r="O26" s="50"/>
      <c r="P26" s="50"/>
      <c r="Q26" s="50"/>
      <c r="R26" s="14"/>
      <c r="S26" s="50"/>
      <c r="T26" s="50"/>
      <c r="U26" s="14"/>
      <c r="V26" s="50"/>
      <c r="W26" s="50"/>
      <c r="X26" s="14"/>
      <c r="Y26" s="50"/>
      <c r="Z26" s="14"/>
      <c r="AA26" s="14"/>
      <c r="AB26" s="50"/>
      <c r="AC26" s="50"/>
      <c r="AD26" s="50"/>
      <c r="AE26" s="50"/>
      <c r="AF26" s="50"/>
      <c r="AG26" s="50"/>
      <c r="AH26" s="50"/>
      <c r="AI26" s="14"/>
      <c r="AJ26" s="50"/>
      <c r="AK26" s="50"/>
      <c r="AL26" s="50"/>
      <c r="AM26" s="50"/>
      <c r="AN26" s="50"/>
      <c r="AO26" s="575"/>
      <c r="AP26" s="50"/>
      <c r="AQ26" s="50"/>
      <c r="AR26" s="50"/>
      <c r="AS26" s="50"/>
      <c r="AT26" s="14"/>
      <c r="AU26" s="14"/>
      <c r="AV26" s="14"/>
      <c r="AW26" s="14"/>
      <c r="AX26" s="102"/>
      <c r="AY26" s="14"/>
      <c r="AZ26" s="14"/>
      <c r="BA26" s="14"/>
      <c r="BB26" s="14"/>
      <c r="BC26" s="102"/>
      <c r="BD26" s="102"/>
      <c r="BE26" s="102"/>
      <c r="BF26" s="102"/>
      <c r="BG26" s="102"/>
      <c r="BH26" s="102"/>
      <c r="BI26" s="102"/>
      <c r="BJ26" s="102"/>
      <c r="BK26" s="102"/>
      <c r="BL26" s="102"/>
      <c r="BM26" s="102"/>
      <c r="BN26" s="102"/>
      <c r="BO26" s="102"/>
      <c r="BP26" s="102"/>
      <c r="BQ26" s="102"/>
      <c r="BR26" s="102"/>
      <c r="BS26" s="102"/>
      <c r="BT26" s="102"/>
      <c r="BU26" s="102"/>
      <c r="BV26" s="102"/>
      <c r="BW26" s="102"/>
      <c r="BX26" s="102"/>
      <c r="BY26" s="102"/>
      <c r="BZ26" s="102"/>
      <c r="CA26" s="102"/>
      <c r="CB26" s="102"/>
      <c r="CC26" s="102"/>
      <c r="CD26" s="102"/>
      <c r="CE26" s="102"/>
      <c r="CF26" s="102"/>
      <c r="CG26" s="102"/>
      <c r="CH26" s="102"/>
      <c r="CI26" s="102"/>
      <c r="CJ26" s="102"/>
      <c r="CK26" s="102"/>
      <c r="CL26" s="102"/>
      <c r="CM26" s="126">
        <f>'Crops; pasture AMORTIZED'!L62</f>
        <v>2.4310392867093897</v>
      </c>
      <c r="CW26" s="49"/>
      <c r="DP26" s="126">
        <f>'Crops; pasture AMORTIZED'!CZ62/$B26</f>
        <v>0.62011527673269651</v>
      </c>
      <c r="DQ26" s="126">
        <f>'Crops; pasture AMORTIZED'!DL62/$B26</f>
        <v>0.79095227559157599</v>
      </c>
      <c r="DR26" s="14"/>
      <c r="DS26" s="14"/>
      <c r="DU26" s="14"/>
      <c r="DW26" s="14"/>
      <c r="DZ26" s="126">
        <f>'Crops; pasture AMORTIZED'!DX62/$B26</f>
        <v>1.5751079687935357</v>
      </c>
      <c r="ED26" s="334">
        <f>'Crops; pasture AMORTIZED'!EK62/$B26</f>
        <v>0.26164939826901645</v>
      </c>
      <c r="EE26" s="334"/>
      <c r="EJ26" s="264">
        <f t="shared" ref="EJ26:EJ27" si="4">EK26+EL26+EM26</f>
        <v>0.32798364957386361</v>
      </c>
      <c r="EK26" s="334">
        <f>'Crops; pasture AMORTIZED'!FY62/$B26</f>
        <v>0.17573525196022724</v>
      </c>
      <c r="EL26" s="334">
        <f>'Crops; pasture AMORTIZED'!FW62/$B26</f>
        <v>0.15224839761363637</v>
      </c>
      <c r="EM26" s="334">
        <f>'Crops; pasture AMORTIZED'!GA62/$B26</f>
        <v>0</v>
      </c>
      <c r="EN26" s="60"/>
      <c r="EO26" s="60"/>
      <c r="EP26" s="60"/>
      <c r="EQ26" s="60"/>
      <c r="ER26" s="60"/>
      <c r="ES26" s="60"/>
      <c r="ET26" s="60"/>
      <c r="EU26" s="60"/>
      <c r="EV26" s="60"/>
      <c r="EW26" s="60"/>
      <c r="EX26" s="60"/>
      <c r="EY26" s="60"/>
      <c r="EZ26" s="60"/>
      <c r="FA26" s="60"/>
      <c r="FB26" s="60"/>
      <c r="FC26" s="60"/>
      <c r="FD26" s="60"/>
      <c r="FE26" s="60"/>
      <c r="FF26" s="60"/>
      <c r="FG26" s="60"/>
      <c r="FH26" s="60"/>
      <c r="FI26" s="60"/>
      <c r="FJ26" s="60"/>
      <c r="FK26" s="60"/>
      <c r="FL26" s="60"/>
      <c r="FM26" s="60"/>
      <c r="FN26" s="60"/>
      <c r="FO26" s="60"/>
      <c r="FP26" s="60"/>
      <c r="FQ26" s="60"/>
      <c r="FR26" s="60"/>
      <c r="FS26" s="60"/>
      <c r="FT26" s="60"/>
      <c r="FU26" s="60"/>
      <c r="FV26" s="60"/>
      <c r="FW26" s="60"/>
      <c r="FX26" s="60"/>
      <c r="FY26" s="60"/>
      <c r="FZ26" s="60"/>
      <c r="GA26" s="60"/>
      <c r="GB26" s="60"/>
      <c r="GC26" s="60"/>
      <c r="GD26" s="60"/>
      <c r="GE26" s="60"/>
      <c r="GF26" s="60"/>
      <c r="GG26" s="631">
        <f>'Crops; pasture AMORTIZED'!HB62</f>
        <v>0.25</v>
      </c>
      <c r="GH26" s="41">
        <f>'Crops; pasture AMORTIZED'!HC62</f>
        <v>4.5</v>
      </c>
      <c r="GI26" s="41">
        <f>'Crops; pasture AMORTIZED'!HD62</f>
        <v>18</v>
      </c>
      <c r="GJ26" s="41"/>
      <c r="GK26" s="41"/>
      <c r="GL26" s="631">
        <f>'Crops; pasture AMORTIZED'!HG62</f>
        <v>0</v>
      </c>
      <c r="GM26" s="631">
        <f>'Crops; pasture AMORTIZED'!HH62</f>
        <v>0.125</v>
      </c>
      <c r="KD26" s="97"/>
      <c r="KE26" s="97"/>
      <c r="KF26" s="97"/>
      <c r="KG26" s="97"/>
      <c r="KH26" s="97"/>
      <c r="KI26" s="97"/>
    </row>
    <row r="27" spans="1:295" s="4" customFormat="1" x14ac:dyDescent="0.25">
      <c r="A27" s="14" t="s">
        <v>94</v>
      </c>
      <c r="B27" s="128">
        <v>0.9</v>
      </c>
      <c r="C27" s="627"/>
      <c r="D27" s="628">
        <f>B27*'Crops; pasture AMORTIZED'!P63</f>
        <v>87.350028653295126</v>
      </c>
      <c r="E27" s="630"/>
      <c r="F27" s="630">
        <f>BO62</f>
        <v>87.190950000000015</v>
      </c>
      <c r="G27" s="154">
        <f t="shared" si="3"/>
        <v>0.99817883685045461</v>
      </c>
      <c r="H27" s="154"/>
      <c r="I27" s="154"/>
      <c r="J27" s="14"/>
      <c r="K27" s="50"/>
      <c r="L27" s="50"/>
      <c r="M27" s="50"/>
      <c r="N27" s="14"/>
      <c r="O27" s="50"/>
      <c r="P27" s="50"/>
      <c r="Q27" s="50"/>
      <c r="R27" s="14"/>
      <c r="S27" s="50"/>
      <c r="T27" s="50"/>
      <c r="U27" s="14"/>
      <c r="V27" s="50"/>
      <c r="W27" s="50"/>
      <c r="X27" s="14"/>
      <c r="Y27" s="50"/>
      <c r="Z27" s="14"/>
      <c r="AA27" s="14"/>
      <c r="AB27" s="50"/>
      <c r="AC27" s="50"/>
      <c r="AD27" s="50"/>
      <c r="AE27" s="50"/>
      <c r="AF27" s="50"/>
      <c r="AG27" s="50"/>
      <c r="AH27" s="50"/>
      <c r="AI27" s="14"/>
      <c r="AJ27" s="50"/>
      <c r="AK27" s="50"/>
      <c r="AL27" s="50"/>
      <c r="AM27" s="50"/>
      <c r="AN27" s="50"/>
      <c r="AO27" s="575"/>
      <c r="AP27" s="50"/>
      <c r="AQ27" s="50"/>
      <c r="AR27" s="50"/>
      <c r="AS27" s="50"/>
      <c r="AT27" s="14"/>
      <c r="AU27" s="14"/>
      <c r="AV27" s="14"/>
      <c r="AW27" s="14"/>
      <c r="AX27" s="102"/>
      <c r="AY27" s="14"/>
      <c r="AZ27" s="14"/>
      <c r="BA27" s="14"/>
      <c r="BB27" s="14"/>
      <c r="BC27" s="102"/>
      <c r="BD27" s="102"/>
      <c r="BE27" s="102"/>
      <c r="BF27" s="102"/>
      <c r="BG27" s="102"/>
      <c r="BH27" s="102"/>
      <c r="BI27" s="102"/>
      <c r="BJ27" s="102"/>
      <c r="BK27" s="102"/>
      <c r="BL27" s="102"/>
      <c r="BM27" s="102"/>
      <c r="BN27" s="102"/>
      <c r="BO27" s="102"/>
      <c r="BP27" s="102"/>
      <c r="BQ27" s="102"/>
      <c r="BR27" s="102"/>
      <c r="BS27" s="102"/>
      <c r="BT27" s="102"/>
      <c r="BU27" s="102"/>
      <c r="BV27" s="102"/>
      <c r="BW27" s="102"/>
      <c r="BX27" s="102"/>
      <c r="BY27" s="102"/>
      <c r="BZ27" s="102"/>
      <c r="CA27" s="102"/>
      <c r="CB27" s="102"/>
      <c r="CC27" s="102"/>
      <c r="CD27" s="102"/>
      <c r="CE27" s="102"/>
      <c r="CF27" s="102"/>
      <c r="CG27" s="102"/>
      <c r="CH27" s="102"/>
      <c r="CI27" s="102"/>
      <c r="CJ27" s="102"/>
      <c r="CK27" s="102"/>
      <c r="CL27" s="102"/>
      <c r="CM27" s="126">
        <f>'Crops; pasture AMORTIZED'!L63</f>
        <v>1.2364048605944664</v>
      </c>
      <c r="CW27" s="49"/>
      <c r="DP27" s="126">
        <f>'Crops; pasture AMORTIZED'!CZ63/$B27</f>
        <v>0.49443603349559795</v>
      </c>
      <c r="DQ27" s="126">
        <f>'Crops; pasture AMORTIZED'!DL63/$B27</f>
        <v>0.46434392667371205</v>
      </c>
      <c r="DR27" s="14"/>
      <c r="DS27" s="14"/>
      <c r="DU27" s="14"/>
      <c r="DW27" s="14"/>
      <c r="DZ27" s="126">
        <f>'Crops; pasture AMORTIZED'!DX63/$B27</f>
        <v>0.92469778738245123</v>
      </c>
      <c r="ED27" s="334">
        <f>'Crops; pasture AMORTIZED'!EK63/$B27</f>
        <v>8.2479459401361171E-2</v>
      </c>
      <c r="EE27" s="334"/>
      <c r="EJ27" s="264">
        <f t="shared" si="4"/>
        <v>0.29154102184343433</v>
      </c>
      <c r="EK27" s="334">
        <f>'Crops; pasture AMORTIZED'!FY63/$B27</f>
        <v>0.15620911285353534</v>
      </c>
      <c r="EL27" s="334">
        <f>'Crops; pasture AMORTIZED'!FW63/$B27</f>
        <v>0.135331908989899</v>
      </c>
      <c r="EM27" s="334">
        <f>'Crops; pasture AMORTIZED'!GA63/$B27</f>
        <v>0</v>
      </c>
      <c r="EN27" s="60"/>
      <c r="EO27" s="60"/>
      <c r="EP27" s="60"/>
      <c r="EQ27" s="60"/>
      <c r="ER27" s="60"/>
      <c r="ES27" s="60"/>
      <c r="ET27" s="60"/>
      <c r="EU27" s="60"/>
      <c r="EV27" s="60"/>
      <c r="EW27" s="60"/>
      <c r="EX27" s="60"/>
      <c r="EY27" s="60"/>
      <c r="EZ27" s="60"/>
      <c r="FA27" s="60"/>
      <c r="FB27" s="60"/>
      <c r="FC27" s="60"/>
      <c r="FD27" s="60"/>
      <c r="FE27" s="60"/>
      <c r="FF27" s="60"/>
      <c r="FG27" s="60"/>
      <c r="FH27" s="60"/>
      <c r="FI27" s="60"/>
      <c r="FJ27" s="60"/>
      <c r="FK27" s="60"/>
      <c r="FL27" s="60"/>
      <c r="FM27" s="60"/>
      <c r="FN27" s="60"/>
      <c r="FO27" s="60"/>
      <c r="FP27" s="60"/>
      <c r="FQ27" s="60"/>
      <c r="FR27" s="60"/>
      <c r="FS27" s="60"/>
      <c r="FT27" s="60"/>
      <c r="FU27" s="60"/>
      <c r="FV27" s="60"/>
      <c r="FW27" s="60"/>
      <c r="FX27" s="60"/>
      <c r="FY27" s="60"/>
      <c r="FZ27" s="60"/>
      <c r="GA27" s="60"/>
      <c r="GB27" s="60"/>
      <c r="GC27" s="60"/>
      <c r="GD27" s="60"/>
      <c r="GE27" s="60"/>
      <c r="GF27" s="60"/>
      <c r="GG27" s="631">
        <f>'Crops; pasture AMORTIZED'!HB63</f>
        <v>0.25</v>
      </c>
      <c r="GH27" s="41">
        <f>'Crops; pasture AMORTIZED'!HC63</f>
        <v>4.5</v>
      </c>
      <c r="GI27" s="41">
        <f>'Crops; pasture AMORTIZED'!HD63</f>
        <v>18</v>
      </c>
      <c r="GJ27" s="41"/>
      <c r="GK27" s="41"/>
      <c r="GL27" s="631">
        <f>'Crops; pasture AMORTIZED'!HG63</f>
        <v>0</v>
      </c>
      <c r="GM27" s="631">
        <f>'Crops; pasture AMORTIZED'!HH63</f>
        <v>8.5000000000000006E-2</v>
      </c>
      <c r="KD27" s="97"/>
      <c r="KE27" s="97"/>
      <c r="KF27" s="97"/>
      <c r="KG27" s="97"/>
      <c r="KH27" s="97"/>
      <c r="KI27" s="97"/>
    </row>
    <row r="28" spans="1:295" s="4" customFormat="1" x14ac:dyDescent="0.25">
      <c r="A28" s="14"/>
      <c r="B28" s="14"/>
      <c r="C28" s="14"/>
      <c r="D28" s="14"/>
      <c r="E28" s="14"/>
      <c r="F28" s="14"/>
      <c r="G28" s="14"/>
      <c r="H28" s="102"/>
      <c r="I28" s="102"/>
      <c r="J28" s="14"/>
      <c r="K28" s="50"/>
      <c r="L28" s="50"/>
      <c r="M28" s="50"/>
      <c r="N28" s="14"/>
      <c r="O28" s="50"/>
      <c r="P28" s="50"/>
      <c r="Q28" s="50"/>
      <c r="R28" s="14"/>
      <c r="S28" s="50"/>
      <c r="T28" s="50"/>
      <c r="U28" s="14"/>
      <c r="V28" s="50"/>
      <c r="W28" s="50"/>
      <c r="X28" s="14"/>
      <c r="Y28" s="50"/>
      <c r="Z28" s="14"/>
      <c r="AA28" s="14"/>
      <c r="AB28" s="50"/>
      <c r="AC28" s="50"/>
      <c r="AD28" s="50"/>
      <c r="AE28" s="50"/>
      <c r="AF28" s="50"/>
      <c r="AG28" s="50"/>
      <c r="AH28" s="50"/>
      <c r="AI28" s="14"/>
      <c r="AJ28" s="50"/>
      <c r="AK28" s="50"/>
      <c r="AL28" s="50"/>
      <c r="AM28" s="50"/>
      <c r="AN28" s="50"/>
      <c r="AO28" s="575"/>
      <c r="AP28" s="50"/>
      <c r="AQ28" s="50"/>
      <c r="AR28" s="50"/>
      <c r="AS28" s="50"/>
      <c r="AT28" s="14"/>
      <c r="AU28" s="14"/>
      <c r="AV28" s="14"/>
      <c r="AW28" s="14"/>
      <c r="AX28" s="102"/>
      <c r="AY28" s="14"/>
      <c r="AZ28" s="14"/>
      <c r="BA28" s="14"/>
      <c r="BB28" s="14"/>
      <c r="BC28" s="102"/>
      <c r="BD28" s="102"/>
      <c r="BE28" s="102"/>
      <c r="BF28" s="102"/>
      <c r="BG28" s="102"/>
      <c r="BH28" s="102"/>
      <c r="BI28" s="102"/>
      <c r="BJ28" s="102"/>
      <c r="BK28" s="102"/>
      <c r="BL28" s="102"/>
      <c r="BM28" s="102"/>
      <c r="BN28" s="102"/>
      <c r="BO28" s="102"/>
      <c r="BP28" s="102"/>
      <c r="BQ28" s="102"/>
      <c r="BR28" s="102"/>
      <c r="BS28" s="102"/>
      <c r="BT28" s="102"/>
      <c r="BU28" s="102"/>
      <c r="BV28" s="102"/>
      <c r="BW28" s="102"/>
      <c r="BX28" s="102"/>
      <c r="BY28" s="102"/>
      <c r="BZ28" s="102"/>
      <c r="CA28" s="102"/>
      <c r="CB28" s="102"/>
      <c r="CC28" s="102"/>
      <c r="CD28" s="102"/>
      <c r="CE28" s="102"/>
      <c r="CF28" s="102"/>
      <c r="CG28" s="102"/>
      <c r="CH28" s="102"/>
      <c r="CI28" s="102"/>
      <c r="CJ28" s="102"/>
      <c r="CK28" s="102"/>
      <c r="CL28" s="102"/>
      <c r="CM28" s="97"/>
      <c r="CW28" s="49"/>
      <c r="DP28" s="97"/>
      <c r="DQ28" s="97"/>
      <c r="DZ28" s="97"/>
      <c r="ED28" s="522"/>
      <c r="EE28" s="522"/>
      <c r="EK28" s="522"/>
      <c r="EL28" s="522"/>
      <c r="EM28" s="522"/>
      <c r="EN28" s="60"/>
      <c r="EO28" s="60"/>
      <c r="EP28" s="60"/>
      <c r="EQ28" s="60"/>
      <c r="ER28" s="60"/>
      <c r="ES28" s="60"/>
      <c r="ET28" s="60"/>
      <c r="EU28" s="60"/>
      <c r="EV28" s="60"/>
      <c r="EW28" s="60"/>
      <c r="EX28" s="60"/>
      <c r="EY28" s="60"/>
      <c r="EZ28" s="60"/>
      <c r="FA28" s="60"/>
      <c r="FB28" s="60"/>
      <c r="FC28" s="60"/>
      <c r="FD28" s="60"/>
      <c r="FE28" s="60"/>
      <c r="FF28" s="60"/>
      <c r="FG28" s="60"/>
      <c r="FH28" s="60"/>
      <c r="FI28" s="60"/>
      <c r="FJ28" s="60"/>
      <c r="FK28" s="60"/>
      <c r="FL28" s="60"/>
      <c r="FM28" s="60"/>
      <c r="FN28" s="60"/>
      <c r="FO28" s="60"/>
      <c r="FP28" s="60"/>
      <c r="FQ28" s="60"/>
      <c r="FR28" s="60"/>
      <c r="FS28" s="60"/>
      <c r="FT28" s="60"/>
      <c r="FU28" s="60"/>
      <c r="FV28" s="60"/>
      <c r="FW28" s="60"/>
      <c r="FX28" s="60"/>
      <c r="FY28" s="60"/>
      <c r="FZ28" s="60"/>
      <c r="GA28" s="60"/>
      <c r="GB28" s="60"/>
      <c r="GC28" s="60"/>
      <c r="GD28" s="60"/>
      <c r="GE28" s="60"/>
      <c r="GF28" s="60"/>
      <c r="KD28" s="97"/>
      <c r="KE28" s="97"/>
      <c r="KF28" s="97"/>
      <c r="KG28" s="97"/>
      <c r="KH28" s="97"/>
      <c r="KI28" s="97"/>
    </row>
    <row r="29" spans="1:295" s="4" customFormat="1" ht="13.8" x14ac:dyDescent="0.3">
      <c r="A29" s="15" t="s">
        <v>63</v>
      </c>
      <c r="B29" s="14"/>
      <c r="C29" s="14"/>
      <c r="D29" s="636">
        <f>'Crops; pasture AMORTIZED'!S73</f>
        <v>2282.3344640923524</v>
      </c>
      <c r="E29" s="50"/>
      <c r="F29" s="632">
        <f>F30</f>
        <v>2282.5105000000003</v>
      </c>
      <c r="G29" s="635">
        <f>F29/D29</f>
        <v>1.0000771297592081</v>
      </c>
      <c r="H29" s="154"/>
      <c r="I29" s="154"/>
      <c r="J29" s="14"/>
      <c r="K29" s="50"/>
      <c r="L29" s="50"/>
      <c r="M29" s="50"/>
      <c r="N29" s="14"/>
      <c r="O29" s="50"/>
      <c r="P29" s="50"/>
      <c r="Q29" s="50"/>
      <c r="R29" s="14"/>
      <c r="S29" s="50"/>
      <c r="T29" s="50"/>
      <c r="U29" s="14"/>
      <c r="V29" s="50"/>
      <c r="W29" s="50"/>
      <c r="X29" s="14"/>
      <c r="Y29" s="50"/>
      <c r="Z29" s="14"/>
      <c r="AA29" s="14"/>
      <c r="AB29" s="50"/>
      <c r="AC29" s="50"/>
      <c r="AD29" s="50"/>
      <c r="AE29" s="50"/>
      <c r="AF29" s="50"/>
      <c r="AG29" s="50"/>
      <c r="AH29" s="50"/>
      <c r="AI29" s="14"/>
      <c r="AJ29" s="50"/>
      <c r="AK29" s="50"/>
      <c r="AL29" s="50"/>
      <c r="AM29" s="50"/>
      <c r="AN29" s="50"/>
      <c r="AO29" s="575"/>
      <c r="AP29" s="50"/>
      <c r="AQ29" s="50"/>
      <c r="AR29" s="50"/>
      <c r="AS29" s="50"/>
      <c r="AT29" s="14"/>
      <c r="AU29" s="14"/>
      <c r="AV29" s="14"/>
      <c r="AW29" s="14"/>
      <c r="AX29" s="102"/>
      <c r="AY29" s="14"/>
      <c r="AZ29" s="14"/>
      <c r="BA29" s="14"/>
      <c r="BB29" s="14"/>
      <c r="BC29" s="102"/>
      <c r="BD29" s="102"/>
      <c r="BE29" s="102"/>
      <c r="BF29" s="102"/>
      <c r="BG29" s="102"/>
      <c r="BH29" s="102"/>
      <c r="BI29" s="102"/>
      <c r="BJ29" s="102"/>
      <c r="BK29" s="102"/>
      <c r="BL29" s="102"/>
      <c r="BM29" s="102"/>
      <c r="BN29" s="102"/>
      <c r="BO29" s="102"/>
      <c r="BP29" s="102"/>
      <c r="BQ29" s="102"/>
      <c r="BR29" s="102"/>
      <c r="BS29" s="102"/>
      <c r="BT29" s="102"/>
      <c r="BU29" s="102"/>
      <c r="BV29" s="102"/>
      <c r="BW29" s="102"/>
      <c r="BX29" s="102"/>
      <c r="BY29" s="102"/>
      <c r="BZ29" s="102"/>
      <c r="CA29" s="102"/>
      <c r="CB29" s="102"/>
      <c r="CC29" s="102"/>
      <c r="CD29" s="102"/>
      <c r="CE29" s="102"/>
      <c r="CF29" s="102"/>
      <c r="CG29" s="102"/>
      <c r="CH29" s="102"/>
      <c r="CI29" s="102"/>
      <c r="CJ29" s="102"/>
      <c r="CK29" s="102"/>
      <c r="CL29" s="102"/>
      <c r="CM29" s="115"/>
      <c r="CW29" s="49"/>
      <c r="DP29" s="115"/>
      <c r="DQ29" s="115"/>
      <c r="DZ29" s="115"/>
      <c r="ED29" s="127"/>
      <c r="EE29" s="127"/>
      <c r="EK29" s="127"/>
      <c r="EL29" s="127"/>
      <c r="EM29" s="127"/>
      <c r="EN29" s="60"/>
      <c r="EO29" s="60"/>
      <c r="EP29" s="60"/>
      <c r="EQ29" s="60"/>
      <c r="ER29" s="60"/>
      <c r="ES29" s="60"/>
      <c r="ET29" s="60"/>
      <c r="EU29" s="60"/>
      <c r="EV29" s="60"/>
      <c r="EW29" s="60"/>
      <c r="EX29" s="60"/>
      <c r="EY29" s="60"/>
      <c r="EZ29" s="60"/>
      <c r="FA29" s="60"/>
      <c r="FB29" s="60"/>
      <c r="FC29" s="60"/>
      <c r="FD29" s="60"/>
      <c r="FE29" s="60"/>
      <c r="FF29" s="60"/>
      <c r="FG29" s="60"/>
      <c r="FH29" s="60"/>
      <c r="FI29" s="60"/>
      <c r="FJ29" s="60"/>
      <c r="FK29" s="60"/>
      <c r="FL29" s="60"/>
      <c r="FM29" s="60"/>
      <c r="FN29" s="60"/>
      <c r="FO29" s="60"/>
      <c r="FP29" s="60"/>
      <c r="FQ29" s="60"/>
      <c r="FR29" s="60"/>
      <c r="FS29" s="60"/>
      <c r="FT29" s="60"/>
      <c r="FU29" s="60"/>
      <c r="FV29" s="60"/>
      <c r="FW29" s="60"/>
      <c r="FX29" s="60"/>
      <c r="FY29" s="60"/>
      <c r="FZ29" s="60"/>
      <c r="GA29" s="60"/>
      <c r="GB29" s="60"/>
      <c r="GC29" s="60"/>
      <c r="GD29" s="60"/>
      <c r="GE29" s="60"/>
      <c r="GF29" s="60"/>
      <c r="KD29" s="97"/>
      <c r="KE29" s="97"/>
      <c r="KF29" s="97"/>
      <c r="KG29" s="97"/>
      <c r="KH29" s="97"/>
      <c r="KI29" s="97"/>
    </row>
    <row r="30" spans="1:295" s="4" customFormat="1" x14ac:dyDescent="0.25">
      <c r="A30" s="14" t="s">
        <v>492</v>
      </c>
      <c r="B30" s="14" t="s">
        <v>344</v>
      </c>
      <c r="C30" s="14"/>
      <c r="D30" s="637">
        <f>'Crops; pasture AMORTIZED'!S75</f>
        <v>2282.3344640923524</v>
      </c>
      <c r="E30" s="630"/>
      <c r="F30" s="629">
        <f>BQ62</f>
        <v>2282.5105000000003</v>
      </c>
      <c r="G30" s="102"/>
      <c r="H30" s="102"/>
      <c r="I30" s="102"/>
      <c r="J30" s="14"/>
      <c r="K30" s="50"/>
      <c r="L30" s="50"/>
      <c r="M30" s="50"/>
      <c r="N30" s="14"/>
      <c r="O30" s="50"/>
      <c r="P30" s="50"/>
      <c r="Q30" s="50"/>
      <c r="R30" s="14"/>
      <c r="S30" s="50"/>
      <c r="T30" s="50"/>
      <c r="U30" s="14"/>
      <c r="V30" s="50"/>
      <c r="W30" s="50"/>
      <c r="X30" s="14"/>
      <c r="Y30" s="50"/>
      <c r="Z30" s="14"/>
      <c r="AA30" s="14"/>
      <c r="AB30" s="50"/>
      <c r="AC30" s="50"/>
      <c r="AD30" s="50"/>
      <c r="AE30" s="50"/>
      <c r="AF30" s="50"/>
      <c r="AG30" s="50"/>
      <c r="AH30" s="50"/>
      <c r="AI30" s="14"/>
      <c r="AJ30" s="50"/>
      <c r="AK30" s="50"/>
      <c r="AL30" s="50"/>
      <c r="AM30" s="50"/>
      <c r="AN30" s="50"/>
      <c r="AO30" s="575"/>
      <c r="AP30" s="50"/>
      <c r="AQ30" s="50"/>
      <c r="AR30" s="50"/>
      <c r="AS30" s="50"/>
      <c r="AT30" s="14"/>
      <c r="AU30" s="14"/>
      <c r="AV30" s="14"/>
      <c r="AW30" s="14"/>
      <c r="AX30" s="102"/>
      <c r="AY30" s="14"/>
      <c r="AZ30" s="14"/>
      <c r="BA30" s="14"/>
      <c r="BB30" s="14"/>
      <c r="BC30" s="102"/>
      <c r="BD30" s="102"/>
      <c r="BE30" s="102"/>
      <c r="BF30" s="102"/>
      <c r="BG30" s="102"/>
      <c r="BH30" s="102"/>
      <c r="BI30" s="102"/>
      <c r="BJ30" s="102"/>
      <c r="BK30" s="102"/>
      <c r="BL30" s="102"/>
      <c r="BM30" s="102"/>
      <c r="BN30" s="102"/>
      <c r="BO30" s="102"/>
      <c r="BP30" s="102"/>
      <c r="BQ30" s="102"/>
      <c r="BR30" s="102"/>
      <c r="BS30" s="102"/>
      <c r="BT30" s="102"/>
      <c r="BU30" s="102"/>
      <c r="BV30" s="102"/>
      <c r="BW30" s="102"/>
      <c r="BX30" s="102"/>
      <c r="BY30" s="102"/>
      <c r="BZ30" s="102"/>
      <c r="CA30" s="102"/>
      <c r="CB30" s="102"/>
      <c r="CC30" s="102"/>
      <c r="CD30" s="102"/>
      <c r="CE30" s="102"/>
      <c r="CF30" s="102"/>
      <c r="CG30" s="102"/>
      <c r="CH30" s="102"/>
      <c r="CI30" s="102"/>
      <c r="CJ30" s="102"/>
      <c r="CK30" s="102"/>
      <c r="CL30" s="102"/>
      <c r="CM30" s="126">
        <f>'Crops; pasture AMORTIZED'!L75</f>
        <v>12.406947890818858</v>
      </c>
      <c r="CW30" s="49"/>
      <c r="DP30" s="126">
        <f>'Crops; pasture AMORTIZED'!CZ75</f>
        <v>1.82462000591414</v>
      </c>
      <c r="DQ30" s="126">
        <f>'Crops; pasture AMORTIZED'!DL75</f>
        <v>1.6737585670509614</v>
      </c>
      <c r="DZ30" s="126">
        <f>'Crops; pasture AMORTIZED'!DX75</f>
        <v>3.8036163436233097</v>
      </c>
      <c r="ED30" s="334">
        <f>'Crops; pasture AMORTIZED'!EK75</f>
        <v>0.3636893794044665</v>
      </c>
      <c r="EE30" s="334"/>
      <c r="EJ30" s="264">
        <f>EK30+EL30+EM30</f>
        <v>7.5150688558451223E-2</v>
      </c>
      <c r="EK30" s="334">
        <f>'Crops; pasture AMORTIZED'!FY75</f>
        <v>4.3150688558451222E-2</v>
      </c>
      <c r="EL30" s="334">
        <f>'Crops; pasture AMORTIZED'!FW75</f>
        <v>3.2000000000000001E-2</v>
      </c>
      <c r="EM30" s="334">
        <f>'Crops; pasture AMORTIZED'!GA75</f>
        <v>0</v>
      </c>
      <c r="EN30" s="74"/>
      <c r="EO30" s="74"/>
      <c r="EP30" s="74"/>
      <c r="EQ30" s="74"/>
      <c r="ER30" s="74"/>
      <c r="ES30" s="74"/>
      <c r="ET30" s="74"/>
      <c r="EU30" s="74"/>
      <c r="EV30" s="74"/>
      <c r="EW30" s="74"/>
      <c r="EX30" s="74"/>
      <c r="EY30" s="74"/>
      <c r="EZ30" s="74"/>
      <c r="FA30" s="74"/>
      <c r="FB30" s="74"/>
      <c r="FC30" s="74"/>
      <c r="FD30" s="74"/>
      <c r="FE30" s="74"/>
      <c r="FF30" s="74"/>
      <c r="FG30" s="74"/>
      <c r="FH30" s="74"/>
      <c r="FI30" s="74"/>
      <c r="FJ30" s="74"/>
      <c r="FK30" s="74"/>
      <c r="FL30" s="74"/>
      <c r="FM30" s="74"/>
      <c r="FN30" s="74"/>
      <c r="FO30" s="74"/>
      <c r="FP30" s="74"/>
      <c r="FQ30" s="74"/>
      <c r="FR30" s="74"/>
      <c r="FS30" s="74"/>
      <c r="FT30" s="74"/>
      <c r="FU30" s="74"/>
      <c r="FV30" s="74"/>
      <c r="FW30" s="74"/>
      <c r="FX30" s="74"/>
      <c r="FY30" s="74"/>
      <c r="FZ30" s="74"/>
      <c r="GA30" s="74"/>
      <c r="GB30" s="74"/>
      <c r="GC30" s="74"/>
      <c r="GD30" s="74"/>
      <c r="GE30" s="74"/>
      <c r="GF30" s="74"/>
      <c r="GG30" s="631">
        <f>'Crops; pasture AMORTIZED'!HB75</f>
        <v>0.25</v>
      </c>
      <c r="GH30" s="41">
        <f>'Crops; pasture AMORTIZED'!HC75</f>
        <v>4.5</v>
      </c>
      <c r="GI30" s="41">
        <f>'Crops; pasture AMORTIZED'!HD75</f>
        <v>18</v>
      </c>
      <c r="GJ30" s="41"/>
      <c r="GK30" s="41"/>
      <c r="GL30" s="631">
        <f>'Crops; pasture AMORTIZED'!HG75</f>
        <v>0</v>
      </c>
      <c r="GM30" s="638">
        <f>'Crops; pasture AMORTIZED'!HH75</f>
        <v>8.5000000000000006E-2</v>
      </c>
      <c r="KD30" s="97"/>
      <c r="KE30" s="97"/>
      <c r="KF30" s="97"/>
      <c r="KG30" s="97"/>
      <c r="KH30" s="97"/>
      <c r="KI30" s="97"/>
    </row>
    <row r="31" spans="1:295" s="4" customFormat="1" x14ac:dyDescent="0.25">
      <c r="A31" s="14"/>
      <c r="B31" s="14"/>
      <c r="C31" s="14"/>
      <c r="D31" s="14"/>
      <c r="E31" s="14"/>
      <c r="F31" s="14"/>
      <c r="G31" s="14"/>
      <c r="H31" s="102"/>
      <c r="I31" s="102"/>
      <c r="J31" s="14"/>
      <c r="K31" s="50"/>
      <c r="L31" s="50"/>
      <c r="M31" s="50"/>
      <c r="N31" s="14"/>
      <c r="O31" s="50"/>
      <c r="P31" s="50"/>
      <c r="Q31" s="50"/>
      <c r="R31" s="14"/>
      <c r="S31" s="50"/>
      <c r="T31" s="50"/>
      <c r="U31" s="14"/>
      <c r="V31" s="50"/>
      <c r="W31" s="50"/>
      <c r="X31" s="14"/>
      <c r="Y31" s="50"/>
      <c r="Z31" s="14"/>
      <c r="AA31" s="14"/>
      <c r="AB31" s="50"/>
      <c r="AC31" s="50"/>
      <c r="AD31" s="50"/>
      <c r="AE31" s="50"/>
      <c r="AF31" s="50"/>
      <c r="AG31" s="50"/>
      <c r="AH31" s="50"/>
      <c r="AI31" s="14"/>
      <c r="AJ31" s="50"/>
      <c r="AK31" s="50"/>
      <c r="AL31" s="50"/>
      <c r="AM31" s="50"/>
      <c r="AN31" s="50"/>
      <c r="AO31" s="575"/>
      <c r="AP31" s="50"/>
      <c r="AQ31" s="50"/>
      <c r="AR31" s="50"/>
      <c r="AS31" s="50"/>
      <c r="AT31" s="14"/>
      <c r="AU31" s="14"/>
      <c r="AV31" s="14"/>
      <c r="AW31" s="14"/>
      <c r="AX31" s="102"/>
      <c r="AY31" s="14"/>
      <c r="AZ31" s="14"/>
      <c r="BA31" s="14"/>
      <c r="BB31" s="14"/>
      <c r="BC31" s="102"/>
      <c r="BD31" s="102"/>
      <c r="BE31" s="102"/>
      <c r="BF31" s="102"/>
      <c r="BG31" s="102"/>
      <c r="BH31" s="102"/>
      <c r="BI31" s="102"/>
      <c r="BJ31" s="102"/>
      <c r="BK31" s="102"/>
      <c r="BL31" s="102"/>
      <c r="BM31" s="102"/>
      <c r="BN31" s="102"/>
      <c r="BO31" s="102"/>
      <c r="BP31" s="102"/>
      <c r="BQ31" s="102"/>
      <c r="BR31" s="102"/>
      <c r="BS31" s="102"/>
      <c r="BT31" s="102"/>
      <c r="BU31" s="102"/>
      <c r="BV31" s="102"/>
      <c r="BW31" s="102"/>
      <c r="BX31" s="102"/>
      <c r="BY31" s="102"/>
      <c r="BZ31" s="102"/>
      <c r="CA31" s="102"/>
      <c r="CB31" s="102"/>
      <c r="CC31" s="102"/>
      <c r="CD31" s="102"/>
      <c r="CE31" s="102"/>
      <c r="CF31" s="102"/>
      <c r="CG31" s="102"/>
      <c r="CH31" s="102"/>
      <c r="CI31" s="102"/>
      <c r="CJ31" s="102"/>
      <c r="CK31" s="102"/>
      <c r="CL31" s="102"/>
      <c r="CM31" s="97"/>
      <c r="CW31" s="49"/>
      <c r="DP31" s="97"/>
      <c r="ED31" s="264"/>
      <c r="EN31" s="74"/>
      <c r="EO31" s="74"/>
      <c r="EP31" s="74"/>
      <c r="EQ31" s="74"/>
      <c r="ER31" s="74"/>
      <c r="ES31" s="74"/>
      <c r="ET31" s="74"/>
      <c r="EU31" s="74"/>
      <c r="EV31" s="74"/>
      <c r="EW31" s="74"/>
      <c r="EX31" s="74"/>
      <c r="EY31" s="74"/>
      <c r="EZ31" s="74"/>
      <c r="FA31" s="74"/>
      <c r="FB31" s="74"/>
      <c r="FC31" s="74"/>
      <c r="FD31" s="74"/>
      <c r="FE31" s="74"/>
      <c r="FF31" s="74"/>
      <c r="FG31" s="74"/>
      <c r="FH31" s="74"/>
      <c r="FI31" s="74"/>
      <c r="FJ31" s="74"/>
      <c r="FK31" s="74"/>
      <c r="FL31" s="74"/>
      <c r="FM31" s="74"/>
      <c r="FN31" s="74"/>
      <c r="FO31" s="74"/>
      <c r="FP31" s="74"/>
      <c r="FQ31" s="74"/>
      <c r="FR31" s="74"/>
      <c r="FS31" s="74"/>
      <c r="FT31" s="74"/>
      <c r="FU31" s="74"/>
      <c r="FV31" s="74"/>
      <c r="FW31" s="74"/>
      <c r="FX31" s="74"/>
      <c r="FY31" s="74"/>
      <c r="FZ31" s="74"/>
      <c r="GA31" s="74"/>
      <c r="GB31" s="74"/>
      <c r="GC31" s="74"/>
      <c r="GD31" s="74"/>
      <c r="GE31" s="74"/>
      <c r="GF31" s="74"/>
      <c r="KD31" s="97"/>
      <c r="KE31" s="97"/>
      <c r="KF31" s="97"/>
      <c r="KG31" s="97"/>
      <c r="KH31" s="97"/>
      <c r="KI31" s="97"/>
    </row>
    <row r="32" spans="1:295" s="4" customFormat="1" ht="13.8" x14ac:dyDescent="0.3">
      <c r="A32" s="30" t="s">
        <v>157</v>
      </c>
      <c r="B32" s="14"/>
      <c r="C32" s="14"/>
      <c r="D32" s="14"/>
      <c r="E32" s="102"/>
      <c r="F32" s="14"/>
      <c r="G32" s="14"/>
      <c r="H32" s="102"/>
      <c r="I32" s="102"/>
      <c r="J32" s="14"/>
      <c r="K32" s="50"/>
      <c r="L32" s="50"/>
      <c r="M32" s="50"/>
      <c r="N32" s="14"/>
      <c r="O32" s="50"/>
      <c r="P32" s="50"/>
      <c r="Q32" s="50"/>
      <c r="R32" s="14"/>
      <c r="S32" s="50"/>
      <c r="T32" s="50"/>
      <c r="U32" s="14"/>
      <c r="V32" s="50"/>
      <c r="W32" s="50"/>
      <c r="X32" s="14"/>
      <c r="Y32" s="50"/>
      <c r="Z32" s="14"/>
      <c r="AA32" s="14"/>
      <c r="AB32" s="50"/>
      <c r="AC32" s="50"/>
      <c r="AD32" s="50"/>
      <c r="AE32" s="50"/>
      <c r="AF32" s="50"/>
      <c r="AG32" s="50"/>
      <c r="AH32" s="50"/>
      <c r="AI32" s="14"/>
      <c r="AJ32" s="50"/>
      <c r="AK32" s="50"/>
      <c r="AL32" s="50"/>
      <c r="AM32" s="50"/>
      <c r="AN32" s="50"/>
      <c r="AO32" s="575"/>
      <c r="AP32" s="50"/>
      <c r="AQ32" s="50"/>
      <c r="AR32" s="50"/>
      <c r="AS32" s="50"/>
      <c r="AT32" s="14"/>
      <c r="AU32" s="14"/>
      <c r="AV32" s="14"/>
      <c r="AW32" s="14"/>
      <c r="AX32" s="102"/>
      <c r="AY32" s="14"/>
      <c r="AZ32" s="14"/>
      <c r="BA32" s="14"/>
      <c r="BB32" s="14"/>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580"/>
      <c r="CW32" s="49"/>
      <c r="DP32" s="580"/>
      <c r="ED32" s="264"/>
      <c r="EN32" s="74"/>
      <c r="EO32" s="74"/>
      <c r="EP32" s="74"/>
      <c r="EQ32" s="74"/>
      <c r="ER32" s="74"/>
      <c r="ES32" s="74"/>
      <c r="ET32" s="74"/>
      <c r="EU32" s="74"/>
      <c r="EV32" s="74"/>
      <c r="EW32" s="74"/>
      <c r="EX32" s="74"/>
      <c r="EY32" s="74"/>
      <c r="EZ32" s="74"/>
      <c r="FA32" s="74"/>
      <c r="FB32" s="74"/>
      <c r="FC32" s="74"/>
      <c r="FD32" s="74"/>
      <c r="FE32" s="74"/>
      <c r="FF32" s="74"/>
      <c r="FG32" s="74"/>
      <c r="FH32" s="74"/>
      <c r="FI32" s="74"/>
      <c r="FJ32" s="74"/>
      <c r="FK32" s="74"/>
      <c r="FL32" s="74"/>
      <c r="FM32" s="74"/>
      <c r="FN32" s="74"/>
      <c r="FO32" s="74"/>
      <c r="FP32" s="74"/>
      <c r="FQ32" s="74"/>
      <c r="FR32" s="74"/>
      <c r="FS32" s="74"/>
      <c r="FT32" s="74"/>
      <c r="FU32" s="74"/>
      <c r="FV32" s="74"/>
      <c r="FW32" s="74"/>
      <c r="FX32" s="74"/>
      <c r="FY32" s="74"/>
      <c r="FZ32" s="74"/>
      <c r="GA32" s="74"/>
      <c r="GB32" s="74"/>
      <c r="GC32" s="74"/>
      <c r="GD32" s="74"/>
      <c r="GE32" s="74"/>
      <c r="GF32" s="74"/>
      <c r="KD32" s="97"/>
      <c r="KE32" s="97"/>
      <c r="KF32" s="97"/>
      <c r="KG32" s="97"/>
      <c r="KH32" s="97"/>
      <c r="KI32" s="97"/>
    </row>
    <row r="33" spans="1:295" s="4" customFormat="1" x14ac:dyDescent="0.25">
      <c r="A33" s="56"/>
      <c r="B33" s="14"/>
      <c r="C33" s="14"/>
      <c r="D33" s="14"/>
      <c r="E33" s="102"/>
      <c r="F33" s="14"/>
      <c r="G33" s="14"/>
      <c r="H33" s="102"/>
      <c r="I33" s="102"/>
      <c r="J33" s="14"/>
      <c r="K33" s="50"/>
      <c r="L33" s="50"/>
      <c r="M33" s="50"/>
      <c r="N33" s="14"/>
      <c r="O33" s="50"/>
      <c r="P33" s="50"/>
      <c r="Q33" s="50"/>
      <c r="R33" s="14"/>
      <c r="S33" s="50"/>
      <c r="T33" s="50"/>
      <c r="U33" s="14"/>
      <c r="V33" s="50"/>
      <c r="W33" s="50"/>
      <c r="X33" s="14"/>
      <c r="Y33" s="50"/>
      <c r="Z33" s="14"/>
      <c r="AA33" s="14"/>
      <c r="AB33" s="50"/>
      <c r="AC33" s="50"/>
      <c r="AD33" s="50"/>
      <c r="AE33" s="50"/>
      <c r="AF33" s="50"/>
      <c r="AG33" s="50"/>
      <c r="AH33" s="50"/>
      <c r="AI33" s="14"/>
      <c r="AJ33" s="50"/>
      <c r="AK33" s="50"/>
      <c r="AL33" s="50"/>
      <c r="AM33" s="50"/>
      <c r="AN33" s="50"/>
      <c r="AO33" s="575"/>
      <c r="AP33" s="50"/>
      <c r="AQ33" s="50"/>
      <c r="AR33" s="50"/>
      <c r="AS33" s="50"/>
      <c r="AT33" s="14"/>
      <c r="AU33" s="14"/>
      <c r="AV33" s="14"/>
      <c r="AW33" s="14"/>
      <c r="AX33" s="102"/>
      <c r="AY33" s="14"/>
      <c r="AZ33" s="14"/>
      <c r="BA33" s="14"/>
      <c r="BB33" s="14"/>
      <c r="BC33" s="102"/>
      <c r="BD33" s="102"/>
      <c r="BE33" s="102"/>
      <c r="BF33" s="102"/>
      <c r="BG33" s="102"/>
      <c r="BH33" s="102"/>
      <c r="BI33" s="102"/>
      <c r="BJ33" s="102"/>
      <c r="BK33" s="102"/>
      <c r="BL33" s="102"/>
      <c r="BM33" s="102"/>
      <c r="BN33" s="102"/>
      <c r="BO33" s="102"/>
      <c r="BP33" s="102"/>
      <c r="BQ33" s="102"/>
      <c r="BR33" s="102"/>
      <c r="BS33" s="102"/>
      <c r="BT33" s="102"/>
      <c r="BU33" s="102"/>
      <c r="BV33" s="102"/>
      <c r="BW33" s="102"/>
      <c r="BX33" s="102"/>
      <c r="BY33" s="102"/>
      <c r="BZ33" s="102"/>
      <c r="CA33" s="102"/>
      <c r="CB33" s="102"/>
      <c r="CC33" s="102"/>
      <c r="CD33" s="102"/>
      <c r="CE33" s="102"/>
      <c r="CF33" s="102"/>
      <c r="CG33" s="102"/>
      <c r="CH33" s="102"/>
      <c r="CI33" s="102"/>
      <c r="CJ33" s="102"/>
      <c r="CK33" s="102"/>
      <c r="CL33" s="102"/>
      <c r="CM33" s="580"/>
      <c r="CW33" s="49"/>
      <c r="DP33" s="580"/>
      <c r="ED33" s="264"/>
      <c r="EN33" s="74"/>
      <c r="EO33" s="74"/>
      <c r="EP33" s="74"/>
      <c r="EQ33" s="74"/>
      <c r="ER33" s="74"/>
      <c r="ES33" s="74"/>
      <c r="ET33" s="74"/>
      <c r="EU33" s="74"/>
      <c r="EV33" s="74"/>
      <c r="EW33" s="74"/>
      <c r="EX33" s="74"/>
      <c r="EY33" s="74"/>
      <c r="EZ33" s="74"/>
      <c r="FA33" s="74"/>
      <c r="FB33" s="74"/>
      <c r="FC33" s="74"/>
      <c r="FD33" s="74"/>
      <c r="FE33" s="74"/>
      <c r="FF33" s="74"/>
      <c r="FG33" s="74"/>
      <c r="FH33" s="74"/>
      <c r="FI33" s="74"/>
      <c r="FJ33" s="74"/>
      <c r="FK33" s="74"/>
      <c r="FL33" s="74"/>
      <c r="FM33" s="74"/>
      <c r="FN33" s="74"/>
      <c r="FO33" s="74"/>
      <c r="FP33" s="74"/>
      <c r="FQ33" s="74"/>
      <c r="FR33" s="74"/>
      <c r="FS33" s="74"/>
      <c r="FT33" s="74"/>
      <c r="FU33" s="74"/>
      <c r="FV33" s="74"/>
      <c r="FW33" s="74"/>
      <c r="FX33" s="74"/>
      <c r="FY33" s="74"/>
      <c r="FZ33" s="74"/>
      <c r="GA33" s="74"/>
      <c r="GB33" s="74"/>
      <c r="GC33" s="74"/>
      <c r="GD33" s="74"/>
      <c r="GE33" s="74"/>
      <c r="GF33" s="74"/>
      <c r="KD33" s="97"/>
      <c r="KE33" s="97"/>
      <c r="KF33" s="97"/>
      <c r="KG33" s="97"/>
      <c r="KH33" s="97"/>
      <c r="KI33" s="97"/>
    </row>
    <row r="34" spans="1:295" s="4" customFormat="1" x14ac:dyDescent="0.25">
      <c r="A34" s="56" t="s">
        <v>206</v>
      </c>
      <c r="B34" s="14"/>
      <c r="C34" s="14"/>
      <c r="D34" s="625">
        <f>'Crops proc. &amp; prod. AMORTIZED'!W41</f>
        <v>135.29285714285714</v>
      </c>
      <c r="E34" s="144">
        <f>E35+E36+E37</f>
        <v>115.83560480007898</v>
      </c>
      <c r="F34" s="577">
        <f>F35+F36+F37</f>
        <v>104.34656174999998</v>
      </c>
      <c r="G34" s="626">
        <f>F34/D34</f>
        <v>0.77126438123647101</v>
      </c>
      <c r="H34" s="154"/>
      <c r="I34" s="154"/>
      <c r="J34" s="14"/>
      <c r="K34" s="50"/>
      <c r="L34" s="50"/>
      <c r="M34" s="50"/>
      <c r="N34" s="14"/>
      <c r="O34" s="50"/>
      <c r="P34" s="50"/>
      <c r="Q34" s="50"/>
      <c r="R34" s="14"/>
      <c r="S34" s="50"/>
      <c r="T34" s="50"/>
      <c r="U34" s="14"/>
      <c r="V34" s="50"/>
      <c r="W34" s="50"/>
      <c r="X34" s="14"/>
      <c r="Y34" s="50"/>
      <c r="Z34" s="14"/>
      <c r="AA34" s="14"/>
      <c r="AB34" s="50"/>
      <c r="AC34" s="50"/>
      <c r="AD34" s="50"/>
      <c r="AE34" s="50"/>
      <c r="AF34" s="50"/>
      <c r="AG34" s="50"/>
      <c r="AH34" s="50"/>
      <c r="AI34" s="14"/>
      <c r="AJ34" s="50"/>
      <c r="AK34" s="50"/>
      <c r="AL34" s="50"/>
      <c r="AM34" s="50"/>
      <c r="AN34" s="50"/>
      <c r="AO34" s="575"/>
      <c r="AP34" s="50"/>
      <c r="AQ34" s="50"/>
      <c r="AR34" s="50"/>
      <c r="AS34" s="50"/>
      <c r="AT34" s="14"/>
      <c r="AU34" s="14"/>
      <c r="AV34" s="14"/>
      <c r="AW34" s="14"/>
      <c r="AX34" s="102"/>
      <c r="AY34" s="14"/>
      <c r="AZ34" s="14"/>
      <c r="BA34" s="14"/>
      <c r="BB34" s="14"/>
      <c r="BC34" s="102"/>
      <c r="BD34" s="102"/>
      <c r="BE34" s="102"/>
      <c r="BF34" s="102"/>
      <c r="BG34" s="102"/>
      <c r="BH34" s="102"/>
      <c r="BI34" s="102"/>
      <c r="BJ34" s="102"/>
      <c r="BK34" s="102"/>
      <c r="BL34" s="102"/>
      <c r="BM34" s="102"/>
      <c r="BN34" s="102"/>
      <c r="BO34" s="102"/>
      <c r="BP34" s="102"/>
      <c r="BQ34" s="102"/>
      <c r="BR34" s="102"/>
      <c r="BS34" s="102"/>
      <c r="BT34" s="102"/>
      <c r="BU34" s="102"/>
      <c r="BV34" s="102"/>
      <c r="BW34" s="102"/>
      <c r="BX34" s="102"/>
      <c r="BY34" s="102"/>
      <c r="BZ34" s="102"/>
      <c r="CA34" s="102"/>
      <c r="CB34" s="102"/>
      <c r="CC34" s="102"/>
      <c r="CD34" s="102"/>
      <c r="CE34" s="102"/>
      <c r="CF34" s="102"/>
      <c r="CG34" s="102"/>
      <c r="CH34" s="102"/>
      <c r="CI34" s="102"/>
      <c r="CJ34" s="102"/>
      <c r="CK34" s="102"/>
      <c r="CL34" s="102"/>
      <c r="CM34" s="580"/>
      <c r="CW34" s="49"/>
      <c r="DP34" s="580"/>
      <c r="ED34" s="264"/>
      <c r="EN34" s="74"/>
      <c r="EO34" s="74"/>
      <c r="EP34" s="74"/>
      <c r="EQ34" s="74"/>
      <c r="ER34" s="74"/>
      <c r="ES34" s="74"/>
      <c r="ET34" s="74"/>
      <c r="EU34" s="74"/>
      <c r="EV34" s="74"/>
      <c r="EW34" s="74"/>
      <c r="EX34" s="74"/>
      <c r="EY34" s="74"/>
      <c r="EZ34" s="74"/>
      <c r="FA34" s="74"/>
      <c r="FB34" s="74"/>
      <c r="FC34" s="74"/>
      <c r="FD34" s="74"/>
      <c r="FE34" s="74"/>
      <c r="FF34" s="74"/>
      <c r="FG34" s="74"/>
      <c r="FH34" s="74"/>
      <c r="FI34" s="74"/>
      <c r="FJ34" s="74"/>
      <c r="FK34" s="74"/>
      <c r="FL34" s="74"/>
      <c r="FM34" s="74"/>
      <c r="FN34" s="74"/>
      <c r="FO34" s="74"/>
      <c r="FP34" s="74"/>
      <c r="FQ34" s="74"/>
      <c r="FR34" s="74"/>
      <c r="FS34" s="74"/>
      <c r="FT34" s="74"/>
      <c r="FU34" s="74"/>
      <c r="FV34" s="74"/>
      <c r="FW34" s="74"/>
      <c r="FX34" s="74"/>
      <c r="FY34" s="74"/>
      <c r="FZ34" s="74"/>
      <c r="GA34" s="74"/>
      <c r="GB34" s="74"/>
      <c r="GC34" s="74"/>
      <c r="GD34" s="74"/>
      <c r="GE34" s="74"/>
      <c r="GF34" s="74"/>
      <c r="KD34" s="97"/>
      <c r="KE34" s="97"/>
      <c r="KF34" s="97"/>
      <c r="KG34" s="97"/>
      <c r="KH34" s="97"/>
      <c r="KI34" s="97"/>
    </row>
    <row r="35" spans="1:295" s="4" customFormat="1" x14ac:dyDescent="0.25">
      <c r="A35" s="4" t="s">
        <v>165</v>
      </c>
      <c r="B35" s="14"/>
      <c r="C35" s="627">
        <f>D35/(D36+D35+D37)</f>
        <v>0.12306636397233511</v>
      </c>
      <c r="D35" s="628">
        <f>'Crops proc. &amp; prod. AMORTIZED'!W45</f>
        <v>16.649999999999995</v>
      </c>
      <c r="E35" s="629">
        <f>F35/GG35</f>
        <v>14.26839105287471</v>
      </c>
      <c r="F35" s="630">
        <f>BT62</f>
        <v>12.84155194758724</v>
      </c>
      <c r="G35" s="630"/>
      <c r="H35" s="629"/>
      <c r="I35" s="629"/>
      <c r="J35" s="14"/>
      <c r="K35" s="50"/>
      <c r="L35" s="50"/>
      <c r="M35" s="50"/>
      <c r="N35" s="14"/>
      <c r="O35" s="50"/>
      <c r="P35" s="50"/>
      <c r="Q35" s="50"/>
      <c r="R35" s="14"/>
      <c r="S35" s="50"/>
      <c r="T35" s="50"/>
      <c r="U35" s="14"/>
      <c r="V35" s="50"/>
      <c r="W35" s="50"/>
      <c r="X35" s="14"/>
      <c r="Y35" s="50"/>
      <c r="Z35" s="14"/>
      <c r="AA35" s="14"/>
      <c r="AB35" s="50"/>
      <c r="AC35" s="50"/>
      <c r="AD35" s="50"/>
      <c r="AE35" s="50"/>
      <c r="AF35" s="50"/>
      <c r="AG35" s="50"/>
      <c r="AH35" s="50"/>
      <c r="AI35" s="14"/>
      <c r="AJ35" s="50"/>
      <c r="AK35" s="50"/>
      <c r="AL35" s="50"/>
      <c r="AM35" s="50"/>
      <c r="AN35" s="50"/>
      <c r="AO35" s="575"/>
      <c r="AP35" s="50"/>
      <c r="AQ35" s="50"/>
      <c r="AR35" s="50"/>
      <c r="AS35" s="50"/>
      <c r="AT35" s="14"/>
      <c r="AU35" s="14"/>
      <c r="AV35" s="14"/>
      <c r="AW35" s="14"/>
      <c r="AX35" s="102"/>
      <c r="AY35" s="14"/>
      <c r="AZ35" s="14"/>
      <c r="BA35" s="14"/>
      <c r="BB35" s="14"/>
      <c r="BC35" s="102"/>
      <c r="BD35" s="102"/>
      <c r="BE35" s="102"/>
      <c r="BF35" s="102"/>
      <c r="BG35" s="102"/>
      <c r="BH35" s="102"/>
      <c r="BI35" s="102"/>
      <c r="BJ35" s="102"/>
      <c r="BK35" s="102"/>
      <c r="BL35" s="102"/>
      <c r="BM35" s="102"/>
      <c r="BN35" s="102"/>
      <c r="BO35" s="102"/>
      <c r="BP35" s="102"/>
      <c r="BQ35" s="102"/>
      <c r="BR35" s="102"/>
      <c r="BS35" s="102"/>
      <c r="BT35" s="102"/>
      <c r="BU35" s="102"/>
      <c r="BV35" s="102"/>
      <c r="BW35" s="102"/>
      <c r="BX35" s="102"/>
      <c r="BY35" s="102"/>
      <c r="BZ35" s="102"/>
      <c r="CA35" s="102"/>
      <c r="CB35" s="102"/>
      <c r="CC35" s="102"/>
      <c r="CD35" s="102"/>
      <c r="CE35" s="102"/>
      <c r="CF35" s="102"/>
      <c r="CG35" s="102"/>
      <c r="CH35" s="102"/>
      <c r="CI35" s="102"/>
      <c r="CJ35" s="102"/>
      <c r="CK35" s="102"/>
      <c r="CL35" s="102"/>
      <c r="CM35" s="125">
        <f>'Crops proc. &amp; prod. AMORTIZED'!AE45</f>
        <v>2.3451928712962098</v>
      </c>
      <c r="CW35" s="49"/>
      <c r="DP35" s="125">
        <f>'Crops proc. &amp; prod. AMORTIZED'!BW45</f>
        <v>0.83430293870369399</v>
      </c>
      <c r="DQ35" s="125">
        <f>'Crops proc. &amp; prod. AMORTIZED'!DM45</f>
        <v>0.78180512484040687</v>
      </c>
      <c r="DZ35" s="125">
        <f>'Crops proc. &amp; prod. AMORTIZED'!FF45</f>
        <v>1.5568922679421204</v>
      </c>
      <c r="ED35" s="333">
        <f>'Crops proc. &amp; prod. AMORTIZED'!GZ45</f>
        <v>0.13641783738659016</v>
      </c>
      <c r="EE35" s="125"/>
      <c r="EJ35" s="264">
        <f t="shared" ref="EJ35:EJ37" si="5">EK35+EL35+EM35</f>
        <v>0.56751760424259989</v>
      </c>
      <c r="EK35" s="333">
        <f>'Crops proc. &amp; prod. AMORTIZED'!JB45</f>
        <v>0.3040787225308848</v>
      </c>
      <c r="EL35" s="333">
        <f>'Crops proc. &amp; prod. AMORTIZED'!JC45</f>
        <v>0.26343888171171509</v>
      </c>
      <c r="EM35" s="333">
        <f>'Crops proc. &amp; prod. AMORTIZED'!JD45</f>
        <v>0</v>
      </c>
      <c r="EN35" s="74"/>
      <c r="EO35" s="74"/>
      <c r="EP35" s="74"/>
      <c r="EQ35" s="74"/>
      <c r="ER35" s="74"/>
      <c r="ES35" s="74"/>
      <c r="ET35" s="74"/>
      <c r="EU35" s="74"/>
      <c r="EV35" s="74"/>
      <c r="EW35" s="74"/>
      <c r="EX35" s="74"/>
      <c r="EY35" s="74"/>
      <c r="EZ35" s="74"/>
      <c r="FA35" s="74"/>
      <c r="FB35" s="74"/>
      <c r="FC35" s="74"/>
      <c r="FD35" s="74"/>
      <c r="FE35" s="74"/>
      <c r="FF35" s="74"/>
      <c r="FG35" s="74"/>
      <c r="FH35" s="74"/>
      <c r="FI35" s="74"/>
      <c r="FJ35" s="74"/>
      <c r="FK35" s="74"/>
      <c r="FL35" s="74"/>
      <c r="FM35" s="74"/>
      <c r="FN35" s="74"/>
      <c r="FO35" s="74"/>
      <c r="FP35" s="74"/>
      <c r="FQ35" s="74"/>
      <c r="FR35" s="74"/>
      <c r="FS35" s="74"/>
      <c r="FT35" s="74"/>
      <c r="FU35" s="74"/>
      <c r="FV35" s="74"/>
      <c r="FW35" s="74"/>
      <c r="FX35" s="74"/>
      <c r="FY35" s="74"/>
      <c r="FZ35" s="74"/>
      <c r="GA35" s="74"/>
      <c r="GB35" s="74"/>
      <c r="GC35" s="74"/>
      <c r="GD35" s="74"/>
      <c r="GE35" s="74"/>
      <c r="GF35" s="74"/>
      <c r="GG35" s="631">
        <f>'Crops proc. &amp; prod. AMORTIZED'!NT45</f>
        <v>0.9</v>
      </c>
      <c r="GH35" s="41">
        <f>'Crops proc. &amp; prod. AMORTIZED'!NV45</f>
        <v>18.45</v>
      </c>
      <c r="GI35" s="41">
        <f>'Crops proc. &amp; prod. AMORTIZED'!NW45</f>
        <v>20.5</v>
      </c>
      <c r="GL35" s="631">
        <f>'Crops proc. &amp; prod. AMORTIZED'!OC45</f>
        <v>0.1404</v>
      </c>
      <c r="GM35" s="631">
        <f>'Crops proc. &amp; prod. AMORTIZED'!OD45</f>
        <v>0.156</v>
      </c>
      <c r="KD35" s="97"/>
      <c r="KE35" s="97"/>
      <c r="KF35" s="97"/>
      <c r="KG35" s="97"/>
      <c r="KH35" s="97"/>
      <c r="KI35" s="97"/>
    </row>
    <row r="36" spans="1:295" s="4" customFormat="1" x14ac:dyDescent="0.25">
      <c r="A36" s="4" t="s">
        <v>167</v>
      </c>
      <c r="B36" s="14"/>
      <c r="C36" s="627">
        <f>D36/(D36+D35+D37)</f>
        <v>0.32627633176706616</v>
      </c>
      <c r="D36" s="628">
        <f>'Crops proc. &amp; prod. AMORTIZED'!W50</f>
        <v>44.142857142857146</v>
      </c>
      <c r="E36" s="629">
        <f>F36/GG36</f>
        <v>37.006318913364844</v>
      </c>
      <c r="F36" s="630">
        <f>BU62</f>
        <v>34.045813400295657</v>
      </c>
      <c r="G36" s="630"/>
      <c r="H36" s="629"/>
      <c r="I36" s="629"/>
      <c r="J36" s="14"/>
      <c r="K36" s="50"/>
      <c r="L36" s="50"/>
      <c r="M36" s="50"/>
      <c r="N36" s="14"/>
      <c r="O36" s="50"/>
      <c r="P36" s="50"/>
      <c r="Q36" s="50"/>
      <c r="R36" s="14"/>
      <c r="S36" s="50"/>
      <c r="T36" s="50"/>
      <c r="U36" s="14"/>
      <c r="V36" s="50"/>
      <c r="W36" s="50"/>
      <c r="X36" s="14"/>
      <c r="Y36" s="50"/>
      <c r="Z36" s="14"/>
      <c r="AA36" s="14"/>
      <c r="AB36" s="50"/>
      <c r="AC36" s="50"/>
      <c r="AD36" s="50"/>
      <c r="AE36" s="50"/>
      <c r="AF36" s="50"/>
      <c r="AG36" s="50"/>
      <c r="AH36" s="50"/>
      <c r="AI36" s="14"/>
      <c r="AJ36" s="50"/>
      <c r="AK36" s="50"/>
      <c r="AL36" s="50"/>
      <c r="AM36" s="50"/>
      <c r="AN36" s="50"/>
      <c r="AO36" s="575"/>
      <c r="AP36" s="50"/>
      <c r="AQ36" s="50"/>
      <c r="AR36" s="50"/>
      <c r="AS36" s="50"/>
      <c r="AT36" s="14"/>
      <c r="AU36" s="14"/>
      <c r="AV36" s="14"/>
      <c r="AW36" s="14"/>
      <c r="AX36" s="102"/>
      <c r="AY36" s="14"/>
      <c r="AZ36" s="14"/>
      <c r="BA36" s="14"/>
      <c r="BB36" s="14"/>
      <c r="BC36" s="102"/>
      <c r="BD36" s="102"/>
      <c r="BE36" s="102"/>
      <c r="BF36" s="102"/>
      <c r="BG36" s="102"/>
      <c r="BH36" s="102"/>
      <c r="BI36" s="102"/>
      <c r="BJ36" s="102"/>
      <c r="BK36" s="102"/>
      <c r="BL36" s="102"/>
      <c r="BM36" s="102"/>
      <c r="BN36" s="102"/>
      <c r="BO36" s="102"/>
      <c r="BP36" s="102"/>
      <c r="BQ36" s="102"/>
      <c r="BR36" s="102"/>
      <c r="BS36" s="102"/>
      <c r="BT36" s="102"/>
      <c r="BU36" s="102"/>
      <c r="BV36" s="102"/>
      <c r="BW36" s="102"/>
      <c r="BX36" s="102"/>
      <c r="BY36" s="102"/>
      <c r="BZ36" s="102"/>
      <c r="CA36" s="102"/>
      <c r="CB36" s="102"/>
      <c r="CC36" s="102"/>
      <c r="CD36" s="102"/>
      <c r="CE36" s="102"/>
      <c r="CF36" s="102"/>
      <c r="CG36" s="102"/>
      <c r="CH36" s="102"/>
      <c r="CI36" s="102"/>
      <c r="CJ36" s="102"/>
      <c r="CK36" s="102"/>
      <c r="CL36" s="102"/>
      <c r="CM36" s="125">
        <f>'Crops proc. &amp; prod. AMORTIZED'!AE50</f>
        <v>2.6444605633853451</v>
      </c>
      <c r="CW36" s="49"/>
      <c r="DP36" s="125">
        <f>'Crops proc. &amp; prod. AMORTIZED'!BW50</f>
        <v>0.9963324967007029</v>
      </c>
      <c r="DQ36" s="125">
        <f>'Crops proc. &amp; prod. AMORTIZED'!DM50</f>
        <v>0.92456695328259764</v>
      </c>
      <c r="DZ36" s="125">
        <f>'Crops proc. &amp; prod. AMORTIZED'!FF50</f>
        <v>1.8411891851621225</v>
      </c>
      <c r="ED36" s="333">
        <f>'Crops proc. &amp; prod. AMORTIZED'!GZ50</f>
        <v>0.37364306936315744</v>
      </c>
      <c r="EE36" s="125"/>
      <c r="EJ36" s="264">
        <f t="shared" si="5"/>
        <v>3.3342320129608369</v>
      </c>
      <c r="EK36" s="333">
        <f>'Crops proc. &amp; prod. AMORTIZED'!JB50</f>
        <v>0.41505518696738281</v>
      </c>
      <c r="EL36" s="333">
        <f>'Crops proc. &amp; prod. AMORTIZED'!JC50</f>
        <v>0.19478379321823264</v>
      </c>
      <c r="EM36" s="333">
        <f>'Crops proc. &amp; prod. AMORTIZED'!JD50</f>
        <v>2.7243930327752213</v>
      </c>
      <c r="EN36" s="74"/>
      <c r="EO36" s="74"/>
      <c r="EP36" s="74"/>
      <c r="EQ36" s="74"/>
      <c r="ER36" s="74"/>
      <c r="ES36" s="74"/>
      <c r="ET36" s="74"/>
      <c r="EU36" s="74"/>
      <c r="EV36" s="74"/>
      <c r="EW36" s="74"/>
      <c r="EX36" s="74"/>
      <c r="EY36" s="74"/>
      <c r="EZ36" s="74"/>
      <c r="FA36" s="74"/>
      <c r="FB36" s="74"/>
      <c r="FC36" s="74"/>
      <c r="FD36" s="74"/>
      <c r="FE36" s="74"/>
      <c r="FF36" s="74"/>
      <c r="FG36" s="74"/>
      <c r="FH36" s="74"/>
      <c r="FI36" s="74"/>
      <c r="FJ36" s="74"/>
      <c r="FK36" s="74"/>
      <c r="FL36" s="74"/>
      <c r="FM36" s="74"/>
      <c r="FN36" s="74"/>
      <c r="FO36" s="74"/>
      <c r="FP36" s="74"/>
      <c r="FQ36" s="74"/>
      <c r="FR36" s="74"/>
      <c r="FS36" s="74"/>
      <c r="FT36" s="74"/>
      <c r="FU36" s="74"/>
      <c r="FV36" s="74"/>
      <c r="FW36" s="74"/>
      <c r="FX36" s="74"/>
      <c r="FY36" s="74"/>
      <c r="FZ36" s="74"/>
      <c r="GA36" s="74"/>
      <c r="GB36" s="74"/>
      <c r="GC36" s="74"/>
      <c r="GD36" s="74"/>
      <c r="GE36" s="74"/>
      <c r="GF36" s="74"/>
      <c r="GG36" s="631">
        <f>'Crops proc. &amp; prod. AMORTIZED'!NT50</f>
        <v>0.92</v>
      </c>
      <c r="GH36" s="41">
        <f>'Crops proc. &amp; prod. AMORTIZED'!NV50</f>
        <v>17.847999999999999</v>
      </c>
      <c r="GI36" s="41">
        <f>'Crops proc. &amp; prod. AMORTIZED'!NW50</f>
        <v>19.399999999999999</v>
      </c>
      <c r="GL36" s="631">
        <f>'Crops proc. &amp; prod. AMORTIZED'!OC50</f>
        <v>0.13339999999999999</v>
      </c>
      <c r="GM36" s="631">
        <f>'Crops proc. &amp; prod. AMORTIZED'!OD50</f>
        <v>0.14499999999999999</v>
      </c>
      <c r="KD36" s="97"/>
      <c r="KE36" s="97"/>
      <c r="KF36" s="97"/>
      <c r="KG36" s="97"/>
      <c r="KH36" s="97"/>
      <c r="KI36" s="97"/>
    </row>
    <row r="37" spans="1:295" s="4" customFormat="1" x14ac:dyDescent="0.25">
      <c r="A37" s="4" t="s">
        <v>160</v>
      </c>
      <c r="B37" s="14"/>
      <c r="C37" s="627">
        <f>D37/(D36+D35+D37)</f>
        <v>0.55065730426059856</v>
      </c>
      <c r="D37" s="628">
        <f>'Crops proc. &amp; prod. AMORTIZED'!W55</f>
        <v>74.499999999999986</v>
      </c>
      <c r="E37" s="629">
        <f>F37/GG37</f>
        <v>64.560894833839427</v>
      </c>
      <c r="F37" s="630">
        <f>BV62</f>
        <v>57.459196402117087</v>
      </c>
      <c r="G37" s="630"/>
      <c r="H37" s="629"/>
      <c r="I37" s="629"/>
      <c r="J37" s="14"/>
      <c r="K37" s="50"/>
      <c r="L37" s="50"/>
      <c r="M37" s="50"/>
      <c r="N37" s="14"/>
      <c r="O37" s="50"/>
      <c r="P37" s="50"/>
      <c r="Q37" s="50"/>
      <c r="R37" s="14"/>
      <c r="S37" s="50"/>
      <c r="T37" s="50"/>
      <c r="U37" s="14"/>
      <c r="V37" s="50"/>
      <c r="W37" s="50"/>
      <c r="X37" s="14"/>
      <c r="Y37" s="50"/>
      <c r="Z37" s="14"/>
      <c r="AA37" s="14"/>
      <c r="AB37" s="50"/>
      <c r="AC37" s="50"/>
      <c r="AD37" s="50"/>
      <c r="AE37" s="50"/>
      <c r="AF37" s="50"/>
      <c r="AG37" s="50"/>
      <c r="AH37" s="50"/>
      <c r="AI37" s="14"/>
      <c r="AJ37" s="50"/>
      <c r="AK37" s="50"/>
      <c r="AL37" s="50"/>
      <c r="AM37" s="50"/>
      <c r="AN37" s="50"/>
      <c r="AO37" s="575"/>
      <c r="AP37" s="50"/>
      <c r="AQ37" s="50"/>
      <c r="AR37" s="50"/>
      <c r="AS37" s="50"/>
      <c r="AT37" s="14"/>
      <c r="AU37" s="14"/>
      <c r="AV37" s="14"/>
      <c r="AW37" s="14"/>
      <c r="AX37" s="102"/>
      <c r="AY37" s="14"/>
      <c r="AZ37" s="14"/>
      <c r="BA37" s="14"/>
      <c r="BB37" s="14"/>
      <c r="BC37" s="102"/>
      <c r="BD37" s="102"/>
      <c r="BE37" s="102"/>
      <c r="BF37" s="102"/>
      <c r="BG37" s="102"/>
      <c r="BH37" s="102"/>
      <c r="BI37" s="102"/>
      <c r="BJ37" s="102"/>
      <c r="BK37" s="102"/>
      <c r="BL37" s="102"/>
      <c r="BM37" s="102"/>
      <c r="BN37" s="102"/>
      <c r="BO37" s="102"/>
      <c r="BP37" s="102"/>
      <c r="BQ37" s="102"/>
      <c r="BR37" s="102"/>
      <c r="BS37" s="102"/>
      <c r="BT37" s="102"/>
      <c r="BU37" s="102"/>
      <c r="BV37" s="102"/>
      <c r="BW37" s="102"/>
      <c r="BX37" s="102"/>
      <c r="BY37" s="102"/>
      <c r="BZ37" s="102"/>
      <c r="CA37" s="102"/>
      <c r="CB37" s="102"/>
      <c r="CC37" s="102"/>
      <c r="CD37" s="102"/>
      <c r="CE37" s="102"/>
      <c r="CF37" s="102"/>
      <c r="CG37" s="102"/>
      <c r="CH37" s="102"/>
      <c r="CI37" s="102"/>
      <c r="CJ37" s="102"/>
      <c r="CK37" s="102"/>
      <c r="CL37" s="102"/>
      <c r="CM37" s="125">
        <f>'Crops proc. &amp; prod. AMORTIZED'!AE55</f>
        <v>3.639305422159532</v>
      </c>
      <c r="CW37" s="49"/>
      <c r="DP37" s="125">
        <f>'Crops proc. &amp; prod. AMORTIZED'!BW55</f>
        <v>0.62136466144455049</v>
      </c>
      <c r="DQ37" s="125">
        <f>'Crops proc. &amp; prod. AMORTIZED'!DM55</f>
        <v>0.79800967886796026</v>
      </c>
      <c r="DZ37" s="125">
        <f>'Crops proc. &amp; prod. AMORTIZED'!FF55</f>
        <v>1.5891621317091282</v>
      </c>
      <c r="ED37" s="333">
        <f>'Crops proc. &amp; prod. AMORTIZED'!GZ55</f>
        <v>0.12841485138705006</v>
      </c>
      <c r="EE37" s="125"/>
      <c r="EJ37" s="264">
        <f t="shared" si="5"/>
        <v>0.7892538356417913</v>
      </c>
      <c r="EK37" s="333">
        <f>'Crops proc. &amp; prod. AMORTIZED'!JB55</f>
        <v>0.45028503191917807</v>
      </c>
      <c r="EL37" s="333">
        <f>'Crops proc. &amp; prod. AMORTIZED'!JC55</f>
        <v>0.33896880372261329</v>
      </c>
      <c r="EM37" s="333">
        <f>'Crops proc. &amp; prod. AMORTIZED'!JD55</f>
        <v>0</v>
      </c>
      <c r="EN37" s="74"/>
      <c r="EO37" s="74"/>
      <c r="EP37" s="74"/>
      <c r="EQ37" s="74"/>
      <c r="ER37" s="74"/>
      <c r="ES37" s="74"/>
      <c r="ET37" s="74"/>
      <c r="EU37" s="74"/>
      <c r="EV37" s="74"/>
      <c r="EW37" s="74"/>
      <c r="EX37" s="74"/>
      <c r="EY37" s="74"/>
      <c r="EZ37" s="74"/>
      <c r="FA37" s="74"/>
      <c r="FB37" s="74"/>
      <c r="FC37" s="74"/>
      <c r="FD37" s="74"/>
      <c r="FE37" s="74"/>
      <c r="FF37" s="74"/>
      <c r="FG37" s="74"/>
      <c r="FH37" s="74"/>
      <c r="FI37" s="74"/>
      <c r="FJ37" s="74"/>
      <c r="FK37" s="74"/>
      <c r="FL37" s="74"/>
      <c r="FM37" s="74"/>
      <c r="FN37" s="74"/>
      <c r="FO37" s="74"/>
      <c r="FP37" s="74"/>
      <c r="FQ37" s="74"/>
      <c r="FR37" s="74"/>
      <c r="FS37" s="74"/>
      <c r="FT37" s="74"/>
      <c r="FU37" s="74"/>
      <c r="FV37" s="74"/>
      <c r="FW37" s="74"/>
      <c r="FX37" s="74"/>
      <c r="FY37" s="74"/>
      <c r="FZ37" s="74"/>
      <c r="GA37" s="74"/>
      <c r="GB37" s="74"/>
      <c r="GC37" s="74"/>
      <c r="GD37" s="74"/>
      <c r="GE37" s="74"/>
      <c r="GF37" s="74"/>
      <c r="GG37" s="631">
        <f>'Crops proc. &amp; prod. AMORTIZED'!NT55</f>
        <v>0.89</v>
      </c>
      <c r="GH37" s="41">
        <f>'Crops proc. &amp; prod. AMORTIZED'!NV55</f>
        <v>16.465</v>
      </c>
      <c r="GI37" s="41">
        <f>'Crops proc. &amp; prod. AMORTIZED'!NW55</f>
        <v>18.5</v>
      </c>
      <c r="GL37" s="631">
        <f>'Crops proc. &amp; prod. AMORTIZED'!OC55</f>
        <v>0.17800000000000002</v>
      </c>
      <c r="GM37" s="631">
        <f>'Crops proc. &amp; prod. AMORTIZED'!OD55</f>
        <v>0.2</v>
      </c>
      <c r="KD37" s="97"/>
      <c r="KE37" s="97"/>
      <c r="KF37" s="97"/>
      <c r="KG37" s="97"/>
      <c r="KH37" s="97"/>
      <c r="KI37" s="97"/>
    </row>
    <row r="38" spans="1:295" s="4" customFormat="1" x14ac:dyDescent="0.25">
      <c r="B38" s="14"/>
      <c r="C38" s="270"/>
      <c r="D38" s="628"/>
      <c r="E38" s="629"/>
      <c r="F38" s="630"/>
      <c r="G38" s="630"/>
      <c r="H38" s="629"/>
      <c r="I38" s="629"/>
      <c r="J38" s="14"/>
      <c r="K38" s="50"/>
      <c r="L38" s="50"/>
      <c r="M38" s="50"/>
      <c r="N38" s="14"/>
      <c r="O38" s="50"/>
      <c r="P38" s="50"/>
      <c r="Q38" s="50"/>
      <c r="R38" s="14"/>
      <c r="S38" s="50"/>
      <c r="T38" s="50"/>
      <c r="U38" s="14"/>
      <c r="V38" s="50"/>
      <c r="W38" s="50"/>
      <c r="X38" s="14"/>
      <c r="Y38" s="50"/>
      <c r="Z38" s="14"/>
      <c r="AA38" s="14"/>
      <c r="AB38" s="50"/>
      <c r="AC38" s="50"/>
      <c r="AD38" s="50"/>
      <c r="AE38" s="50"/>
      <c r="AF38" s="50"/>
      <c r="AG38" s="50"/>
      <c r="AH38" s="50"/>
      <c r="AI38" s="14"/>
      <c r="AJ38" s="50"/>
      <c r="AK38" s="50"/>
      <c r="AL38" s="50"/>
      <c r="AM38" s="50"/>
      <c r="AN38" s="50"/>
      <c r="AO38" s="575"/>
      <c r="AP38" s="50"/>
      <c r="AQ38" s="50"/>
      <c r="AR38" s="50"/>
      <c r="AS38" s="50"/>
      <c r="AT38" s="14"/>
      <c r="AU38" s="14"/>
      <c r="AV38" s="14"/>
      <c r="AW38" s="14"/>
      <c r="AX38" s="102"/>
      <c r="AY38" s="14"/>
      <c r="AZ38" s="14"/>
      <c r="BA38" s="14"/>
      <c r="BB38" s="14"/>
      <c r="BC38" s="102"/>
      <c r="BD38" s="102"/>
      <c r="BE38" s="102"/>
      <c r="BF38" s="102"/>
      <c r="BG38" s="102"/>
      <c r="BH38" s="102"/>
      <c r="BI38" s="102"/>
      <c r="BJ38" s="102"/>
      <c r="BK38" s="102"/>
      <c r="BL38" s="102"/>
      <c r="BM38" s="102"/>
      <c r="BN38" s="102"/>
      <c r="BO38" s="102"/>
      <c r="BP38" s="102"/>
      <c r="BQ38" s="102"/>
      <c r="BR38" s="102"/>
      <c r="BS38" s="102"/>
      <c r="BT38" s="102"/>
      <c r="BU38" s="102"/>
      <c r="BV38" s="102"/>
      <c r="BW38" s="102"/>
      <c r="BX38" s="102"/>
      <c r="BY38" s="102"/>
      <c r="BZ38" s="102"/>
      <c r="CA38" s="102"/>
      <c r="CB38" s="102"/>
      <c r="CC38" s="102"/>
      <c r="CD38" s="102"/>
      <c r="CE38" s="102"/>
      <c r="CF38" s="102"/>
      <c r="CG38" s="102"/>
      <c r="CH38" s="102"/>
      <c r="CI38" s="102"/>
      <c r="CJ38" s="102"/>
      <c r="CK38" s="102"/>
      <c r="CL38" s="102"/>
      <c r="CM38" s="580"/>
      <c r="CW38" s="49"/>
      <c r="DP38" s="580"/>
      <c r="DQ38" s="580"/>
      <c r="DZ38" s="580"/>
      <c r="ED38" s="639"/>
      <c r="EE38" s="580"/>
      <c r="EK38" s="639"/>
      <c r="EL38" s="639"/>
      <c r="EM38" s="639"/>
      <c r="EN38" s="74"/>
      <c r="EO38" s="74"/>
      <c r="EP38" s="74"/>
      <c r="EQ38" s="74"/>
      <c r="ER38" s="74"/>
      <c r="ES38" s="74"/>
      <c r="ET38" s="74"/>
      <c r="EU38" s="74"/>
      <c r="EV38" s="74"/>
      <c r="EW38" s="74"/>
      <c r="EX38" s="74"/>
      <c r="EY38" s="74"/>
      <c r="EZ38" s="74"/>
      <c r="FA38" s="74"/>
      <c r="FB38" s="74"/>
      <c r="FC38" s="74"/>
      <c r="FD38" s="74"/>
      <c r="FE38" s="74"/>
      <c r="FF38" s="74"/>
      <c r="FG38" s="74"/>
      <c r="FH38" s="74"/>
      <c r="FI38" s="74"/>
      <c r="FJ38" s="74"/>
      <c r="FK38" s="74"/>
      <c r="FL38" s="74"/>
      <c r="FM38" s="74"/>
      <c r="FN38" s="74"/>
      <c r="FO38" s="74"/>
      <c r="FP38" s="74"/>
      <c r="FQ38" s="74"/>
      <c r="FR38" s="74"/>
      <c r="FS38" s="74"/>
      <c r="FT38" s="74"/>
      <c r="FU38" s="74"/>
      <c r="FV38" s="74"/>
      <c r="FW38" s="74"/>
      <c r="FX38" s="74"/>
      <c r="FY38" s="74"/>
      <c r="FZ38" s="74"/>
      <c r="GA38" s="74"/>
      <c r="GB38" s="74"/>
      <c r="GC38" s="74"/>
      <c r="GD38" s="74"/>
      <c r="GE38" s="74"/>
      <c r="GF38" s="74"/>
      <c r="KD38" s="97"/>
      <c r="KE38" s="97"/>
      <c r="KF38" s="97"/>
      <c r="KG38" s="97"/>
      <c r="KH38" s="97"/>
      <c r="KI38" s="97"/>
    </row>
    <row r="39" spans="1:295" s="4" customFormat="1" x14ac:dyDescent="0.25">
      <c r="A39" s="27" t="s">
        <v>209</v>
      </c>
      <c r="B39" s="14"/>
      <c r="C39" s="270"/>
      <c r="D39" s="625">
        <f>'Crops proc. &amp; prod. AMORTIZED'!W60</f>
        <v>36.290909090909096</v>
      </c>
      <c r="E39" s="144">
        <f>E40+E41+E42</f>
        <v>12.684353707414832</v>
      </c>
      <c r="F39" s="577">
        <f>F40+F41+F42</f>
        <v>9.5602500000000017</v>
      </c>
      <c r="G39" s="626">
        <f>F39/D39</f>
        <v>0.26343374248496992</v>
      </c>
      <c r="H39" s="154"/>
      <c r="I39" s="154"/>
      <c r="J39" s="14"/>
      <c r="K39" s="50"/>
      <c r="L39" s="50"/>
      <c r="M39" s="50"/>
      <c r="N39" s="14"/>
      <c r="O39" s="50"/>
      <c r="P39" s="50"/>
      <c r="Q39" s="50"/>
      <c r="R39" s="14"/>
      <c r="S39" s="50"/>
      <c r="T39" s="50"/>
      <c r="U39" s="14"/>
      <c r="V39" s="50"/>
      <c r="W39" s="50"/>
      <c r="X39" s="14"/>
      <c r="Y39" s="50"/>
      <c r="Z39" s="14"/>
      <c r="AA39" s="14"/>
      <c r="AB39" s="50"/>
      <c r="AC39" s="50"/>
      <c r="AD39" s="50"/>
      <c r="AE39" s="50"/>
      <c r="AF39" s="50"/>
      <c r="AG39" s="50"/>
      <c r="AH39" s="50"/>
      <c r="AI39" s="14"/>
      <c r="AJ39" s="50"/>
      <c r="AK39" s="50"/>
      <c r="AL39" s="50"/>
      <c r="AM39" s="50"/>
      <c r="AN39" s="50"/>
      <c r="AO39" s="575"/>
      <c r="AP39" s="50"/>
      <c r="AQ39" s="50"/>
      <c r="AR39" s="50"/>
      <c r="AS39" s="50"/>
      <c r="AT39" s="14"/>
      <c r="AU39" s="14"/>
      <c r="AV39" s="14"/>
      <c r="AW39" s="14"/>
      <c r="AX39" s="102"/>
      <c r="AY39" s="14"/>
      <c r="AZ39" s="14"/>
      <c r="BA39" s="14"/>
      <c r="BB39" s="14"/>
      <c r="BC39" s="102"/>
      <c r="BD39" s="102"/>
      <c r="BE39" s="102"/>
      <c r="BF39" s="102"/>
      <c r="BG39" s="102"/>
      <c r="BH39" s="102"/>
      <c r="BI39" s="102"/>
      <c r="BJ39" s="102"/>
      <c r="BK39" s="102"/>
      <c r="BL39" s="102"/>
      <c r="BM39" s="102"/>
      <c r="BN39" s="102"/>
      <c r="BO39" s="102"/>
      <c r="BP39" s="102"/>
      <c r="BQ39" s="102"/>
      <c r="BR39" s="102"/>
      <c r="BS39" s="102"/>
      <c r="BT39" s="102"/>
      <c r="BU39" s="102"/>
      <c r="BV39" s="102"/>
      <c r="BW39" s="102"/>
      <c r="BX39" s="102"/>
      <c r="BY39" s="102"/>
      <c r="BZ39" s="102"/>
      <c r="CA39" s="102"/>
      <c r="CB39" s="102"/>
      <c r="CC39" s="102"/>
      <c r="CD39" s="102"/>
      <c r="CE39" s="102"/>
      <c r="CF39" s="102"/>
      <c r="CG39" s="102"/>
      <c r="CH39" s="102"/>
      <c r="CI39" s="102"/>
      <c r="CJ39" s="102"/>
      <c r="CK39" s="102"/>
      <c r="CL39" s="102"/>
      <c r="CM39" s="580"/>
      <c r="CW39" s="49"/>
      <c r="DP39" s="580"/>
      <c r="DQ39" s="580"/>
      <c r="DZ39" s="580"/>
      <c r="ED39" s="639"/>
      <c r="EE39" s="580"/>
      <c r="EK39" s="639"/>
      <c r="EL39" s="639"/>
      <c r="EM39" s="639"/>
      <c r="EN39" s="74"/>
      <c r="EO39" s="74"/>
      <c r="EP39" s="74"/>
      <c r="EQ39" s="74"/>
      <c r="ER39" s="74"/>
      <c r="ES39" s="74"/>
      <c r="ET39" s="74"/>
      <c r="EU39" s="74"/>
      <c r="EV39" s="74"/>
      <c r="EW39" s="74"/>
      <c r="EX39" s="74"/>
      <c r="EY39" s="74"/>
      <c r="EZ39" s="74"/>
      <c r="FA39" s="74"/>
      <c r="FB39" s="74"/>
      <c r="FC39" s="74"/>
      <c r="FD39" s="74"/>
      <c r="FE39" s="74"/>
      <c r="FF39" s="74"/>
      <c r="FG39" s="74"/>
      <c r="FH39" s="74"/>
      <c r="FI39" s="74"/>
      <c r="FJ39" s="74"/>
      <c r="FK39" s="74"/>
      <c r="FL39" s="74"/>
      <c r="FM39" s="74"/>
      <c r="FN39" s="74"/>
      <c r="FO39" s="74"/>
      <c r="FP39" s="74"/>
      <c r="FQ39" s="74"/>
      <c r="FR39" s="74"/>
      <c r="FS39" s="74"/>
      <c r="FT39" s="74"/>
      <c r="FU39" s="74"/>
      <c r="FV39" s="74"/>
      <c r="FW39" s="74"/>
      <c r="FX39" s="74"/>
      <c r="FY39" s="74"/>
      <c r="FZ39" s="74"/>
      <c r="GA39" s="74"/>
      <c r="GB39" s="74"/>
      <c r="GC39" s="74"/>
      <c r="GD39" s="74"/>
      <c r="GE39" s="74"/>
      <c r="GF39" s="74"/>
      <c r="KD39" s="97"/>
      <c r="KE39" s="97"/>
      <c r="KF39" s="97"/>
      <c r="KG39" s="97"/>
      <c r="KH39" s="97"/>
      <c r="KI39" s="97"/>
    </row>
    <row r="40" spans="1:295" s="4" customFormat="1" x14ac:dyDescent="0.25">
      <c r="A40" s="37" t="s">
        <v>176</v>
      </c>
      <c r="B40" s="14"/>
      <c r="C40" s="627">
        <f>D40/(D40+D41+D42)</f>
        <v>0.46292585170340678</v>
      </c>
      <c r="D40" s="628">
        <f>'Crops proc. &amp; prod. AMORTIZED'!W64</f>
        <v>16.8</v>
      </c>
      <c r="E40" s="629">
        <f>F40/GG40</f>
        <v>6.3224098196392795</v>
      </c>
      <c r="F40" s="630">
        <f>BX62</f>
        <v>4.4256868737474955</v>
      </c>
      <c r="G40" s="630"/>
      <c r="H40" s="629"/>
      <c r="I40" s="629"/>
      <c r="J40" s="14"/>
      <c r="K40" s="50"/>
      <c r="L40" s="50"/>
      <c r="M40" s="50"/>
      <c r="N40" s="14"/>
      <c r="O40" s="50"/>
      <c r="P40" s="50"/>
      <c r="Q40" s="50"/>
      <c r="R40" s="14"/>
      <c r="S40" s="50"/>
      <c r="T40" s="50"/>
      <c r="U40" s="14"/>
      <c r="V40" s="50"/>
      <c r="W40" s="50"/>
      <c r="X40" s="14"/>
      <c r="Y40" s="50"/>
      <c r="Z40" s="14"/>
      <c r="AA40" s="14"/>
      <c r="AB40" s="50"/>
      <c r="AC40" s="50"/>
      <c r="AD40" s="50"/>
      <c r="AE40" s="50"/>
      <c r="AF40" s="50"/>
      <c r="AG40" s="50"/>
      <c r="AH40" s="50"/>
      <c r="AI40" s="14"/>
      <c r="AJ40" s="50"/>
      <c r="AK40" s="50"/>
      <c r="AL40" s="50"/>
      <c r="AM40" s="50"/>
      <c r="AN40" s="50"/>
      <c r="AO40" s="575"/>
      <c r="AP40" s="50"/>
      <c r="AQ40" s="50"/>
      <c r="AR40" s="50"/>
      <c r="AS40" s="50"/>
      <c r="AT40" s="14"/>
      <c r="AU40" s="14"/>
      <c r="AV40" s="14"/>
      <c r="AW40" s="14"/>
      <c r="AX40" s="102"/>
      <c r="AY40" s="14"/>
      <c r="AZ40" s="14"/>
      <c r="BA40" s="14"/>
      <c r="BB40" s="14"/>
      <c r="BC40" s="102"/>
      <c r="BD40" s="102"/>
      <c r="BE40" s="102"/>
      <c r="BF40" s="102"/>
      <c r="BG40" s="102"/>
      <c r="BH40" s="102"/>
      <c r="BI40" s="102"/>
      <c r="BJ40" s="102"/>
      <c r="BK40" s="102"/>
      <c r="BL40" s="102"/>
      <c r="BM40" s="102"/>
      <c r="BN40" s="102"/>
      <c r="BO40" s="102"/>
      <c r="BP40" s="102"/>
      <c r="BQ40" s="102"/>
      <c r="BR40" s="102"/>
      <c r="BS40" s="102"/>
      <c r="BT40" s="102"/>
      <c r="BU40" s="102"/>
      <c r="BV40" s="102"/>
      <c r="BW40" s="102"/>
      <c r="BX40" s="102"/>
      <c r="BY40" s="102"/>
      <c r="BZ40" s="102"/>
      <c r="CA40" s="102"/>
      <c r="CB40" s="102"/>
      <c r="CC40" s="102"/>
      <c r="CD40" s="102"/>
      <c r="CE40" s="102"/>
      <c r="CF40" s="102"/>
      <c r="CG40" s="102"/>
      <c r="CH40" s="102"/>
      <c r="CI40" s="102"/>
      <c r="CJ40" s="102"/>
      <c r="CK40" s="102"/>
      <c r="CL40" s="102"/>
      <c r="CM40" s="125">
        <f>'Crops proc. &amp; prod. AMORTIZED'!AE64</f>
        <v>1.2371749639518339</v>
      </c>
      <c r="CW40" s="49"/>
      <c r="DP40" s="125">
        <f>'Crops proc. &amp; prod. AMORTIZED'!BW64</f>
        <v>0.44508884033438589</v>
      </c>
      <c r="DQ40" s="125">
        <f>'Crops proc. &amp; prod. AMORTIZED'!DM64</f>
        <v>0.45774192449426709</v>
      </c>
      <c r="DZ40" s="125">
        <f>'Crops proc. &amp; prod. AMORTIZED'!FF64</f>
        <v>0.91155051343971127</v>
      </c>
      <c r="ED40" s="333">
        <f>'Crops proc. &amp; prod. AMORTIZED'!GZ64</f>
        <v>0.15005826776879688</v>
      </c>
      <c r="EE40" s="125"/>
      <c r="EJ40" s="264">
        <f t="shared" ref="EJ40:EJ42" si="6">EK40+EL40+EM40</f>
        <v>0.24712475186492067</v>
      </c>
      <c r="EK40" s="333">
        <f>'Crops proc. &amp; prod. AMORTIZED'!JB64</f>
        <v>0.14178523164745549</v>
      </c>
      <c r="EL40" s="333">
        <f>'Crops proc. &amp; prod. AMORTIZED'!JC64</f>
        <v>0.10533952021746518</v>
      </c>
      <c r="EM40" s="333">
        <f>'Crops proc. &amp; prod. AMORTIZED'!JD64</f>
        <v>0</v>
      </c>
      <c r="EN40" s="74"/>
      <c r="EO40" s="74"/>
      <c r="EP40" s="74"/>
      <c r="EQ40" s="74"/>
      <c r="ER40" s="74"/>
      <c r="ES40" s="74"/>
      <c r="ET40" s="74"/>
      <c r="EU40" s="74"/>
      <c r="EV40" s="74"/>
      <c r="EW40" s="74"/>
      <c r="EX40" s="74"/>
      <c r="EY40" s="74"/>
      <c r="EZ40" s="74"/>
      <c r="FA40" s="74"/>
      <c r="FB40" s="74"/>
      <c r="FC40" s="74"/>
      <c r="FD40" s="74"/>
      <c r="FE40" s="74"/>
      <c r="FF40" s="74"/>
      <c r="FG40" s="74"/>
      <c r="FH40" s="74"/>
      <c r="FI40" s="74"/>
      <c r="FJ40" s="74"/>
      <c r="FK40" s="74"/>
      <c r="FL40" s="74"/>
      <c r="FM40" s="74"/>
      <c r="FN40" s="74"/>
      <c r="FO40" s="74"/>
      <c r="FP40" s="74"/>
      <c r="FQ40" s="74"/>
      <c r="FR40" s="74"/>
      <c r="FS40" s="74"/>
      <c r="FT40" s="74"/>
      <c r="FU40" s="74"/>
      <c r="FV40" s="74"/>
      <c r="FW40" s="74"/>
      <c r="FX40" s="74"/>
      <c r="FY40" s="74"/>
      <c r="FZ40" s="74"/>
      <c r="GA40" s="74"/>
      <c r="GB40" s="74"/>
      <c r="GC40" s="74"/>
      <c r="GD40" s="74"/>
      <c r="GE40" s="74"/>
      <c r="GF40" s="74"/>
      <c r="GG40" s="631">
        <f>'Crops proc. &amp; prod. AMORTIZED'!NT64</f>
        <v>0.7</v>
      </c>
      <c r="GH40" s="41">
        <f>'Crops proc. &amp; prod. AMORTIZED'!NV64</f>
        <v>11.2</v>
      </c>
      <c r="GI40" s="41">
        <f>'Crops proc. &amp; prod. AMORTIZED'!NW64</f>
        <v>16</v>
      </c>
      <c r="GL40" s="631">
        <f>'Crops proc. &amp; prod. AMORTIZED'!OC64</f>
        <v>5.5999999999999994E-2</v>
      </c>
      <c r="GM40" s="631">
        <f>'Crops proc. &amp; prod. AMORTIZED'!OD64</f>
        <v>0.08</v>
      </c>
      <c r="KD40" s="97"/>
      <c r="KE40" s="97"/>
      <c r="KF40" s="97"/>
      <c r="KG40" s="97"/>
      <c r="KH40" s="97"/>
      <c r="KI40" s="97"/>
    </row>
    <row r="41" spans="1:295" s="4" customFormat="1" x14ac:dyDescent="0.25">
      <c r="A41" s="37" t="s">
        <v>179</v>
      </c>
      <c r="B41" s="14"/>
      <c r="C41" s="627">
        <f>D41/(D40+D41+D42)</f>
        <v>0.21643286573146289</v>
      </c>
      <c r="D41" s="628">
        <f>'Crops proc. &amp; prod. AMORTIZED'!W69</f>
        <v>7.8545454545454545</v>
      </c>
      <c r="E41" s="629">
        <f>F41/GG41</f>
        <v>2.9559318637274554</v>
      </c>
      <c r="F41" s="630">
        <f>BY62</f>
        <v>2.0691523046092186</v>
      </c>
      <c r="G41" s="630"/>
      <c r="H41" s="629"/>
      <c r="I41" s="629"/>
      <c r="J41" s="14"/>
      <c r="K41" s="50"/>
      <c r="L41" s="50"/>
      <c r="M41" s="50"/>
      <c r="N41" s="14"/>
      <c r="O41" s="50"/>
      <c r="P41" s="50"/>
      <c r="Q41" s="50"/>
      <c r="R41" s="14"/>
      <c r="S41" s="50"/>
      <c r="T41" s="50"/>
      <c r="U41" s="14"/>
      <c r="V41" s="50"/>
      <c r="W41" s="50"/>
      <c r="X41" s="14"/>
      <c r="Y41" s="50"/>
      <c r="Z41" s="14"/>
      <c r="AA41" s="14"/>
      <c r="AB41" s="50"/>
      <c r="AC41" s="50"/>
      <c r="AD41" s="50"/>
      <c r="AE41" s="50"/>
      <c r="AF41" s="50"/>
      <c r="AG41" s="50"/>
      <c r="AH41" s="50"/>
      <c r="AI41" s="14"/>
      <c r="AJ41" s="50"/>
      <c r="AK41" s="50"/>
      <c r="AL41" s="50"/>
      <c r="AM41" s="50"/>
      <c r="AN41" s="50"/>
      <c r="AO41" s="575"/>
      <c r="AP41" s="50"/>
      <c r="AQ41" s="50"/>
      <c r="AR41" s="50"/>
      <c r="AS41" s="50"/>
      <c r="AT41" s="14"/>
      <c r="AU41" s="14"/>
      <c r="AV41" s="14"/>
      <c r="AW41" s="14"/>
      <c r="AX41" s="102"/>
      <c r="AY41" s="14"/>
      <c r="AZ41" s="14"/>
      <c r="BA41" s="14"/>
      <c r="BB41" s="14"/>
      <c r="BC41" s="102"/>
      <c r="BD41" s="102"/>
      <c r="BE41" s="102"/>
      <c r="BF41" s="102"/>
      <c r="BG41" s="102"/>
      <c r="BH41" s="102"/>
      <c r="BI41" s="102"/>
      <c r="BJ41" s="102"/>
      <c r="BK41" s="102"/>
      <c r="BL41" s="102"/>
      <c r="BM41" s="102"/>
      <c r="BN41" s="102"/>
      <c r="BO41" s="102"/>
      <c r="BP41" s="102"/>
      <c r="BQ41" s="102"/>
      <c r="BR41" s="102"/>
      <c r="BS41" s="102"/>
      <c r="BT41" s="102"/>
      <c r="BU41" s="102"/>
      <c r="BV41" s="102"/>
      <c r="BW41" s="102"/>
      <c r="BX41" s="102"/>
      <c r="BY41" s="102"/>
      <c r="BZ41" s="102"/>
      <c r="CA41" s="102"/>
      <c r="CB41" s="102"/>
      <c r="CC41" s="102"/>
      <c r="CD41" s="102"/>
      <c r="CE41" s="102"/>
      <c r="CF41" s="102"/>
      <c r="CG41" s="102"/>
      <c r="CH41" s="102"/>
      <c r="CI41" s="102"/>
      <c r="CJ41" s="102"/>
      <c r="CK41" s="102"/>
      <c r="CL41" s="102"/>
      <c r="CM41" s="125">
        <f>'Crops proc. &amp; prod. AMORTIZED'!AE69</f>
        <v>0.93603324122936415</v>
      </c>
      <c r="CW41" s="49"/>
      <c r="DP41" s="125">
        <f>'Crops proc. &amp; prod. AMORTIZED'!BW69</f>
        <v>0.23277974895456294</v>
      </c>
      <c r="DQ41" s="125">
        <f>'Crops proc. &amp; prod. AMORTIZED'!DM69</f>
        <v>0.2450084587653342</v>
      </c>
      <c r="DZ41" s="125">
        <f>'Crops proc. &amp; prod. AMORTIZED'!FF69</f>
        <v>0.4879115816873571</v>
      </c>
      <c r="ED41" s="333">
        <f>'Crops proc. &amp; prod. AMORTIZED'!GZ69</f>
        <v>5.4255006326989062E-2</v>
      </c>
      <c r="EE41" s="125"/>
      <c r="EJ41" s="264">
        <f t="shared" si="6"/>
        <v>0.25908162573328969</v>
      </c>
      <c r="EK41" s="333">
        <f>'Crops proc. &amp; prod. AMORTIZED'!JB69</f>
        <v>0.13907215108493293</v>
      </c>
      <c r="EL41" s="333">
        <f>'Crops proc. &amp; prod. AMORTIZED'!JC69</f>
        <v>0.12000947464835678</v>
      </c>
      <c r="EM41" s="333">
        <f>'Crops proc. &amp; prod. AMORTIZED'!JD69</f>
        <v>0</v>
      </c>
      <c r="EN41" s="74"/>
      <c r="EO41" s="74"/>
      <c r="EP41" s="74"/>
      <c r="EQ41" s="74"/>
      <c r="ER41" s="74"/>
      <c r="ES41" s="74"/>
      <c r="ET41" s="74"/>
      <c r="EU41" s="74"/>
      <c r="EV41" s="74"/>
      <c r="EW41" s="74"/>
      <c r="EX41" s="74"/>
      <c r="EY41" s="74"/>
      <c r="EZ41" s="74"/>
      <c r="FA41" s="74"/>
      <c r="FB41" s="74"/>
      <c r="FC41" s="74"/>
      <c r="FD41" s="74"/>
      <c r="FE41" s="74"/>
      <c r="FF41" s="74"/>
      <c r="FG41" s="74"/>
      <c r="FH41" s="74"/>
      <c r="FI41" s="74"/>
      <c r="FJ41" s="74"/>
      <c r="FK41" s="74"/>
      <c r="FL41" s="74"/>
      <c r="FM41" s="74"/>
      <c r="FN41" s="74"/>
      <c r="FO41" s="74"/>
      <c r="FP41" s="74"/>
      <c r="FQ41" s="74"/>
      <c r="FR41" s="74"/>
      <c r="FS41" s="74"/>
      <c r="FT41" s="74"/>
      <c r="FU41" s="74"/>
      <c r="FV41" s="74"/>
      <c r="FW41" s="74"/>
      <c r="FX41" s="74"/>
      <c r="FY41" s="74"/>
      <c r="FZ41" s="74"/>
      <c r="GA41" s="74"/>
      <c r="GB41" s="74"/>
      <c r="GC41" s="74"/>
      <c r="GD41" s="74"/>
      <c r="GE41" s="74"/>
      <c r="GF41" s="74"/>
      <c r="GG41" s="631">
        <f>'Crops proc. &amp; prod. AMORTIZED'!NT69</f>
        <v>0.7</v>
      </c>
      <c r="GH41" s="41">
        <f>'Crops proc. &amp; prod. AMORTIZED'!NV69</f>
        <v>11.2</v>
      </c>
      <c r="GI41" s="41">
        <f>'Crops proc. &amp; prod. AMORTIZED'!NW69</f>
        <v>16</v>
      </c>
      <c r="GL41" s="631">
        <f>'Crops proc. &amp; prod. AMORTIZED'!OC69</f>
        <v>5.5999999999999994E-2</v>
      </c>
      <c r="GM41" s="631">
        <f>'Crops proc. &amp; prod. AMORTIZED'!OD69</f>
        <v>0.08</v>
      </c>
      <c r="KD41" s="97"/>
      <c r="KE41" s="97"/>
      <c r="KF41" s="97"/>
      <c r="KG41" s="97"/>
      <c r="KH41" s="97"/>
      <c r="KI41" s="97"/>
    </row>
    <row r="42" spans="1:295" s="4" customFormat="1" x14ac:dyDescent="0.25">
      <c r="A42" s="37" t="s">
        <v>180</v>
      </c>
      <c r="B42" s="14"/>
      <c r="C42" s="627">
        <f>D42/(D40+D41+D42)</f>
        <v>0.32064128256513025</v>
      </c>
      <c r="D42" s="628">
        <f>'Crops proc. &amp; prod. AMORTIZED'!W70</f>
        <v>11.636363636363637</v>
      </c>
      <c r="E42" s="629">
        <f>F42/GG42</f>
        <v>3.4060120240480969</v>
      </c>
      <c r="F42" s="630">
        <f>BZ62</f>
        <v>3.0654108216432872</v>
      </c>
      <c r="G42" s="630"/>
      <c r="H42" s="629"/>
      <c r="I42" s="629"/>
      <c r="J42" s="14"/>
      <c r="K42" s="50"/>
      <c r="L42" s="50"/>
      <c r="M42" s="50"/>
      <c r="N42" s="14"/>
      <c r="O42" s="50"/>
      <c r="P42" s="50"/>
      <c r="Q42" s="50"/>
      <c r="R42" s="14"/>
      <c r="S42" s="50"/>
      <c r="T42" s="50"/>
      <c r="U42" s="14"/>
      <c r="V42" s="50"/>
      <c r="W42" s="50"/>
      <c r="X42" s="14"/>
      <c r="Y42" s="50"/>
      <c r="Z42" s="14"/>
      <c r="AA42" s="14"/>
      <c r="AB42" s="50"/>
      <c r="AC42" s="50"/>
      <c r="AD42" s="50"/>
      <c r="AE42" s="50"/>
      <c r="AF42" s="50"/>
      <c r="AG42" s="50"/>
      <c r="AH42" s="50"/>
      <c r="AI42" s="14"/>
      <c r="AJ42" s="50"/>
      <c r="AK42" s="50"/>
      <c r="AL42" s="50"/>
      <c r="AM42" s="50"/>
      <c r="AN42" s="50"/>
      <c r="AO42" s="575"/>
      <c r="AP42" s="50"/>
      <c r="AQ42" s="50"/>
      <c r="AR42" s="50"/>
      <c r="AS42" s="50"/>
      <c r="AT42" s="14"/>
      <c r="AU42" s="14"/>
      <c r="AV42" s="14"/>
      <c r="AW42" s="14"/>
      <c r="AX42" s="102"/>
      <c r="AY42" s="14"/>
      <c r="AZ42" s="14"/>
      <c r="BA42" s="14"/>
      <c r="BB42" s="14"/>
      <c r="BC42" s="102"/>
      <c r="BD42" s="102"/>
      <c r="BE42" s="102"/>
      <c r="BF42" s="102"/>
      <c r="BG42" s="102"/>
      <c r="BH42" s="102"/>
      <c r="BI42" s="102"/>
      <c r="BJ42" s="102"/>
      <c r="BK42" s="102"/>
      <c r="BL42" s="102"/>
      <c r="BM42" s="102"/>
      <c r="BN42" s="102"/>
      <c r="BO42" s="102"/>
      <c r="BP42" s="102"/>
      <c r="BQ42" s="102"/>
      <c r="BR42" s="102"/>
      <c r="BS42" s="102"/>
      <c r="BT42" s="102"/>
      <c r="BU42" s="102"/>
      <c r="BV42" s="102"/>
      <c r="BW42" s="102"/>
      <c r="BX42" s="102"/>
      <c r="BY42" s="102"/>
      <c r="BZ42" s="102"/>
      <c r="CA42" s="102"/>
      <c r="CB42" s="102"/>
      <c r="CC42" s="102"/>
      <c r="CD42" s="102"/>
      <c r="CE42" s="102"/>
      <c r="CF42" s="102"/>
      <c r="CG42" s="102"/>
      <c r="CH42" s="102"/>
      <c r="CI42" s="102"/>
      <c r="CJ42" s="102"/>
      <c r="CK42" s="102"/>
      <c r="CL42" s="102"/>
      <c r="CM42" s="125">
        <f>'Crops proc. &amp; prod. AMORTIZED'!AE70</f>
        <v>1.0237863575946171</v>
      </c>
      <c r="CW42" s="49"/>
      <c r="DP42" s="125">
        <f>'Crops proc. &amp; prod. AMORTIZED'!BW70</f>
        <v>0.25460285041905328</v>
      </c>
      <c r="DQ42" s="125">
        <f>'Crops proc. &amp; prod. AMORTIZED'!DM70</f>
        <v>0.26797800177458431</v>
      </c>
      <c r="DZ42" s="125">
        <f>'Crops proc. &amp; prod. AMORTIZED'!FF70</f>
        <v>0.53365329247054694</v>
      </c>
      <c r="ED42" s="333">
        <f>'Crops proc. &amp; prod. AMORTIZED'!GZ70</f>
        <v>5.9341413170144297E-2</v>
      </c>
      <c r="EE42" s="125"/>
      <c r="EJ42" s="264">
        <f t="shared" si="6"/>
        <v>0.28337052814578567</v>
      </c>
      <c r="EK42" s="333">
        <f>'Crops proc. &amp; prod. AMORTIZED'!JB70</f>
        <v>0.15211016524914542</v>
      </c>
      <c r="EL42" s="333">
        <f>'Crops proc. &amp; prod. AMORTIZED'!JC70</f>
        <v>0.13126036289664025</v>
      </c>
      <c r="EM42" s="333">
        <f>'Crops proc. &amp; prod. AMORTIZED'!JD70</f>
        <v>0</v>
      </c>
      <c r="EN42" s="60"/>
      <c r="EO42" s="60"/>
      <c r="EP42" s="60"/>
      <c r="EQ42" s="60"/>
      <c r="ER42" s="60"/>
      <c r="ES42" s="60"/>
      <c r="ET42" s="60"/>
      <c r="EU42" s="60"/>
      <c r="EV42" s="60"/>
      <c r="EW42" s="60"/>
      <c r="EX42" s="60"/>
      <c r="EY42" s="60"/>
      <c r="EZ42" s="60"/>
      <c r="FA42" s="60"/>
      <c r="FB42" s="60"/>
      <c r="FC42" s="60"/>
      <c r="FD42" s="60"/>
      <c r="FE42" s="60"/>
      <c r="FF42" s="60"/>
      <c r="FG42" s="60"/>
      <c r="FH42" s="60"/>
      <c r="FI42" s="60"/>
      <c r="FJ42" s="60"/>
      <c r="FK42" s="60"/>
      <c r="FL42" s="60"/>
      <c r="FM42" s="60"/>
      <c r="FN42" s="60"/>
      <c r="FO42" s="60"/>
      <c r="FP42" s="60"/>
      <c r="FQ42" s="60"/>
      <c r="FR42" s="60"/>
      <c r="FS42" s="60"/>
      <c r="FT42" s="60"/>
      <c r="FU42" s="60"/>
      <c r="FV42" s="60"/>
      <c r="FW42" s="60"/>
      <c r="FX42" s="60"/>
      <c r="FY42" s="60"/>
      <c r="FZ42" s="60"/>
      <c r="GA42" s="60"/>
      <c r="GB42" s="60"/>
      <c r="GC42" s="60"/>
      <c r="GD42" s="60"/>
      <c r="GE42" s="60"/>
      <c r="GF42" s="60"/>
      <c r="GG42" s="631">
        <f>'Crops proc. &amp; prod. AMORTIZED'!NT70</f>
        <v>0.9</v>
      </c>
      <c r="GH42" s="41">
        <f>'Crops proc. &amp; prod. AMORTIZED'!NV70</f>
        <v>15.75</v>
      </c>
      <c r="GI42" s="41">
        <f>'Crops proc. &amp; prod. AMORTIZED'!NW70</f>
        <v>17.5</v>
      </c>
      <c r="GL42" s="631">
        <f>'Crops proc. &amp; prod. AMORTIZED'!OC70</f>
        <v>9.0000000000000011E-2</v>
      </c>
      <c r="GM42" s="631">
        <f>'Crops proc. &amp; prod. AMORTIZED'!OD70</f>
        <v>0.1</v>
      </c>
      <c r="KD42" s="97"/>
      <c r="KE42" s="97"/>
      <c r="KF42" s="97"/>
      <c r="KG42" s="97"/>
      <c r="KH42" s="97"/>
      <c r="KI42" s="97"/>
    </row>
    <row r="43" spans="1:295" s="4" customFormat="1" x14ac:dyDescent="0.25">
      <c r="A43" s="37"/>
      <c r="B43" s="14"/>
      <c r="C43" s="102"/>
      <c r="D43" s="630"/>
      <c r="E43" s="629"/>
      <c r="F43" s="630"/>
      <c r="G43" s="630"/>
      <c r="H43" s="629"/>
      <c r="I43" s="629"/>
      <c r="J43" s="14"/>
      <c r="K43" s="50"/>
      <c r="L43" s="50"/>
      <c r="M43" s="50"/>
      <c r="N43" s="14"/>
      <c r="O43" s="50"/>
      <c r="P43" s="50"/>
      <c r="Q43" s="50"/>
      <c r="R43" s="14"/>
      <c r="S43" s="50"/>
      <c r="T43" s="50"/>
      <c r="U43" s="14"/>
      <c r="V43" s="50"/>
      <c r="W43" s="50"/>
      <c r="X43" s="14"/>
      <c r="Y43" s="50"/>
      <c r="Z43" s="14"/>
      <c r="AA43" s="14"/>
      <c r="AB43" s="50"/>
      <c r="AC43" s="50"/>
      <c r="AD43" s="50"/>
      <c r="AE43" s="50"/>
      <c r="AF43" s="50"/>
      <c r="AG43" s="50"/>
      <c r="AH43" s="50"/>
      <c r="AI43" s="14"/>
      <c r="AJ43" s="50"/>
      <c r="AK43" s="50"/>
      <c r="AL43" s="50"/>
      <c r="AM43" s="50"/>
      <c r="AN43" s="50"/>
      <c r="AO43" s="575"/>
      <c r="AP43" s="50"/>
      <c r="AQ43" s="50"/>
      <c r="AR43" s="50"/>
      <c r="AS43" s="50"/>
      <c r="AT43" s="14"/>
      <c r="AU43" s="14"/>
      <c r="AV43" s="14"/>
      <c r="AW43" s="14"/>
      <c r="AX43" s="102"/>
      <c r="AY43" s="14"/>
      <c r="AZ43" s="14"/>
      <c r="BA43" s="14"/>
      <c r="BB43" s="14"/>
      <c r="BC43" s="102"/>
      <c r="BD43" s="102"/>
      <c r="BE43" s="102"/>
      <c r="BF43" s="102"/>
      <c r="BG43" s="102"/>
      <c r="BH43" s="102"/>
      <c r="BI43" s="102"/>
      <c r="BJ43" s="102"/>
      <c r="BK43" s="102"/>
      <c r="BL43" s="102"/>
      <c r="BM43" s="102"/>
      <c r="BN43" s="102"/>
      <c r="BO43" s="102"/>
      <c r="BP43" s="102"/>
      <c r="BQ43" s="102"/>
      <c r="BR43" s="102"/>
      <c r="BS43" s="102"/>
      <c r="BT43" s="102"/>
      <c r="BU43" s="102"/>
      <c r="BV43" s="102"/>
      <c r="BW43" s="102"/>
      <c r="BX43" s="102"/>
      <c r="BY43" s="102"/>
      <c r="BZ43" s="102"/>
      <c r="CA43" s="102"/>
      <c r="CB43" s="102"/>
      <c r="CC43" s="102"/>
      <c r="CD43" s="102"/>
      <c r="CE43" s="102"/>
      <c r="CF43" s="102"/>
      <c r="CG43" s="102"/>
      <c r="CH43" s="102"/>
      <c r="CI43" s="102"/>
      <c r="CJ43" s="102"/>
      <c r="CK43" s="102"/>
      <c r="CL43" s="102"/>
      <c r="CM43" s="580"/>
      <c r="CW43" s="49"/>
      <c r="DP43" s="580"/>
      <c r="DQ43" s="580"/>
      <c r="DZ43" s="580"/>
      <c r="ED43" s="639"/>
      <c r="EE43" s="580"/>
      <c r="EK43" s="639"/>
      <c r="EL43" s="639"/>
      <c r="EM43" s="639"/>
      <c r="EN43" s="74"/>
      <c r="EO43" s="74"/>
      <c r="EP43" s="74"/>
      <c r="EQ43" s="74"/>
      <c r="ER43" s="74"/>
      <c r="ES43" s="74"/>
      <c r="ET43" s="74"/>
      <c r="EU43" s="74"/>
      <c r="EV43" s="74"/>
      <c r="EW43" s="74"/>
      <c r="EX43" s="74"/>
      <c r="EY43" s="74"/>
      <c r="EZ43" s="74"/>
      <c r="FA43" s="74"/>
      <c r="FB43" s="74"/>
      <c r="FC43" s="74"/>
      <c r="FD43" s="74"/>
      <c r="FE43" s="74"/>
      <c r="FF43" s="74"/>
      <c r="FG43" s="74"/>
      <c r="FH43" s="74"/>
      <c r="FI43" s="74"/>
      <c r="FJ43" s="74"/>
      <c r="FK43" s="74"/>
      <c r="FL43" s="74"/>
      <c r="FM43" s="74"/>
      <c r="FN43" s="74"/>
      <c r="FO43" s="74"/>
      <c r="FP43" s="74"/>
      <c r="FQ43" s="74"/>
      <c r="FR43" s="74"/>
      <c r="FS43" s="74"/>
      <c r="FT43" s="74"/>
      <c r="FU43" s="74"/>
      <c r="FV43" s="74"/>
      <c r="FW43" s="74"/>
      <c r="FX43" s="74"/>
      <c r="FY43" s="74"/>
      <c r="FZ43" s="74"/>
      <c r="GA43" s="74"/>
      <c r="GB43" s="74"/>
      <c r="GC43" s="74"/>
      <c r="GD43" s="74"/>
      <c r="GE43" s="74"/>
      <c r="GF43" s="74"/>
      <c r="KD43" s="97"/>
      <c r="KE43" s="97"/>
      <c r="KF43" s="97"/>
      <c r="KG43" s="97"/>
      <c r="KH43" s="97"/>
      <c r="KI43" s="97"/>
    </row>
    <row r="44" spans="1:295" s="4" customFormat="1" x14ac:dyDescent="0.25">
      <c r="A44" s="9" t="s">
        <v>372</v>
      </c>
      <c r="B44" s="14"/>
      <c r="C44" s="102"/>
      <c r="D44" s="640">
        <f>'Crops proc. &amp; prod. AMORTIZED'!W76</f>
        <v>204.46510521410704</v>
      </c>
      <c r="E44" s="144">
        <f>E45+E46+E47+E48+E49+E50</f>
        <v>206.44165566591701</v>
      </c>
      <c r="F44" s="577">
        <f>F45+F46+F47+F48+F49+F50</f>
        <v>189.49882500000001</v>
      </c>
      <c r="G44" s="626">
        <f>F44/D44</f>
        <v>0.9268027656922927</v>
      </c>
      <c r="H44" s="154"/>
      <c r="I44" s="154"/>
      <c r="J44" s="14"/>
      <c r="K44" s="50"/>
      <c r="L44" s="50"/>
      <c r="M44" s="50"/>
      <c r="N44" s="14"/>
      <c r="O44" s="50"/>
      <c r="P44" s="50"/>
      <c r="Q44" s="50"/>
      <c r="R44" s="14"/>
      <c r="S44" s="50"/>
      <c r="T44" s="50"/>
      <c r="U44" s="14"/>
      <c r="V44" s="50"/>
      <c r="W44" s="50"/>
      <c r="X44" s="14"/>
      <c r="Y44" s="50"/>
      <c r="Z44" s="14"/>
      <c r="AA44" s="14"/>
      <c r="AB44" s="50"/>
      <c r="AC44" s="50"/>
      <c r="AD44" s="50"/>
      <c r="AE44" s="50"/>
      <c r="AF44" s="50"/>
      <c r="AG44" s="50"/>
      <c r="AH44" s="50"/>
      <c r="AI44" s="14"/>
      <c r="AJ44" s="50"/>
      <c r="AK44" s="50"/>
      <c r="AL44" s="50"/>
      <c r="AM44" s="50"/>
      <c r="AN44" s="50"/>
      <c r="AO44" s="575"/>
      <c r="AP44" s="50"/>
      <c r="AQ44" s="50"/>
      <c r="AR44" s="50"/>
      <c r="AS44" s="50"/>
      <c r="AT44" s="14"/>
      <c r="AU44" s="14"/>
      <c r="AV44" s="14"/>
      <c r="AW44" s="14"/>
      <c r="AX44" s="102"/>
      <c r="AY44" s="14"/>
      <c r="AZ44" s="14"/>
      <c r="BA44" s="14"/>
      <c r="BB44" s="14"/>
      <c r="BC44" s="102"/>
      <c r="BD44" s="102"/>
      <c r="BE44" s="102"/>
      <c r="BF44" s="102"/>
      <c r="BG44" s="102"/>
      <c r="BH44" s="102"/>
      <c r="BI44" s="102"/>
      <c r="BJ44" s="102"/>
      <c r="BK44" s="102"/>
      <c r="BL44" s="102"/>
      <c r="BM44" s="102"/>
      <c r="BN44" s="102"/>
      <c r="BO44" s="102"/>
      <c r="BP44" s="102"/>
      <c r="BQ44" s="102"/>
      <c r="BR44" s="102"/>
      <c r="BS44" s="102"/>
      <c r="BT44" s="102"/>
      <c r="BU44" s="102"/>
      <c r="BV44" s="102"/>
      <c r="BW44" s="102"/>
      <c r="BX44" s="102"/>
      <c r="BY44" s="102"/>
      <c r="BZ44" s="102"/>
      <c r="CA44" s="102"/>
      <c r="CB44" s="102"/>
      <c r="CC44" s="102"/>
      <c r="CD44" s="102"/>
      <c r="CE44" s="102"/>
      <c r="CF44" s="102"/>
      <c r="CG44" s="102"/>
      <c r="CH44" s="102"/>
      <c r="CI44" s="102"/>
      <c r="CJ44" s="102"/>
      <c r="CK44" s="102"/>
      <c r="CL44" s="102"/>
      <c r="CM44" s="580"/>
      <c r="CW44" s="49"/>
      <c r="DP44" s="580"/>
      <c r="DQ44" s="580"/>
      <c r="DZ44" s="580"/>
      <c r="ED44" s="639"/>
      <c r="EE44" s="580"/>
      <c r="EK44" s="639"/>
      <c r="EL44" s="639"/>
      <c r="EM44" s="639"/>
      <c r="EN44" s="74"/>
      <c r="EO44" s="74"/>
      <c r="EP44" s="74"/>
      <c r="EQ44" s="74"/>
      <c r="ER44" s="74"/>
      <c r="ES44" s="74"/>
      <c r="ET44" s="74"/>
      <c r="EU44" s="74"/>
      <c r="EV44" s="74"/>
      <c r="EW44" s="74"/>
      <c r="EX44" s="74"/>
      <c r="EY44" s="74"/>
      <c r="EZ44" s="74"/>
      <c r="FA44" s="74"/>
      <c r="FB44" s="74"/>
      <c r="FC44" s="74"/>
      <c r="FD44" s="74"/>
      <c r="FE44" s="74"/>
      <c r="FF44" s="74"/>
      <c r="FG44" s="74"/>
      <c r="FH44" s="74"/>
      <c r="FI44" s="74"/>
      <c r="FJ44" s="74"/>
      <c r="FK44" s="74"/>
      <c r="FL44" s="74"/>
      <c r="FM44" s="74"/>
      <c r="FN44" s="74"/>
      <c r="FO44" s="74"/>
      <c r="FP44" s="74"/>
      <c r="FQ44" s="74"/>
      <c r="FR44" s="74"/>
      <c r="FS44" s="74"/>
      <c r="FT44" s="74"/>
      <c r="FU44" s="74"/>
      <c r="FV44" s="74"/>
      <c r="FW44" s="74"/>
      <c r="FX44" s="74"/>
      <c r="FY44" s="74"/>
      <c r="FZ44" s="74"/>
      <c r="GA44" s="74"/>
      <c r="GB44" s="74"/>
      <c r="GC44" s="74"/>
      <c r="GD44" s="74"/>
      <c r="GE44" s="74"/>
      <c r="GF44" s="74"/>
      <c r="KD44" s="97"/>
      <c r="KE44" s="97"/>
      <c r="KF44" s="97"/>
      <c r="KG44" s="97"/>
      <c r="KH44" s="97"/>
      <c r="KI44" s="97"/>
    </row>
    <row r="45" spans="1:295" s="4" customFormat="1" x14ac:dyDescent="0.25">
      <c r="A45" s="14" t="s">
        <v>90</v>
      </c>
      <c r="B45" s="14"/>
      <c r="C45" s="270">
        <f t="shared" ref="C45:C50" si="7">D45/D$44</f>
        <v>0.66906282055683264</v>
      </c>
      <c r="D45" s="628">
        <f>'Crops proc. &amp; prod. AMORTIZED'!W80</f>
        <v>136.80000000000001</v>
      </c>
      <c r="E45" s="629">
        <f t="shared" ref="E45:E50" si="8">F45/GG45</f>
        <v>137.81154168120176</v>
      </c>
      <c r="F45" s="630">
        <f>CB62</f>
        <v>126.78661834670564</v>
      </c>
      <c r="G45" s="630"/>
      <c r="H45" s="629"/>
      <c r="I45" s="629"/>
      <c r="K45" s="49"/>
      <c r="L45" s="49"/>
      <c r="M45" s="49"/>
      <c r="O45" s="49"/>
      <c r="P45" s="49"/>
      <c r="Q45" s="49"/>
      <c r="S45" s="49"/>
      <c r="T45" s="49"/>
      <c r="V45" s="49"/>
      <c r="W45" s="49"/>
      <c r="Y45" s="49"/>
      <c r="AB45" s="49"/>
      <c r="AC45" s="49"/>
      <c r="AD45" s="49"/>
      <c r="AE45" s="49"/>
      <c r="AF45" s="49"/>
      <c r="AG45" s="49"/>
      <c r="AH45" s="49"/>
      <c r="AJ45" s="49"/>
      <c r="AK45" s="49"/>
      <c r="AL45" s="49"/>
      <c r="AM45" s="49"/>
      <c r="AN45" s="49"/>
      <c r="AO45" s="123"/>
      <c r="AP45" s="49"/>
      <c r="AQ45" s="49"/>
      <c r="AR45" s="49"/>
      <c r="AS45" s="49"/>
      <c r="AV45" s="14"/>
      <c r="AW45" s="14"/>
      <c r="AX45" s="102"/>
      <c r="AY45" s="14"/>
      <c r="AZ45" s="14"/>
      <c r="BA45" s="14"/>
      <c r="BB45" s="14"/>
      <c r="BC45" s="102"/>
      <c r="BD45" s="102"/>
      <c r="BE45" s="102"/>
      <c r="BF45" s="102"/>
      <c r="BG45" s="102"/>
      <c r="BH45" s="102"/>
      <c r="BI45" s="102"/>
      <c r="BJ45" s="102"/>
      <c r="BK45" s="102"/>
      <c r="BL45" s="102"/>
      <c r="BM45" s="102"/>
      <c r="BN45" s="102"/>
      <c r="BO45" s="102"/>
      <c r="BP45" s="102"/>
      <c r="BQ45" s="102"/>
      <c r="BR45" s="102"/>
      <c r="BS45" s="102"/>
      <c r="BT45" s="102"/>
      <c r="BU45" s="102"/>
      <c r="BV45" s="102"/>
      <c r="BW45" s="102"/>
      <c r="BX45" s="102"/>
      <c r="BY45" s="102"/>
      <c r="BZ45" s="102"/>
      <c r="CA45" s="102"/>
      <c r="CB45" s="102"/>
      <c r="CC45" s="102"/>
      <c r="CD45" s="102"/>
      <c r="CE45" s="102"/>
      <c r="CF45" s="102"/>
      <c r="CG45" s="102"/>
      <c r="CH45" s="102"/>
      <c r="CI45" s="102"/>
      <c r="CJ45" s="102"/>
      <c r="CK45" s="102"/>
      <c r="CL45" s="102"/>
      <c r="CM45" s="126">
        <f>'Crops proc. &amp; prod. AMORTIZED'!AE80</f>
        <v>3.8177918769790278</v>
      </c>
      <c r="CW45" s="49"/>
      <c r="DP45" s="126">
        <f>'Crops proc. &amp; prod. AMORTIZED'!BW80</f>
        <v>1.5781604931034825</v>
      </c>
      <c r="DQ45" s="126">
        <f>'Crops proc. &amp; prod. AMORTIZED'!DM80</f>
        <v>1.3291413178423117</v>
      </c>
      <c r="DU45" s="14"/>
      <c r="DZ45" s="126">
        <f>'Crops proc. &amp; prod. AMORTIZED'!FF80</f>
        <v>2.6468614428352799</v>
      </c>
      <c r="ED45" s="334">
        <f>'Crops proc. &amp; prod. AMORTIZED'!GZ80</f>
        <v>0.15154064108772869</v>
      </c>
      <c r="EE45" s="126"/>
      <c r="EJ45" s="264">
        <f t="shared" ref="EJ45:EJ50" si="9">EK45+EL45+EM45</f>
        <v>0.37448109298502008</v>
      </c>
      <c r="EK45" s="334">
        <f>'Crops proc. &amp; prod. AMORTIZED'!JB80</f>
        <v>0.35449875314212642</v>
      </c>
      <c r="EL45" s="334">
        <f>'Crops proc. &amp; prod. AMORTIZED'!JC80</f>
        <v>1.0273234983558647E-2</v>
      </c>
      <c r="EM45" s="334">
        <f>'Crops proc. &amp; prod. AMORTIZED'!JD80</f>
        <v>9.7091048593350368E-3</v>
      </c>
      <c r="EN45" s="133"/>
      <c r="EO45" s="133"/>
      <c r="EP45" s="133"/>
      <c r="EQ45" s="133"/>
      <c r="ER45" s="133"/>
      <c r="ES45" s="133"/>
      <c r="ET45" s="133"/>
      <c r="EU45" s="133"/>
      <c r="EV45" s="133"/>
      <c r="EW45" s="133"/>
      <c r="EX45" s="133"/>
      <c r="EY45" s="133"/>
      <c r="EZ45" s="133"/>
      <c r="FA45" s="133"/>
      <c r="FB45" s="133"/>
      <c r="FC45" s="133"/>
      <c r="FD45" s="133"/>
      <c r="FE45" s="133"/>
      <c r="FF45" s="133"/>
      <c r="FG45" s="133"/>
      <c r="FH45" s="133"/>
      <c r="FI45" s="133"/>
      <c r="FJ45" s="133"/>
      <c r="FK45" s="133"/>
      <c r="FL45" s="133"/>
      <c r="FM45" s="133"/>
      <c r="FN45" s="133"/>
      <c r="FO45" s="133"/>
      <c r="FP45" s="133"/>
      <c r="FQ45" s="133"/>
      <c r="FR45" s="133"/>
      <c r="FS45" s="133"/>
      <c r="FT45" s="133"/>
      <c r="FU45" s="133"/>
      <c r="FV45" s="133"/>
      <c r="FW45" s="133"/>
      <c r="FX45" s="133"/>
      <c r="FY45" s="133"/>
      <c r="FZ45" s="133"/>
      <c r="GA45" s="133"/>
      <c r="GB45" s="133"/>
      <c r="GC45" s="133"/>
      <c r="GD45" s="133"/>
      <c r="GE45" s="133"/>
      <c r="GF45" s="133"/>
      <c r="GG45" s="631">
        <f>'Crops proc. &amp; prod. AMORTIZED'!NT80</f>
        <v>0.92</v>
      </c>
      <c r="GH45" s="41">
        <f>'Crops proc. &amp; prod. AMORTIZED'!NV80</f>
        <v>17.940000000000001</v>
      </c>
      <c r="GI45" s="41">
        <f>'Crops proc. &amp; prod. AMORTIZED'!NW80</f>
        <v>19.5</v>
      </c>
      <c r="GL45" s="631">
        <f>'Crops proc. &amp; prod. AMORTIZED'!OC80</f>
        <v>0.46</v>
      </c>
      <c r="GM45" s="631">
        <f>'Crops proc. &amp; prod. AMORTIZED'!OD80</f>
        <v>0.5</v>
      </c>
      <c r="KD45" s="97"/>
      <c r="KE45" s="97"/>
      <c r="KF45" s="97"/>
      <c r="KG45" s="97"/>
      <c r="KH45" s="97"/>
      <c r="KI45" s="97"/>
    </row>
    <row r="46" spans="1:295" s="4" customFormat="1" x14ac:dyDescent="0.25">
      <c r="A46" s="37" t="s">
        <v>142</v>
      </c>
      <c r="B46" s="14"/>
      <c r="C46" s="270">
        <f t="shared" si="7"/>
        <v>2.0464179068278004E-2</v>
      </c>
      <c r="D46" s="628">
        <f>'Crops proc. &amp; prod. AMORTIZED'!W85</f>
        <v>4.1842105263157894</v>
      </c>
      <c r="E46" s="629">
        <f t="shared" si="8"/>
        <v>4.215149878291605</v>
      </c>
      <c r="F46" s="630">
        <f>CC62</f>
        <v>3.8779378880282764</v>
      </c>
      <c r="G46" s="630"/>
      <c r="H46" s="629"/>
      <c r="I46" s="629"/>
      <c r="K46" s="49"/>
      <c r="L46" s="49"/>
      <c r="M46" s="49"/>
      <c r="O46" s="49"/>
      <c r="P46" s="49"/>
      <c r="Q46" s="49"/>
      <c r="S46" s="49"/>
      <c r="T46" s="49"/>
      <c r="V46" s="49"/>
      <c r="W46" s="49"/>
      <c r="Y46" s="49"/>
      <c r="AB46" s="49"/>
      <c r="AC46" s="49"/>
      <c r="AD46" s="49"/>
      <c r="AE46" s="49"/>
      <c r="AF46" s="49"/>
      <c r="AG46" s="49"/>
      <c r="AH46" s="49"/>
      <c r="AJ46" s="49"/>
      <c r="AK46" s="49"/>
      <c r="AL46" s="49"/>
      <c r="AM46" s="49"/>
      <c r="AN46" s="49"/>
      <c r="AO46" s="123"/>
      <c r="AP46" s="49"/>
      <c r="AQ46" s="49"/>
      <c r="AR46" s="49"/>
      <c r="AS46" s="49"/>
      <c r="AV46" s="14"/>
      <c r="AW46" s="14"/>
      <c r="AX46" s="102"/>
      <c r="AY46" s="14"/>
      <c r="AZ46" s="14"/>
      <c r="BA46" s="14"/>
      <c r="BB46" s="14"/>
      <c r="BC46" s="102"/>
      <c r="BD46" s="102"/>
      <c r="BE46" s="102"/>
      <c r="BF46" s="102"/>
      <c r="BG46" s="102"/>
      <c r="BH46" s="102"/>
      <c r="BI46" s="102"/>
      <c r="BJ46" s="102"/>
      <c r="BK46" s="102"/>
      <c r="BL46" s="102"/>
      <c r="BM46" s="102"/>
      <c r="BN46" s="102"/>
      <c r="BO46" s="102"/>
      <c r="BP46" s="102"/>
      <c r="BQ46" s="102"/>
      <c r="BR46" s="102"/>
      <c r="BS46" s="102"/>
      <c r="BT46" s="102"/>
      <c r="BU46" s="102"/>
      <c r="BV46" s="102"/>
      <c r="BW46" s="102"/>
      <c r="BX46" s="102"/>
      <c r="BY46" s="102"/>
      <c r="BZ46" s="102"/>
      <c r="CA46" s="102"/>
      <c r="CB46" s="102"/>
      <c r="CC46" s="102"/>
      <c r="CD46" s="102"/>
      <c r="CE46" s="102"/>
      <c r="CF46" s="102"/>
      <c r="CG46" s="102"/>
      <c r="CH46" s="102"/>
      <c r="CI46" s="102"/>
      <c r="CJ46" s="102"/>
      <c r="CK46" s="102"/>
      <c r="CL46" s="102"/>
      <c r="CM46" s="126">
        <f>'Crops proc. &amp; prod. AMORTIZED'!AE85</f>
        <v>1.4881242476601877</v>
      </c>
      <c r="CW46" s="49"/>
      <c r="DP46" s="126">
        <f>'Crops proc. &amp; prod. AMORTIZED'!BW85</f>
        <v>0.98889917237210667</v>
      </c>
      <c r="DQ46" s="126">
        <f>'Crops proc. &amp; prod. AMORTIZED'!DM85</f>
        <v>0.7622182028387634</v>
      </c>
      <c r="DU46" s="14"/>
      <c r="DZ46" s="126">
        <f>'Crops proc. &amp; prod. AMORTIZED'!FF85</f>
        <v>1.5178867326133911</v>
      </c>
      <c r="ED46" s="334">
        <f>'Crops proc. &amp; prod. AMORTIZED'!GZ85</f>
        <v>1.1633099633341084</v>
      </c>
      <c r="EE46" s="126"/>
      <c r="EJ46" s="264">
        <f t="shared" si="9"/>
        <v>0.89935317167284667</v>
      </c>
      <c r="EK46" s="334">
        <f>'Crops proc. &amp; prod. AMORTIZED'!JB85</f>
        <v>0.10290528399943528</v>
      </c>
      <c r="EL46" s="334">
        <f>'Crops proc. &amp; prod. AMORTIZED'!JC85</f>
        <v>8.7352110240844008E-2</v>
      </c>
      <c r="EM46" s="334">
        <f>'Crops proc. &amp; prod. AMORTIZED'!JD85</f>
        <v>0.70909577743256735</v>
      </c>
      <c r="EN46" s="133"/>
      <c r="EO46" s="133"/>
      <c r="EP46" s="133"/>
      <c r="EQ46" s="133"/>
      <c r="ER46" s="133"/>
      <c r="ES46" s="133"/>
      <c r="ET46" s="133"/>
      <c r="EU46" s="133"/>
      <c r="EV46" s="133"/>
      <c r="EW46" s="133"/>
      <c r="EX46" s="133"/>
      <c r="EY46" s="133"/>
      <c r="EZ46" s="133"/>
      <c r="FA46" s="133"/>
      <c r="FB46" s="133"/>
      <c r="FC46" s="133"/>
      <c r="FD46" s="133"/>
      <c r="FE46" s="133"/>
      <c r="FF46" s="133"/>
      <c r="FG46" s="133"/>
      <c r="FH46" s="133"/>
      <c r="FI46" s="133"/>
      <c r="FJ46" s="133"/>
      <c r="FK46" s="133"/>
      <c r="FL46" s="133"/>
      <c r="FM46" s="133"/>
      <c r="FN46" s="133"/>
      <c r="FO46" s="133"/>
      <c r="FP46" s="133"/>
      <c r="FQ46" s="133"/>
      <c r="FR46" s="133"/>
      <c r="FS46" s="133"/>
      <c r="FT46" s="133"/>
      <c r="FU46" s="133"/>
      <c r="FV46" s="133"/>
      <c r="FW46" s="133"/>
      <c r="FX46" s="133"/>
      <c r="FY46" s="133"/>
      <c r="FZ46" s="133"/>
      <c r="GA46" s="133"/>
      <c r="GB46" s="133"/>
      <c r="GC46" s="133"/>
      <c r="GD46" s="133"/>
      <c r="GE46" s="133"/>
      <c r="GF46" s="133"/>
      <c r="GG46" s="631">
        <f>'Crops proc. &amp; prod. AMORTIZED'!NT85</f>
        <v>0.92</v>
      </c>
      <c r="GH46" s="41">
        <f>'Crops proc. &amp; prod. AMORTIZED'!NV85</f>
        <v>18.400000000000002</v>
      </c>
      <c r="GI46" s="41">
        <f>'Crops proc. &amp; prod. AMORTIZED'!NW85</f>
        <v>20</v>
      </c>
      <c r="GL46" s="631">
        <f>'Crops proc. &amp; prod. AMORTIZED'!OC85</f>
        <v>0.1656</v>
      </c>
      <c r="GM46" s="631">
        <f>'Crops proc. &amp; prod. AMORTIZED'!OD85</f>
        <v>0.18</v>
      </c>
      <c r="KD46" s="97"/>
      <c r="KE46" s="97"/>
      <c r="KF46" s="97"/>
      <c r="KG46" s="97"/>
      <c r="KH46" s="97"/>
      <c r="KI46" s="97"/>
    </row>
    <row r="47" spans="1:295" s="4" customFormat="1" x14ac:dyDescent="0.25">
      <c r="A47" s="14" t="s">
        <v>91</v>
      </c>
      <c r="B47" s="14"/>
      <c r="C47" s="270">
        <f t="shared" si="7"/>
        <v>0.10457441214444914</v>
      </c>
      <c r="D47" s="628">
        <f>'Crops proc. &amp; prod. AMORTIZED'!W90</f>
        <v>21.381818181818186</v>
      </c>
      <c r="E47" s="629">
        <f t="shared" si="8"/>
        <v>21.53992198525961</v>
      </c>
      <c r="F47" s="630">
        <f>CD62</f>
        <v>19.816728226438844</v>
      </c>
      <c r="G47" s="630"/>
      <c r="H47" s="629"/>
      <c r="I47" s="629"/>
      <c r="J47" s="14"/>
      <c r="K47" s="50"/>
      <c r="L47" s="50"/>
      <c r="M47" s="50"/>
      <c r="N47" s="14"/>
      <c r="O47" s="50"/>
      <c r="P47" s="50"/>
      <c r="Q47" s="50"/>
      <c r="R47" s="14"/>
      <c r="S47" s="50"/>
      <c r="T47" s="50"/>
      <c r="U47" s="14"/>
      <c r="V47" s="50"/>
      <c r="W47" s="50"/>
      <c r="X47" s="14"/>
      <c r="Y47" s="50"/>
      <c r="Z47" s="14"/>
      <c r="AA47" s="14"/>
      <c r="AB47" s="50"/>
      <c r="AC47" s="50"/>
      <c r="AD47" s="50"/>
      <c r="AE47" s="50"/>
      <c r="AF47" s="50"/>
      <c r="AG47" s="50"/>
      <c r="AH47" s="50"/>
      <c r="AI47" s="14"/>
      <c r="AJ47" s="50"/>
      <c r="AK47" s="50"/>
      <c r="AL47" s="50"/>
      <c r="AM47" s="50"/>
      <c r="AN47" s="50"/>
      <c r="AO47" s="575"/>
      <c r="AP47" s="50"/>
      <c r="AQ47" s="50"/>
      <c r="AR47" s="50"/>
      <c r="AS47" s="50"/>
      <c r="AT47" s="14"/>
      <c r="AU47" s="14"/>
      <c r="AV47" s="14"/>
      <c r="AW47" s="14"/>
      <c r="AX47" s="102"/>
      <c r="AY47" s="14"/>
      <c r="AZ47" s="14"/>
      <c r="BA47" s="14"/>
      <c r="BB47" s="14"/>
      <c r="BC47" s="102"/>
      <c r="BD47" s="102"/>
      <c r="BE47" s="102"/>
      <c r="BF47" s="102"/>
      <c r="BG47" s="102"/>
      <c r="BH47" s="102"/>
      <c r="BI47" s="102"/>
      <c r="BJ47" s="102"/>
      <c r="BK47" s="102"/>
      <c r="BL47" s="102"/>
      <c r="BM47" s="102"/>
      <c r="BN47" s="102"/>
      <c r="BO47" s="102"/>
      <c r="BP47" s="102"/>
      <c r="BQ47" s="102"/>
      <c r="BR47" s="102"/>
      <c r="BS47" s="102"/>
      <c r="BT47" s="102"/>
      <c r="BU47" s="102"/>
      <c r="BV47" s="102"/>
      <c r="BW47" s="102"/>
      <c r="BX47" s="102"/>
      <c r="BY47" s="102"/>
      <c r="BZ47" s="102"/>
      <c r="CA47" s="102"/>
      <c r="CB47" s="102"/>
      <c r="CC47" s="102"/>
      <c r="CD47" s="102"/>
      <c r="CE47" s="102"/>
      <c r="CF47" s="102"/>
      <c r="CG47" s="102"/>
      <c r="CH47" s="102"/>
      <c r="CI47" s="102"/>
      <c r="CJ47" s="102"/>
      <c r="CK47" s="102"/>
      <c r="CL47" s="102"/>
      <c r="CM47" s="125">
        <f>'Crops proc. &amp; prod. AMORTIZED'!AE90</f>
        <v>4.1398958123736769</v>
      </c>
      <c r="CW47" s="49"/>
      <c r="DP47" s="125">
        <f>'Crops proc. &amp; prod. AMORTIZED'!BW90</f>
        <v>1.1889702415586743</v>
      </c>
      <c r="DQ47" s="125">
        <f>'Crops proc. &amp; prod. AMORTIZED'!DM90</f>
        <v>1.015475631255679</v>
      </c>
      <c r="DU47" s="14"/>
      <c r="DZ47" s="125">
        <f>'Crops proc. &amp; prod. AMORTIZED'!FF90</f>
        <v>2.0222253709431031</v>
      </c>
      <c r="ED47" s="333">
        <f>'Crops proc. &amp; prod. AMORTIZED'!GZ90</f>
        <v>0.45132804986288605</v>
      </c>
      <c r="EE47" s="125"/>
      <c r="EJ47" s="264">
        <f t="shared" si="9"/>
        <v>0.8144459004321053</v>
      </c>
      <c r="EK47" s="333">
        <f>'Crops proc. &amp; prod. AMORTIZED'!JB90</f>
        <v>0.49959677447247658</v>
      </c>
      <c r="EL47" s="333">
        <f>'Crops proc. &amp; prod. AMORTIZED'!JC90</f>
        <v>0.30148845003237679</v>
      </c>
      <c r="EM47" s="333">
        <f>'Crops proc. &amp; prod. AMORTIZED'!JD90</f>
        <v>1.3360675927251899E-2</v>
      </c>
      <c r="EN47" s="74"/>
      <c r="EO47" s="74"/>
      <c r="EP47" s="74"/>
      <c r="EQ47" s="74"/>
      <c r="ER47" s="74"/>
      <c r="ES47" s="74"/>
      <c r="ET47" s="74"/>
      <c r="EU47" s="74"/>
      <c r="EV47" s="74"/>
      <c r="EW47" s="74"/>
      <c r="EX47" s="74"/>
      <c r="EY47" s="74"/>
      <c r="EZ47" s="74"/>
      <c r="FA47" s="74"/>
      <c r="FB47" s="74"/>
      <c r="FC47" s="74"/>
      <c r="FD47" s="74"/>
      <c r="FE47" s="74"/>
      <c r="FF47" s="74"/>
      <c r="FG47" s="74"/>
      <c r="FH47" s="74"/>
      <c r="FI47" s="74"/>
      <c r="FJ47" s="74"/>
      <c r="FK47" s="74"/>
      <c r="FL47" s="74"/>
      <c r="FM47" s="74"/>
      <c r="FN47" s="74"/>
      <c r="FO47" s="74"/>
      <c r="FP47" s="74"/>
      <c r="FQ47" s="74"/>
      <c r="FR47" s="74"/>
      <c r="FS47" s="74"/>
      <c r="FT47" s="74"/>
      <c r="FU47" s="74"/>
      <c r="FV47" s="74"/>
      <c r="FW47" s="74"/>
      <c r="FX47" s="74"/>
      <c r="FY47" s="74"/>
      <c r="FZ47" s="74"/>
      <c r="GA47" s="74"/>
      <c r="GB47" s="74"/>
      <c r="GC47" s="74"/>
      <c r="GD47" s="74"/>
      <c r="GE47" s="74"/>
      <c r="GF47" s="74"/>
      <c r="GG47" s="631">
        <f>'Crops proc. &amp; prod. AMORTIZED'!NT90</f>
        <v>0.92</v>
      </c>
      <c r="GH47" s="41">
        <f>'Crops proc. &amp; prod. AMORTIZED'!NV90</f>
        <v>17.48</v>
      </c>
      <c r="GI47" s="41">
        <f>'Crops proc. &amp; prod. AMORTIZED'!NW90</f>
        <v>19</v>
      </c>
      <c r="GL47" s="631">
        <f>'Crops proc. &amp; prod. AMORTIZED'!OC90</f>
        <v>0.37785714285714284</v>
      </c>
      <c r="GM47" s="631">
        <f>'Crops proc. &amp; prod. AMORTIZED'!OD90</f>
        <v>0.4107142857142857</v>
      </c>
      <c r="KD47" s="97"/>
      <c r="KE47" s="97"/>
      <c r="KF47" s="97"/>
      <c r="KG47" s="97"/>
      <c r="KH47" s="97"/>
      <c r="KI47" s="97"/>
    </row>
    <row r="48" spans="1:295" s="4" customFormat="1" x14ac:dyDescent="0.25">
      <c r="A48" s="14" t="s">
        <v>92</v>
      </c>
      <c r="B48" s="14"/>
      <c r="C48" s="270">
        <f t="shared" si="7"/>
        <v>6.6603941068190814E-2</v>
      </c>
      <c r="D48" s="628">
        <f>'Crops proc. &amp; prod. AMORTIZED'!W94</f>
        <v>13.618181818181819</v>
      </c>
      <c r="E48" s="629">
        <f t="shared" si="8"/>
        <v>13.718878883468919</v>
      </c>
      <c r="F48" s="630">
        <f>CE62</f>
        <v>12.621368572791406</v>
      </c>
      <c r="G48" s="630"/>
      <c r="H48" s="629"/>
      <c r="I48" s="629"/>
      <c r="J48" s="14"/>
      <c r="K48" s="50"/>
      <c r="L48" s="50"/>
      <c r="M48" s="50"/>
      <c r="N48" s="14"/>
      <c r="O48" s="50"/>
      <c r="P48" s="50"/>
      <c r="Q48" s="50"/>
      <c r="R48" s="14"/>
      <c r="S48" s="50"/>
      <c r="T48" s="50"/>
      <c r="U48" s="14"/>
      <c r="V48" s="50"/>
      <c r="W48" s="50"/>
      <c r="X48" s="14"/>
      <c r="Y48" s="50"/>
      <c r="Z48" s="14"/>
      <c r="AA48" s="14"/>
      <c r="AB48" s="50"/>
      <c r="AC48" s="50"/>
      <c r="AD48" s="50"/>
      <c r="AE48" s="50"/>
      <c r="AF48" s="50"/>
      <c r="AG48" s="50"/>
      <c r="AH48" s="50"/>
      <c r="AI48" s="14"/>
      <c r="AJ48" s="50"/>
      <c r="AK48" s="50"/>
      <c r="AL48" s="50"/>
      <c r="AM48" s="50"/>
      <c r="AN48" s="50"/>
      <c r="AO48" s="575"/>
      <c r="AP48" s="50"/>
      <c r="AQ48" s="50"/>
      <c r="AR48" s="50"/>
      <c r="AS48" s="50"/>
      <c r="AT48" s="14"/>
      <c r="AU48" s="14"/>
      <c r="AV48" s="14"/>
      <c r="AW48" s="14"/>
      <c r="AX48" s="102"/>
      <c r="AY48" s="14"/>
      <c r="AZ48" s="14"/>
      <c r="BA48" s="14"/>
      <c r="BB48" s="14"/>
      <c r="BC48" s="102"/>
      <c r="BD48" s="102"/>
      <c r="BE48" s="102"/>
      <c r="BF48" s="102"/>
      <c r="BG48" s="102"/>
      <c r="BH48" s="102"/>
      <c r="BI48" s="102"/>
      <c r="BJ48" s="102"/>
      <c r="BK48" s="102"/>
      <c r="BL48" s="102"/>
      <c r="BM48" s="102"/>
      <c r="BN48" s="102"/>
      <c r="BO48" s="102"/>
      <c r="BP48" s="102"/>
      <c r="BQ48" s="102"/>
      <c r="BR48" s="102"/>
      <c r="BS48" s="102"/>
      <c r="BT48" s="102"/>
      <c r="BU48" s="102"/>
      <c r="BV48" s="102"/>
      <c r="BW48" s="102"/>
      <c r="BX48" s="102"/>
      <c r="BY48" s="102"/>
      <c r="BZ48" s="102"/>
      <c r="CA48" s="102"/>
      <c r="CB48" s="102"/>
      <c r="CC48" s="102"/>
      <c r="CD48" s="102"/>
      <c r="CE48" s="102"/>
      <c r="CF48" s="102"/>
      <c r="CG48" s="102"/>
      <c r="CH48" s="102"/>
      <c r="CI48" s="102"/>
      <c r="CJ48" s="102"/>
      <c r="CK48" s="102"/>
      <c r="CL48" s="102"/>
      <c r="CM48" s="126">
        <f>'Crops proc. &amp; prod. AMORTIZED'!AE94</f>
        <v>5.7043037807040733</v>
      </c>
      <c r="CW48" s="49"/>
      <c r="DP48" s="126">
        <f>'Crops proc. &amp; prod. AMORTIZED'!BW94</f>
        <v>1.0397099694816307</v>
      </c>
      <c r="DQ48" s="126">
        <f>'Crops proc. &amp; prod. AMORTIZED'!DM94</f>
        <v>1.452192336228153</v>
      </c>
      <c r="DU48" s="14"/>
      <c r="DZ48" s="126">
        <f>'Crops proc. &amp; prod. AMORTIZED'!FF94</f>
        <v>2.8919061131761494</v>
      </c>
      <c r="ED48" s="334">
        <f>'Crops proc. &amp; prod. AMORTIZED'!GZ94</f>
        <v>0.11189442591886699</v>
      </c>
      <c r="EE48" s="126"/>
      <c r="EJ48" s="264">
        <f t="shared" si="9"/>
        <v>0.61982727922314451</v>
      </c>
      <c r="EK48" s="334">
        <f>'Crops proc. &amp; prod. AMORTIZED'!JB94</f>
        <v>0.42926056215872088</v>
      </c>
      <c r="EL48" s="334">
        <f>'Crops proc. &amp; prod. AMORTIZED'!JC94</f>
        <v>0.18021219322080334</v>
      </c>
      <c r="EM48" s="334">
        <f>'Crops proc. &amp; prod. AMORTIZED'!JD94</f>
        <v>1.0354523843620223E-2</v>
      </c>
      <c r="EN48" s="74"/>
      <c r="EO48" s="74"/>
      <c r="EP48" s="74"/>
      <c r="EQ48" s="74"/>
      <c r="ER48" s="74"/>
      <c r="ES48" s="74"/>
      <c r="ET48" s="74"/>
      <c r="EU48" s="74"/>
      <c r="EV48" s="74"/>
      <c r="EW48" s="74"/>
      <c r="EX48" s="74"/>
      <c r="EY48" s="74"/>
      <c r="EZ48" s="74"/>
      <c r="FA48" s="74"/>
      <c r="FB48" s="74"/>
      <c r="FC48" s="74"/>
      <c r="FD48" s="74"/>
      <c r="FE48" s="74"/>
      <c r="FF48" s="74"/>
      <c r="FG48" s="74"/>
      <c r="FH48" s="74"/>
      <c r="FI48" s="74"/>
      <c r="FJ48" s="74"/>
      <c r="FK48" s="74"/>
      <c r="FL48" s="74"/>
      <c r="FM48" s="74"/>
      <c r="FN48" s="74"/>
      <c r="FO48" s="74"/>
      <c r="FP48" s="74"/>
      <c r="FQ48" s="74"/>
      <c r="FR48" s="74"/>
      <c r="FS48" s="74"/>
      <c r="FT48" s="74"/>
      <c r="FU48" s="74"/>
      <c r="FV48" s="74"/>
      <c r="FW48" s="74"/>
      <c r="FX48" s="74"/>
      <c r="FY48" s="74"/>
      <c r="FZ48" s="74"/>
      <c r="GA48" s="74"/>
      <c r="GB48" s="74"/>
      <c r="GC48" s="74"/>
      <c r="GD48" s="74"/>
      <c r="GE48" s="74"/>
      <c r="GF48" s="74"/>
      <c r="GG48" s="631">
        <f>'Crops proc. &amp; prod. AMORTIZED'!NT94</f>
        <v>0.92</v>
      </c>
      <c r="GH48" s="41">
        <f>'Crops proc. &amp; prod. AMORTIZED'!NV94</f>
        <v>17.48</v>
      </c>
      <c r="GI48" s="41">
        <f>'Crops proc. &amp; prod. AMORTIZED'!NW94</f>
        <v>19</v>
      </c>
      <c r="GL48" s="631">
        <f>'Crops proc. &amp; prod. AMORTIZED'!OC94</f>
        <v>0.36142857142857143</v>
      </c>
      <c r="GM48" s="631">
        <f>'Crops proc. &amp; prod. AMORTIZED'!OD94</f>
        <v>0.39285714285714285</v>
      </c>
      <c r="KD48" s="97"/>
      <c r="KE48" s="97"/>
      <c r="KF48" s="97"/>
      <c r="KG48" s="97"/>
      <c r="KH48" s="97"/>
      <c r="KI48" s="97"/>
    </row>
    <row r="49" spans="1:295" s="4" customFormat="1" x14ac:dyDescent="0.25">
      <c r="A49" s="37" t="s">
        <v>147</v>
      </c>
      <c r="B49" s="14"/>
      <c r="C49" s="270">
        <f t="shared" si="7"/>
        <v>3.7777291743479158E-2</v>
      </c>
      <c r="D49" s="628">
        <f>'Crops proc. &amp; prod. AMORTIZED'!W98</f>
        <v>7.7241379310344831</v>
      </c>
      <c r="E49" s="629">
        <f t="shared" si="8"/>
        <v>7.7812526055125009</v>
      </c>
      <c r="F49" s="630">
        <f>CF62</f>
        <v>7.1587523970715008</v>
      </c>
      <c r="G49" s="630"/>
      <c r="H49" s="629"/>
      <c r="I49" s="629"/>
      <c r="J49" s="14"/>
      <c r="K49" s="50"/>
      <c r="L49" s="50"/>
      <c r="M49" s="50"/>
      <c r="N49" s="14"/>
      <c r="O49" s="50"/>
      <c r="P49" s="50"/>
      <c r="Q49" s="50"/>
      <c r="R49" s="14"/>
      <c r="S49" s="50"/>
      <c r="T49" s="50"/>
      <c r="U49" s="14"/>
      <c r="V49" s="50"/>
      <c r="W49" s="50"/>
      <c r="X49" s="14"/>
      <c r="Y49" s="50"/>
      <c r="Z49" s="14"/>
      <c r="AA49" s="14"/>
      <c r="AB49" s="50"/>
      <c r="AC49" s="50"/>
      <c r="AD49" s="50"/>
      <c r="AE49" s="50"/>
      <c r="AF49" s="50"/>
      <c r="AG49" s="50"/>
      <c r="AH49" s="50"/>
      <c r="AI49" s="14"/>
      <c r="AJ49" s="50"/>
      <c r="AK49" s="50"/>
      <c r="AL49" s="50"/>
      <c r="AM49" s="50"/>
      <c r="AN49" s="50"/>
      <c r="AO49" s="575"/>
      <c r="AP49" s="50"/>
      <c r="AQ49" s="50"/>
      <c r="AR49" s="50"/>
      <c r="AS49" s="50"/>
      <c r="AT49" s="14"/>
      <c r="AU49" s="14"/>
      <c r="AV49" s="14"/>
      <c r="AW49" s="14"/>
      <c r="AX49" s="102"/>
      <c r="AY49" s="14"/>
      <c r="AZ49" s="14"/>
      <c r="BA49" s="14"/>
      <c r="BB49" s="14"/>
      <c r="BC49" s="102"/>
      <c r="BD49" s="102"/>
      <c r="BE49" s="102"/>
      <c r="BF49" s="102"/>
      <c r="BG49" s="102"/>
      <c r="BH49" s="102"/>
      <c r="BI49" s="102"/>
      <c r="BJ49" s="102"/>
      <c r="BK49" s="102"/>
      <c r="BL49" s="102"/>
      <c r="BM49" s="102"/>
      <c r="BN49" s="102"/>
      <c r="BO49" s="102"/>
      <c r="BP49" s="102"/>
      <c r="BQ49" s="102"/>
      <c r="BR49" s="102"/>
      <c r="BS49" s="102"/>
      <c r="BT49" s="102"/>
      <c r="BU49" s="102"/>
      <c r="BV49" s="102"/>
      <c r="BW49" s="102"/>
      <c r="BX49" s="102"/>
      <c r="BY49" s="102"/>
      <c r="BZ49" s="102"/>
      <c r="CA49" s="102"/>
      <c r="CB49" s="102"/>
      <c r="CC49" s="102"/>
      <c r="CD49" s="102"/>
      <c r="CE49" s="102"/>
      <c r="CF49" s="102"/>
      <c r="CG49" s="102"/>
      <c r="CH49" s="102"/>
      <c r="CI49" s="102"/>
      <c r="CJ49" s="102"/>
      <c r="CK49" s="102"/>
      <c r="CL49" s="102"/>
      <c r="CM49" s="126">
        <f>'Crops proc. &amp; prod. AMORTIZED'!AE98</f>
        <v>7.2371178753773577</v>
      </c>
      <c r="CW49" s="49"/>
      <c r="DP49" s="126">
        <f>'Crops proc. &amp; prod. AMORTIZED'!BW98</f>
        <v>1.8236981670236441</v>
      </c>
      <c r="DQ49" s="126">
        <f>'Crops proc. &amp; prod. AMORTIZED'!DM98</f>
        <v>2.1556113229835741</v>
      </c>
      <c r="DZ49" s="126">
        <f>'Crops proc. &amp; prod. AMORTIZED'!FF98</f>
        <v>4.2926996700446258</v>
      </c>
      <c r="ED49" s="334">
        <f>'Crops proc. &amp; prod. AMORTIZED'!GZ98</f>
        <v>0.43729700028461477</v>
      </c>
      <c r="EE49" s="126"/>
      <c r="EJ49" s="264">
        <f t="shared" si="9"/>
        <v>0.42119506513832794</v>
      </c>
      <c r="EK49" s="334">
        <f>'Crops proc. &amp; prod. AMORTIZED'!JB98</f>
        <v>0.37845531809167399</v>
      </c>
      <c r="EL49" s="334">
        <f>'Crops proc. &amp; prod. AMORTIZED'!JC98</f>
        <v>3.9306681430651538E-2</v>
      </c>
      <c r="EM49" s="334">
        <f>'Crops proc. &amp; prod. AMORTIZED'!JD98</f>
        <v>3.4330656160024239E-3</v>
      </c>
      <c r="EN49" s="74"/>
      <c r="EO49" s="74"/>
      <c r="EP49" s="74"/>
      <c r="EQ49" s="74"/>
      <c r="ER49" s="74"/>
      <c r="ES49" s="74"/>
      <c r="ET49" s="74"/>
      <c r="EU49" s="74"/>
      <c r="EV49" s="74"/>
      <c r="EW49" s="74"/>
      <c r="EX49" s="74"/>
      <c r="EY49" s="74"/>
      <c r="EZ49" s="74"/>
      <c r="FA49" s="74"/>
      <c r="FB49" s="74"/>
      <c r="FC49" s="74"/>
      <c r="FD49" s="74"/>
      <c r="FE49" s="74"/>
      <c r="FF49" s="74"/>
      <c r="FG49" s="74"/>
      <c r="FH49" s="74"/>
      <c r="FI49" s="74"/>
      <c r="FJ49" s="74"/>
      <c r="FK49" s="74"/>
      <c r="FL49" s="74"/>
      <c r="FM49" s="74"/>
      <c r="FN49" s="74"/>
      <c r="FO49" s="74"/>
      <c r="FP49" s="74"/>
      <c r="FQ49" s="74"/>
      <c r="FR49" s="74"/>
      <c r="FS49" s="74"/>
      <c r="FT49" s="74"/>
      <c r="FU49" s="74"/>
      <c r="FV49" s="74"/>
      <c r="FW49" s="74"/>
      <c r="FX49" s="74"/>
      <c r="FY49" s="74"/>
      <c r="FZ49" s="74"/>
      <c r="GA49" s="74"/>
      <c r="GB49" s="74"/>
      <c r="GC49" s="74"/>
      <c r="GD49" s="74"/>
      <c r="GE49" s="74"/>
      <c r="GF49" s="74"/>
      <c r="GG49" s="631">
        <f>'Crops proc. &amp; prod. AMORTIZED'!NT98</f>
        <v>0.92</v>
      </c>
      <c r="GH49" s="41">
        <f>'Crops proc. &amp; prod. AMORTIZED'!NV98</f>
        <v>19.32</v>
      </c>
      <c r="GI49" s="41">
        <f>'Crops proc. &amp; prod. AMORTIZED'!NW98</f>
        <v>21</v>
      </c>
      <c r="GL49" s="631">
        <f>'Crops proc. &amp; prod. AMORTIZED'!OC98</f>
        <v>0.437</v>
      </c>
      <c r="GM49" s="631">
        <f>'Crops proc. &amp; prod. AMORTIZED'!OD98</f>
        <v>0.47499999999999998</v>
      </c>
      <c r="KD49" s="97"/>
      <c r="KE49" s="97"/>
      <c r="KF49" s="97"/>
      <c r="KG49" s="97"/>
      <c r="KH49" s="97"/>
      <c r="KI49" s="97"/>
    </row>
    <row r="50" spans="1:295" s="4" customFormat="1" x14ac:dyDescent="0.25">
      <c r="A50" s="37" t="s">
        <v>350</v>
      </c>
      <c r="B50" s="14"/>
      <c r="C50" s="270">
        <f t="shared" si="7"/>
        <v>0.10151735541877024</v>
      </c>
      <c r="D50" s="628">
        <f>'Crops proc. &amp; prod. AMORTIZED'!W155</f>
        <v>20.756756756756758</v>
      </c>
      <c r="E50" s="629">
        <f t="shared" si="8"/>
        <v>21.374910632182605</v>
      </c>
      <c r="F50" s="629">
        <f>CG62</f>
        <v>19.237419568964345</v>
      </c>
      <c r="G50" s="630"/>
      <c r="H50" s="629"/>
      <c r="I50" s="629"/>
      <c r="J50" s="14"/>
      <c r="K50" s="50"/>
      <c r="L50" s="50"/>
      <c r="M50" s="50"/>
      <c r="N50" s="14"/>
      <c r="O50" s="50"/>
      <c r="P50" s="50"/>
      <c r="Q50" s="50"/>
      <c r="R50" s="14"/>
      <c r="S50" s="50"/>
      <c r="T50" s="50"/>
      <c r="U50" s="14"/>
      <c r="V50" s="50"/>
      <c r="W50" s="50"/>
      <c r="X50" s="14"/>
      <c r="Y50" s="50"/>
      <c r="Z50" s="14"/>
      <c r="AA50" s="14"/>
      <c r="AB50" s="50"/>
      <c r="AC50" s="50"/>
      <c r="AD50" s="50"/>
      <c r="AE50" s="50"/>
      <c r="AF50" s="50"/>
      <c r="AG50" s="50"/>
      <c r="AH50" s="50"/>
      <c r="AI50" s="14"/>
      <c r="AJ50" s="50"/>
      <c r="AK50" s="50"/>
      <c r="AL50" s="50"/>
      <c r="AM50" s="50"/>
      <c r="AN50" s="50"/>
      <c r="AO50" s="575"/>
      <c r="AP50" s="50"/>
      <c r="AQ50" s="50"/>
      <c r="AR50" s="50"/>
      <c r="AS50" s="50"/>
      <c r="AT50" s="14"/>
      <c r="AU50" s="14"/>
      <c r="AV50" s="14"/>
      <c r="AW50" s="14"/>
      <c r="AX50" s="102"/>
      <c r="AY50" s="14"/>
      <c r="AZ50" s="14"/>
      <c r="BA50" s="14"/>
      <c r="BB50" s="14"/>
      <c r="BC50" s="102"/>
      <c r="BD50" s="102"/>
      <c r="BE50" s="102"/>
      <c r="BF50" s="102"/>
      <c r="BG50" s="102"/>
      <c r="BH50" s="102"/>
      <c r="BI50" s="102"/>
      <c r="BJ50" s="102"/>
      <c r="BK50" s="102"/>
      <c r="BL50" s="102"/>
      <c r="BM50" s="102"/>
      <c r="BN50" s="102"/>
      <c r="BO50" s="102"/>
      <c r="BP50" s="102"/>
      <c r="BQ50" s="102"/>
      <c r="BR50" s="102"/>
      <c r="BS50" s="102"/>
      <c r="BT50" s="102"/>
      <c r="BU50" s="102"/>
      <c r="BV50" s="102"/>
      <c r="BW50" s="102"/>
      <c r="BX50" s="102"/>
      <c r="BY50" s="102"/>
      <c r="BZ50" s="102"/>
      <c r="CA50" s="102"/>
      <c r="CB50" s="102"/>
      <c r="CC50" s="102"/>
      <c r="CD50" s="102"/>
      <c r="CE50" s="102"/>
      <c r="CF50" s="102"/>
      <c r="CG50" s="102"/>
      <c r="CH50" s="102"/>
      <c r="CI50" s="102"/>
      <c r="CJ50" s="102"/>
      <c r="CK50" s="102"/>
      <c r="CL50" s="102"/>
      <c r="CM50" s="126">
        <f>'Crops proc. &amp; prod. AMORTIZED'!AE155</f>
        <v>6.1585301575277658</v>
      </c>
      <c r="CW50" s="49"/>
      <c r="DP50" s="126">
        <f>'Crops proc. &amp; prod. AMORTIZED'!BW155</f>
        <v>1.0244798590550088</v>
      </c>
      <c r="DQ50" s="126">
        <f>'Crops proc. &amp; prod. AMORTIZED'!DM155</f>
        <v>1.390239408326998</v>
      </c>
      <c r="DZ50" s="126">
        <f>'Crops proc. &amp; prod. AMORTIZED'!FF155</f>
        <v>2.7685326133601009</v>
      </c>
      <c r="ED50" s="334">
        <f>'Crops proc. &amp; prod. AMORTIZED'!GZ155</f>
        <v>0.10857278694639989</v>
      </c>
      <c r="EE50" s="126"/>
      <c r="EJ50" s="264">
        <f t="shared" si="9"/>
        <v>1.4465332244002915</v>
      </c>
      <c r="EK50" s="334">
        <f>'Crops proc. &amp; prod. AMORTIZED'!JB155</f>
        <v>0.807452133999914</v>
      </c>
      <c r="EL50" s="334">
        <f>'Crops proc. &amp; prod. AMORTIZED'!JC155</f>
        <v>0.63908109040037753</v>
      </c>
      <c r="EM50" s="334">
        <f>'Crops proc. &amp; prod. AMORTIZED'!JD155</f>
        <v>0</v>
      </c>
      <c r="EN50" s="74"/>
      <c r="EO50" s="74"/>
      <c r="EP50" s="74"/>
      <c r="EQ50" s="74"/>
      <c r="ER50" s="74"/>
      <c r="ES50" s="74"/>
      <c r="ET50" s="74"/>
      <c r="EU50" s="74"/>
      <c r="EV50" s="74"/>
      <c r="EW50" s="74"/>
      <c r="EX50" s="74"/>
      <c r="EY50" s="74"/>
      <c r="EZ50" s="74"/>
      <c r="FA50" s="74"/>
      <c r="FB50" s="74"/>
      <c r="FC50" s="74"/>
      <c r="FD50" s="74"/>
      <c r="FE50" s="74"/>
      <c r="FF50" s="74"/>
      <c r="FG50" s="74"/>
      <c r="FH50" s="74"/>
      <c r="FI50" s="74"/>
      <c r="FJ50" s="74"/>
      <c r="FK50" s="74"/>
      <c r="FL50" s="74"/>
      <c r="FM50" s="74"/>
      <c r="FN50" s="74"/>
      <c r="FO50" s="74"/>
      <c r="FP50" s="74"/>
      <c r="FQ50" s="74"/>
      <c r="FR50" s="74"/>
      <c r="FS50" s="74"/>
      <c r="FT50" s="74"/>
      <c r="FU50" s="74"/>
      <c r="FV50" s="74"/>
      <c r="FW50" s="74"/>
      <c r="FX50" s="74"/>
      <c r="FY50" s="74"/>
      <c r="FZ50" s="74"/>
      <c r="GA50" s="74"/>
      <c r="GB50" s="74"/>
      <c r="GC50" s="74"/>
      <c r="GD50" s="74"/>
      <c r="GE50" s="74"/>
      <c r="GF50" s="74"/>
      <c r="GG50" s="631">
        <f>'Crops proc. &amp; prod. AMORTIZED'!NT155</f>
        <v>0.9</v>
      </c>
      <c r="GH50" s="41">
        <f>'Crops proc. &amp; prod. AMORTIZED'!NV155</f>
        <v>17.55</v>
      </c>
      <c r="GI50" s="41">
        <f>'Crops proc. &amp; prod. AMORTIZED'!NW155</f>
        <v>19.5</v>
      </c>
      <c r="GL50" s="631">
        <f>'Crops proc. &amp; prod. AMORTIZED'!OC155</f>
        <v>0.421875</v>
      </c>
      <c r="GM50" s="631">
        <f>'Crops proc. &amp; prod. AMORTIZED'!OD155</f>
        <v>0.46875</v>
      </c>
      <c r="KD50" s="97"/>
      <c r="KE50" s="97"/>
      <c r="KF50" s="97"/>
      <c r="KG50" s="97"/>
      <c r="KH50" s="97"/>
      <c r="KI50" s="97"/>
    </row>
    <row r="51" spans="1:295" s="4" customFormat="1" x14ac:dyDescent="0.25">
      <c r="A51" s="14"/>
      <c r="B51" s="14"/>
      <c r="C51" s="14"/>
      <c r="D51" s="14"/>
      <c r="E51" s="102"/>
      <c r="F51" s="14"/>
      <c r="G51" s="14"/>
      <c r="H51" s="102"/>
      <c r="I51" s="102"/>
      <c r="J51" s="14"/>
      <c r="K51" s="50"/>
      <c r="L51" s="50"/>
      <c r="M51" s="50"/>
      <c r="N51" s="14"/>
      <c r="O51" s="50"/>
      <c r="P51" s="50"/>
      <c r="Q51" s="50"/>
      <c r="R51" s="14"/>
      <c r="S51" s="50"/>
      <c r="T51" s="50"/>
      <c r="U51" s="14"/>
      <c r="V51" s="50"/>
      <c r="W51" s="50"/>
      <c r="X51" s="14"/>
      <c r="Y51" s="50"/>
      <c r="Z51" s="14"/>
      <c r="AA51" s="14"/>
      <c r="AB51" s="50"/>
      <c r="AC51" s="50"/>
      <c r="AD51" s="50"/>
      <c r="AE51" s="50"/>
      <c r="AF51" s="50"/>
      <c r="AG51" s="50"/>
      <c r="AH51" s="50"/>
      <c r="AI51" s="14"/>
      <c r="AJ51" s="50"/>
      <c r="AK51" s="50"/>
      <c r="AL51" s="50"/>
      <c r="AM51" s="50"/>
      <c r="AN51" s="50"/>
      <c r="AO51" s="575"/>
      <c r="AP51" s="50"/>
      <c r="AQ51" s="50"/>
      <c r="AR51" s="50"/>
      <c r="AS51" s="50"/>
      <c r="AT51" s="14"/>
      <c r="AU51" s="14"/>
      <c r="AV51" s="14"/>
      <c r="AW51" s="14"/>
      <c r="AX51" s="102"/>
      <c r="AY51" s="14"/>
      <c r="AZ51" s="14"/>
      <c r="BA51" s="14"/>
      <c r="BB51" s="14"/>
      <c r="BC51" s="102"/>
      <c r="BD51" s="102"/>
      <c r="BE51" s="102"/>
      <c r="BF51" s="102"/>
      <c r="BG51" s="102"/>
      <c r="BH51" s="102"/>
      <c r="BI51" s="102"/>
      <c r="BJ51" s="102"/>
      <c r="BK51" s="102"/>
      <c r="BL51" s="102"/>
      <c r="BM51" s="102"/>
      <c r="BN51" s="102"/>
      <c r="BO51" s="102"/>
      <c r="BP51" s="102"/>
      <c r="BQ51" s="102"/>
      <c r="BR51" s="102"/>
      <c r="BS51" s="102"/>
      <c r="BT51" s="102"/>
      <c r="BU51" s="102"/>
      <c r="BV51" s="102"/>
      <c r="BW51" s="102"/>
      <c r="BX51" s="102"/>
      <c r="BY51" s="102"/>
      <c r="BZ51" s="102"/>
      <c r="CA51" s="102"/>
      <c r="CB51" s="102"/>
      <c r="CC51" s="102"/>
      <c r="CD51" s="102"/>
      <c r="CE51" s="102"/>
      <c r="CF51" s="102"/>
      <c r="CG51" s="102"/>
      <c r="CH51" s="102"/>
      <c r="CI51" s="102"/>
      <c r="CJ51" s="102"/>
      <c r="CK51" s="102"/>
      <c r="CL51" s="102"/>
      <c r="CM51" s="60"/>
      <c r="CW51" s="49"/>
      <c r="DP51" s="97"/>
      <c r="DQ51" s="97"/>
      <c r="DZ51" s="97"/>
      <c r="ED51" s="522"/>
      <c r="EE51" s="97"/>
      <c r="EK51" s="522"/>
      <c r="EL51" s="522"/>
      <c r="EM51" s="522"/>
      <c r="EN51" s="74"/>
      <c r="EO51" s="74"/>
      <c r="EP51" s="74"/>
      <c r="EQ51" s="74"/>
      <c r="ER51" s="74"/>
      <c r="ES51" s="74"/>
      <c r="ET51" s="74"/>
      <c r="EU51" s="74"/>
      <c r="EV51" s="74"/>
      <c r="EW51" s="74"/>
      <c r="EX51" s="74"/>
      <c r="EY51" s="74"/>
      <c r="EZ51" s="74"/>
      <c r="FA51" s="74"/>
      <c r="FB51" s="74"/>
      <c r="FC51" s="74"/>
      <c r="FD51" s="74"/>
      <c r="FE51" s="74"/>
      <c r="FF51" s="74"/>
      <c r="FG51" s="74"/>
      <c r="FH51" s="74"/>
      <c r="FI51" s="74"/>
      <c r="FJ51" s="74"/>
      <c r="FK51" s="74"/>
      <c r="FL51" s="74"/>
      <c r="FM51" s="74"/>
      <c r="FN51" s="74"/>
      <c r="FO51" s="74"/>
      <c r="FP51" s="74"/>
      <c r="FQ51" s="74"/>
      <c r="FR51" s="74"/>
      <c r="FS51" s="74"/>
      <c r="FT51" s="74"/>
      <c r="FU51" s="74"/>
      <c r="FV51" s="74"/>
      <c r="FW51" s="74"/>
      <c r="FX51" s="74"/>
      <c r="FY51" s="74"/>
      <c r="FZ51" s="74"/>
      <c r="GA51" s="74"/>
      <c r="GB51" s="74"/>
      <c r="GC51" s="74"/>
      <c r="GD51" s="74"/>
      <c r="GE51" s="74"/>
      <c r="GF51" s="74"/>
      <c r="KD51" s="97"/>
      <c r="KE51" s="97"/>
      <c r="KF51" s="97"/>
      <c r="KG51" s="97"/>
      <c r="KH51" s="97"/>
      <c r="KI51" s="97"/>
    </row>
    <row r="52" spans="1:295" s="4" customFormat="1" x14ac:dyDescent="0.25">
      <c r="A52" s="9" t="s">
        <v>302</v>
      </c>
      <c r="B52" s="14"/>
      <c r="C52" s="14"/>
      <c r="D52" s="625">
        <f>'Crops proc. &amp; prod. AMORTIZED'!W104</f>
        <v>38.102856587263005</v>
      </c>
      <c r="E52" s="144">
        <f>E53+E54+E55</f>
        <v>32.983360455240678</v>
      </c>
      <c r="F52" s="577">
        <f>F53+F54+F55</f>
        <v>29.949374999999996</v>
      </c>
      <c r="G52" s="626">
        <f>F52/D52</f>
        <v>0.78601390243301206</v>
      </c>
      <c r="H52" s="154"/>
      <c r="I52" s="154"/>
      <c r="J52" s="14"/>
      <c r="K52" s="50"/>
      <c r="L52" s="50"/>
      <c r="M52" s="50"/>
      <c r="N52" s="14"/>
      <c r="O52" s="50"/>
      <c r="P52" s="50"/>
      <c r="Q52" s="50"/>
      <c r="R52" s="14"/>
      <c r="S52" s="50"/>
      <c r="T52" s="50"/>
      <c r="U52" s="14"/>
      <c r="V52" s="50"/>
      <c r="W52" s="50"/>
      <c r="X52" s="14"/>
      <c r="Y52" s="50"/>
      <c r="Z52" s="14"/>
      <c r="AA52" s="14"/>
      <c r="AB52" s="50"/>
      <c r="AC52" s="50"/>
      <c r="AD52" s="50"/>
      <c r="AE52" s="50"/>
      <c r="AF52" s="50"/>
      <c r="AG52" s="50"/>
      <c r="AH52" s="50"/>
      <c r="AI52" s="14"/>
      <c r="AJ52" s="50"/>
      <c r="AK52" s="50"/>
      <c r="AL52" s="50"/>
      <c r="AM52" s="50"/>
      <c r="AN52" s="50"/>
      <c r="AO52" s="575"/>
      <c r="AP52" s="50"/>
      <c r="AQ52" s="50"/>
      <c r="AR52" s="50"/>
      <c r="AS52" s="50"/>
      <c r="AT52" s="14"/>
      <c r="AU52" s="14"/>
      <c r="AV52" s="14"/>
      <c r="AW52" s="14"/>
      <c r="AX52" s="102"/>
      <c r="AY52" s="14"/>
      <c r="AZ52" s="14"/>
      <c r="BA52" s="14"/>
      <c r="BB52" s="14"/>
      <c r="BC52" s="102"/>
      <c r="BD52" s="102"/>
      <c r="BE52" s="102"/>
      <c r="BF52" s="102"/>
      <c r="BG52" s="102"/>
      <c r="BH52" s="102"/>
      <c r="BI52" s="102"/>
      <c r="BJ52" s="102"/>
      <c r="BK52" s="102"/>
      <c r="BL52" s="102"/>
      <c r="BM52" s="102"/>
      <c r="BN52" s="102"/>
      <c r="BO52" s="102"/>
      <c r="BP52" s="102"/>
      <c r="BQ52" s="102"/>
      <c r="BR52" s="102"/>
      <c r="BS52" s="102"/>
      <c r="BT52" s="102"/>
      <c r="BU52" s="102"/>
      <c r="BV52" s="102"/>
      <c r="BW52" s="102"/>
      <c r="BX52" s="102"/>
      <c r="BY52" s="102"/>
      <c r="BZ52" s="102"/>
      <c r="CA52" s="102"/>
      <c r="CB52" s="102"/>
      <c r="CC52" s="102"/>
      <c r="CD52" s="102"/>
      <c r="CE52" s="102"/>
      <c r="CF52" s="102"/>
      <c r="CG52" s="102"/>
      <c r="CH52" s="102"/>
      <c r="CI52" s="102"/>
      <c r="CJ52" s="102"/>
      <c r="CK52" s="102"/>
      <c r="CL52" s="102"/>
      <c r="CM52" s="60"/>
      <c r="CW52" s="49"/>
      <c r="DP52" s="97"/>
      <c r="DQ52" s="97"/>
      <c r="DZ52" s="97"/>
      <c r="ED52" s="522"/>
      <c r="EE52" s="97"/>
      <c r="EK52" s="522"/>
      <c r="EL52" s="522"/>
      <c r="EM52" s="522"/>
      <c r="EN52" s="74"/>
      <c r="EO52" s="74"/>
      <c r="EP52" s="74"/>
      <c r="EQ52" s="74"/>
      <c r="ER52" s="74"/>
      <c r="ES52" s="74"/>
      <c r="ET52" s="74"/>
      <c r="EU52" s="74"/>
      <c r="EV52" s="74"/>
      <c r="EW52" s="74"/>
      <c r="EX52" s="74"/>
      <c r="EY52" s="74"/>
      <c r="EZ52" s="74"/>
      <c r="FA52" s="74"/>
      <c r="FB52" s="74"/>
      <c r="FC52" s="74"/>
      <c r="FD52" s="74"/>
      <c r="FE52" s="74"/>
      <c r="FF52" s="74"/>
      <c r="FG52" s="74"/>
      <c r="FH52" s="74"/>
      <c r="FI52" s="74"/>
      <c r="FJ52" s="74"/>
      <c r="FK52" s="74"/>
      <c r="FL52" s="74"/>
      <c r="FM52" s="74"/>
      <c r="FN52" s="74"/>
      <c r="FO52" s="74"/>
      <c r="FP52" s="74"/>
      <c r="FQ52" s="74"/>
      <c r="FR52" s="74"/>
      <c r="FS52" s="74"/>
      <c r="FT52" s="74"/>
      <c r="FU52" s="74"/>
      <c r="FV52" s="74"/>
      <c r="FW52" s="74"/>
      <c r="FX52" s="74"/>
      <c r="FY52" s="74"/>
      <c r="FZ52" s="74"/>
      <c r="GA52" s="74"/>
      <c r="GB52" s="74"/>
      <c r="GC52" s="74"/>
      <c r="GD52" s="74"/>
      <c r="GE52" s="74"/>
      <c r="GF52" s="74"/>
      <c r="KD52" s="97"/>
      <c r="KE52" s="97"/>
      <c r="KF52" s="97"/>
      <c r="KG52" s="97"/>
      <c r="KH52" s="97"/>
      <c r="KI52" s="97"/>
    </row>
    <row r="53" spans="1:295" s="4" customFormat="1" x14ac:dyDescent="0.25">
      <c r="A53" s="37" t="s">
        <v>300</v>
      </c>
      <c r="B53" s="14"/>
      <c r="C53" s="627">
        <f>D53/(D53+D54+D55)</f>
        <v>0.27362401715511081</v>
      </c>
      <c r="D53" s="628">
        <f>'Crops proc. &amp; prod. AMORTIZED'!W108</f>
        <v>10.425856684491979</v>
      </c>
      <c r="E53" s="630">
        <f>F53/GG53</f>
        <v>8.8116863427794048</v>
      </c>
      <c r="F53" s="630">
        <f>CI62</f>
        <v>8.1948682987848471</v>
      </c>
      <c r="G53" s="14"/>
      <c r="H53" s="102"/>
      <c r="I53" s="102"/>
      <c r="J53" s="14"/>
      <c r="K53" s="50"/>
      <c r="L53" s="50"/>
      <c r="M53" s="50"/>
      <c r="N53" s="14"/>
      <c r="O53" s="50"/>
      <c r="P53" s="50"/>
      <c r="Q53" s="50"/>
      <c r="R53" s="14"/>
      <c r="S53" s="50"/>
      <c r="T53" s="50"/>
      <c r="U53" s="14"/>
      <c r="V53" s="50"/>
      <c r="W53" s="50"/>
      <c r="X53" s="14"/>
      <c r="Y53" s="50"/>
      <c r="Z53" s="14"/>
      <c r="AA53" s="14"/>
      <c r="AB53" s="50"/>
      <c r="AC53" s="50"/>
      <c r="AD53" s="50"/>
      <c r="AE53" s="50"/>
      <c r="AF53" s="50"/>
      <c r="AG53" s="50"/>
      <c r="AH53" s="50"/>
      <c r="AI53" s="14"/>
      <c r="AJ53" s="50"/>
      <c r="AK53" s="50"/>
      <c r="AL53" s="50"/>
      <c r="AM53" s="50"/>
      <c r="AN53" s="50"/>
      <c r="AO53" s="575"/>
      <c r="AP53" s="50"/>
      <c r="AQ53" s="50"/>
      <c r="AR53" s="50"/>
      <c r="AS53" s="50"/>
      <c r="AT53" s="14"/>
      <c r="AU53" s="14"/>
      <c r="AV53" s="14"/>
      <c r="AW53" s="14"/>
      <c r="AX53" s="102"/>
      <c r="AY53" s="14"/>
      <c r="AZ53" s="14"/>
      <c r="BA53" s="14"/>
      <c r="BB53" s="14"/>
      <c r="BC53" s="102"/>
      <c r="BD53" s="102"/>
      <c r="BE53" s="102"/>
      <c r="BF53" s="102"/>
      <c r="BG53" s="102"/>
      <c r="BH53" s="102"/>
      <c r="BI53" s="102"/>
      <c r="BJ53" s="102"/>
      <c r="BK53" s="102"/>
      <c r="BL53" s="102"/>
      <c r="BM53" s="102"/>
      <c r="BN53" s="102"/>
      <c r="BO53" s="102"/>
      <c r="BP53" s="102"/>
      <c r="BQ53" s="102"/>
      <c r="BR53" s="102"/>
      <c r="BS53" s="102"/>
      <c r="BT53" s="102"/>
      <c r="BU53" s="102"/>
      <c r="BV53" s="102"/>
      <c r="BW53" s="102"/>
      <c r="BX53" s="102"/>
      <c r="BY53" s="102"/>
      <c r="BZ53" s="102"/>
      <c r="CA53" s="102"/>
      <c r="CB53" s="102"/>
      <c r="CC53" s="102"/>
      <c r="CD53" s="102"/>
      <c r="CE53" s="102"/>
      <c r="CF53" s="102"/>
      <c r="CG53" s="102"/>
      <c r="CH53" s="102"/>
      <c r="CI53" s="102"/>
      <c r="CJ53" s="102"/>
      <c r="CK53" s="102"/>
      <c r="CL53" s="102"/>
      <c r="CM53" s="126">
        <f>'Crops proc. &amp; prod. AMORTIZED'!AE108</f>
        <v>2.5783228730725054</v>
      </c>
      <c r="CW53" s="49"/>
      <c r="DP53" s="126">
        <f>'Crops proc. &amp; prod. AMORTIZED'!BW108</f>
        <v>0.91723899396914343</v>
      </c>
      <c r="DQ53" s="126">
        <f>'Crops proc. &amp; prod. AMORTIZED'!DM108</f>
        <v>0.85952249826992055</v>
      </c>
      <c r="DZ53" s="126">
        <f>'Crops proc. &amp; prod. AMORTIZED'!FF108</f>
        <v>1.7116591963398846</v>
      </c>
      <c r="ED53" s="334">
        <f>'Crops proc. &amp; prod. AMORTIZED'!GZ108</f>
        <v>0.14997880759995957</v>
      </c>
      <c r="EE53" s="126"/>
      <c r="EJ53" s="264">
        <f t="shared" ref="EJ53:EJ55" si="10">EK53+EL53+EM53</f>
        <v>1.0545209908213284</v>
      </c>
      <c r="EK53" s="334">
        <f>'Crops proc. &amp; prod. AMORTIZED'!JB108</f>
        <v>0.70458786372165516</v>
      </c>
      <c r="EL53" s="334">
        <f>'Crops proc. &amp; prod. AMORTIZED'!JC108</f>
        <v>0.30771863475530065</v>
      </c>
      <c r="EM53" s="334">
        <f>'Crops proc. &amp; prod. AMORTIZED'!JD108</f>
        <v>4.2214492344372474E-2</v>
      </c>
      <c r="EN53" s="74"/>
      <c r="EO53" s="74"/>
      <c r="EP53" s="74"/>
      <c r="EQ53" s="74"/>
      <c r="ER53" s="74"/>
      <c r="ES53" s="74"/>
      <c r="ET53" s="74"/>
      <c r="EU53" s="74"/>
      <c r="EV53" s="74"/>
      <c r="EW53" s="74"/>
      <c r="EX53" s="74"/>
      <c r="EY53" s="74"/>
      <c r="EZ53" s="74"/>
      <c r="FA53" s="74"/>
      <c r="FB53" s="74"/>
      <c r="FC53" s="74"/>
      <c r="FD53" s="74"/>
      <c r="FE53" s="74"/>
      <c r="FF53" s="74"/>
      <c r="FG53" s="74"/>
      <c r="FH53" s="74"/>
      <c r="FI53" s="74"/>
      <c r="FJ53" s="74"/>
      <c r="FK53" s="74"/>
      <c r="FL53" s="74"/>
      <c r="FM53" s="74"/>
      <c r="FN53" s="74"/>
      <c r="FO53" s="74"/>
      <c r="FP53" s="74"/>
      <c r="FQ53" s="74"/>
      <c r="FR53" s="74"/>
      <c r="FS53" s="74"/>
      <c r="FT53" s="74"/>
      <c r="FU53" s="74"/>
      <c r="FV53" s="74"/>
      <c r="FW53" s="74"/>
      <c r="FX53" s="74"/>
      <c r="FY53" s="74"/>
      <c r="FZ53" s="74"/>
      <c r="GA53" s="74"/>
      <c r="GB53" s="74"/>
      <c r="GC53" s="74"/>
      <c r="GD53" s="74"/>
      <c r="GE53" s="74"/>
      <c r="GF53" s="74"/>
      <c r="GG53" s="631">
        <f>'Crops proc. &amp; prod. AMORTIZED'!NT108</f>
        <v>0.93</v>
      </c>
      <c r="GH53" s="41">
        <f>'Crops proc. &amp; prod. AMORTIZED'!NV108</f>
        <v>18.501063829787235</v>
      </c>
      <c r="GI53" s="41">
        <f>'Crops proc. &amp; prod. AMORTIZED'!NW108</f>
        <v>19.893617021276597</v>
      </c>
      <c r="GL53" s="631">
        <f>'Crops proc. &amp; prod. AMORTIZED'!OC108</f>
        <v>0.27900000000000003</v>
      </c>
      <c r="GM53" s="631">
        <f>'Crops proc. &amp; prod. AMORTIZED'!OD108</f>
        <v>0.3</v>
      </c>
      <c r="KD53" s="97"/>
      <c r="KE53" s="97"/>
      <c r="KF53" s="97"/>
      <c r="KG53" s="97"/>
      <c r="KH53" s="97"/>
      <c r="KI53" s="97"/>
    </row>
    <row r="54" spans="1:295" s="4" customFormat="1" x14ac:dyDescent="0.25">
      <c r="A54" s="37" t="s">
        <v>301</v>
      </c>
      <c r="B54" s="14"/>
      <c r="C54" s="627">
        <f>D54/(D53+D54+D55)</f>
        <v>0.12094353109363824</v>
      </c>
      <c r="D54" s="628">
        <f>'Crops proc. &amp; prod. AMORTIZED'!W113</f>
        <v>4.6082940204180822</v>
      </c>
      <c r="E54" s="630">
        <f>F54/GG54</f>
        <v>4.0246479628305911</v>
      </c>
      <c r="F54" s="630">
        <f>CJ62</f>
        <v>3.6221831665475319</v>
      </c>
      <c r="G54" s="14"/>
      <c r="H54" s="14"/>
      <c r="I54" s="14"/>
      <c r="J54" s="14"/>
      <c r="K54" s="50"/>
      <c r="L54" s="50"/>
      <c r="M54" s="50"/>
      <c r="N54" s="14"/>
      <c r="O54" s="50"/>
      <c r="P54" s="50"/>
      <c r="Q54" s="50"/>
      <c r="R54" s="14"/>
      <c r="S54" s="50"/>
      <c r="T54" s="50"/>
      <c r="U54" s="14"/>
      <c r="V54" s="50"/>
      <c r="W54" s="50"/>
      <c r="X54" s="14"/>
      <c r="Y54" s="50"/>
      <c r="Z54" s="14"/>
      <c r="AA54" s="14"/>
      <c r="AB54" s="50"/>
      <c r="AC54" s="50"/>
      <c r="AD54" s="50"/>
      <c r="AE54" s="50"/>
      <c r="AF54" s="50"/>
      <c r="AG54" s="50"/>
      <c r="AH54" s="50"/>
      <c r="AI54" s="14"/>
      <c r="AJ54" s="50"/>
      <c r="AK54" s="50"/>
      <c r="AL54" s="50"/>
      <c r="AM54" s="50"/>
      <c r="AN54" s="50"/>
      <c r="AO54" s="575"/>
      <c r="AP54" s="50"/>
      <c r="AQ54" s="50"/>
      <c r="AR54" s="50"/>
      <c r="AS54" s="50"/>
      <c r="AT54" s="14"/>
      <c r="AU54" s="14"/>
      <c r="AV54" s="14"/>
      <c r="AW54" s="14"/>
      <c r="AX54" s="102"/>
      <c r="AY54" s="14"/>
      <c r="AZ54" s="14"/>
      <c r="BA54" s="14"/>
      <c r="BB54" s="14"/>
      <c r="BC54" s="102"/>
      <c r="BD54" s="102"/>
      <c r="BE54" s="102"/>
      <c r="BF54" s="102"/>
      <c r="BG54" s="102"/>
      <c r="BH54" s="102"/>
      <c r="BI54" s="102"/>
      <c r="BJ54" s="102"/>
      <c r="BK54" s="102"/>
      <c r="BL54" s="102"/>
      <c r="BM54" s="102"/>
      <c r="BN54" s="102"/>
      <c r="BO54" s="102"/>
      <c r="BP54" s="102"/>
      <c r="BQ54" s="102"/>
      <c r="BR54" s="102"/>
      <c r="BS54" s="102"/>
      <c r="BT54" s="102"/>
      <c r="BU54" s="102"/>
      <c r="BV54" s="102"/>
      <c r="BW54" s="102"/>
      <c r="BX54" s="102"/>
      <c r="BY54" s="102"/>
      <c r="BZ54" s="102"/>
      <c r="CA54" s="102"/>
      <c r="CB54" s="102"/>
      <c r="CC54" s="102"/>
      <c r="CD54" s="102"/>
      <c r="CE54" s="102"/>
      <c r="CF54" s="102"/>
      <c r="CG54" s="102"/>
      <c r="CH54" s="102"/>
      <c r="CI54" s="102"/>
      <c r="CJ54" s="102"/>
      <c r="CK54" s="102"/>
      <c r="CL54" s="102"/>
      <c r="CM54" s="126">
        <f>'Crops proc. &amp; prod. AMORTIZED'!AE113</f>
        <v>4.2864784535110347</v>
      </c>
      <c r="CW54" s="49"/>
      <c r="DP54" s="126">
        <f>'Crops proc. &amp; prod. AMORTIZED'!BW113</f>
        <v>0.73186114494198373</v>
      </c>
      <c r="DQ54" s="126">
        <f>'Crops proc. &amp; prod. AMORTIZED'!DM113</f>
        <v>0.93991872002075261</v>
      </c>
      <c r="DZ54" s="126">
        <f>'Crops proc. &amp; prod. AMORTIZED'!FF113</f>
        <v>1.8717608022754835</v>
      </c>
      <c r="ED54" s="334">
        <f>'Crops proc. &amp; prod. AMORTIZED'!GZ113</f>
        <v>0.15125070026543169</v>
      </c>
      <c r="EE54" s="126"/>
      <c r="EJ54" s="264">
        <f t="shared" si="10"/>
        <v>1.3482923082744735</v>
      </c>
      <c r="EK54" s="334">
        <f>'Crops proc. &amp; prod. AMORTIZED'!JB113</f>
        <v>0.91314534566574168</v>
      </c>
      <c r="EL54" s="334">
        <f>'Crops proc. &amp; prod. AMORTIZED'!JC113</f>
        <v>0.40249114791079238</v>
      </c>
      <c r="EM54" s="334">
        <f>'Crops proc. &amp; prod. AMORTIZED'!JD113</f>
        <v>3.2655814697939503E-2</v>
      </c>
      <c r="EN54" s="74"/>
      <c r="EO54" s="74"/>
      <c r="EP54" s="74"/>
      <c r="EQ54" s="74"/>
      <c r="ER54" s="74"/>
      <c r="ES54" s="74"/>
      <c r="ET54" s="74"/>
      <c r="EU54" s="74"/>
      <c r="EV54" s="74"/>
      <c r="EW54" s="74"/>
      <c r="EX54" s="74"/>
      <c r="EY54" s="74"/>
      <c r="EZ54" s="74"/>
      <c r="FA54" s="74"/>
      <c r="FB54" s="74"/>
      <c r="FC54" s="74"/>
      <c r="FD54" s="74"/>
      <c r="FE54" s="74"/>
      <c r="FF54" s="74"/>
      <c r="FG54" s="74"/>
      <c r="FH54" s="74"/>
      <c r="FI54" s="74"/>
      <c r="FJ54" s="74"/>
      <c r="FK54" s="74"/>
      <c r="FL54" s="74"/>
      <c r="FM54" s="74"/>
      <c r="FN54" s="74"/>
      <c r="FO54" s="74"/>
      <c r="FP54" s="74"/>
      <c r="FQ54" s="74"/>
      <c r="FR54" s="74"/>
      <c r="FS54" s="74"/>
      <c r="FT54" s="74"/>
      <c r="FU54" s="74"/>
      <c r="FV54" s="74"/>
      <c r="FW54" s="74"/>
      <c r="FX54" s="74"/>
      <c r="FY54" s="74"/>
      <c r="FZ54" s="74"/>
      <c r="GA54" s="74"/>
      <c r="GB54" s="74"/>
      <c r="GC54" s="74"/>
      <c r="GD54" s="74"/>
      <c r="GE54" s="74"/>
      <c r="GF54" s="74"/>
      <c r="GG54" s="631">
        <f>'Crops proc. &amp; prod. AMORTIZED'!NT113</f>
        <v>0.9</v>
      </c>
      <c r="GH54" s="41">
        <f>'Crops proc. &amp; prod. AMORTIZED'!NV113</f>
        <v>17.904255319148938</v>
      </c>
      <c r="GI54" s="41">
        <f>'Crops proc. &amp; prod. AMORTIZED'!NW113</f>
        <v>19.893617021276597</v>
      </c>
      <c r="GL54" s="631">
        <f>'Crops proc. &amp; prod. AMORTIZED'!OC113</f>
        <v>0.27</v>
      </c>
      <c r="GM54" s="631">
        <f>'Crops proc. &amp; prod. AMORTIZED'!OD113</f>
        <v>0.3</v>
      </c>
      <c r="KD54" s="97"/>
      <c r="KE54" s="97"/>
      <c r="KF54" s="97"/>
      <c r="KG54" s="97"/>
      <c r="KH54" s="97"/>
      <c r="KI54" s="97"/>
    </row>
    <row r="55" spans="1:295" s="4" customFormat="1" x14ac:dyDescent="0.25">
      <c r="A55" s="37" t="s">
        <v>302</v>
      </c>
      <c r="B55" s="14"/>
      <c r="C55" s="627">
        <f>D55/(D53+D54+D55)</f>
        <v>0.60543245175125082</v>
      </c>
      <c r="D55" s="628">
        <f>'Crops proc. &amp; prod. AMORTIZED'!W127</f>
        <v>23.068705882352941</v>
      </c>
      <c r="E55" s="630">
        <f>F55/GG55</f>
        <v>20.147026149630683</v>
      </c>
      <c r="F55" s="630">
        <f>CK62</f>
        <v>18.132323534667616</v>
      </c>
      <c r="G55" s="14"/>
      <c r="H55" s="14"/>
      <c r="I55" s="14"/>
      <c r="J55" s="14"/>
      <c r="K55" s="50"/>
      <c r="L55" s="50"/>
      <c r="M55" s="50"/>
      <c r="N55" s="14"/>
      <c r="O55" s="50"/>
      <c r="P55" s="50"/>
      <c r="Q55" s="50"/>
      <c r="R55" s="14"/>
      <c r="S55" s="50"/>
      <c r="T55" s="50"/>
      <c r="U55" s="14"/>
      <c r="V55" s="50"/>
      <c r="W55" s="50"/>
      <c r="X55" s="14"/>
      <c r="Y55" s="50"/>
      <c r="Z55" s="14"/>
      <c r="AA55" s="14"/>
      <c r="AB55" s="50"/>
      <c r="AC55" s="50"/>
      <c r="AD55" s="50"/>
      <c r="AE55" s="50"/>
      <c r="AF55" s="50"/>
      <c r="AG55" s="50"/>
      <c r="AH55" s="50"/>
      <c r="AI55" s="14"/>
      <c r="AJ55" s="50"/>
      <c r="AK55" s="50"/>
      <c r="AL55" s="50"/>
      <c r="AM55" s="50"/>
      <c r="AN55" s="50"/>
      <c r="AO55" s="575"/>
      <c r="AP55" s="50"/>
      <c r="AQ55" s="50"/>
      <c r="AR55" s="50"/>
      <c r="AS55" s="50"/>
      <c r="AT55" s="14"/>
      <c r="AU55" s="14"/>
      <c r="AV55" s="14"/>
      <c r="AW55" s="14"/>
      <c r="AX55" s="102"/>
      <c r="AY55" s="14"/>
      <c r="AZ55" s="14"/>
      <c r="BA55" s="14"/>
      <c r="BB55" s="14"/>
      <c r="BC55" s="102"/>
      <c r="BD55" s="102"/>
      <c r="BE55" s="102"/>
      <c r="BF55" s="102"/>
      <c r="BG55" s="102"/>
      <c r="BH55" s="102"/>
      <c r="BI55" s="102"/>
      <c r="BJ55" s="102"/>
      <c r="BK55" s="102"/>
      <c r="BL55" s="102"/>
      <c r="BM55" s="102"/>
      <c r="BN55" s="102"/>
      <c r="BO55" s="102"/>
      <c r="BP55" s="102"/>
      <c r="BQ55" s="102"/>
      <c r="BR55" s="102"/>
      <c r="BS55" s="102"/>
      <c r="BT55" s="102"/>
      <c r="BU55" s="102"/>
      <c r="BV55" s="102"/>
      <c r="BW55" s="102"/>
      <c r="BX55" s="102"/>
      <c r="BY55" s="102"/>
      <c r="BZ55" s="102"/>
      <c r="CA55" s="102"/>
      <c r="CB55" s="102"/>
      <c r="CC55" s="102"/>
      <c r="CD55" s="102"/>
      <c r="CE55" s="102"/>
      <c r="CF55" s="102"/>
      <c r="CG55" s="102"/>
      <c r="CH55" s="102"/>
      <c r="CI55" s="102"/>
      <c r="CJ55" s="102"/>
      <c r="CK55" s="102"/>
      <c r="CL55" s="102"/>
      <c r="CM55" s="126">
        <f>'Crops proc. &amp; prod. AMORTIZED'!AE127</f>
        <v>5.6666577413409973</v>
      </c>
      <c r="CW55" s="49"/>
      <c r="DP55" s="126">
        <f>'Crops proc. &amp; prod. AMORTIZED'!BW127</f>
        <v>1.0488947255492482</v>
      </c>
      <c r="DQ55" s="126">
        <f>'Crops proc. &amp; prod. AMORTIZED'!DM127</f>
        <v>1.3172922137031957</v>
      </c>
      <c r="DZ55" s="126">
        <f>'Crops proc. &amp; prod. AMORTIZED'!FF127</f>
        <v>2.6232650528525503</v>
      </c>
      <c r="ED55" s="334">
        <f>'Crops proc. &amp; prod. AMORTIZED'!GZ127</f>
        <v>0.30824401389506878</v>
      </c>
      <c r="EE55" s="126"/>
      <c r="EJ55" s="264">
        <f t="shared" si="10"/>
        <v>1.1541233724532112</v>
      </c>
      <c r="EK55" s="334">
        <f>'Crops proc. &amp; prod. AMORTIZED'!JB127</f>
        <v>0.85051882151448477</v>
      </c>
      <c r="EL55" s="334">
        <f>'Crops proc. &amp; prod. AMORTIZED'!JC127</f>
        <v>0.28045161648206507</v>
      </c>
      <c r="EM55" s="334">
        <f>'Crops proc. &amp; prod. AMORTIZED'!JD127</f>
        <v>2.3152934456661438E-2</v>
      </c>
      <c r="EN55" s="74"/>
      <c r="EO55" s="74"/>
      <c r="EP55" s="74"/>
      <c r="EQ55" s="74"/>
      <c r="ER55" s="74"/>
      <c r="ES55" s="74"/>
      <c r="ET55" s="74"/>
      <c r="EU55" s="74"/>
      <c r="EV55" s="74"/>
      <c r="EW55" s="74"/>
      <c r="EX55" s="74"/>
      <c r="EY55" s="74"/>
      <c r="EZ55" s="74"/>
      <c r="FA55" s="74"/>
      <c r="FB55" s="74"/>
      <c r="FC55" s="74"/>
      <c r="FD55" s="74"/>
      <c r="FE55" s="74"/>
      <c r="FF55" s="74"/>
      <c r="FG55" s="74"/>
      <c r="FH55" s="74"/>
      <c r="FI55" s="74"/>
      <c r="FJ55" s="74"/>
      <c r="FK55" s="74"/>
      <c r="FL55" s="74"/>
      <c r="FM55" s="74"/>
      <c r="FN55" s="74"/>
      <c r="FO55" s="74"/>
      <c r="FP55" s="74"/>
      <c r="FQ55" s="74"/>
      <c r="FR55" s="74"/>
      <c r="FS55" s="74"/>
      <c r="FT55" s="74"/>
      <c r="FU55" s="74"/>
      <c r="FV55" s="74"/>
      <c r="FW55" s="74"/>
      <c r="FX55" s="74"/>
      <c r="FY55" s="74"/>
      <c r="FZ55" s="74"/>
      <c r="GA55" s="74"/>
      <c r="GB55" s="74"/>
      <c r="GC55" s="74"/>
      <c r="GD55" s="74"/>
      <c r="GE55" s="74"/>
      <c r="GF55" s="74"/>
      <c r="GG55" s="631">
        <f>'Crops proc. &amp; prod. AMORTIZED'!NT127</f>
        <v>0.9</v>
      </c>
      <c r="GH55" s="41">
        <f>'Crops proc. &amp; prod. AMORTIZED'!NV127</f>
        <v>17.904255319148938</v>
      </c>
      <c r="GI55" s="41">
        <f>'Crops proc. &amp; prod. AMORTIZED'!NW127</f>
        <v>19.893617021276597</v>
      </c>
      <c r="GL55" s="631">
        <f>'Crops proc. &amp; prod. AMORTIZED'!OC127</f>
        <v>0.27</v>
      </c>
      <c r="GM55" s="631">
        <f>'Crops proc. &amp; prod. AMORTIZED'!OD127</f>
        <v>0.3</v>
      </c>
      <c r="KD55" s="97"/>
      <c r="KE55" s="97"/>
      <c r="KF55" s="97"/>
      <c r="KG55" s="97"/>
      <c r="KH55" s="97"/>
      <c r="KI55" s="97"/>
    </row>
    <row r="56" spans="1:295" s="4" customFormat="1" x14ac:dyDescent="0.25">
      <c r="A56" s="37"/>
      <c r="B56" s="14"/>
      <c r="C56" s="627"/>
      <c r="D56" s="628"/>
      <c r="E56" s="630"/>
      <c r="F56" s="630"/>
      <c r="G56" s="14"/>
      <c r="H56" s="14"/>
      <c r="I56" s="14"/>
      <c r="J56" s="14"/>
      <c r="K56" s="50"/>
      <c r="L56" s="50"/>
      <c r="M56" s="50"/>
      <c r="N56" s="14"/>
      <c r="O56" s="50"/>
      <c r="P56" s="50"/>
      <c r="Q56" s="50"/>
      <c r="R56" s="14"/>
      <c r="S56" s="50"/>
      <c r="T56" s="50"/>
      <c r="U56" s="14"/>
      <c r="V56" s="50"/>
      <c r="W56" s="50"/>
      <c r="X56" s="14"/>
      <c r="Y56" s="50"/>
      <c r="Z56" s="14"/>
      <c r="AA56" s="14"/>
      <c r="AB56" s="50"/>
      <c r="AC56" s="50"/>
      <c r="AD56" s="50"/>
      <c r="AE56" s="50"/>
      <c r="AF56" s="50"/>
      <c r="AG56" s="50"/>
      <c r="AH56" s="50"/>
      <c r="AI56" s="14"/>
      <c r="AJ56" s="50"/>
      <c r="AK56" s="50"/>
      <c r="AL56" s="50"/>
      <c r="AM56" s="50"/>
      <c r="AN56" s="50"/>
      <c r="AO56" s="575"/>
      <c r="AP56" s="50"/>
      <c r="AQ56" s="50"/>
      <c r="AR56" s="50"/>
      <c r="AS56" s="50"/>
      <c r="AT56" s="14"/>
      <c r="AU56" s="14"/>
      <c r="AV56" s="14"/>
      <c r="AW56" s="14"/>
      <c r="AX56" s="102"/>
      <c r="AY56" s="14"/>
      <c r="AZ56" s="14"/>
      <c r="BA56" s="14"/>
      <c r="BB56" s="14"/>
      <c r="BC56" s="102"/>
      <c r="BD56" s="102"/>
      <c r="BE56" s="102"/>
      <c r="BF56" s="102"/>
      <c r="BG56" s="102"/>
      <c r="BH56" s="102"/>
      <c r="BI56" s="102"/>
      <c r="BJ56" s="102"/>
      <c r="BK56" s="102"/>
      <c r="BL56" s="102"/>
      <c r="BM56" s="102"/>
      <c r="BN56" s="102"/>
      <c r="BO56" s="102"/>
      <c r="BP56" s="102"/>
      <c r="BQ56" s="102"/>
      <c r="BR56" s="102"/>
      <c r="BS56" s="102"/>
      <c r="BT56" s="102"/>
      <c r="BU56" s="102"/>
      <c r="BV56" s="102"/>
      <c r="BW56" s="102"/>
      <c r="BX56" s="102"/>
      <c r="BY56" s="102"/>
      <c r="BZ56" s="102"/>
      <c r="CA56" s="102"/>
      <c r="CB56" s="102"/>
      <c r="CC56" s="102"/>
      <c r="CD56" s="102"/>
      <c r="CE56" s="102"/>
      <c r="CF56" s="102"/>
      <c r="CG56" s="102"/>
      <c r="CH56" s="102"/>
      <c r="CI56" s="102"/>
      <c r="CJ56" s="102"/>
      <c r="CK56" s="102"/>
      <c r="CL56" s="102"/>
      <c r="CM56" s="60"/>
      <c r="CW56" s="49"/>
      <c r="DP56" s="60"/>
      <c r="EN56" s="74"/>
      <c r="EO56" s="74"/>
      <c r="EP56" s="74"/>
      <c r="EQ56" s="74"/>
      <c r="ER56" s="74"/>
      <c r="ES56" s="74"/>
      <c r="ET56" s="74"/>
      <c r="EU56" s="74"/>
      <c r="EV56" s="74"/>
      <c r="EW56" s="74"/>
      <c r="EX56" s="74"/>
      <c r="EY56" s="74"/>
      <c r="EZ56" s="74"/>
      <c r="FA56" s="74"/>
      <c r="FB56" s="74"/>
      <c r="FC56" s="74"/>
      <c r="FD56" s="74"/>
      <c r="FE56" s="74"/>
      <c r="FF56" s="74"/>
      <c r="FG56" s="74"/>
      <c r="FH56" s="74"/>
      <c r="FI56" s="74"/>
      <c r="FJ56" s="74"/>
      <c r="FK56" s="74"/>
      <c r="FL56" s="74"/>
      <c r="FM56" s="74"/>
      <c r="FN56" s="74"/>
      <c r="FO56" s="74"/>
      <c r="FP56" s="74"/>
      <c r="FQ56" s="74"/>
      <c r="FR56" s="74"/>
      <c r="FS56" s="74"/>
      <c r="FT56" s="74"/>
      <c r="FU56" s="74"/>
      <c r="FV56" s="74"/>
      <c r="FW56" s="74"/>
      <c r="FX56" s="74"/>
      <c r="FY56" s="74"/>
      <c r="FZ56" s="74"/>
      <c r="GA56" s="74"/>
      <c r="GB56" s="74"/>
      <c r="GC56" s="74"/>
      <c r="GD56" s="74"/>
      <c r="GE56" s="74"/>
      <c r="GF56" s="74"/>
      <c r="GG56" s="631"/>
      <c r="GH56" s="41"/>
      <c r="GI56" s="41"/>
      <c r="GL56" s="631"/>
      <c r="GM56" s="631"/>
      <c r="KD56" s="97"/>
      <c r="KE56" s="97"/>
      <c r="KF56" s="97"/>
      <c r="KG56" s="97"/>
      <c r="KH56" s="97"/>
      <c r="KI56" s="97"/>
    </row>
    <row r="57" spans="1:295" s="4" customFormat="1" x14ac:dyDescent="0.25">
      <c r="A57" s="9" t="s">
        <v>978</v>
      </c>
      <c r="B57" s="14"/>
      <c r="C57" s="627"/>
      <c r="D57" s="628"/>
      <c r="E57" s="630"/>
      <c r="F57" s="630"/>
      <c r="G57" s="14"/>
      <c r="H57" s="14"/>
      <c r="I57" s="14"/>
      <c r="J57" s="14"/>
      <c r="K57" s="50"/>
      <c r="L57" s="50"/>
      <c r="M57" s="50"/>
      <c r="N57" s="14"/>
      <c r="O57" s="50"/>
      <c r="P57" s="50"/>
      <c r="Q57" s="50"/>
      <c r="R57" s="14"/>
      <c r="S57" s="50"/>
      <c r="T57" s="50"/>
      <c r="U57" s="14"/>
      <c r="V57" s="50"/>
      <c r="W57" s="50"/>
      <c r="X57" s="14"/>
      <c r="Y57" s="50"/>
      <c r="Z57" s="14"/>
      <c r="AA57" s="14"/>
      <c r="AB57" s="50"/>
      <c r="AC57" s="50"/>
      <c r="AD57" s="50"/>
      <c r="AE57" s="50"/>
      <c r="AF57" s="50"/>
      <c r="AG57" s="50"/>
      <c r="AH57" s="50"/>
      <c r="AI57" s="14"/>
      <c r="AJ57" s="50"/>
      <c r="AK57" s="50"/>
      <c r="AL57" s="50"/>
      <c r="AM57" s="50"/>
      <c r="AN57" s="50"/>
      <c r="AO57" s="575"/>
      <c r="AP57" s="50"/>
      <c r="AQ57" s="50"/>
      <c r="AR57" s="50"/>
      <c r="AS57" s="50"/>
      <c r="AT57" s="14"/>
      <c r="AU57" s="14"/>
      <c r="AV57" s="14"/>
      <c r="AW57" s="14"/>
      <c r="AX57" s="102"/>
      <c r="AY57" s="14"/>
      <c r="AZ57" s="14"/>
      <c r="BA57" s="14"/>
      <c r="BB57" s="14"/>
      <c r="BC57" s="102"/>
      <c r="BD57" s="102"/>
      <c r="BE57" s="102"/>
      <c r="BF57" s="102"/>
      <c r="BG57" s="102"/>
      <c r="BH57" s="102"/>
      <c r="BI57" s="102"/>
      <c r="BJ57" s="102"/>
      <c r="BK57" s="102"/>
      <c r="BL57" s="102"/>
      <c r="BM57" s="102"/>
      <c r="BN57" s="102"/>
      <c r="BO57" s="102"/>
      <c r="BP57" s="102"/>
      <c r="BQ57" s="102"/>
      <c r="BR57" s="102"/>
      <c r="BS57" s="102"/>
      <c r="BT57" s="102"/>
      <c r="BU57" s="102"/>
      <c r="BV57" s="102"/>
      <c r="BW57" s="102"/>
      <c r="BX57" s="102"/>
      <c r="BY57" s="102"/>
      <c r="BZ57" s="102"/>
      <c r="CA57" s="102"/>
      <c r="CB57" s="102"/>
      <c r="CC57" s="102"/>
      <c r="CD57" s="102"/>
      <c r="CE57" s="102"/>
      <c r="CF57" s="102"/>
      <c r="CG57" s="102"/>
      <c r="CH57" s="102"/>
      <c r="CI57" s="102"/>
      <c r="CJ57" s="102"/>
      <c r="CK57" s="102"/>
      <c r="CL57" s="102"/>
      <c r="CM57" s="60"/>
      <c r="CW57" s="49"/>
      <c r="EN57" s="74"/>
      <c r="EO57" s="74"/>
      <c r="EP57" s="74"/>
      <c r="EQ57" s="74"/>
      <c r="ER57" s="74"/>
      <c r="ES57" s="74"/>
      <c r="ET57" s="74"/>
      <c r="EU57" s="74"/>
      <c r="EV57" s="74"/>
      <c r="EW57" s="74"/>
      <c r="EX57" s="74"/>
      <c r="EY57" s="74"/>
      <c r="EZ57" s="74"/>
      <c r="FA57" s="74"/>
      <c r="FB57" s="74"/>
      <c r="FC57" s="74"/>
      <c r="FD57" s="74"/>
      <c r="FE57" s="74"/>
      <c r="FF57" s="74"/>
      <c r="FG57" s="74"/>
      <c r="FH57" s="74"/>
      <c r="FI57" s="74"/>
      <c r="FJ57" s="74"/>
      <c r="FK57" s="74"/>
      <c r="FL57" s="74"/>
      <c r="FM57" s="74"/>
      <c r="FN57" s="74"/>
      <c r="FO57" s="74"/>
      <c r="FP57" s="74"/>
      <c r="FQ57" s="74"/>
      <c r="FR57" s="74"/>
      <c r="FS57" s="74"/>
      <c r="FT57" s="74"/>
      <c r="FU57" s="74"/>
      <c r="FV57" s="74"/>
      <c r="FW57" s="74"/>
      <c r="FX57" s="74"/>
      <c r="FY57" s="74"/>
      <c r="FZ57" s="74"/>
      <c r="GA57" s="74"/>
      <c r="GB57" s="74"/>
      <c r="GC57" s="74"/>
      <c r="GD57" s="74"/>
      <c r="GE57" s="74"/>
      <c r="GF57" s="74"/>
      <c r="GG57" s="631"/>
      <c r="GH57" s="41"/>
      <c r="GI57" s="41"/>
      <c r="GL57" s="631"/>
      <c r="GM57" s="631"/>
      <c r="KD57" s="97"/>
      <c r="KE57" s="97"/>
      <c r="KF57" s="97"/>
      <c r="KG57" s="97"/>
      <c r="KH57" s="97"/>
      <c r="KI57" s="97"/>
    </row>
    <row r="58" spans="1:295" s="4" customFormat="1" x14ac:dyDescent="0.25">
      <c r="A58" s="37" t="s">
        <v>270</v>
      </c>
      <c r="B58" s="14"/>
      <c r="C58" s="627"/>
      <c r="D58" s="628"/>
      <c r="E58" s="630"/>
      <c r="F58" s="630"/>
      <c r="G58" s="14"/>
      <c r="H58" s="14"/>
      <c r="I58" s="14"/>
      <c r="J58" s="14"/>
      <c r="K58" s="50"/>
      <c r="L58" s="50"/>
      <c r="M58" s="50"/>
      <c r="N58" s="14"/>
      <c r="O58" s="50"/>
      <c r="P58" s="50"/>
      <c r="Q58" s="50"/>
      <c r="R58" s="14"/>
      <c r="S58" s="50"/>
      <c r="T58" s="50"/>
      <c r="U58" s="14"/>
      <c r="V58" s="50"/>
      <c r="W58" s="50"/>
      <c r="X58" s="14"/>
      <c r="Y58" s="50"/>
      <c r="Z58" s="14"/>
      <c r="AA58" s="14"/>
      <c r="AB58" s="50"/>
      <c r="AC58" s="50"/>
      <c r="AD58" s="50"/>
      <c r="AE58" s="50"/>
      <c r="AF58" s="50"/>
      <c r="AG58" s="50"/>
      <c r="AH58" s="50"/>
      <c r="AI58" s="14"/>
      <c r="AJ58" s="50"/>
      <c r="AK58" s="50"/>
      <c r="AL58" s="50"/>
      <c r="AM58" s="50"/>
      <c r="AN58" s="50"/>
      <c r="AO58" s="575"/>
      <c r="AP58" s="50"/>
      <c r="AQ58" s="50"/>
      <c r="AR58" s="50"/>
      <c r="AS58" s="50"/>
      <c r="AT58" s="14"/>
      <c r="AU58" s="14"/>
      <c r="AV58" s="14"/>
      <c r="AW58" s="14"/>
      <c r="AX58" s="102"/>
      <c r="AY58" s="14"/>
      <c r="AZ58" s="14"/>
      <c r="BA58" s="14"/>
      <c r="BB58" s="14"/>
      <c r="BC58" s="102"/>
      <c r="BD58" s="102"/>
      <c r="BE58" s="102"/>
      <c r="BF58" s="102"/>
      <c r="BG58" s="102"/>
      <c r="BH58" s="102"/>
      <c r="BI58" s="102"/>
      <c r="BJ58" s="102"/>
      <c r="BK58" s="102"/>
      <c r="BL58" s="102"/>
      <c r="BM58" s="102"/>
      <c r="BN58" s="102"/>
      <c r="BO58" s="102"/>
      <c r="BP58" s="102"/>
      <c r="BQ58" s="102"/>
      <c r="BR58" s="102"/>
      <c r="BS58" s="102"/>
      <c r="BT58" s="102"/>
      <c r="BU58" s="102"/>
      <c r="BV58" s="102"/>
      <c r="BW58" s="102"/>
      <c r="BX58" s="102"/>
      <c r="BY58" s="102"/>
      <c r="BZ58" s="102"/>
      <c r="CA58" s="102"/>
      <c r="CB58" s="102"/>
      <c r="CC58" s="102"/>
      <c r="CD58" s="102"/>
      <c r="CE58" s="102"/>
      <c r="CF58" s="102"/>
      <c r="CG58" s="102"/>
      <c r="CH58" s="102"/>
      <c r="CI58" s="102"/>
      <c r="CJ58" s="102"/>
      <c r="CK58" s="102"/>
      <c r="CL58" s="102"/>
      <c r="CW58" s="49"/>
      <c r="EN58" s="74"/>
      <c r="EO58" s="74"/>
      <c r="EP58" s="74"/>
      <c r="EQ58" s="74"/>
      <c r="ER58" s="74"/>
      <c r="ES58" s="74"/>
      <c r="ET58" s="74"/>
      <c r="EU58" s="74"/>
      <c r="EV58" s="74"/>
      <c r="EW58" s="74"/>
      <c r="EX58" s="74"/>
      <c r="EY58" s="74"/>
      <c r="EZ58" s="74"/>
      <c r="FA58" s="74"/>
      <c r="FB58" s="74"/>
      <c r="FC58" s="74"/>
      <c r="FD58" s="74"/>
      <c r="FE58" s="74"/>
      <c r="FF58" s="74"/>
      <c r="FG58" s="74"/>
      <c r="FH58" s="74"/>
      <c r="FI58" s="74"/>
      <c r="FJ58" s="74"/>
      <c r="FK58" s="74"/>
      <c r="FL58" s="74"/>
      <c r="FM58" s="74"/>
      <c r="FN58" s="74"/>
      <c r="FO58" s="74"/>
      <c r="FP58" s="74"/>
      <c r="FQ58" s="74"/>
      <c r="FR58" s="74"/>
      <c r="FS58" s="74"/>
      <c r="FT58" s="74"/>
      <c r="FU58" s="74"/>
      <c r="FV58" s="74"/>
      <c r="FW58" s="74"/>
      <c r="FX58" s="74"/>
      <c r="FY58" s="74"/>
      <c r="FZ58" s="74"/>
      <c r="GA58" s="74"/>
      <c r="GB58" s="74"/>
      <c r="GC58" s="74"/>
      <c r="GD58" s="74"/>
      <c r="GE58" s="74"/>
      <c r="GF58" s="74"/>
      <c r="GG58" s="631">
        <v>0.9</v>
      </c>
      <c r="GH58" s="33"/>
      <c r="GI58" s="33">
        <v>18.5</v>
      </c>
      <c r="GL58" s="631"/>
      <c r="GM58" s="641">
        <v>0.05</v>
      </c>
      <c r="KD58" s="97"/>
      <c r="KE58" s="97"/>
      <c r="KF58" s="97"/>
      <c r="KG58" s="97"/>
      <c r="KH58" s="97"/>
      <c r="KI58" s="97"/>
    </row>
    <row r="59" spans="1:295" s="4" customFormat="1" x14ac:dyDescent="0.25">
      <c r="A59" s="14"/>
      <c r="B59" s="14"/>
      <c r="C59" s="14"/>
      <c r="D59" s="14"/>
      <c r="E59" s="14"/>
      <c r="F59" s="14"/>
      <c r="G59" s="14"/>
      <c r="H59" s="14"/>
      <c r="I59" s="14"/>
      <c r="J59" s="14"/>
      <c r="K59" s="50"/>
      <c r="L59" s="50"/>
      <c r="M59" s="50"/>
      <c r="N59" s="14"/>
      <c r="O59" s="50"/>
      <c r="P59" s="50"/>
      <c r="Q59" s="50"/>
      <c r="R59" s="14"/>
      <c r="S59" s="50"/>
      <c r="T59" s="50"/>
      <c r="U59" s="14"/>
      <c r="V59" s="50"/>
      <c r="W59" s="50"/>
      <c r="X59" s="14"/>
      <c r="Y59" s="50"/>
      <c r="Z59" s="14"/>
      <c r="AA59" s="14"/>
      <c r="AB59" s="50"/>
      <c r="AC59" s="50"/>
      <c r="AD59" s="50"/>
      <c r="AE59" s="50"/>
      <c r="AF59" s="50"/>
      <c r="AG59" s="50"/>
      <c r="AH59" s="50"/>
      <c r="AI59" s="14"/>
      <c r="AJ59" s="50"/>
      <c r="AK59" s="50"/>
      <c r="AL59" s="50"/>
      <c r="AM59" s="50"/>
      <c r="AN59" s="50"/>
      <c r="AO59" s="575"/>
      <c r="AP59" s="50"/>
      <c r="AQ59" s="50"/>
      <c r="AR59" s="50"/>
      <c r="AS59" s="50"/>
      <c r="AT59" s="14"/>
      <c r="AU59" s="14"/>
      <c r="AV59" s="14"/>
      <c r="AW59" s="14"/>
      <c r="AX59" s="102"/>
      <c r="AY59" s="14"/>
      <c r="AZ59" s="14"/>
      <c r="BA59" s="14"/>
      <c r="BB59" s="14"/>
      <c r="BC59" s="102"/>
      <c r="BD59" s="102"/>
      <c r="BE59" s="102"/>
      <c r="BF59" s="102"/>
      <c r="BG59" s="102"/>
      <c r="BH59" s="102"/>
      <c r="BI59" s="102"/>
      <c r="BJ59" s="102"/>
      <c r="BK59" s="102"/>
      <c r="BL59" s="102"/>
      <c r="BM59" s="102"/>
      <c r="BN59" s="102"/>
      <c r="BO59" s="102"/>
      <c r="BP59" s="102"/>
      <c r="BQ59" s="102"/>
      <c r="BR59" s="102"/>
      <c r="BS59" s="102"/>
      <c r="BT59" s="102"/>
      <c r="BU59" s="102"/>
      <c r="BV59" s="102"/>
      <c r="BW59" s="102"/>
      <c r="BX59" s="102"/>
      <c r="BY59" s="102"/>
      <c r="BZ59" s="102"/>
      <c r="CA59" s="102"/>
      <c r="CB59" s="102"/>
      <c r="CC59" s="102"/>
      <c r="CD59" s="102"/>
      <c r="CE59" s="102"/>
      <c r="CF59" s="102"/>
      <c r="CG59" s="102"/>
      <c r="CH59" s="102"/>
      <c r="CI59" s="102"/>
      <c r="CJ59" s="102"/>
      <c r="CK59" s="102"/>
      <c r="CL59" s="102"/>
      <c r="CW59" s="49"/>
      <c r="EN59" s="74"/>
      <c r="EO59" s="74"/>
      <c r="EP59" s="74"/>
      <c r="EQ59" s="74"/>
      <c r="ER59" s="74"/>
      <c r="ES59" s="74"/>
      <c r="ET59" s="74"/>
      <c r="EU59" s="74"/>
      <c r="EV59" s="74"/>
      <c r="EW59" s="74"/>
      <c r="EX59" s="74"/>
      <c r="EY59" s="74"/>
      <c r="EZ59" s="74"/>
      <c r="FA59" s="74"/>
      <c r="FB59" s="74"/>
      <c r="FC59" s="74"/>
      <c r="FD59" s="74"/>
      <c r="FE59" s="74"/>
      <c r="FF59" s="74"/>
      <c r="FG59" s="74"/>
      <c r="FH59" s="74"/>
      <c r="FI59" s="74"/>
      <c r="FJ59" s="74"/>
      <c r="FK59" s="74"/>
      <c r="FL59" s="74"/>
      <c r="FM59" s="74"/>
      <c r="FN59" s="74"/>
      <c r="FO59" s="74"/>
      <c r="FP59" s="74"/>
      <c r="FQ59" s="74"/>
      <c r="FR59" s="74"/>
      <c r="FS59" s="74"/>
      <c r="FT59" s="74"/>
      <c r="FU59" s="74"/>
      <c r="FV59" s="74"/>
      <c r="FW59" s="74"/>
      <c r="FX59" s="74"/>
      <c r="FY59" s="74"/>
      <c r="FZ59" s="74"/>
      <c r="GA59" s="74"/>
      <c r="GB59" s="74"/>
      <c r="GC59" s="74"/>
      <c r="GD59" s="74"/>
      <c r="GE59" s="74"/>
      <c r="GF59" s="74"/>
      <c r="KD59" s="97"/>
      <c r="KE59" s="97"/>
      <c r="KF59" s="97"/>
      <c r="KG59" s="97"/>
      <c r="KH59" s="97"/>
      <c r="KI59" s="97"/>
    </row>
    <row r="60" spans="1:295" s="4" customFormat="1" x14ac:dyDescent="0.25">
      <c r="A60" s="14"/>
      <c r="B60" s="14"/>
      <c r="C60" s="14"/>
      <c r="D60" s="14"/>
      <c r="E60" s="14"/>
      <c r="F60" s="14"/>
      <c r="G60" s="14"/>
      <c r="H60" s="14"/>
      <c r="I60" s="14"/>
      <c r="J60" s="14"/>
      <c r="K60" s="50"/>
      <c r="L60" s="50"/>
      <c r="M60" s="50"/>
      <c r="N60" s="14"/>
      <c r="O60" s="50"/>
      <c r="P60" s="50"/>
      <c r="Q60" s="50"/>
      <c r="R60" s="14"/>
      <c r="S60" s="50"/>
      <c r="T60" s="50"/>
      <c r="U60" s="14"/>
      <c r="V60" s="50"/>
      <c r="W60" s="50"/>
      <c r="X60" s="14"/>
      <c r="Y60" s="50"/>
      <c r="Z60" s="14"/>
      <c r="AA60" s="14"/>
      <c r="AB60" s="50"/>
      <c r="AC60" s="50"/>
      <c r="AD60" s="50"/>
      <c r="AE60" s="50"/>
      <c r="AF60" s="50"/>
      <c r="AG60" s="50"/>
      <c r="AH60" s="50"/>
      <c r="AI60" s="14"/>
      <c r="AJ60" s="50"/>
      <c r="AK60" s="50"/>
      <c r="AL60" s="50"/>
      <c r="AM60" s="50"/>
      <c r="AN60" s="50"/>
      <c r="AO60" s="575"/>
      <c r="AP60" s="50"/>
      <c r="AQ60" s="50"/>
      <c r="AR60" s="50"/>
      <c r="AS60" s="50"/>
      <c r="AT60" s="14"/>
      <c r="AU60" s="14"/>
      <c r="AV60" s="14"/>
      <c r="AW60" s="14"/>
      <c r="AX60" s="102"/>
      <c r="AY60" s="14"/>
      <c r="AZ60" s="14"/>
      <c r="BA60" s="14"/>
      <c r="BB60" s="14"/>
      <c r="BC60" s="102"/>
      <c r="BD60" s="102"/>
      <c r="BE60" s="102"/>
      <c r="BF60" s="102"/>
      <c r="BG60" s="102"/>
      <c r="BH60" s="102"/>
      <c r="BI60" s="102"/>
      <c r="BJ60" s="102"/>
      <c r="BK60" s="102"/>
      <c r="BL60" s="102"/>
      <c r="BM60" s="102"/>
      <c r="BN60" s="102"/>
      <c r="BO60" s="102"/>
      <c r="BP60" s="102"/>
      <c r="BQ60" s="102"/>
      <c r="BR60" s="102"/>
      <c r="BS60" s="102"/>
      <c r="BT60" s="102"/>
      <c r="BU60" s="102"/>
      <c r="BV60" s="102"/>
      <c r="BW60" s="102"/>
      <c r="BX60" s="102"/>
      <c r="BY60" s="102"/>
      <c r="BZ60" s="102"/>
      <c r="CA60" s="102"/>
      <c r="CB60" s="102"/>
      <c r="CC60" s="102"/>
      <c r="CD60" s="102"/>
      <c r="CE60" s="102"/>
      <c r="CF60" s="102"/>
      <c r="CG60" s="102"/>
      <c r="CH60" s="102"/>
      <c r="CI60" s="102"/>
      <c r="CJ60" s="102"/>
      <c r="CK60" s="102"/>
      <c r="CL60" s="102"/>
      <c r="CW60" s="49"/>
      <c r="EN60" s="642"/>
      <c r="EO60" s="74"/>
      <c r="EP60" s="74"/>
      <c r="EQ60" s="74"/>
      <c r="ER60" s="74"/>
      <c r="ES60" s="643"/>
      <c r="ET60" s="643"/>
      <c r="EU60" s="74"/>
      <c r="EV60" s="74"/>
      <c r="EX60" s="74"/>
      <c r="EY60" s="74"/>
      <c r="EZ60" s="74"/>
      <c r="FB60" s="74"/>
      <c r="FC60" s="74"/>
      <c r="FD60" s="74"/>
      <c r="FE60" s="74"/>
      <c r="FF60" s="643"/>
      <c r="FG60" s="74"/>
      <c r="FH60" s="74"/>
      <c r="FI60" s="74"/>
      <c r="FJ60" s="74"/>
      <c r="FK60" s="74"/>
      <c r="FL60" s="74"/>
      <c r="FM60" s="74"/>
      <c r="FN60" s="74"/>
      <c r="FP60" s="74"/>
      <c r="FQ60" s="74"/>
      <c r="FR60" s="74"/>
      <c r="FS60" s="74"/>
      <c r="FT60" s="74"/>
      <c r="FU60" s="74"/>
      <c r="FV60" s="74"/>
      <c r="FW60" s="74"/>
      <c r="FX60" s="74"/>
      <c r="FY60" s="74"/>
      <c r="FZ60" s="74"/>
      <c r="GA60" s="74"/>
      <c r="GB60" s="74"/>
      <c r="GC60" s="74"/>
      <c r="GD60" s="74"/>
      <c r="GE60" s="74"/>
      <c r="GF60" s="74"/>
      <c r="KD60" s="97"/>
      <c r="KE60" s="97"/>
      <c r="KF60" s="97"/>
      <c r="KG60" s="97"/>
      <c r="KH60" s="97"/>
      <c r="KI60" s="97"/>
    </row>
    <row r="61" spans="1:295" s="111" customFormat="1" ht="14.4" x14ac:dyDescent="0.3">
      <c r="A61" s="11" t="s">
        <v>109</v>
      </c>
      <c r="B61" s="160"/>
      <c r="C61" s="160"/>
      <c r="D61" s="160"/>
      <c r="E61" s="160"/>
      <c r="F61" s="160"/>
      <c r="G61" s="160"/>
      <c r="H61" s="160"/>
      <c r="I61" s="160"/>
      <c r="J61" s="160"/>
      <c r="K61" s="160"/>
      <c r="L61" s="160"/>
      <c r="M61" s="160"/>
      <c r="N61" s="160"/>
      <c r="O61" s="160"/>
      <c r="P61" s="160"/>
      <c r="Q61" s="160"/>
      <c r="R61" s="160"/>
      <c r="S61" s="160"/>
      <c r="T61" s="160"/>
      <c r="U61" s="160"/>
      <c r="V61" s="160"/>
      <c r="W61" s="160"/>
      <c r="X61" s="160"/>
      <c r="Y61" s="160"/>
      <c r="Z61" s="160"/>
      <c r="AA61" s="160"/>
      <c r="AB61" s="160"/>
      <c r="AC61" s="160"/>
      <c r="AD61" s="160"/>
      <c r="AE61" s="160"/>
      <c r="AF61" s="160"/>
      <c r="AG61" s="160"/>
      <c r="AH61" s="160"/>
      <c r="AI61" s="160"/>
      <c r="AJ61" s="160"/>
      <c r="AK61" s="160"/>
      <c r="AL61" s="160"/>
      <c r="AM61" s="160"/>
      <c r="AN61" s="160"/>
      <c r="AO61" s="644"/>
      <c r="AP61" s="160"/>
      <c r="AQ61" s="160"/>
      <c r="AR61" s="160"/>
      <c r="AS61" s="160"/>
      <c r="AT61" s="160"/>
      <c r="AU61" s="160"/>
      <c r="AV61" s="160"/>
      <c r="AW61" s="160"/>
      <c r="AX61" s="644"/>
      <c r="AY61" s="160"/>
      <c r="AZ61" s="160"/>
      <c r="BA61" s="160"/>
      <c r="BB61" s="160"/>
      <c r="BC61" s="644"/>
      <c r="BD61" s="644"/>
      <c r="BE61" s="644"/>
      <c r="BF61" s="644"/>
      <c r="BG61" s="644"/>
      <c r="BH61" s="644"/>
      <c r="BI61" s="644"/>
      <c r="BJ61" s="644"/>
      <c r="BK61" s="644"/>
      <c r="BL61" s="644"/>
      <c r="BM61" s="644"/>
      <c r="BN61" s="644"/>
      <c r="BO61" s="644"/>
      <c r="BP61" s="644"/>
      <c r="BQ61" s="644"/>
      <c r="BR61" s="644"/>
      <c r="BS61" s="644"/>
      <c r="BT61" s="644"/>
      <c r="BU61" s="644"/>
      <c r="BV61" s="644"/>
      <c r="BW61" s="644"/>
      <c r="BX61" s="644"/>
      <c r="BY61" s="644"/>
      <c r="BZ61" s="644"/>
      <c r="CA61" s="644"/>
      <c r="CB61" s="644"/>
      <c r="CC61" s="644"/>
      <c r="CD61" s="644"/>
      <c r="CE61" s="644"/>
      <c r="CF61" s="644"/>
      <c r="CG61" s="644"/>
      <c r="CH61" s="644"/>
      <c r="CI61" s="644"/>
      <c r="CJ61" s="644"/>
      <c r="CK61" s="644"/>
      <c r="CL61" s="644"/>
      <c r="CU61" s="13"/>
      <c r="DP61" s="160"/>
      <c r="EM61" s="133"/>
      <c r="EN61" s="645"/>
      <c r="EO61" s="643"/>
      <c r="EP61" s="643"/>
      <c r="EQ61" s="74"/>
      <c r="ER61" s="74"/>
      <c r="ES61" s="144"/>
      <c r="ET61" s="144"/>
      <c r="EU61" s="646"/>
      <c r="EV61" s="133"/>
      <c r="EW61" s="133"/>
      <c r="EX61" s="646"/>
      <c r="EY61" s="646"/>
      <c r="EZ61" s="133"/>
      <c r="FA61" s="645"/>
      <c r="FB61" s="643"/>
      <c r="FC61" s="643"/>
      <c r="FD61" s="74"/>
      <c r="FE61" s="74"/>
      <c r="FF61" s="144"/>
      <c r="FG61" s="646"/>
      <c r="FH61" s="646"/>
      <c r="FI61" s="646"/>
      <c r="FJ61" s="646"/>
      <c r="FK61" s="646"/>
      <c r="FL61" s="646"/>
      <c r="FM61" s="646"/>
      <c r="FN61" s="646"/>
      <c r="FO61" s="133"/>
      <c r="FP61" s="643"/>
      <c r="FR61" s="646"/>
      <c r="FS61" s="646"/>
      <c r="FT61" s="646"/>
      <c r="FU61" s="646"/>
      <c r="FV61" s="646"/>
      <c r="FW61" s="646"/>
      <c r="FX61" s="646"/>
      <c r="FY61" s="646"/>
      <c r="FZ61" s="646"/>
      <c r="GA61" s="646"/>
      <c r="GB61" s="646"/>
      <c r="GC61" s="646"/>
      <c r="GD61" s="646"/>
      <c r="GE61" s="646"/>
      <c r="GF61" s="646"/>
      <c r="KD61" s="647"/>
      <c r="KE61" s="647"/>
      <c r="KF61" s="647"/>
      <c r="KG61" s="647"/>
      <c r="KH61" s="647"/>
      <c r="KI61" s="647"/>
    </row>
    <row r="62" spans="1:295" s="4" customFormat="1" x14ac:dyDescent="0.25">
      <c r="A62" s="4" t="s">
        <v>117</v>
      </c>
      <c r="B62" s="14"/>
      <c r="C62" s="14"/>
      <c r="D62" s="14"/>
      <c r="E62" s="14"/>
      <c r="F62" s="14"/>
      <c r="G62" s="14"/>
      <c r="H62" s="14"/>
      <c r="I62" s="14"/>
      <c r="J62" s="627">
        <f>BB62/$AY62</f>
        <v>0.15695096901112388</v>
      </c>
      <c r="K62" s="648">
        <f t="shared" ref="K62:M62" si="11">BC62/$AY62</f>
        <v>0.10829616861767548</v>
      </c>
      <c r="L62" s="649">
        <f t="shared" si="11"/>
        <v>2.6681664731891059E-2</v>
      </c>
      <c r="M62" s="649">
        <f t="shared" si="11"/>
        <v>2.1973135661557345E-2</v>
      </c>
      <c r="N62" s="650">
        <f>BF62/AY62</f>
        <v>8.9577619743518282E-3</v>
      </c>
      <c r="O62" s="650"/>
      <c r="P62" s="650"/>
      <c r="Q62" s="650"/>
      <c r="R62" s="650">
        <f>BJ62/$AY62</f>
        <v>7.8872586374532112E-3</v>
      </c>
      <c r="S62" s="649">
        <f t="shared" ref="S62:T62" si="12">BK62/$AY62</f>
        <v>7.2428377570997841E-3</v>
      </c>
      <c r="T62" s="649">
        <f t="shared" si="12"/>
        <v>6.4442088035342518E-4</v>
      </c>
      <c r="U62" s="650">
        <f>BM62/AY62</f>
        <v>8.6666328294089656E-2</v>
      </c>
      <c r="V62" s="650"/>
      <c r="W62" s="650"/>
      <c r="X62" s="544">
        <f>BP62/AY62</f>
        <v>0.45790847429710874</v>
      </c>
      <c r="Y62" s="161"/>
      <c r="Z62" s="544">
        <f>BR62/$AY62</f>
        <v>0.28162920778587275</v>
      </c>
      <c r="AA62" s="650"/>
      <c r="AB62" s="650"/>
      <c r="AC62" s="650"/>
      <c r="AD62" s="650"/>
      <c r="AE62" s="650"/>
      <c r="AF62" s="650"/>
      <c r="AG62" s="650"/>
      <c r="AH62" s="650"/>
      <c r="AI62" s="650"/>
      <c r="AJ62" s="650"/>
      <c r="AK62" s="650"/>
      <c r="AL62" s="650"/>
      <c r="AM62" s="650"/>
      <c r="AN62" s="650"/>
      <c r="AO62" s="651"/>
      <c r="AP62" s="650"/>
      <c r="AQ62" s="650"/>
      <c r="AR62" s="650"/>
      <c r="AS62" s="650"/>
      <c r="AT62" s="650"/>
      <c r="AU62" s="652">
        <f>CL62/AY62</f>
        <v>0.21475280794905391</v>
      </c>
      <c r="AV62" s="14"/>
      <c r="AW62" s="629">
        <f>AY62/DA62</f>
        <v>79.393531791539246</v>
      </c>
      <c r="AX62" s="73">
        <f>BA62/DA62</f>
        <v>19.107831003918196</v>
      </c>
      <c r="AY62" s="471">
        <f t="shared" ref="AY62:CL62" si="13">AY75+AY77+AY79+AY81+AY87+AY89+AY91</f>
        <v>4984.6435000000001</v>
      </c>
      <c r="AZ62" s="68">
        <f t="shared" si="13"/>
        <v>866.31105000000014</v>
      </c>
      <c r="BA62" s="261">
        <f t="shared" si="13"/>
        <v>1199.6660617500002</v>
      </c>
      <c r="BB62" s="68">
        <f t="shared" si="13"/>
        <v>782.34462750000012</v>
      </c>
      <c r="BC62" s="68">
        <f t="shared" si="13"/>
        <v>539.81779297500009</v>
      </c>
      <c r="BD62" s="68">
        <f t="shared" si="13"/>
        <v>132.99858667500001</v>
      </c>
      <c r="BE62" s="68">
        <f t="shared" si="13"/>
        <v>109.52824785000003</v>
      </c>
      <c r="BF62" s="68">
        <f t="shared" si="13"/>
        <v>44.651250000000005</v>
      </c>
      <c r="BG62" s="68">
        <f t="shared" si="13"/>
        <v>23.218650000000004</v>
      </c>
      <c r="BH62" s="68">
        <f t="shared" si="13"/>
        <v>7.1442000000000005</v>
      </c>
      <c r="BI62" s="68">
        <f t="shared" si="13"/>
        <v>14.288400000000001</v>
      </c>
      <c r="BJ62" s="68">
        <f t="shared" si="13"/>
        <v>39.315172500000003</v>
      </c>
      <c r="BK62" s="68">
        <f t="shared" si="13"/>
        <v>36.10296414748202</v>
      </c>
      <c r="BL62" s="68">
        <f t="shared" si="13"/>
        <v>3.2122083525179788</v>
      </c>
      <c r="BM62" s="261">
        <f t="shared" si="13"/>
        <v>432.0007500000001</v>
      </c>
      <c r="BN62" s="68">
        <f t="shared" si="13"/>
        <v>344.8098</v>
      </c>
      <c r="BO62" s="68">
        <f t="shared" si="13"/>
        <v>87.190950000000015</v>
      </c>
      <c r="BP62" s="261">
        <f t="shared" si="13"/>
        <v>2282.5105000000003</v>
      </c>
      <c r="BQ62" s="68">
        <f t="shared" si="13"/>
        <v>2282.5105000000003</v>
      </c>
      <c r="BR62" s="68">
        <f t="shared" si="13"/>
        <v>1403.8212000000001</v>
      </c>
      <c r="BS62" s="68">
        <f t="shared" si="13"/>
        <v>104.34656174999998</v>
      </c>
      <c r="BT62" s="68">
        <f t="shared" si="13"/>
        <v>12.84155194758724</v>
      </c>
      <c r="BU62" s="68">
        <f t="shared" si="13"/>
        <v>34.045813400295657</v>
      </c>
      <c r="BV62" s="68">
        <f t="shared" si="13"/>
        <v>57.459196402117087</v>
      </c>
      <c r="BW62" s="97">
        <f t="shared" si="13"/>
        <v>9.5602500000000017</v>
      </c>
      <c r="BX62" s="68">
        <f t="shared" si="13"/>
        <v>4.4256868737474955</v>
      </c>
      <c r="BY62" s="68">
        <f t="shared" si="13"/>
        <v>2.0691523046092186</v>
      </c>
      <c r="BZ62" s="68">
        <f t="shared" si="13"/>
        <v>3.0654108216432872</v>
      </c>
      <c r="CA62" s="68">
        <f t="shared" si="13"/>
        <v>189.49882499999998</v>
      </c>
      <c r="CB62" s="68">
        <f t="shared" si="13"/>
        <v>126.78661834670564</v>
      </c>
      <c r="CC62" s="68">
        <f t="shared" si="13"/>
        <v>3.8779378880282764</v>
      </c>
      <c r="CD62" s="68">
        <f t="shared" si="13"/>
        <v>19.816728226438844</v>
      </c>
      <c r="CE62" s="68">
        <f t="shared" si="13"/>
        <v>12.621368572791406</v>
      </c>
      <c r="CF62" s="68">
        <f t="shared" si="13"/>
        <v>7.1587523970715008</v>
      </c>
      <c r="CG62" s="68">
        <f t="shared" si="13"/>
        <v>19.237419568964345</v>
      </c>
      <c r="CH62" s="68">
        <f t="shared" si="13"/>
        <v>29.949374999999996</v>
      </c>
      <c r="CI62" s="68">
        <f t="shared" si="13"/>
        <v>8.1948682987848471</v>
      </c>
      <c r="CJ62" s="68">
        <f t="shared" si="13"/>
        <v>3.6221831665475319</v>
      </c>
      <c r="CK62" s="68">
        <f t="shared" si="13"/>
        <v>18.132323534667616</v>
      </c>
      <c r="CL62" s="653">
        <f t="shared" si="13"/>
        <v>1070.46618825</v>
      </c>
      <c r="CM62" s="97">
        <f>(BC62*CM$12+BD62*CM$13+BE62*CM$14+BG62*CM$17+BH62*CM$18+BI62*CM$19+BK62*CM$22+BL62*CM$23+CM$26*BN62+CM$27*BO62+CM$30*BQ62+BT62*CM$35+BU62*CM$36+BV62*CM$37+BX62*CM$40+BY62*CM$41+BZ62*CM$42+CB62*CM$45+CC62*CM$46+CD62*CM$47+CE62*CM$48+CF62*CM$49+CI62*CM$53+CJ62*CM$54+CK62*CM$55)/AY62</f>
        <v>6.5997821193998876</v>
      </c>
      <c r="CN62" s="97">
        <f>IF((BB62+BF62+BJ62+BM62)&gt;0,(BC62*CM$12+BD62*CM$13+BE62*CM$14+BG62*CM$17+BH62*CM$18+BI62*CM$19+BK62*CM$22+BL62*CM$23+CM$26*BN62+CM$27*BO62)/(BB62+BF62+BJ62+BM62),0)</f>
        <v>2.6216325911766174</v>
      </c>
      <c r="CO62" s="97">
        <f>(BT62*CM$35+BU62*CM$36+BV62*CM$37+BX62*CM$40+BY62*CM$41+BZ62*CM$42+CB62*CM$45+CC62*CM$46+CD62*CM$47+CE62*CM$48+CF62*CM$49+CI62*CM$53+CJ62*CM$54+CK62*CM$55)/(BS62+BW62+CA62+CH62)</f>
        <v>3.5243978321462577</v>
      </c>
      <c r="CP62" s="68">
        <f>CM$30*BQ62/BP62</f>
        <v>12.406947890818858</v>
      </c>
      <c r="CQ62" s="68">
        <f>10*(CT62+CU62)/DA62</f>
        <v>72.925780599133049</v>
      </c>
      <c r="CR62" s="68"/>
      <c r="CS62" s="261">
        <f>CM62*AY62/10</f>
        <v>3289.7561042882871</v>
      </c>
      <c r="CT62" s="107">
        <f>CN62*(BB62+BF62+BJ62+BM62)/10</f>
        <v>340.36965283891789</v>
      </c>
      <c r="CU62" s="107">
        <f>CO62*(BS62+BW62+CA62+CH62)/10</f>
        <v>117.487568074679</v>
      </c>
      <c r="CV62" s="107">
        <f>CP62*BP62/10</f>
        <v>2831.8988833746898</v>
      </c>
      <c r="CW62" s="144">
        <f>CW75+CW77+CW79+CW81</f>
        <v>2831.8988833746898</v>
      </c>
      <c r="CY62" s="67">
        <f>CY75+CY77+CY79+CY81+CY87+CY89+CY91</f>
        <v>204.37199999999999</v>
      </c>
      <c r="CZ62" s="97">
        <f>CZ75+CZ77+CZ79+CZ81+CZ87+CZ89+CZ91</f>
        <v>4.1272399999999996</v>
      </c>
      <c r="DA62" s="584">
        <f>DA75+DA77+DA79+DA81+DA87+DA89+DA91</f>
        <v>62.784000000000006</v>
      </c>
      <c r="DE62" s="108">
        <f>DE75+DE77+DE79+DE81+DE87+DE89+DE91</f>
        <v>34.851999999999997</v>
      </c>
      <c r="DI62" s="108">
        <f>DI75+DI77+DI79+DI81+DI87+DI89+DI91</f>
        <v>27.931999999999999</v>
      </c>
      <c r="DJ62" s="97"/>
      <c r="DK62" s="97"/>
      <c r="DL62" s="97"/>
      <c r="DM62" s="97"/>
      <c r="DN62" s="68">
        <f>10*'Amortization metrics'!D$4*DP62/CM62</f>
        <v>50.536543928871737</v>
      </c>
      <c r="DO62" s="97"/>
      <c r="DP62" s="127">
        <f>(BC62*DP$12+BD62*DP$13+BE62*DP$14+BG62*DP$17+BH62*DP$18+BI62*DP$19+BK62*DP$22+BL62*DP$23+DP$26*BN62+DP$27*BO62+DP$30*BQ62+BT62*DP$35+BU62*DP$36+BV62*DP$37+BX62*DP$40+BY62*DP$41+BV62*DP$42+CB62*DP$45+CC62*DP$46+CD62*DP$47+CE62*DP$48+CF62*DP$49+CG62*DP$50+CI62*DP$53+CJ62*DP$54+CK62*DP$55)/AY62</f>
        <v>1.1117672633267821</v>
      </c>
      <c r="DQ62" s="127">
        <f>(BC62*DQ$12+BD62*DQ$13+BE62*DQ$14+BG62*DQ$17+BH62*DQ$18+BI62*DQ$19+BK62*DQ$22+BL62*DQ$23+DQ$26*BN62+DQ$27*BO62+DQ$30*BQ62+BT62*DQ$35+BU62*DQ$36+BV62*DQ$37+BX62*DQ$40+BY62*DQ$41+BV62*DQ$42+CB62*DQ$45+CC62*DQ$46+CD62*DQ$47+CE62*DQ$48+CF62*DQ$49+CG62*DQ$50+CI62*DQ$53+CJ62*DQ$54+CK62*DQ$55)/AY62</f>
        <v>1.0528501770190544</v>
      </c>
      <c r="EE62" s="589">
        <f>EE75+EE77+EE79+EE81+EE87+EE89+EE91</f>
        <v>1131.9542761881576</v>
      </c>
      <c r="EI62" s="32">
        <f>(EI75*DA75+EI77*DA77+EI79*DA79+EI81*DA81+EI87*DA87+EI89*DA89+EI91*DA91)/DA62</f>
        <v>18.029343084036658</v>
      </c>
      <c r="EN62" s="589">
        <f>EN75+EN77+EN79+EN81+EN87+EN89+EN91</f>
        <v>5849.5635999105152</v>
      </c>
      <c r="EO62" s="74"/>
      <c r="EP62" s="74"/>
      <c r="EQ62" s="73">
        <f>EN62/CZ62</f>
        <v>1417.3063839055922</v>
      </c>
      <c r="ER62" s="73">
        <f>EN62/DA62</f>
        <v>93.169654687667474</v>
      </c>
      <c r="ES62" s="68">
        <f t="shared" ref="ES62:FA62" si="14">ES75+ES77+ES79+ES81+ES87+ES89+ES91</f>
        <v>590.12209679238515</v>
      </c>
      <c r="ET62" s="68">
        <f t="shared" si="14"/>
        <v>400.15041030925323</v>
      </c>
      <c r="EU62" s="68">
        <f t="shared" si="14"/>
        <v>97.62873613877062</v>
      </c>
      <c r="EV62" s="471">
        <f t="shared" si="14"/>
        <v>1003.4017600000001</v>
      </c>
      <c r="EW62" s="471">
        <f t="shared" si="14"/>
        <v>2960.5112366701069</v>
      </c>
      <c r="EX62" s="471">
        <f t="shared" si="14"/>
        <v>126.64000000000001</v>
      </c>
      <c r="EY62" s="471">
        <f t="shared" si="14"/>
        <v>334.57056</v>
      </c>
      <c r="EZ62" s="471">
        <f t="shared" si="14"/>
        <v>336.53879999999992</v>
      </c>
      <c r="FA62" s="68">
        <f t="shared" si="14"/>
        <v>1087.901243240409</v>
      </c>
      <c r="FB62" s="68"/>
      <c r="FC62" s="68"/>
      <c r="FD62" s="74"/>
      <c r="FE62" s="74"/>
      <c r="FF62" s="68"/>
      <c r="FG62" s="74"/>
      <c r="FH62" s="74"/>
      <c r="FI62" s="68"/>
      <c r="FJ62" s="74"/>
      <c r="FK62" s="74"/>
      <c r="FL62" s="68"/>
      <c r="FM62" s="74"/>
      <c r="FN62" s="74"/>
      <c r="FO62" s="68"/>
      <c r="FP62" s="74"/>
      <c r="FQ62" s="74"/>
      <c r="FR62" s="74"/>
      <c r="FS62" s="74"/>
      <c r="FT62" s="74"/>
      <c r="FU62" s="68"/>
      <c r="FV62" s="74"/>
      <c r="FW62" s="74"/>
      <c r="FX62" s="68"/>
      <c r="FY62" s="74"/>
      <c r="FZ62" s="74"/>
      <c r="GA62" s="74"/>
      <c r="GB62" s="74"/>
      <c r="GC62" s="74"/>
      <c r="GD62" s="74"/>
      <c r="GE62" s="74"/>
      <c r="GF62" s="74"/>
      <c r="KD62" s="97"/>
      <c r="KE62" s="97"/>
      <c r="KF62" s="97"/>
      <c r="KG62" s="97"/>
      <c r="KH62" s="97"/>
      <c r="KI62" s="97"/>
    </row>
    <row r="63" spans="1:295" s="4" customFormat="1" x14ac:dyDescent="0.25">
      <c r="A63" s="27"/>
      <c r="B63" s="14"/>
      <c r="C63" s="14"/>
      <c r="D63" s="14"/>
      <c r="E63" s="14"/>
      <c r="F63" s="14"/>
      <c r="G63" s="14"/>
      <c r="H63" s="14"/>
      <c r="I63" s="14"/>
      <c r="J63" s="14"/>
      <c r="K63" s="14"/>
      <c r="L63" s="14"/>
      <c r="M63" s="14"/>
      <c r="N63" s="14"/>
      <c r="O63" s="14"/>
      <c r="P63" s="14"/>
      <c r="Q63" s="14"/>
      <c r="R63" s="14"/>
      <c r="T63" s="14"/>
      <c r="U63" s="14"/>
      <c r="V63" s="14"/>
      <c r="W63" s="14"/>
      <c r="X63" s="14"/>
      <c r="Z63" s="14"/>
      <c r="AA63" s="14"/>
      <c r="AB63" s="14"/>
      <c r="AC63" s="14"/>
      <c r="AD63" s="14"/>
      <c r="AE63" s="14"/>
      <c r="AF63" s="14"/>
      <c r="AG63" s="14"/>
      <c r="AH63" s="14"/>
      <c r="AI63" s="14"/>
      <c r="AJ63" s="14"/>
      <c r="AK63" s="14"/>
      <c r="AL63" s="14"/>
      <c r="AM63" s="14"/>
      <c r="AN63" s="14"/>
      <c r="AO63" s="102"/>
      <c r="AP63" s="14"/>
      <c r="AQ63" s="14"/>
      <c r="AR63" s="14"/>
      <c r="AS63" s="14"/>
      <c r="AT63" s="14"/>
      <c r="AU63" s="14"/>
      <c r="AV63" s="14"/>
      <c r="AW63" s="14"/>
      <c r="AX63" s="102"/>
      <c r="AY63" s="14"/>
      <c r="AZ63" s="14"/>
      <c r="BA63" s="14"/>
      <c r="BB63" s="14"/>
      <c r="BC63" s="102"/>
      <c r="BD63" s="102"/>
      <c r="BE63" s="102"/>
      <c r="BF63" s="102"/>
      <c r="BG63" s="102"/>
      <c r="BH63" s="102"/>
      <c r="BI63" s="102"/>
      <c r="BJ63" s="102"/>
      <c r="BK63" s="102"/>
      <c r="BL63" s="102"/>
      <c r="BM63" s="102"/>
      <c r="BN63" s="102"/>
      <c r="BO63" s="102"/>
      <c r="BP63" s="102"/>
      <c r="BQ63" s="102"/>
      <c r="BR63" s="102"/>
      <c r="BS63" s="102"/>
      <c r="BT63" s="102"/>
      <c r="BU63" s="102"/>
      <c r="BV63" s="102"/>
      <c r="BW63" s="102"/>
      <c r="BX63" s="102"/>
      <c r="BY63" s="102"/>
      <c r="BZ63" s="102"/>
      <c r="CA63" s="102"/>
      <c r="CB63" s="102"/>
      <c r="CC63" s="102"/>
      <c r="CD63" s="102"/>
      <c r="CE63" s="102"/>
      <c r="CF63" s="102"/>
      <c r="CG63" s="102"/>
      <c r="CH63" s="102"/>
      <c r="CI63" s="102"/>
      <c r="CJ63" s="102"/>
      <c r="CK63" s="102"/>
      <c r="CL63" s="102"/>
      <c r="CM63" s="60"/>
      <c r="CN63" s="60"/>
      <c r="CO63" s="60"/>
      <c r="CP63" s="68"/>
      <c r="CQ63" s="68"/>
      <c r="CR63" s="68"/>
      <c r="CW63" s="60"/>
      <c r="CZ63" s="32"/>
      <c r="DN63" s="68"/>
      <c r="DO63" s="60"/>
      <c r="DP63" s="60"/>
      <c r="EE63" s="645"/>
      <c r="EM63" s="133"/>
      <c r="EN63" s="645"/>
      <c r="ES63" s="654"/>
      <c r="ET63" s="654"/>
      <c r="EU63" s="74"/>
      <c r="EV63" s="74"/>
      <c r="EW63" s="74"/>
      <c r="EX63" s="74"/>
      <c r="EY63" s="74"/>
      <c r="EZ63" s="74"/>
      <c r="FF63" s="654"/>
      <c r="FG63" s="74"/>
      <c r="FH63" s="74"/>
      <c r="FI63" s="74"/>
      <c r="FJ63" s="74"/>
      <c r="FK63" s="74"/>
      <c r="FL63" s="74"/>
      <c r="FM63" s="74"/>
      <c r="FN63" s="74"/>
      <c r="FO63" s="74"/>
      <c r="FP63" s="74"/>
      <c r="FQ63" s="74"/>
      <c r="FR63" s="74"/>
      <c r="FS63" s="74"/>
      <c r="FT63" s="74"/>
      <c r="FU63" s="74"/>
      <c r="FV63" s="74"/>
      <c r="FW63" s="74"/>
      <c r="FX63" s="74"/>
      <c r="FY63" s="74"/>
      <c r="FZ63" s="74"/>
      <c r="GA63" s="74"/>
      <c r="GB63" s="74"/>
      <c r="GC63" s="74"/>
      <c r="GD63" s="74"/>
      <c r="GE63" s="74"/>
      <c r="GF63" s="74"/>
      <c r="KD63" s="97"/>
      <c r="KE63" s="97"/>
      <c r="KF63" s="97"/>
      <c r="KG63" s="97"/>
      <c r="KH63" s="97"/>
      <c r="KI63" s="97"/>
    </row>
    <row r="64" spans="1:295" s="61" customFormat="1" ht="13.8" x14ac:dyDescent="0.3">
      <c r="A64" s="28" t="s">
        <v>1</v>
      </c>
      <c r="B64" s="162"/>
      <c r="C64" s="162"/>
      <c r="D64" s="162"/>
      <c r="E64" s="162"/>
      <c r="F64" s="162"/>
      <c r="G64" s="162"/>
      <c r="H64" s="162"/>
      <c r="I64" s="162"/>
      <c r="J64" s="162"/>
      <c r="K64" s="162"/>
      <c r="L64" s="162"/>
      <c r="M64" s="162"/>
      <c r="N64" s="162"/>
      <c r="P64" s="162"/>
      <c r="Q64" s="162"/>
      <c r="R64" s="162"/>
      <c r="T64" s="162"/>
      <c r="U64" s="162"/>
      <c r="V64" s="162"/>
      <c r="W64" s="162"/>
      <c r="X64" s="162"/>
      <c r="Y64" s="162"/>
      <c r="Z64" s="162"/>
      <c r="AA64" s="162"/>
      <c r="AB64" s="162"/>
      <c r="AC64" s="162"/>
      <c r="AD64" s="162"/>
      <c r="AE64" s="162"/>
      <c r="AF64" s="162"/>
      <c r="AG64" s="162"/>
      <c r="AH64" s="162"/>
      <c r="AI64" s="162"/>
      <c r="AJ64" s="162"/>
      <c r="AK64" s="162"/>
      <c r="AL64" s="162"/>
      <c r="AM64" s="162"/>
      <c r="AN64" s="162"/>
      <c r="AO64" s="655"/>
      <c r="AP64" s="162"/>
      <c r="AQ64" s="162"/>
      <c r="AR64" s="162"/>
      <c r="AS64" s="162"/>
      <c r="AT64" s="162"/>
      <c r="AU64" s="162"/>
      <c r="AV64" s="162"/>
      <c r="AW64" s="162"/>
      <c r="AX64" s="655"/>
      <c r="AY64" s="68">
        <f>AY75+AY77+AY79+AY81</f>
        <v>4068.9249999999997</v>
      </c>
      <c r="AZ64" s="162"/>
      <c r="BA64" s="162"/>
      <c r="BB64" s="162"/>
      <c r="BC64" s="655"/>
      <c r="BD64" s="655"/>
      <c r="BE64" s="655"/>
      <c r="BF64" s="655"/>
      <c r="BG64" s="655"/>
      <c r="BH64" s="655"/>
      <c r="BI64" s="655"/>
      <c r="BJ64" s="655"/>
      <c r="BK64" s="655"/>
      <c r="BL64" s="655"/>
      <c r="BM64" s="655"/>
      <c r="BN64" s="655"/>
      <c r="BO64" s="655"/>
      <c r="BP64" s="655"/>
      <c r="BQ64" s="655"/>
      <c r="BR64" s="655"/>
      <c r="BS64" s="655"/>
      <c r="BT64" s="655"/>
      <c r="BU64" s="655"/>
      <c r="BV64" s="655"/>
      <c r="BW64" s="655"/>
      <c r="BX64" s="655"/>
      <c r="BY64" s="655"/>
      <c r="BZ64" s="655"/>
      <c r="CA64" s="655"/>
      <c r="CB64" s="655"/>
      <c r="CC64" s="655"/>
      <c r="CD64" s="655"/>
      <c r="CE64" s="655"/>
      <c r="CF64" s="655"/>
      <c r="CG64" s="655"/>
      <c r="CH64" s="655"/>
      <c r="CI64" s="655"/>
      <c r="CJ64" s="655"/>
      <c r="CK64" s="655"/>
      <c r="CL64" s="655"/>
      <c r="CM64" s="552"/>
      <c r="CN64" s="552"/>
      <c r="CO64" s="552"/>
      <c r="CP64" s="656"/>
      <c r="CQ64" s="68"/>
      <c r="CR64" s="656"/>
      <c r="CS64" s="68">
        <f>CS75+CS77+CS79+CS81</f>
        <v>3019.3398975091704</v>
      </c>
      <c r="CT64" s="68">
        <f t="shared" ref="CT64:CV64" si="15">CT75+CT77+CT79+CT81</f>
        <v>131.06895687685451</v>
      </c>
      <c r="CU64" s="68">
        <f t="shared" si="15"/>
        <v>56.372057257626544</v>
      </c>
      <c r="CV64" s="68">
        <f t="shared" si="15"/>
        <v>2831.8988833746898</v>
      </c>
      <c r="CW64" s="552"/>
      <c r="CX64" s="68">
        <f t="shared" ref="CX64:DI64" si="16">CX75+CX77+CX79+CX81</f>
        <v>724</v>
      </c>
      <c r="CY64" s="68">
        <f t="shared" si="16"/>
        <v>113.723</v>
      </c>
      <c r="CZ64" s="68">
        <f t="shared" si="16"/>
        <v>2.3711599999999997</v>
      </c>
      <c r="DA64" s="68">
        <f t="shared" si="16"/>
        <v>32.386500000000005</v>
      </c>
      <c r="DB64" s="97">
        <f t="shared" si="16"/>
        <v>75</v>
      </c>
      <c r="DC64" s="68">
        <f t="shared" si="16"/>
        <v>31.373000000000001</v>
      </c>
      <c r="DD64" s="68">
        <f t="shared" si="16"/>
        <v>0.58766000000000007</v>
      </c>
      <c r="DE64" s="68">
        <f t="shared" si="16"/>
        <v>11.186499999999999</v>
      </c>
      <c r="DF64" s="68">
        <f t="shared" si="16"/>
        <v>649</v>
      </c>
      <c r="DG64" s="68">
        <f t="shared" si="16"/>
        <v>82.35</v>
      </c>
      <c r="DH64" s="68">
        <f t="shared" si="16"/>
        <v>1.7835000000000001</v>
      </c>
      <c r="DI64" s="68">
        <f t="shared" si="16"/>
        <v>21.2</v>
      </c>
      <c r="DN64" s="656"/>
      <c r="DO64" s="552"/>
      <c r="DP64" s="552"/>
      <c r="EE64" s="471">
        <f>EE65+EE66</f>
        <v>981.58368420508486</v>
      </c>
      <c r="EN64" s="471">
        <f>EN65+EN66</f>
        <v>4811.3504697989138</v>
      </c>
      <c r="EO64" s="452"/>
      <c r="EP64" s="452"/>
      <c r="EQ64" s="452"/>
      <c r="ER64" s="452"/>
      <c r="ES64" s="152"/>
      <c r="ET64" s="152"/>
      <c r="EU64" s="452"/>
      <c r="EV64" s="452"/>
      <c r="EW64" s="452"/>
      <c r="EX64" s="452"/>
      <c r="EY64" s="452"/>
      <c r="EZ64" s="452"/>
      <c r="FA64" s="452"/>
      <c r="FB64" s="452"/>
      <c r="FC64" s="452"/>
      <c r="FD64" s="452"/>
      <c r="FE64" s="452"/>
      <c r="FF64" s="152"/>
      <c r="FG64" s="452"/>
      <c r="FH64" s="452"/>
      <c r="FI64" s="452"/>
      <c r="FJ64" s="452"/>
      <c r="FK64" s="452"/>
      <c r="FL64" s="452"/>
      <c r="FM64" s="452"/>
      <c r="FN64" s="452"/>
      <c r="FO64" s="452"/>
      <c r="FP64" s="452"/>
      <c r="FQ64" s="452"/>
      <c r="FR64" s="452"/>
      <c r="FS64" s="452"/>
      <c r="FT64" s="452"/>
      <c r="FU64" s="452"/>
      <c r="FV64" s="452"/>
      <c r="FW64" s="452"/>
      <c r="FX64" s="452"/>
      <c r="FY64" s="452"/>
      <c r="FZ64" s="452"/>
      <c r="GA64" s="452"/>
      <c r="GB64" s="452"/>
      <c r="GC64" s="452"/>
      <c r="GD64" s="452"/>
      <c r="GE64" s="452"/>
      <c r="GF64" s="452"/>
      <c r="KD64" s="657"/>
      <c r="KE64" s="657"/>
      <c r="KF64" s="657"/>
      <c r="KG64" s="657"/>
      <c r="KH64" s="657"/>
      <c r="KI64" s="657"/>
    </row>
    <row r="65" spans="1:295" s="49" customFormat="1" ht="10.199999999999999" x14ac:dyDescent="0.2">
      <c r="A65" s="123" t="s">
        <v>797</v>
      </c>
      <c r="B65" s="50"/>
      <c r="C65" s="50"/>
      <c r="D65" s="50"/>
      <c r="E65" s="50"/>
      <c r="F65" s="50"/>
      <c r="G65" s="50"/>
      <c r="H65" s="50"/>
      <c r="I65" s="50"/>
      <c r="J65" s="649"/>
      <c r="K65" s="658"/>
      <c r="L65" s="658"/>
      <c r="M65" s="658"/>
      <c r="N65" s="649"/>
      <c r="O65" s="649"/>
      <c r="P65" s="649"/>
      <c r="Q65" s="649"/>
      <c r="R65" s="649"/>
      <c r="T65" s="50"/>
      <c r="U65" s="649"/>
      <c r="V65" s="50"/>
      <c r="W65" s="50"/>
      <c r="X65" s="648"/>
      <c r="Y65" s="50"/>
      <c r="Z65" s="648"/>
      <c r="AA65" s="659"/>
      <c r="AB65" s="658"/>
      <c r="AC65" s="658"/>
      <c r="AD65" s="658"/>
      <c r="AE65" s="659"/>
      <c r="AF65" s="658"/>
      <c r="AG65" s="658"/>
      <c r="AH65" s="658"/>
      <c r="AI65" s="659"/>
      <c r="AJ65" s="658"/>
      <c r="AK65" s="658"/>
      <c r="AL65" s="658"/>
      <c r="AM65" s="658"/>
      <c r="AN65" s="658"/>
      <c r="AO65" s="660"/>
      <c r="AP65" s="659"/>
      <c r="AQ65" s="50"/>
      <c r="AR65" s="50"/>
      <c r="AS65" s="50"/>
      <c r="AT65" s="132"/>
      <c r="AU65" s="661"/>
      <c r="AV65" s="662">
        <f>AY65/CX65</f>
        <v>39.9296875</v>
      </c>
      <c r="AW65" s="663">
        <f>AY65/DA65</f>
        <v>267.59162303664925</v>
      </c>
      <c r="AX65" s="575"/>
      <c r="AY65" s="152">
        <f>AY75+AY77</f>
        <v>2555.5</v>
      </c>
      <c r="AZ65" s="50"/>
      <c r="BA65" s="50"/>
      <c r="BB65" s="607"/>
      <c r="BC65" s="575"/>
      <c r="BD65" s="575"/>
      <c r="BE65" s="575"/>
      <c r="BF65" s="607"/>
      <c r="BG65" s="575"/>
      <c r="BH65" s="575"/>
      <c r="BI65" s="575"/>
      <c r="BJ65" s="607"/>
      <c r="BK65" s="575"/>
      <c r="BL65" s="575"/>
      <c r="BM65" s="607"/>
      <c r="BN65" s="575"/>
      <c r="BO65" s="575"/>
      <c r="BP65" s="607"/>
      <c r="BQ65" s="575"/>
      <c r="BR65" s="607"/>
      <c r="BS65" s="607"/>
      <c r="BT65" s="575"/>
      <c r="BU65" s="575"/>
      <c r="BV65" s="575"/>
      <c r="BW65" s="607"/>
      <c r="BX65" s="575"/>
      <c r="BY65" s="575"/>
      <c r="BZ65" s="575"/>
      <c r="CA65" s="607"/>
      <c r="CB65" s="575"/>
      <c r="CC65" s="575"/>
      <c r="CD65" s="575"/>
      <c r="CE65" s="575"/>
      <c r="CF65" s="575"/>
      <c r="CG65" s="575"/>
      <c r="CH65" s="607"/>
      <c r="CI65" s="575"/>
      <c r="CJ65" s="575"/>
      <c r="CK65" s="575"/>
      <c r="CL65" s="607"/>
      <c r="CM65" s="123"/>
      <c r="CN65" s="123"/>
      <c r="CO65" s="123"/>
      <c r="CP65" s="144"/>
      <c r="CQ65" s="664">
        <f t="shared" ref="CQ65:CQ66" si="17">10*(CT65+CU65)/DA65</f>
        <v>100.47235203509426</v>
      </c>
      <c r="CR65" s="664">
        <f t="shared" ref="CR65:CR66" si="18">10*CW65/$DA65</f>
        <v>1978.1546776142286</v>
      </c>
      <c r="CS65" s="152">
        <f>CS75+CS77</f>
        <v>1985.0888133151029</v>
      </c>
      <c r="CT65" s="152">
        <f>CT75+CT77</f>
        <v>62.025273462774877</v>
      </c>
      <c r="CU65" s="152">
        <f>CU75+CU77</f>
        <v>33.925822730740123</v>
      </c>
      <c r="CV65" s="152">
        <f>CV75+CV77</f>
        <v>1889.1377171215881</v>
      </c>
      <c r="CW65" s="152">
        <f>CW75+CW77</f>
        <v>1889.1377171215881</v>
      </c>
      <c r="CX65" s="152">
        <f t="shared" ref="CX65:CZ65" si="19">CX75+CX77</f>
        <v>64</v>
      </c>
      <c r="CY65" s="153">
        <f t="shared" si="19"/>
        <v>26.78</v>
      </c>
      <c r="CZ65" s="153">
        <f t="shared" si="19"/>
        <v>0.50080000000000002</v>
      </c>
      <c r="DA65" s="153">
        <f>DA75+DA77</f>
        <v>9.5499999999999989</v>
      </c>
      <c r="DN65" s="144"/>
      <c r="DO65" s="123"/>
      <c r="DP65" s="123"/>
      <c r="EE65" s="152">
        <f>EE75+EE77</f>
        <v>633.40152463910022</v>
      </c>
      <c r="EN65" s="152">
        <f>EN75+EN77</f>
        <v>2915.8398492127963</v>
      </c>
      <c r="EO65" s="133"/>
      <c r="EP65" s="133"/>
      <c r="EQ65" s="474">
        <f>EN65/CZ65</f>
        <v>5822.3639161597366</v>
      </c>
      <c r="ER65" s="474">
        <f>EN65/DA65</f>
        <v>305.32354442018811</v>
      </c>
      <c r="ES65" s="152">
        <f>ES75+ES77</f>
        <v>168.27297704850028</v>
      </c>
      <c r="ET65" s="152">
        <f>ET75+ET77</f>
        <v>120.51689205553345</v>
      </c>
      <c r="EU65" s="133"/>
      <c r="EV65" s="133"/>
      <c r="EW65" s="133"/>
      <c r="EX65" s="133"/>
      <c r="EY65" s="133"/>
      <c r="EZ65" s="133"/>
      <c r="FA65" s="133"/>
      <c r="FB65" s="133"/>
      <c r="FC65" s="133"/>
      <c r="FD65" s="133"/>
      <c r="FE65" s="133"/>
      <c r="FF65" s="152"/>
      <c r="FG65" s="133"/>
      <c r="FH65" s="133"/>
      <c r="FI65" s="133"/>
      <c r="FJ65" s="133"/>
      <c r="FK65" s="133"/>
      <c r="FL65" s="133"/>
      <c r="FM65" s="133"/>
      <c r="FN65" s="133"/>
      <c r="FO65" s="133"/>
      <c r="FP65" s="133"/>
      <c r="FQ65" s="133"/>
      <c r="FR65" s="133"/>
      <c r="FS65" s="133"/>
      <c r="FT65" s="133"/>
      <c r="FU65" s="133"/>
      <c r="FV65" s="133"/>
      <c r="FW65" s="133"/>
      <c r="FX65" s="133"/>
      <c r="FY65" s="133"/>
      <c r="FZ65" s="133"/>
      <c r="GA65" s="133"/>
      <c r="GB65" s="133"/>
      <c r="GC65" s="133"/>
      <c r="GD65" s="133"/>
      <c r="GE65" s="133"/>
      <c r="GF65" s="133"/>
      <c r="KD65" s="149"/>
      <c r="KE65" s="149"/>
      <c r="KF65" s="149"/>
      <c r="KG65" s="149"/>
      <c r="KH65" s="149"/>
      <c r="KI65" s="149"/>
    </row>
    <row r="66" spans="1:295" s="49" customFormat="1" ht="12" customHeight="1" x14ac:dyDescent="0.2">
      <c r="A66" s="123" t="s">
        <v>798</v>
      </c>
      <c r="B66" s="50"/>
      <c r="C66" s="50"/>
      <c r="D66" s="50"/>
      <c r="E66" s="50"/>
      <c r="F66" s="50"/>
      <c r="G66" s="50"/>
      <c r="H66" s="50"/>
      <c r="I66" s="50"/>
      <c r="J66" s="649"/>
      <c r="K66" s="658"/>
      <c r="L66" s="658"/>
      <c r="M66" s="658"/>
      <c r="N66" s="649"/>
      <c r="O66" s="649"/>
      <c r="P66" s="649"/>
      <c r="Q66" s="649"/>
      <c r="R66" s="649"/>
      <c r="T66" s="50"/>
      <c r="U66" s="648"/>
      <c r="V66" s="50"/>
      <c r="W66" s="50"/>
      <c r="X66" s="648"/>
      <c r="Y66" s="50"/>
      <c r="Z66" s="648"/>
      <c r="AA66" s="659"/>
      <c r="AB66" s="658"/>
      <c r="AC66" s="658"/>
      <c r="AD66" s="658"/>
      <c r="AE66" s="659"/>
      <c r="AF66" s="658"/>
      <c r="AG66" s="658"/>
      <c r="AH66" s="658"/>
      <c r="AI66" s="659"/>
      <c r="AJ66" s="658"/>
      <c r="AK66" s="658"/>
      <c r="AL66" s="658"/>
      <c r="AM66" s="658"/>
      <c r="AN66" s="658"/>
      <c r="AO66" s="660"/>
      <c r="AP66" s="659"/>
      <c r="AQ66" s="50"/>
      <c r="AR66" s="50"/>
      <c r="AS66" s="50"/>
      <c r="AT66" s="132"/>
      <c r="AU66" s="661"/>
      <c r="AV66" s="665">
        <f>AY66/CX66</f>
        <v>2.2930681818181822</v>
      </c>
      <c r="AW66" s="663">
        <f>AY66/DA66</f>
        <v>66.272195826856134</v>
      </c>
      <c r="AX66" s="575"/>
      <c r="AY66" s="152">
        <f>AY79+AY81</f>
        <v>1513.4250000000002</v>
      </c>
      <c r="AZ66" s="50"/>
      <c r="BA66" s="50"/>
      <c r="BB66" s="634"/>
      <c r="BC66" s="575"/>
      <c r="BD66" s="575"/>
      <c r="BE66" s="575"/>
      <c r="BF66" s="634"/>
      <c r="BG66" s="575"/>
      <c r="BH66" s="575"/>
      <c r="BI66" s="575"/>
      <c r="BJ66" s="634"/>
      <c r="BK66" s="575"/>
      <c r="BL66" s="575"/>
      <c r="BM66" s="634"/>
      <c r="BN66" s="575"/>
      <c r="BO66" s="575"/>
      <c r="BP66" s="634"/>
      <c r="BQ66" s="575"/>
      <c r="BR66" s="634"/>
      <c r="BS66" s="634"/>
      <c r="BT66" s="575"/>
      <c r="BU66" s="575"/>
      <c r="BV66" s="575"/>
      <c r="BW66" s="634"/>
      <c r="BX66" s="575"/>
      <c r="BY66" s="575"/>
      <c r="BZ66" s="575"/>
      <c r="CA66" s="634"/>
      <c r="CB66" s="575"/>
      <c r="CC66" s="575"/>
      <c r="CD66" s="575"/>
      <c r="CE66" s="575"/>
      <c r="CF66" s="575"/>
      <c r="CG66" s="575"/>
      <c r="CH66" s="634"/>
      <c r="CI66" s="575"/>
      <c r="CJ66" s="575"/>
      <c r="CK66" s="575"/>
      <c r="CL66" s="634"/>
      <c r="CM66" s="123"/>
      <c r="CN66" s="123"/>
      <c r="CO66" s="123"/>
      <c r="CP66" s="144"/>
      <c r="CQ66" s="664">
        <f t="shared" si="17"/>
        <v>40.063021015026834</v>
      </c>
      <c r="CR66" s="664">
        <f t="shared" si="18"/>
        <v>412.83084809541805</v>
      </c>
      <c r="CS66" s="152">
        <f>CS79+CS81</f>
        <v>1034.2510841940675</v>
      </c>
      <c r="CT66" s="152">
        <f>CT79+CT81</f>
        <v>69.043683414079624</v>
      </c>
      <c r="CU66" s="152">
        <f>CU79+CU81</f>
        <v>22.446234526886414</v>
      </c>
      <c r="CV66" s="152">
        <f>CV79+CV81</f>
        <v>942.76116625310158</v>
      </c>
      <c r="CW66" s="152">
        <f>CW79+CW81</f>
        <v>942.76116625310158</v>
      </c>
      <c r="CX66" s="152">
        <f t="shared" ref="CX66:CZ66" si="20">CX79+CX81</f>
        <v>660</v>
      </c>
      <c r="CY66" s="153">
        <f t="shared" si="20"/>
        <v>86.942999999999998</v>
      </c>
      <c r="CZ66" s="153">
        <f t="shared" si="20"/>
        <v>1.8703599999999998</v>
      </c>
      <c r="DA66" s="153">
        <f>DA79+DA81</f>
        <v>22.836500000000001</v>
      </c>
      <c r="DN66" s="144"/>
      <c r="DO66" s="123"/>
      <c r="DP66" s="123"/>
      <c r="EE66" s="152">
        <f>EE79+EE81</f>
        <v>348.18215956598459</v>
      </c>
      <c r="EL66" s="50"/>
      <c r="EN66" s="152">
        <f>EN79+EN81</f>
        <v>1895.5106205861171</v>
      </c>
      <c r="EO66" s="133"/>
      <c r="EP66" s="133"/>
      <c r="EQ66" s="474">
        <f>EN66/CZ66</f>
        <v>1013.4469410092802</v>
      </c>
      <c r="ER66" s="474">
        <f>EN66/DA66</f>
        <v>83.003552233753723</v>
      </c>
      <c r="ES66" s="643"/>
      <c r="ET66" s="643"/>
      <c r="EU66" s="133"/>
      <c r="EV66" s="133"/>
      <c r="EW66" s="133"/>
      <c r="EX66" s="133"/>
      <c r="EY66" s="133"/>
      <c r="EZ66" s="133"/>
      <c r="FA66" s="133"/>
      <c r="FB66" s="133"/>
      <c r="FC66" s="133"/>
      <c r="FD66" s="133"/>
      <c r="FE66" s="133"/>
      <c r="FF66" s="643"/>
      <c r="FG66" s="133"/>
      <c r="FH66" s="133"/>
      <c r="FI66" s="133"/>
      <c r="FJ66" s="133"/>
      <c r="FK66" s="133"/>
      <c r="FL66" s="133"/>
      <c r="FM66" s="133"/>
      <c r="FN66" s="133"/>
      <c r="FO66" s="133"/>
      <c r="FQ66" s="133"/>
      <c r="FR66" s="133"/>
      <c r="FS66" s="133"/>
      <c r="FT66" s="133"/>
      <c r="FU66" s="133"/>
      <c r="FV66" s="133"/>
      <c r="FW66" s="133"/>
      <c r="FX66" s="133"/>
      <c r="FY66" s="133"/>
      <c r="FZ66" s="133"/>
      <c r="GA66" s="133"/>
      <c r="GB66" s="133"/>
      <c r="GC66" s="133"/>
      <c r="GD66" s="133"/>
      <c r="GE66" s="133"/>
      <c r="GF66" s="133"/>
      <c r="KD66" s="149"/>
      <c r="KE66" s="149"/>
      <c r="KF66" s="149"/>
      <c r="KG66" s="149"/>
      <c r="KH66" s="149"/>
      <c r="KI66" s="149"/>
    </row>
    <row r="67" spans="1:295" s="49" customFormat="1" ht="12" customHeight="1" x14ac:dyDescent="0.2">
      <c r="A67" s="158" t="s">
        <v>806</v>
      </c>
      <c r="B67" s="50"/>
      <c r="C67" s="50"/>
      <c r="D67" s="50"/>
      <c r="E67" s="50"/>
      <c r="F67" s="50"/>
      <c r="G67" s="50"/>
      <c r="H67" s="50"/>
      <c r="I67" s="50"/>
      <c r="J67" s="50"/>
      <c r="K67" s="50"/>
      <c r="L67" s="50"/>
      <c r="M67" s="50"/>
      <c r="N67" s="50"/>
      <c r="P67" s="50"/>
      <c r="Q67" s="50"/>
      <c r="R67" s="50"/>
      <c r="T67" s="50"/>
      <c r="U67" s="50"/>
      <c r="V67" s="50"/>
      <c r="W67" s="50"/>
      <c r="X67" s="50"/>
      <c r="Y67" s="50"/>
      <c r="Z67" s="50"/>
      <c r="AA67" s="50"/>
      <c r="AB67" s="50"/>
      <c r="AC67" s="50"/>
      <c r="AD67" s="50"/>
      <c r="AE67" s="50"/>
      <c r="AF67" s="50"/>
      <c r="AG67" s="50"/>
      <c r="AH67" s="50"/>
      <c r="AI67" s="50"/>
      <c r="AJ67" s="50"/>
      <c r="AK67" s="50"/>
      <c r="AL67" s="50"/>
      <c r="AM67" s="50"/>
      <c r="AN67" s="50"/>
      <c r="AO67" s="575"/>
      <c r="AP67" s="50"/>
      <c r="AQ67" s="50"/>
      <c r="AR67" s="50"/>
      <c r="AS67" s="50"/>
      <c r="AT67" s="50"/>
      <c r="AU67" s="50"/>
      <c r="AV67" s="50"/>
      <c r="AW67" s="50"/>
      <c r="AX67" s="575"/>
      <c r="AY67" s="50"/>
      <c r="AZ67" s="50"/>
      <c r="BA67" s="50"/>
      <c r="BB67" s="50"/>
      <c r="BC67" s="575"/>
      <c r="BD67" s="575"/>
      <c r="BE67" s="575"/>
      <c r="BF67" s="575"/>
      <c r="BG67" s="575"/>
      <c r="BH67" s="575"/>
      <c r="BI67" s="575"/>
      <c r="BJ67" s="575"/>
      <c r="BK67" s="575"/>
      <c r="BL67" s="575"/>
      <c r="BM67" s="575"/>
      <c r="BN67" s="575"/>
      <c r="BO67" s="575"/>
      <c r="BP67" s="575"/>
      <c r="BQ67" s="575"/>
      <c r="BR67" s="575"/>
      <c r="BS67" s="575"/>
      <c r="BT67" s="575"/>
      <c r="BU67" s="575"/>
      <c r="BV67" s="575"/>
      <c r="BW67" s="575"/>
      <c r="BX67" s="575"/>
      <c r="BY67" s="575"/>
      <c r="BZ67" s="575"/>
      <c r="CA67" s="575"/>
      <c r="CB67" s="575"/>
      <c r="CC67" s="575"/>
      <c r="CD67" s="575"/>
      <c r="CE67" s="575"/>
      <c r="CF67" s="575"/>
      <c r="CG67" s="575"/>
      <c r="CH67" s="575"/>
      <c r="CI67" s="575"/>
      <c r="CJ67" s="575"/>
      <c r="CK67" s="575"/>
      <c r="CL67" s="575"/>
      <c r="CM67" s="123"/>
      <c r="CN67" s="123"/>
      <c r="CO67" s="123"/>
      <c r="CP67" s="144"/>
      <c r="CQ67" s="144"/>
      <c r="CR67" s="144"/>
      <c r="CX67" s="153">
        <f t="shared" ref="CX67:CZ67" si="21">CX71+CX75</f>
        <v>62.3</v>
      </c>
      <c r="CY67" s="153">
        <f t="shared" si="21"/>
        <v>22.68</v>
      </c>
      <c r="CZ67" s="153">
        <f t="shared" si="21"/>
        <v>0.47971000000000003</v>
      </c>
      <c r="DA67" s="153">
        <f>DA71+DA75</f>
        <v>9.3449999999999989</v>
      </c>
      <c r="DB67" s="123"/>
      <c r="DN67" s="144"/>
      <c r="DO67" s="123"/>
      <c r="DP67" s="123"/>
      <c r="DR67" s="153">
        <f>(DR71*CX71+DR75*CX75)/CX67</f>
        <v>42.892991138198688</v>
      </c>
      <c r="DS67" s="153">
        <f>DR67/$GG67</f>
        <v>102.12616937666355</v>
      </c>
      <c r="DT67" s="152">
        <f>(DT71*CZ71+DT75*CZ75)/CZ67</f>
        <v>5570.5183296361929</v>
      </c>
      <c r="DU67" s="152">
        <f>(DU71*DA71+DU75*DA75)/DA67</f>
        <v>285.95327425465797</v>
      </c>
      <c r="DV67" s="153">
        <f>(DV71*CX71+DV75*CX75)/CX67</f>
        <v>40.383792218029747</v>
      </c>
      <c r="DW67" s="153">
        <f>DV67/$GG67</f>
        <v>96.151886233404156</v>
      </c>
      <c r="DX67" s="152">
        <f>(DX71*CZ71+DX75*CZ75)/CZ67</f>
        <v>5244.6483400038624</v>
      </c>
      <c r="DY67" s="152">
        <f>(DY71*DA71+DY75*DA75)/DA67</f>
        <v>269.22528145353164</v>
      </c>
      <c r="EF67" s="153">
        <f>(EF71*CX71+EF75*CX75)/CX67</f>
        <v>9.0524661890257594</v>
      </c>
      <c r="EG67" s="153">
        <f>EF67/$GG67</f>
        <v>21.553490926251808</v>
      </c>
      <c r="EH67" s="153">
        <f>(EH71*CZ71+EH75*CZ75)/CZ67</f>
        <v>1175.644959613735</v>
      </c>
      <c r="EI67" s="153">
        <f>(EI71*DA71+EI75*DA75)/DA67</f>
        <v>60.349774593505067</v>
      </c>
      <c r="EJ67" s="133"/>
      <c r="EN67" s="474"/>
      <c r="EO67" s="666">
        <f>(EO71*$CX$71+EO75*$CX$75)/$CX$67</f>
        <v>44.235238316625946</v>
      </c>
      <c r="EP67" s="153">
        <f>EO67/$GG67</f>
        <v>105.32199599196655</v>
      </c>
      <c r="EQ67" s="152">
        <f>(EQ71*CZ71+EQ75*CZ75)/CZ67</f>
        <v>5744.8361450163566</v>
      </c>
      <c r="ER67" s="667">
        <f>(ER71*DA71+ER75*DA75)/DA67</f>
        <v>294.90158877750633</v>
      </c>
      <c r="ES67" s="474"/>
      <c r="ET67" s="179"/>
      <c r="EU67" s="179"/>
      <c r="EV67" s="133"/>
      <c r="EW67" s="123"/>
      <c r="EX67" s="133"/>
      <c r="EY67" s="179"/>
      <c r="EZ67" s="179"/>
      <c r="FA67" s="133"/>
      <c r="FB67" s="123"/>
      <c r="FC67" s="133"/>
      <c r="FD67" s="472">
        <f>(FD71*$CX$71+FD75*$CX$75)/$CX$67</f>
        <v>2.6529239428355078</v>
      </c>
      <c r="FE67" s="153"/>
      <c r="FF67" s="472">
        <f>(FF71*$CX$71+FF75*$CX$75)/$CX$67</f>
        <v>1.9116859708220308</v>
      </c>
      <c r="FG67" s="179"/>
      <c r="FH67" s="179"/>
      <c r="FI67" s="144">
        <f>(FI71*$CX$71+FI75*$CX$75)/$CX$67</f>
        <v>0.98986098627786434</v>
      </c>
      <c r="FJ67" s="179"/>
      <c r="FK67" s="179"/>
      <c r="FL67" s="472">
        <f>(FL71*$CX$71+FL75*$CX$75)/$CX$67</f>
        <v>7.9850728465490262</v>
      </c>
      <c r="FN67" s="133"/>
      <c r="FO67" s="472">
        <f>(FO71*$CX$71+FO75*$CX$75)/$CX$67</f>
        <v>26.723786450423439</v>
      </c>
      <c r="FP67" s="133"/>
      <c r="FR67" s="133"/>
      <c r="FS67" s="473">
        <f>(FS71*$CX$71+FS75*$CX$75)/$CX$67</f>
        <v>0.46192293113399996</v>
      </c>
      <c r="FT67" s="179"/>
      <c r="FU67" s="472">
        <f>(FU71*$CX$71+FU75*$CX$75)/$CX$67</f>
        <v>2.512954650415351</v>
      </c>
      <c r="FV67" s="179"/>
      <c r="FW67" s="179"/>
      <c r="FX67" s="472">
        <f>(FX71*$CX$71+FX75*$CX$75)/$CX$67</f>
        <v>0.99703053816873777</v>
      </c>
      <c r="FZ67" s="133"/>
      <c r="GA67" s="133"/>
      <c r="GB67" s="133"/>
      <c r="GC67" s="133"/>
      <c r="GD67" s="133"/>
      <c r="GE67" s="133"/>
      <c r="GF67" s="133"/>
      <c r="GG67" s="591">
        <f>GG95</f>
        <v>0.42</v>
      </c>
      <c r="KD67" s="149"/>
      <c r="KE67" s="149"/>
      <c r="KF67" s="149"/>
      <c r="KG67" s="149"/>
      <c r="KH67" s="149"/>
      <c r="KI67" s="149"/>
    </row>
    <row r="68" spans="1:295" s="49" customFormat="1" ht="10.199999999999999" x14ac:dyDescent="0.2">
      <c r="A68" s="158" t="s">
        <v>807</v>
      </c>
      <c r="B68" s="50"/>
      <c r="C68" s="50"/>
      <c r="D68" s="50"/>
      <c r="E68" s="50"/>
      <c r="F68" s="50"/>
      <c r="G68" s="50"/>
      <c r="H68" s="50"/>
      <c r="I68" s="50"/>
      <c r="J68" s="50"/>
      <c r="K68" s="50"/>
      <c r="L68" s="50"/>
      <c r="M68" s="50"/>
      <c r="N68" s="50"/>
      <c r="P68" s="50"/>
      <c r="Q68" s="50"/>
      <c r="R68" s="50"/>
      <c r="T68" s="50"/>
      <c r="U68" s="50"/>
      <c r="V68" s="50"/>
      <c r="W68" s="50"/>
      <c r="X68" s="50"/>
      <c r="Y68" s="50"/>
      <c r="Z68" s="50"/>
      <c r="AA68" s="50"/>
      <c r="AB68" s="50"/>
      <c r="AC68" s="50"/>
      <c r="AD68" s="50"/>
      <c r="AE68" s="50"/>
      <c r="AF68" s="50"/>
      <c r="AG68" s="50"/>
      <c r="AH68" s="50"/>
      <c r="AI68" s="50"/>
      <c r="AJ68" s="50"/>
      <c r="AK68" s="50"/>
      <c r="AL68" s="50"/>
      <c r="AM68" s="50"/>
      <c r="AN68" s="50"/>
      <c r="AO68" s="575"/>
      <c r="AP68" s="50"/>
      <c r="AQ68" s="50"/>
      <c r="AR68" s="50"/>
      <c r="AS68" s="50"/>
      <c r="AT68" s="50"/>
      <c r="AU68" s="50"/>
      <c r="AV68" s="50"/>
      <c r="AW68" s="50"/>
      <c r="AX68" s="575"/>
      <c r="AY68" s="50"/>
      <c r="AZ68" s="50"/>
      <c r="BA68" s="50"/>
      <c r="BB68" s="50"/>
      <c r="BC68" s="575"/>
      <c r="BD68" s="575"/>
      <c r="BE68" s="575"/>
      <c r="BF68" s="575"/>
      <c r="BG68" s="575"/>
      <c r="BH68" s="575"/>
      <c r="BI68" s="575"/>
      <c r="BJ68" s="575"/>
      <c r="BK68" s="575"/>
      <c r="BL68" s="575"/>
      <c r="BM68" s="575"/>
      <c r="BN68" s="575"/>
      <c r="BO68" s="575"/>
      <c r="BP68" s="575"/>
      <c r="BQ68" s="575"/>
      <c r="BR68" s="575"/>
      <c r="BS68" s="575"/>
      <c r="BT68" s="575"/>
      <c r="BU68" s="575"/>
      <c r="BV68" s="575"/>
      <c r="BW68" s="575"/>
      <c r="BX68" s="575"/>
      <c r="BY68" s="575"/>
      <c r="BZ68" s="575"/>
      <c r="CA68" s="575"/>
      <c r="CB68" s="575"/>
      <c r="CC68" s="575"/>
      <c r="CD68" s="575"/>
      <c r="CE68" s="575"/>
      <c r="CF68" s="575"/>
      <c r="CG68" s="575"/>
      <c r="CH68" s="575"/>
      <c r="CI68" s="575"/>
      <c r="CJ68" s="575"/>
      <c r="CK68" s="575"/>
      <c r="CL68" s="575"/>
      <c r="CM68" s="123"/>
      <c r="CN68" s="123"/>
      <c r="CO68" s="123"/>
      <c r="CP68" s="144"/>
      <c r="CQ68" s="144"/>
      <c r="CR68" s="144"/>
      <c r="CW68" s="123"/>
      <c r="CX68" s="153">
        <f t="shared" ref="CX68:CZ68" si="22">CX73+CX77</f>
        <v>12.7</v>
      </c>
      <c r="CY68" s="153">
        <f t="shared" si="22"/>
        <v>4.0999999999999996</v>
      </c>
      <c r="CZ68" s="153">
        <f t="shared" si="22"/>
        <v>0.10795</v>
      </c>
      <c r="DA68" s="153">
        <f t="shared" ref="DA68" si="23">DA73+DA77</f>
        <v>1.8414999999999999</v>
      </c>
      <c r="DB68" s="123"/>
      <c r="DN68" s="144"/>
      <c r="DO68" s="123"/>
      <c r="DP68" s="123"/>
      <c r="DR68" s="153">
        <f>(DR73*CX73+DR77*CX77)/CX68</f>
        <v>55.564800238210815</v>
      </c>
      <c r="DS68" s="153">
        <f>DR68/$GG68</f>
        <v>135.52390302002638</v>
      </c>
      <c r="DT68" s="152">
        <f>(DT73*CZ73+DT77*CZ77)/CZ68</f>
        <v>6537.0353221424484</v>
      </c>
      <c r="DU68" s="152">
        <f>(DU73*DA73+DU77*DA77)/DA68</f>
        <v>383.20551888421255</v>
      </c>
      <c r="DV68" s="153">
        <f>(DV73*CX73+DV77*CX77)/CX68</f>
        <v>51.459618254707337</v>
      </c>
      <c r="DW68" s="153">
        <f>DV68/$GG68</f>
        <v>125.51126403587156</v>
      </c>
      <c r="DX68" s="152">
        <f>(DX73*CZ73+DX77*CZ77)/CZ68</f>
        <v>6054.0727358479207</v>
      </c>
      <c r="DY68" s="152">
        <f>(DY73*DA73+DY77*DA77)/DA68</f>
        <v>354.89391899798164</v>
      </c>
      <c r="EF68" s="153">
        <f>(EF73*CX73+EF77*CX77)/CX68</f>
        <v>11.328139590691732</v>
      </c>
      <c r="EG68" s="153">
        <f>EF68/$GG68</f>
        <v>27.629608757784712</v>
      </c>
      <c r="EH68" s="153">
        <f>(EH73*CZ73+EH77*CZ77)/CZ68</f>
        <v>1332.7223047872624</v>
      </c>
      <c r="EI68" s="153">
        <f>(EI73*DA73+EI77*DA77)/DA68</f>
        <v>78.12510062546022</v>
      </c>
      <c r="EJ68" s="133"/>
      <c r="EN68" s="474"/>
      <c r="EO68" s="666">
        <f>(EO73*$CX73+EO77*$CX77)/$CX68</f>
        <v>42.052485678027843</v>
      </c>
      <c r="EP68" s="153">
        <f>EO68/$GG68</f>
        <v>102.56703823909231</v>
      </c>
      <c r="EQ68" s="152">
        <f>(EQ73*CZ73+EQ77*CZ77)/CZ68</f>
        <v>4947.3512562385686</v>
      </c>
      <c r="ER68" s="667">
        <f>(ER73*DA73+ER77*DA77)/DA68</f>
        <v>290.01714260708849</v>
      </c>
      <c r="ES68" s="474"/>
      <c r="ET68" s="469"/>
      <c r="EU68" s="469"/>
      <c r="EV68" s="133"/>
      <c r="EW68" s="123"/>
      <c r="EX68" s="133"/>
      <c r="EY68" s="469"/>
      <c r="EZ68" s="469"/>
      <c r="FA68" s="133"/>
      <c r="FB68" s="123"/>
      <c r="FC68" s="133"/>
      <c r="FD68" s="473">
        <f>(FD73*$CX73+FE76*$CX77)/$CX68</f>
        <v>0.3522689726471252</v>
      </c>
      <c r="FE68" s="267"/>
      <c r="FF68" s="473">
        <f>(FF73*$CX73+FG76*$CX77)/$CX68</f>
        <v>0.27530708427833783</v>
      </c>
      <c r="FG68" s="469"/>
      <c r="FH68" s="469"/>
      <c r="FI68" s="144">
        <f>(FI73*$CX73+FJ76*$CX77)/$CX68</f>
        <v>2.2286999088183478E-4</v>
      </c>
      <c r="FJ68" s="469"/>
      <c r="FK68" s="469"/>
      <c r="FL68" s="473">
        <f>(FL73*$CX73+FM76*$CX77)/$CX68</f>
        <v>0.94707320397331896</v>
      </c>
      <c r="FN68" s="133"/>
      <c r="FO68" s="472">
        <f>(FO73*$CX73+FP76*$CX77)/$CX68</f>
        <v>6.6979846774976908</v>
      </c>
      <c r="FP68" s="133"/>
      <c r="FR68" s="133"/>
      <c r="FS68" s="473">
        <f>(FS73*$CX73+FT76*$CX77)/$CX68</f>
        <v>9.3473470585601973E-2</v>
      </c>
      <c r="FT68" s="469"/>
      <c r="FU68" s="473">
        <f>(FU73*$CX73+FV76*$CX77)/$CX68</f>
        <v>0.23119728214642785</v>
      </c>
      <c r="FV68" s="469"/>
      <c r="FW68" s="469"/>
      <c r="FX68" s="473">
        <f>(FX73*$CX73+FY76*$CX77)/$CX68</f>
        <v>0.1557268019956129</v>
      </c>
      <c r="FZ68" s="133"/>
      <c r="GA68" s="133"/>
      <c r="GB68" s="133"/>
      <c r="GC68" s="133"/>
      <c r="GD68" s="133"/>
      <c r="GE68" s="133"/>
      <c r="GF68" s="133"/>
      <c r="GG68" s="591">
        <f>GG96</f>
        <v>0.41</v>
      </c>
      <c r="KD68" s="149"/>
      <c r="KE68" s="149"/>
      <c r="KF68" s="149"/>
      <c r="KG68" s="149"/>
      <c r="KH68" s="149"/>
      <c r="KI68" s="149"/>
    </row>
    <row r="69" spans="1:295" s="49" customFormat="1" ht="10.199999999999999" x14ac:dyDescent="0.2">
      <c r="B69" s="50"/>
      <c r="C69" s="50"/>
      <c r="D69" s="50"/>
      <c r="E69" s="50"/>
      <c r="F69" s="50"/>
      <c r="G69" s="50"/>
      <c r="H69" s="50"/>
      <c r="I69" s="50"/>
      <c r="J69" s="50"/>
      <c r="K69" s="50"/>
      <c r="L69" s="50"/>
      <c r="M69" s="50"/>
      <c r="N69" s="50"/>
      <c r="P69" s="50"/>
      <c r="Q69" s="50"/>
      <c r="R69" s="50"/>
      <c r="T69" s="50"/>
      <c r="U69" s="50"/>
      <c r="V69" s="50"/>
      <c r="W69" s="50"/>
      <c r="X69" s="50"/>
      <c r="Y69" s="50"/>
      <c r="Z69" s="50"/>
      <c r="AA69" s="50"/>
      <c r="AB69" s="50"/>
      <c r="AC69" s="50"/>
      <c r="AD69" s="50"/>
      <c r="AE69" s="50"/>
      <c r="AF69" s="50"/>
      <c r="AG69" s="50"/>
      <c r="AH69" s="50"/>
      <c r="AI69" s="50"/>
      <c r="AJ69" s="50"/>
      <c r="AK69" s="50"/>
      <c r="AL69" s="50"/>
      <c r="AM69" s="50"/>
      <c r="AN69" s="50"/>
      <c r="AO69" s="575"/>
      <c r="AP69" s="50"/>
      <c r="AQ69" s="50"/>
      <c r="AR69" s="50"/>
      <c r="AS69" s="50"/>
      <c r="AT69" s="50"/>
      <c r="AU69" s="50"/>
      <c r="AV69" s="50"/>
      <c r="AW69" s="50"/>
      <c r="AX69" s="575"/>
      <c r="AY69" s="50"/>
      <c r="AZ69" s="50"/>
      <c r="BA69" s="50"/>
      <c r="BB69" s="50"/>
      <c r="BC69" s="575"/>
      <c r="BD69" s="575"/>
      <c r="BE69" s="575"/>
      <c r="BF69" s="575"/>
      <c r="BG69" s="575"/>
      <c r="BH69" s="575"/>
      <c r="BI69" s="575"/>
      <c r="BJ69" s="575"/>
      <c r="BK69" s="575"/>
      <c r="BL69" s="575"/>
      <c r="BM69" s="575"/>
      <c r="BN69" s="575"/>
      <c r="BO69" s="575"/>
      <c r="BP69" s="575"/>
      <c r="BQ69" s="575"/>
      <c r="BR69" s="575"/>
      <c r="BS69" s="575"/>
      <c r="BT69" s="575"/>
      <c r="BU69" s="575"/>
      <c r="BV69" s="575"/>
      <c r="BW69" s="575"/>
      <c r="BX69" s="575"/>
      <c r="BY69" s="575"/>
      <c r="BZ69" s="575"/>
      <c r="CA69" s="575"/>
      <c r="CB69" s="575"/>
      <c r="CC69" s="575"/>
      <c r="CD69" s="575"/>
      <c r="CE69" s="575"/>
      <c r="CF69" s="575"/>
      <c r="CG69" s="575"/>
      <c r="CH69" s="575"/>
      <c r="CI69" s="575"/>
      <c r="CJ69" s="575"/>
      <c r="CK69" s="575"/>
      <c r="CL69" s="575"/>
      <c r="CM69" s="123"/>
      <c r="CN69" s="123"/>
      <c r="CO69" s="123"/>
      <c r="CP69" s="144"/>
      <c r="CQ69" s="144"/>
      <c r="CR69" s="144"/>
      <c r="CW69" s="123"/>
      <c r="CZ69" s="153"/>
      <c r="DA69" s="153"/>
      <c r="DN69" s="144"/>
      <c r="DO69" s="123"/>
      <c r="DP69" s="123"/>
      <c r="EN69" s="474"/>
      <c r="EO69" s="474"/>
      <c r="EQ69" s="133"/>
      <c r="ER69" s="133"/>
      <c r="ES69" s="474"/>
      <c r="ET69" s="469"/>
      <c r="EU69" s="469"/>
      <c r="EX69" s="133"/>
      <c r="EY69" s="179"/>
      <c r="EZ69" s="179"/>
      <c r="FC69" s="133"/>
      <c r="FD69" s="469"/>
      <c r="FE69" s="267"/>
      <c r="FF69" s="469"/>
      <c r="FG69" s="469"/>
      <c r="FH69" s="469"/>
      <c r="FI69" s="474"/>
      <c r="FJ69" s="469"/>
      <c r="FK69" s="469"/>
      <c r="FL69" s="469"/>
      <c r="FN69" s="133"/>
      <c r="FO69" s="133"/>
      <c r="FP69" s="133"/>
      <c r="FR69" s="133"/>
      <c r="FS69" s="179"/>
      <c r="FT69" s="179"/>
      <c r="FU69" s="179"/>
      <c r="FV69" s="179"/>
      <c r="FW69" s="179"/>
      <c r="FX69" s="179"/>
      <c r="FZ69" s="133"/>
      <c r="GA69" s="133"/>
      <c r="GB69" s="133"/>
      <c r="GC69" s="133"/>
      <c r="GD69" s="133"/>
      <c r="GE69" s="133"/>
      <c r="GF69" s="133"/>
      <c r="KD69" s="149"/>
      <c r="KE69" s="149"/>
      <c r="KF69" s="149"/>
      <c r="KG69" s="149"/>
      <c r="KH69" s="149"/>
      <c r="KI69" s="149"/>
    </row>
    <row r="70" spans="1:295" s="49" customFormat="1" ht="10.199999999999999" x14ac:dyDescent="0.2">
      <c r="A70" s="137" t="s">
        <v>799</v>
      </c>
      <c r="B70" s="50"/>
      <c r="C70" s="50"/>
      <c r="D70" s="50"/>
      <c r="E70" s="50"/>
      <c r="F70" s="50"/>
      <c r="G70" s="50"/>
      <c r="H70" s="50"/>
      <c r="I70" s="50"/>
      <c r="J70" s="50"/>
      <c r="K70" s="50"/>
      <c r="L70" s="50"/>
      <c r="M70" s="50"/>
      <c r="N70" s="50"/>
      <c r="P70" s="50"/>
      <c r="Q70" s="50"/>
      <c r="R70" s="50"/>
      <c r="T70" s="50"/>
      <c r="U70" s="50"/>
      <c r="V70" s="50"/>
      <c r="W70" s="50"/>
      <c r="X70" s="50"/>
      <c r="Y70" s="50"/>
      <c r="Z70" s="50"/>
      <c r="AA70" s="50"/>
      <c r="AB70" s="50"/>
      <c r="AC70" s="50"/>
      <c r="AD70" s="50"/>
      <c r="AE70" s="50"/>
      <c r="AF70" s="50"/>
      <c r="AG70" s="50"/>
      <c r="AH70" s="50"/>
      <c r="AI70" s="50"/>
      <c r="AJ70" s="50"/>
      <c r="AK70" s="50"/>
      <c r="AL70" s="50"/>
      <c r="AM70" s="50"/>
      <c r="AN70" s="50"/>
      <c r="AO70" s="575"/>
      <c r="AP70" s="50"/>
      <c r="AQ70" s="50"/>
      <c r="AR70" s="50"/>
      <c r="AS70" s="50"/>
      <c r="AT70" s="50"/>
      <c r="AU70" s="50"/>
      <c r="AV70" s="50"/>
      <c r="AW70" s="50"/>
      <c r="AX70" s="575"/>
      <c r="AY70" s="50"/>
      <c r="AZ70" s="50"/>
      <c r="BA70" s="50"/>
      <c r="BB70" s="50"/>
      <c r="BC70" s="575"/>
      <c r="BD70" s="575"/>
      <c r="BE70" s="575"/>
      <c r="BF70" s="575"/>
      <c r="BG70" s="575"/>
      <c r="BH70" s="575"/>
      <c r="BI70" s="575"/>
      <c r="BJ70" s="575"/>
      <c r="BK70" s="575"/>
      <c r="BL70" s="575"/>
      <c r="BM70" s="575"/>
      <c r="BN70" s="575"/>
      <c r="BO70" s="575"/>
      <c r="BP70" s="575"/>
      <c r="BQ70" s="575"/>
      <c r="BR70" s="575"/>
      <c r="BS70" s="575"/>
      <c r="BT70" s="575"/>
      <c r="BU70" s="575"/>
      <c r="BV70" s="575"/>
      <c r="BW70" s="575"/>
      <c r="BX70" s="575"/>
      <c r="BY70" s="575"/>
      <c r="BZ70" s="575"/>
      <c r="CA70" s="575"/>
      <c r="CB70" s="575"/>
      <c r="CC70" s="575"/>
      <c r="CD70" s="575"/>
      <c r="CE70" s="575"/>
      <c r="CF70" s="575"/>
      <c r="CG70" s="575"/>
      <c r="CH70" s="575"/>
      <c r="CI70" s="575"/>
      <c r="CJ70" s="575"/>
      <c r="CK70" s="575"/>
      <c r="CL70" s="575"/>
      <c r="CM70" s="123"/>
      <c r="CN70" s="123"/>
      <c r="CO70" s="123"/>
      <c r="CP70" s="144"/>
      <c r="CQ70" s="144"/>
      <c r="CR70" s="144"/>
      <c r="CW70" s="123"/>
      <c r="CX70" s="49">
        <f>DF79</f>
        <v>625</v>
      </c>
      <c r="CY70" s="152"/>
      <c r="CZ70" s="153">
        <f t="shared" ref="CZ70:DA70" si="24">DH79</f>
        <v>1.6875</v>
      </c>
      <c r="DA70" s="49">
        <f t="shared" si="24"/>
        <v>20</v>
      </c>
      <c r="DJ70" s="668">
        <f>CZ70/CZ$79</f>
        <v>0.96350940099691107</v>
      </c>
      <c r="DK70" s="668">
        <f>DA70/DA$79</f>
        <v>0.9413979759943516</v>
      </c>
      <c r="DL70" s="668">
        <f>DA70/(3*DA71+DA70)</f>
        <v>0.8426374552348852</v>
      </c>
      <c r="DM70" s="668">
        <f>DL70</f>
        <v>0.8426374552348852</v>
      </c>
      <c r="DN70" s="144"/>
      <c r="DO70" s="123"/>
      <c r="DP70" s="123"/>
      <c r="DR70" s="153">
        <f>$DP$79*$AY$79*$DM70/$CX70</f>
        <v>1.8423442320303225</v>
      </c>
      <c r="DS70" s="153">
        <f>DR70/$GG70</f>
        <v>14.621779619288274</v>
      </c>
      <c r="DT70" s="152">
        <f>$DP$79*$AY$79*$DM70/$CZ70</f>
        <v>682.34971556678602</v>
      </c>
      <c r="DU70" s="152">
        <f>$DP$79*$AY$79*$DM70/$DA70</f>
        <v>57.573257250947577</v>
      </c>
      <c r="DV70" s="153">
        <f>$DQ$79*$AY$79*$DM70/$CX70</f>
        <v>1.7497102097299089</v>
      </c>
      <c r="DW70" s="153">
        <f>DV70/$GG70</f>
        <v>13.886588966110388</v>
      </c>
      <c r="DX70" s="152">
        <f>$DQ$79*$AY$79*$DM70/$CZ70</f>
        <v>648.04081841848472</v>
      </c>
      <c r="DY70" s="152">
        <f>$DQ$79*$AY$79*$DM70/$DA70</f>
        <v>54.678444054059653</v>
      </c>
      <c r="EF70" s="267">
        <f>$ED$79*$AY$79*$DM70/$CX70</f>
        <v>0.39090108716501415</v>
      </c>
      <c r="EG70" s="153">
        <f>EF70/$GG70</f>
        <v>3.1023895806747155</v>
      </c>
      <c r="EH70" s="153">
        <f>$ED$79*$AY$79*$DM70/$CZ70</f>
        <v>144.7781804314867</v>
      </c>
      <c r="EI70" s="153">
        <f>$ED$79*$AY$79*$DM70/$DA70</f>
        <v>12.215658973906692</v>
      </c>
      <c r="EJ70" s="133"/>
      <c r="EN70" s="474"/>
      <c r="EO70" s="666">
        <f>EN$79*$DM70/$CX70</f>
        <v>2.2525578419267958</v>
      </c>
      <c r="EP70" s="153">
        <f>EO70/$GG70</f>
        <v>17.877443189895203</v>
      </c>
      <c r="EQ70" s="152">
        <f>EN$79*$DM70/$CZ70</f>
        <v>834.28068219510953</v>
      </c>
      <c r="ER70" s="667">
        <f>EN$79*$DM70/$DA70</f>
        <v>70.39243256021237</v>
      </c>
      <c r="ES70" s="474"/>
      <c r="ET70" s="469"/>
      <c r="EU70" s="469"/>
      <c r="EV70" s="133"/>
      <c r="EW70" s="123"/>
      <c r="EX70" s="469"/>
      <c r="EY70" s="469"/>
      <c r="EZ70" s="469"/>
      <c r="FA70" s="133"/>
      <c r="FB70" s="123"/>
      <c r="FC70" s="133"/>
      <c r="FD70" s="473">
        <f>ES$79*$DM70/$CX70</f>
        <v>0.1536906273341698</v>
      </c>
      <c r="FE70" s="267"/>
      <c r="FF70" s="473">
        <f>ET$79*$DM70/$CX70</f>
        <v>0.11287556776190909</v>
      </c>
      <c r="FG70" s="469"/>
      <c r="FH70" s="469"/>
      <c r="FI70" s="144">
        <f>EU$79*$DM70/$CX70</f>
        <v>4.1592232663942172E-2</v>
      </c>
      <c r="FJ70" s="469"/>
      <c r="FK70" s="469"/>
      <c r="FL70" s="473">
        <f>EV$79*$DM70/$CX70</f>
        <v>0.40176953865599324</v>
      </c>
      <c r="FN70" s="133"/>
      <c r="FO70" s="473">
        <f>EW$79*$DM70/$CX70</f>
        <v>1.2391287168842802</v>
      </c>
      <c r="FP70" s="469"/>
      <c r="FR70" s="469"/>
      <c r="FS70" s="473">
        <f>EX$79*$DM70/$CX70</f>
        <v>5.2243522224562876E-2</v>
      </c>
      <c r="FT70" s="469"/>
      <c r="FU70" s="473">
        <f>EY$79*$DM70/$CX70</f>
        <v>0.12806404044659786</v>
      </c>
      <c r="FV70" s="469"/>
      <c r="FW70" s="469"/>
      <c r="FX70" s="473">
        <f>EZ$79*$DM70/$CX70</f>
        <v>0.1231935959553402</v>
      </c>
      <c r="FZ70" s="133"/>
      <c r="GA70" s="133"/>
      <c r="GB70" s="133"/>
      <c r="GC70" s="133"/>
      <c r="GD70" s="133"/>
      <c r="GE70" s="133"/>
      <c r="GF70" s="133"/>
      <c r="GG70" s="591">
        <f>GG99</f>
        <v>0.126</v>
      </c>
      <c r="KD70" s="149"/>
      <c r="KE70" s="149"/>
      <c r="KF70" s="149"/>
      <c r="KG70" s="149"/>
      <c r="KH70" s="149"/>
      <c r="KI70" s="149"/>
    </row>
    <row r="71" spans="1:295" s="49" customFormat="1" ht="10.199999999999999" x14ac:dyDescent="0.2">
      <c r="A71" s="49" t="s">
        <v>800</v>
      </c>
      <c r="B71" s="50"/>
      <c r="C71" s="50"/>
      <c r="D71" s="50"/>
      <c r="E71" s="50"/>
      <c r="F71" s="50"/>
      <c r="G71" s="50"/>
      <c r="H71" s="50"/>
      <c r="I71" s="50"/>
      <c r="J71" s="50"/>
      <c r="K71" s="50"/>
      <c r="L71" s="50"/>
      <c r="M71" s="50"/>
      <c r="N71" s="50"/>
      <c r="P71" s="50"/>
      <c r="Q71" s="50"/>
      <c r="R71" s="50"/>
      <c r="T71" s="50"/>
      <c r="U71" s="50"/>
      <c r="V71" s="50"/>
      <c r="W71" s="50"/>
      <c r="X71" s="50"/>
      <c r="Y71" s="50"/>
      <c r="Z71" s="50"/>
      <c r="AA71" s="50"/>
      <c r="AB71" s="50"/>
      <c r="AC71" s="50"/>
      <c r="AD71" s="50"/>
      <c r="AE71" s="50"/>
      <c r="AF71" s="50"/>
      <c r="AG71" s="50"/>
      <c r="AH71" s="50"/>
      <c r="AI71" s="50"/>
      <c r="AJ71" s="50"/>
      <c r="AK71" s="50"/>
      <c r="AL71" s="50"/>
      <c r="AM71" s="50"/>
      <c r="AN71" s="50"/>
      <c r="AO71" s="575"/>
      <c r="AP71" s="50"/>
      <c r="AQ71" s="50"/>
      <c r="AR71" s="50"/>
      <c r="AS71" s="50"/>
      <c r="AT71" s="50"/>
      <c r="AU71" s="50"/>
      <c r="AV71" s="50"/>
      <c r="AW71" s="50"/>
      <c r="AX71" s="575"/>
      <c r="AY71" s="50"/>
      <c r="AZ71" s="50"/>
      <c r="BA71" s="50"/>
      <c r="BB71" s="50"/>
      <c r="BC71" s="575"/>
      <c r="BD71" s="575"/>
      <c r="BE71" s="575"/>
      <c r="BF71" s="575"/>
      <c r="BG71" s="575"/>
      <c r="BH71" s="575"/>
      <c r="BI71" s="575"/>
      <c r="BJ71" s="575"/>
      <c r="BK71" s="575"/>
      <c r="BL71" s="575"/>
      <c r="BM71" s="575"/>
      <c r="BN71" s="575"/>
      <c r="BO71" s="575"/>
      <c r="BP71" s="575"/>
      <c r="BQ71" s="575"/>
      <c r="BR71" s="575"/>
      <c r="BS71" s="575"/>
      <c r="BT71" s="575"/>
      <c r="BU71" s="575"/>
      <c r="BV71" s="575"/>
      <c r="BW71" s="575"/>
      <c r="BX71" s="575"/>
      <c r="BY71" s="575"/>
      <c r="BZ71" s="575"/>
      <c r="CA71" s="575"/>
      <c r="CB71" s="575"/>
      <c r="CC71" s="575"/>
      <c r="CD71" s="575"/>
      <c r="CE71" s="575"/>
      <c r="CF71" s="575"/>
      <c r="CG71" s="575"/>
      <c r="CH71" s="575"/>
      <c r="CI71" s="575"/>
      <c r="CJ71" s="575"/>
      <c r="CK71" s="575"/>
      <c r="CL71" s="575"/>
      <c r="CM71" s="123"/>
      <c r="CN71" s="123"/>
      <c r="CO71" s="123"/>
      <c r="CP71" s="144"/>
      <c r="CQ71" s="144"/>
      <c r="CR71" s="144"/>
      <c r="CW71" s="123"/>
      <c r="CX71" s="49">
        <f>DB79</f>
        <v>8.3000000000000007</v>
      </c>
      <c r="CY71" s="153"/>
      <c r="CZ71" s="49">
        <f t="shared" ref="CZ71:DA71" si="25">DD79</f>
        <v>6.3910000000000008E-2</v>
      </c>
      <c r="DA71" s="153">
        <f t="shared" si="25"/>
        <v>1.2450000000000001</v>
      </c>
      <c r="DJ71" s="668">
        <f>CZ71/CZ$79</f>
        <v>3.6490599003088944E-2</v>
      </c>
      <c r="DK71" s="668">
        <f>DA71/DA$79</f>
        <v>5.8602024005648387E-2</v>
      </c>
      <c r="DL71" s="668">
        <f>3*DA71/(3*DA71+DA70)</f>
        <v>0.15736254476511483</v>
      </c>
      <c r="DM71" s="668">
        <f t="shared" ref="DM71:DM73" si="26">DL71</f>
        <v>0.15736254476511483</v>
      </c>
      <c r="DN71" s="144"/>
      <c r="DO71" s="123"/>
      <c r="DP71" s="123"/>
      <c r="DR71" s="153">
        <f>$DP$79*$AY$79*$DM71/$CX71</f>
        <v>25.907965762926406</v>
      </c>
      <c r="DS71" s="153"/>
      <c r="DT71" s="152">
        <f>$DP$79*$AY$79*$DM71/$CZ71</f>
        <v>3364.6708783021309</v>
      </c>
      <c r="DU71" s="152">
        <f>$DP$79*$AY$79*$DM71/$DA71</f>
        <v>172.71977175284272</v>
      </c>
      <c r="DV71" s="153">
        <f>$DQ$79*$AY$79*$DM71/$CX71</f>
        <v>24.605299824326845</v>
      </c>
      <c r="DW71" s="153"/>
      <c r="DX71" s="152">
        <f>$DQ$79*$AY$79*$DM71/$CZ71</f>
        <v>3195.4934836788111</v>
      </c>
      <c r="DY71" s="152">
        <f>$DQ$79*$AY$79*$DM71/$DA71</f>
        <v>164.03533216217897</v>
      </c>
      <c r="EF71" s="267">
        <f>$ED$79*$AY$79*$DM71/$CX71</f>
        <v>5.4970465382580116</v>
      </c>
      <c r="EG71" s="153"/>
      <c r="EH71" s="153">
        <f>$ED$79*$AY$79*$DM71/$CZ71</f>
        <v>713.9021478257157</v>
      </c>
      <c r="EI71" s="153">
        <f>$ED$79*$AY$79*$DM71/$DA71</f>
        <v>36.646976921720075</v>
      </c>
      <c r="EN71" s="474"/>
      <c r="EO71" s="153">
        <f>EN$79*$DM71/$CX71</f>
        <v>31.676594652095559</v>
      </c>
      <c r="EP71" s="153"/>
      <c r="EQ71" s="152">
        <f>EN$79*$DM71/$CZ71</f>
        <v>4113.8434613111112</v>
      </c>
      <c r="ER71" s="153">
        <f>EN$79*$DM71/$DA71</f>
        <v>211.17729768063708</v>
      </c>
      <c r="ES71" s="474"/>
      <c r="ET71" s="179"/>
      <c r="EU71" s="179"/>
      <c r="EV71" s="153"/>
      <c r="EW71" s="153"/>
      <c r="EX71" s="179"/>
      <c r="EY71" s="179"/>
      <c r="EZ71" s="179"/>
      <c r="FC71" s="133"/>
      <c r="FD71" s="153">
        <f>ES$79*$DM71/$CX71</f>
        <v>2.1612744468867624</v>
      </c>
      <c r="FE71" s="153"/>
      <c r="FF71" s="153">
        <f>ET$79*$DM71/$CX71</f>
        <v>1.5873126716518466</v>
      </c>
      <c r="FG71" s="179"/>
      <c r="FH71" s="179"/>
      <c r="FI71" s="152">
        <f>EU$79*$DM71/$CX71</f>
        <v>0.58489077183668681</v>
      </c>
      <c r="FJ71" s="179"/>
      <c r="FK71" s="179"/>
      <c r="FL71" s="153">
        <f>EV$79*$DM71/$CX71</f>
        <v>5.6498841373499049</v>
      </c>
      <c r="FN71" s="179"/>
      <c r="FO71" s="153">
        <f>EW$79*$DM71/$CX71</f>
        <v>17.425247581185193</v>
      </c>
      <c r="FP71" s="179"/>
      <c r="FR71" s="179"/>
      <c r="FS71" s="153">
        <f>EX$79*$DM71/$CX71</f>
        <v>0.73467453128291549</v>
      </c>
      <c r="FT71" s="179"/>
      <c r="FU71" s="153">
        <f>EY$79*$DM71/$CX71</f>
        <v>1.8009005687802822</v>
      </c>
      <c r="FV71" s="179"/>
      <c r="FW71" s="179"/>
      <c r="FX71" s="153">
        <f>EZ$79*$DM71/$CX71</f>
        <v>1.7324099431219715</v>
      </c>
      <c r="FZ71" s="133"/>
      <c r="GA71" s="133"/>
      <c r="GB71" s="133"/>
      <c r="GC71" s="133"/>
      <c r="GD71" s="133"/>
      <c r="GE71" s="133"/>
      <c r="GF71" s="133"/>
      <c r="KD71" s="149"/>
      <c r="KE71" s="149"/>
      <c r="KF71" s="149"/>
      <c r="KG71" s="149"/>
      <c r="KH71" s="149"/>
      <c r="KI71" s="149"/>
    </row>
    <row r="72" spans="1:295" s="49" customFormat="1" ht="10.199999999999999" x14ac:dyDescent="0.2">
      <c r="A72" s="137" t="s">
        <v>801</v>
      </c>
      <c r="B72" s="50"/>
      <c r="C72" s="50"/>
      <c r="D72" s="50"/>
      <c r="E72" s="50"/>
      <c r="F72" s="50"/>
      <c r="G72" s="50"/>
      <c r="H72" s="50"/>
      <c r="I72" s="50"/>
      <c r="J72" s="50"/>
      <c r="K72" s="50"/>
      <c r="L72" s="50"/>
      <c r="M72" s="50"/>
      <c r="N72" s="50"/>
      <c r="P72" s="50"/>
      <c r="Q72" s="50"/>
      <c r="R72" s="50"/>
      <c r="T72" s="50"/>
      <c r="U72" s="50"/>
      <c r="V72" s="50"/>
      <c r="W72" s="50"/>
      <c r="X72" s="50"/>
      <c r="Y72" s="50"/>
      <c r="Z72" s="50"/>
      <c r="AA72" s="50"/>
      <c r="AB72" s="50"/>
      <c r="AC72" s="50"/>
      <c r="AD72" s="50"/>
      <c r="AE72" s="50"/>
      <c r="AF72" s="50"/>
      <c r="AG72" s="50"/>
      <c r="AH72" s="50"/>
      <c r="AI72" s="50"/>
      <c r="AJ72" s="50"/>
      <c r="AK72" s="50"/>
      <c r="AL72" s="50"/>
      <c r="AM72" s="50"/>
      <c r="AN72" s="50"/>
      <c r="AO72" s="575"/>
      <c r="AP72" s="50"/>
      <c r="AQ72" s="50"/>
      <c r="AR72" s="50"/>
      <c r="AS72" s="50"/>
      <c r="AT72" s="50"/>
      <c r="AU72" s="50"/>
      <c r="AV72" s="50"/>
      <c r="AW72" s="50"/>
      <c r="AX72" s="575"/>
      <c r="AY72" s="50"/>
      <c r="AZ72" s="50"/>
      <c r="BA72" s="50"/>
      <c r="BB72" s="50"/>
      <c r="BC72" s="575"/>
      <c r="BD72" s="575"/>
      <c r="BE72" s="575"/>
      <c r="BF72" s="575"/>
      <c r="BG72" s="575"/>
      <c r="BH72" s="575"/>
      <c r="BI72" s="575"/>
      <c r="BJ72" s="575"/>
      <c r="BK72" s="575"/>
      <c r="BL72" s="575"/>
      <c r="BM72" s="575"/>
      <c r="BN72" s="575"/>
      <c r="BO72" s="575"/>
      <c r="BP72" s="575"/>
      <c r="BQ72" s="575"/>
      <c r="BR72" s="575"/>
      <c r="BS72" s="575"/>
      <c r="BT72" s="575"/>
      <c r="BU72" s="575"/>
      <c r="BV72" s="575"/>
      <c r="BW72" s="575"/>
      <c r="BX72" s="575"/>
      <c r="BY72" s="575"/>
      <c r="BZ72" s="575"/>
      <c r="CA72" s="575"/>
      <c r="CB72" s="575"/>
      <c r="CC72" s="575"/>
      <c r="CD72" s="575"/>
      <c r="CE72" s="575"/>
      <c r="CF72" s="575"/>
      <c r="CG72" s="575"/>
      <c r="CH72" s="575"/>
      <c r="CI72" s="575"/>
      <c r="CJ72" s="575"/>
      <c r="CK72" s="575"/>
      <c r="CL72" s="575"/>
      <c r="CM72" s="123"/>
      <c r="CN72" s="123"/>
      <c r="CO72" s="123"/>
      <c r="CP72" s="144"/>
      <c r="CQ72" s="144"/>
      <c r="CR72" s="144"/>
      <c r="CW72" s="123"/>
      <c r="CX72" s="49">
        <f>DF81</f>
        <v>24</v>
      </c>
      <c r="CY72" s="152"/>
      <c r="CZ72" s="153">
        <f t="shared" ref="CZ72" si="27">DH81</f>
        <v>9.6000000000000002E-2</v>
      </c>
      <c r="DA72" s="49">
        <f t="shared" ref="DA72" si="28">DI81</f>
        <v>1.2000000000000002</v>
      </c>
      <c r="DJ72" s="668">
        <f>CZ72/CZ$81</f>
        <v>0.80706179066834804</v>
      </c>
      <c r="DK72" s="668">
        <f>DA72/DA$81</f>
        <v>0.7540056550424129</v>
      </c>
      <c r="DL72" s="668">
        <f>DA72/(3*DA73+DA72)</f>
        <v>0.50536955148452312</v>
      </c>
      <c r="DM72" s="668">
        <f t="shared" si="26"/>
        <v>0.50536955148452312</v>
      </c>
      <c r="DN72" s="144"/>
      <c r="DO72" s="123"/>
      <c r="DP72" s="123"/>
      <c r="DR72" s="153">
        <f>$DP$81*$AY$81*$DM72/$CX72</f>
        <v>5.9383561849600275</v>
      </c>
      <c r="DS72" s="153">
        <f>DR72/$GG72</f>
        <v>39.589041233066851</v>
      </c>
      <c r="DT72" s="152">
        <f>$DP$81*$AY$81*$DM72/$CZ72</f>
        <v>1484.5890462400068</v>
      </c>
      <c r="DU72" s="152">
        <f>$DP$81*$AY$81*$DM72/$DA72</f>
        <v>118.76712369920052</v>
      </c>
      <c r="DV72" s="153">
        <f>$DQ$81*$AY$81*$DM72/$CX72</f>
        <v>5.522510027089524</v>
      </c>
      <c r="DW72" s="153">
        <f>DV72/$GG72</f>
        <v>36.81673351393016</v>
      </c>
      <c r="DX72" s="152">
        <f>$DQ$81*$AY$81*$DM72/$CZ72</f>
        <v>1380.6275067723809</v>
      </c>
      <c r="DY72" s="152">
        <f>$DQ$81*$AY$81*$DM72/$DA72</f>
        <v>110.45020054179047</v>
      </c>
      <c r="EF72" s="267">
        <f>$ED$81*$AY$81*$DM72/$CX72</f>
        <v>1.2264370145358872</v>
      </c>
      <c r="EG72" s="153">
        <f>EF72/$GG72</f>
        <v>8.176246763572582</v>
      </c>
      <c r="EH72" s="153">
        <f>$ED$81*$AY$81*$DM72/$CZ72</f>
        <v>306.60925363397178</v>
      </c>
      <c r="EI72" s="153">
        <f>$ED$81*$AY$81*$DM72/$DA72</f>
        <v>24.528740290717742</v>
      </c>
      <c r="EJ72" s="133"/>
      <c r="EN72" s="474"/>
      <c r="EO72" s="666">
        <f>EN$81*$DM72/$CX72</f>
        <v>4.7324959732465084</v>
      </c>
      <c r="EP72" s="153">
        <f>EO72/$GG72</f>
        <v>31.549973154976723</v>
      </c>
      <c r="EQ72" s="152">
        <f>EN$81*$DM72/$CZ72</f>
        <v>1183.1239933116269</v>
      </c>
      <c r="ER72" s="667">
        <f>EN$81*$DM72/$DA72</f>
        <v>94.64991946493015</v>
      </c>
      <c r="ES72" s="474"/>
      <c r="ET72" s="469"/>
      <c r="EU72" s="469"/>
      <c r="EV72" s="179"/>
      <c r="EW72" s="144"/>
      <c r="EX72" s="469"/>
      <c r="EY72" s="469"/>
      <c r="EZ72" s="469"/>
      <c r="FA72" s="133"/>
      <c r="FB72" s="123"/>
      <c r="FC72" s="133"/>
      <c r="FD72" s="473">
        <f>ES$81*$DM72/$CX72</f>
        <v>0.19045619210806686</v>
      </c>
      <c r="FE72" s="267"/>
      <c r="FF72" s="473">
        <f>ET$81*$DM72/$CX72</f>
        <v>0.14884631631906731</v>
      </c>
      <c r="FG72" s="469"/>
      <c r="FH72" s="469"/>
      <c r="FI72" s="144">
        <f>EU$81*$DM72/$CX72</f>
        <v>1.204959082247468E-4</v>
      </c>
      <c r="FJ72" s="469"/>
      <c r="FK72" s="469"/>
      <c r="FL72" s="473">
        <f>EV$81*$DM72/$CX72</f>
        <v>0.51204042956411888</v>
      </c>
      <c r="FN72" s="179"/>
      <c r="FO72" s="473">
        <f>EW$81*$DM72/$CX72</f>
        <v>3.6213029120570739</v>
      </c>
      <c r="FP72" s="469"/>
      <c r="FR72" s="469"/>
      <c r="FS72" s="473">
        <f>EX$81*$DM72/$CX72</f>
        <v>5.0536955148452321E-2</v>
      </c>
      <c r="FT72" s="469"/>
      <c r="FU72" s="473">
        <f>EY$81*$DM72/$CX72</f>
        <v>0.12499810486418193</v>
      </c>
      <c r="FV72" s="469"/>
      <c r="FW72" s="469"/>
      <c r="FX72" s="473">
        <f>EZ$81*$DM72/$CX72</f>
        <v>8.4194567277321566E-2</v>
      </c>
      <c r="FZ72" s="133"/>
      <c r="GA72" s="133"/>
      <c r="GB72" s="133"/>
      <c r="GC72" s="133"/>
      <c r="GD72" s="133"/>
      <c r="GE72" s="133"/>
      <c r="GF72" s="133"/>
      <c r="GG72" s="591">
        <f>GG100</f>
        <v>0.15</v>
      </c>
      <c r="KD72" s="149"/>
      <c r="KE72" s="149"/>
      <c r="KF72" s="149"/>
      <c r="KG72" s="149"/>
      <c r="KH72" s="149"/>
      <c r="KI72" s="149"/>
    </row>
    <row r="73" spans="1:295" s="49" customFormat="1" ht="10.199999999999999" x14ac:dyDescent="0.2">
      <c r="A73" s="49" t="s">
        <v>802</v>
      </c>
      <c r="B73" s="50"/>
      <c r="C73" s="50"/>
      <c r="D73" s="50"/>
      <c r="E73" s="50"/>
      <c r="F73" s="50"/>
      <c r="G73" s="50"/>
      <c r="H73" s="50"/>
      <c r="I73" s="50"/>
      <c r="J73" s="50"/>
      <c r="K73" s="50"/>
      <c r="L73" s="50"/>
      <c r="M73" s="50"/>
      <c r="N73" s="50"/>
      <c r="P73" s="50"/>
      <c r="Q73" s="50"/>
      <c r="R73" s="50"/>
      <c r="T73" s="50"/>
      <c r="U73" s="50"/>
      <c r="V73" s="50"/>
      <c r="W73" s="50"/>
      <c r="X73" s="50"/>
      <c r="Y73" s="50"/>
      <c r="Z73" s="50"/>
      <c r="AA73" s="50"/>
      <c r="AB73" s="50"/>
      <c r="AC73" s="50"/>
      <c r="AD73" s="50"/>
      <c r="AE73" s="50"/>
      <c r="AF73" s="50"/>
      <c r="AG73" s="50"/>
      <c r="AH73" s="50"/>
      <c r="AI73" s="50"/>
      <c r="AJ73" s="50"/>
      <c r="AK73" s="50"/>
      <c r="AL73" s="50"/>
      <c r="AM73" s="50"/>
      <c r="AN73" s="50"/>
      <c r="AO73" s="575"/>
      <c r="AP73" s="50"/>
      <c r="AQ73" s="50"/>
      <c r="AR73" s="50"/>
      <c r="AS73" s="50"/>
      <c r="AT73" s="50"/>
      <c r="AU73" s="50"/>
      <c r="AV73" s="50"/>
      <c r="AW73" s="50"/>
      <c r="AX73" s="575"/>
      <c r="AY73" s="50"/>
      <c r="AZ73" s="50"/>
      <c r="BA73" s="50"/>
      <c r="BB73" s="50"/>
      <c r="BC73" s="575"/>
      <c r="BD73" s="575"/>
      <c r="BE73" s="575"/>
      <c r="BF73" s="575"/>
      <c r="BG73" s="575"/>
      <c r="BH73" s="575"/>
      <c r="BI73" s="575"/>
      <c r="BJ73" s="575"/>
      <c r="BK73" s="575"/>
      <c r="BL73" s="575"/>
      <c r="BM73" s="575"/>
      <c r="BN73" s="575"/>
      <c r="BO73" s="575"/>
      <c r="BP73" s="575"/>
      <c r="BQ73" s="575"/>
      <c r="BR73" s="575"/>
      <c r="BS73" s="575"/>
      <c r="BT73" s="575"/>
      <c r="BU73" s="575"/>
      <c r="BV73" s="575"/>
      <c r="BW73" s="575"/>
      <c r="BX73" s="575"/>
      <c r="BY73" s="575"/>
      <c r="BZ73" s="575"/>
      <c r="CA73" s="575"/>
      <c r="CB73" s="575"/>
      <c r="CC73" s="575"/>
      <c r="CD73" s="575"/>
      <c r="CE73" s="575"/>
      <c r="CF73" s="575"/>
      <c r="CG73" s="575"/>
      <c r="CH73" s="575"/>
      <c r="CI73" s="575"/>
      <c r="CJ73" s="575"/>
      <c r="CK73" s="575"/>
      <c r="CL73" s="575"/>
      <c r="CM73" s="123"/>
      <c r="CN73" s="123"/>
      <c r="CO73" s="123"/>
      <c r="CP73" s="144"/>
      <c r="CQ73" s="144"/>
      <c r="CR73" s="144"/>
      <c r="CW73" s="123"/>
      <c r="CX73" s="49">
        <f>DB81</f>
        <v>2.7</v>
      </c>
      <c r="CY73" s="153"/>
      <c r="CZ73" s="49">
        <f t="shared" ref="CZ73" si="29">DD81</f>
        <v>2.2950000000000002E-2</v>
      </c>
      <c r="DA73" s="153">
        <f t="shared" ref="DA73" si="30">DE81</f>
        <v>0.39150000000000001</v>
      </c>
      <c r="DJ73" s="668">
        <f>CZ73/CZ$81</f>
        <v>0.19293820933165196</v>
      </c>
      <c r="DK73" s="668">
        <f>DA73/DA$81</f>
        <v>0.24599434495758718</v>
      </c>
      <c r="DL73" s="668">
        <f>3*DA73/(3*DA73+DA72)</f>
        <v>0.49463044851547694</v>
      </c>
      <c r="DM73" s="668">
        <f t="shared" si="26"/>
        <v>0.49463044851547694</v>
      </c>
      <c r="DN73" s="144"/>
      <c r="DO73" s="123"/>
      <c r="DP73" s="123"/>
      <c r="DR73" s="153">
        <f>$DP$81*$AY$81*$DM73/$CX73</f>
        <v>51.66369880915223</v>
      </c>
      <c r="DS73" s="153"/>
      <c r="DT73" s="152">
        <f>$DP$81*$AY$81*$DM73/$CZ73</f>
        <v>6078.0822128414384</v>
      </c>
      <c r="DU73" s="152">
        <f>$DP$81*$AY$81*$DM73/$DA73</f>
        <v>356.30137109760159</v>
      </c>
      <c r="DV73" s="153">
        <f>$DQ$81*$AY$81*$DM73/$CX73</f>
        <v>48.045837235678846</v>
      </c>
      <c r="DW73" s="153"/>
      <c r="DX73" s="152">
        <f>$DQ$81*$AY$81*$DM73/$CZ73</f>
        <v>5652.4514394916287</v>
      </c>
      <c r="DY73" s="152">
        <f>$DQ$81*$AY$81*$DM73/$DA73</f>
        <v>331.35060162537133</v>
      </c>
      <c r="EF73" s="267">
        <f>$ED$81*$AY$81*$DM73/$CX73</f>
        <v>10.670002026462216</v>
      </c>
      <c r="EG73" s="153"/>
      <c r="EH73" s="153">
        <f>$ED$81*$AY$81*$DM73/$CZ73</f>
        <v>1255.2943560543783</v>
      </c>
      <c r="EI73" s="153">
        <f>$ED$81*$AY$81*$DM73/$DA73</f>
        <v>73.58622087215322</v>
      </c>
      <c r="EN73" s="474"/>
      <c r="EO73" s="153">
        <f>EN$81*$DM73/$CX73</f>
        <v>41.172714967244616</v>
      </c>
      <c r="EP73" s="153"/>
      <c r="EQ73" s="152">
        <f>EN$81*$DM73/$CZ73</f>
        <v>4843.8488196758371</v>
      </c>
      <c r="ER73" s="152">
        <f>EN$81*$DM73/$DA73</f>
        <v>283.94975839479048</v>
      </c>
      <c r="ES73" s="474"/>
      <c r="ET73" s="179"/>
      <c r="EU73" s="179"/>
      <c r="EV73" s="179"/>
      <c r="EW73" s="179"/>
      <c r="EX73" s="179"/>
      <c r="EY73" s="179"/>
      <c r="EZ73" s="179"/>
      <c r="FA73" s="133"/>
      <c r="FB73" s="133"/>
      <c r="FC73" s="133"/>
      <c r="FD73" s="153">
        <f>ES$81*$DM73/$CX73</f>
        <v>1.6569688713401813</v>
      </c>
      <c r="FE73" s="153"/>
      <c r="FF73" s="153">
        <f>ET$81*$DM73/$CX73</f>
        <v>1.2949629519758852</v>
      </c>
      <c r="FG73" s="179"/>
      <c r="FH73" s="179"/>
      <c r="FI73" s="152">
        <f>EU$81*$DM73/$CX73</f>
        <v>1.0483144015552969E-3</v>
      </c>
      <c r="FJ73" s="179"/>
      <c r="FK73" s="179"/>
      <c r="FL73" s="153">
        <f>EV$81*$DM73/$CX73</f>
        <v>4.4547517372078334</v>
      </c>
      <c r="FN73" s="179"/>
      <c r="FO73" s="153">
        <f>EW$81*$DM73/$CX73</f>
        <v>31.505335334896539</v>
      </c>
      <c r="FP73" s="179"/>
      <c r="FQ73" s="179"/>
      <c r="FR73" s="179"/>
      <c r="FS73" s="153">
        <f>EX$81*$DM73/$CX73</f>
        <v>0.43967150979153513</v>
      </c>
      <c r="FT73" s="179"/>
      <c r="FU73" s="153">
        <f>EY$81*$DM73/$CX73</f>
        <v>1.0874835123183826</v>
      </c>
      <c r="FV73" s="179"/>
      <c r="FW73" s="179"/>
      <c r="FX73" s="153">
        <f>EZ$81*$DM73/$CX73</f>
        <v>0.73249273531269754</v>
      </c>
      <c r="FZ73" s="133"/>
      <c r="GA73" s="133"/>
      <c r="GB73" s="133"/>
      <c r="GC73" s="133"/>
      <c r="GD73" s="133"/>
      <c r="GE73" s="133"/>
      <c r="GF73" s="133"/>
      <c r="KD73" s="149"/>
      <c r="KE73" s="149"/>
      <c r="KF73" s="149"/>
      <c r="KG73" s="149"/>
      <c r="KH73" s="149"/>
      <c r="KI73" s="149"/>
    </row>
    <row r="74" spans="1:295" s="49" customFormat="1" x14ac:dyDescent="0.25">
      <c r="A74" s="137"/>
      <c r="B74" s="50"/>
      <c r="C74" s="50"/>
      <c r="D74" s="50"/>
      <c r="E74" s="50"/>
      <c r="F74" s="50"/>
      <c r="G74" s="50"/>
      <c r="H74" s="50"/>
      <c r="I74" s="50"/>
      <c r="J74" s="50"/>
      <c r="K74" s="50"/>
      <c r="L74" s="50"/>
      <c r="M74" s="50"/>
      <c r="N74" s="50"/>
      <c r="P74" s="50"/>
      <c r="Q74" s="50"/>
      <c r="R74" s="50"/>
      <c r="T74" s="50"/>
      <c r="U74" s="50"/>
      <c r="V74" s="50"/>
      <c r="W74" s="50"/>
      <c r="X74" s="50"/>
      <c r="Y74" s="50"/>
      <c r="Z74" s="50"/>
      <c r="AA74" s="50"/>
      <c r="AB74" s="50"/>
      <c r="AC74" s="50"/>
      <c r="AD74" s="50"/>
      <c r="AE74" s="50"/>
      <c r="AF74" s="50"/>
      <c r="AG74" s="50"/>
      <c r="AH74" s="50"/>
      <c r="AI74" s="50"/>
      <c r="AJ74" s="50"/>
      <c r="AK74" s="50"/>
      <c r="AL74" s="50"/>
      <c r="AM74" s="50"/>
      <c r="AN74" s="50"/>
      <c r="AO74" s="575"/>
      <c r="AP74" s="50"/>
      <c r="AQ74" s="50"/>
      <c r="AR74" s="50"/>
      <c r="AS74" s="50"/>
      <c r="AT74" s="50"/>
      <c r="AU74" s="50"/>
      <c r="AV74" s="50"/>
      <c r="AW74" s="50"/>
      <c r="AX74" s="575"/>
      <c r="AY74" s="50"/>
      <c r="AZ74" s="50"/>
      <c r="BA74" s="50"/>
      <c r="BB74" s="50"/>
      <c r="BC74" s="575"/>
      <c r="BD74" s="575"/>
      <c r="BE74" s="575"/>
      <c r="BF74" s="575"/>
      <c r="BG74" s="575"/>
      <c r="BH74" s="575"/>
      <c r="BI74" s="575"/>
      <c r="BJ74" s="575"/>
      <c r="BK74" s="575"/>
      <c r="BL74" s="575"/>
      <c r="BM74" s="575"/>
      <c r="BN74" s="575"/>
      <c r="BO74" s="575"/>
      <c r="BP74" s="575"/>
      <c r="BQ74" s="575"/>
      <c r="BR74" s="575"/>
      <c r="BS74" s="575"/>
      <c r="BT74" s="575"/>
      <c r="BU74" s="575"/>
      <c r="BV74" s="575"/>
      <c r="BW74" s="575"/>
      <c r="BX74" s="575"/>
      <c r="BY74" s="575"/>
      <c r="BZ74" s="575"/>
      <c r="CA74" s="575"/>
      <c r="CB74" s="575"/>
      <c r="CC74" s="575"/>
      <c r="CD74" s="575"/>
      <c r="CE74" s="575"/>
      <c r="CF74" s="575"/>
      <c r="CG74" s="575"/>
      <c r="CH74" s="575"/>
      <c r="CI74" s="575"/>
      <c r="CJ74" s="575"/>
      <c r="CK74" s="575"/>
      <c r="CL74" s="575"/>
      <c r="CM74" s="123"/>
      <c r="CN74" s="123"/>
      <c r="CO74" s="123"/>
      <c r="CP74" s="144"/>
      <c r="CQ74" s="144"/>
      <c r="CR74" s="144"/>
      <c r="CW74" s="123"/>
      <c r="CZ74" s="153"/>
      <c r="DN74" s="144"/>
      <c r="DO74" s="123"/>
      <c r="DP74" s="123"/>
      <c r="EE74" s="123"/>
      <c r="EM74" s="133"/>
      <c r="EN74" s="123"/>
      <c r="EO74" s="153"/>
      <c r="EQ74" s="74"/>
      <c r="ER74" s="152"/>
      <c r="ES74" s="474"/>
      <c r="ET74" s="179"/>
      <c r="EU74" s="179"/>
      <c r="EV74" s="179"/>
      <c r="EW74" s="153"/>
      <c r="EX74" s="179"/>
      <c r="EY74" s="179"/>
      <c r="EZ74" s="179"/>
      <c r="FA74" s="643"/>
      <c r="FB74" s="643"/>
      <c r="FC74" s="643"/>
      <c r="FD74" s="115"/>
      <c r="FE74" s="669"/>
      <c r="FF74" s="179"/>
      <c r="FH74" s="179"/>
      <c r="FI74" s="179"/>
      <c r="FK74" s="179"/>
      <c r="FL74" s="179"/>
      <c r="FN74" s="179"/>
      <c r="FO74" s="153"/>
      <c r="FQ74" s="179"/>
      <c r="FR74" s="179"/>
      <c r="FS74" s="179"/>
      <c r="FT74" s="669"/>
      <c r="FU74" s="179"/>
      <c r="FW74" s="179"/>
      <c r="FX74" s="179"/>
      <c r="FZ74" s="133"/>
      <c r="GA74" s="133"/>
      <c r="GB74" s="133"/>
      <c r="GC74" s="133"/>
      <c r="GD74" s="133"/>
      <c r="GE74" s="133"/>
      <c r="GF74" s="133"/>
      <c r="KD74" s="149"/>
      <c r="KE74" s="149"/>
      <c r="KF74" s="149"/>
      <c r="KG74" s="149"/>
      <c r="KH74" s="149"/>
      <c r="KI74" s="149"/>
    </row>
    <row r="75" spans="1:295" x14ac:dyDescent="0.25">
      <c r="A75" s="4" t="s">
        <v>379</v>
      </c>
      <c r="H75" s="670">
        <f>J75+N75+Z75*(AA75+AE75)</f>
        <v>5.0000000000000072E-2</v>
      </c>
      <c r="I75" s="670">
        <f>R75+Z75*(AI75+AP75)</f>
        <v>1.0500000000000001E-2</v>
      </c>
      <c r="J75" s="63">
        <f>1-N75-R75-U75-X75-Z75</f>
        <v>2.0000000000000073E-2</v>
      </c>
      <c r="K75" s="129">
        <v>0.69</v>
      </c>
      <c r="L75" s="129">
        <v>0.17</v>
      </c>
      <c r="M75" s="130">
        <v>0.14000000000000001</v>
      </c>
      <c r="N75" s="39">
        <v>0</v>
      </c>
      <c r="O75" s="129">
        <v>0.52</v>
      </c>
      <c r="P75" s="129">
        <v>0.16</v>
      </c>
      <c r="Q75" s="130">
        <v>0.32</v>
      </c>
      <c r="R75" s="39">
        <v>0</v>
      </c>
      <c r="S75" s="57">
        <f>C$22</f>
        <v>0.91829596188296059</v>
      </c>
      <c r="T75" s="57">
        <f>C$23</f>
        <v>8.1704038117039385E-2</v>
      </c>
      <c r="U75" s="142">
        <v>0.1</v>
      </c>
      <c r="V75" s="129">
        <v>0.85</v>
      </c>
      <c r="W75" s="131">
        <f>1-V75</f>
        <v>0.15000000000000002</v>
      </c>
      <c r="X75" s="139">
        <v>0.57999999999999996</v>
      </c>
      <c r="Y75" s="129">
        <v>1</v>
      </c>
      <c r="Z75" s="134">
        <v>0.3</v>
      </c>
      <c r="AA75" s="39">
        <v>0.1</v>
      </c>
      <c r="AB75" s="57">
        <f>C$36</f>
        <v>0.32627633176706616</v>
      </c>
      <c r="AC75" s="57">
        <f>C$35</f>
        <v>0.12306636397233511</v>
      </c>
      <c r="AD75" s="57">
        <f>C$37</f>
        <v>0.55065730426059856</v>
      </c>
      <c r="AE75" s="39">
        <v>0</v>
      </c>
      <c r="AF75" s="57">
        <f>C$40</f>
        <v>0.46292585170340678</v>
      </c>
      <c r="AG75" s="57">
        <f>C$41</f>
        <v>0.21643286573146289</v>
      </c>
      <c r="AH75" s="57">
        <f>C$42</f>
        <v>0.32064128256513025</v>
      </c>
      <c r="AI75" s="39">
        <v>0</v>
      </c>
      <c r="AJ75" s="131">
        <f>C$45</f>
        <v>0.66906282055683264</v>
      </c>
      <c r="AK75" s="131">
        <f>C$46</f>
        <v>2.0464179068278004E-2</v>
      </c>
      <c r="AL75" s="131">
        <f>C$47</f>
        <v>0.10457441214444914</v>
      </c>
      <c r="AM75" s="131">
        <f>C$48</f>
        <v>6.6603941068190814E-2</v>
      </c>
      <c r="AN75" s="131">
        <f>C$49</f>
        <v>3.7777291743479158E-2</v>
      </c>
      <c r="AO75" s="132">
        <f>C$50</f>
        <v>0.10151735541877024</v>
      </c>
      <c r="AP75" s="45">
        <v>3.5000000000000003E-2</v>
      </c>
      <c r="AQ75" s="131">
        <f>C$53</f>
        <v>0.27362401715511081</v>
      </c>
      <c r="AR75" s="131">
        <f>C$54</f>
        <v>0.12094353109363824</v>
      </c>
      <c r="AS75" s="131">
        <f>C$55</f>
        <v>0.60543245175125082</v>
      </c>
      <c r="AT75" s="53">
        <f>1-AA75-AE75-AI75-AP75</f>
        <v>0.86499999999999999</v>
      </c>
      <c r="AU75" s="671">
        <f>Z75*AT75</f>
        <v>0.25950000000000001</v>
      </c>
      <c r="AV75" s="672">
        <f>AW75*DA75/CX75</f>
        <v>39</v>
      </c>
      <c r="AW75" s="112">
        <v>260</v>
      </c>
      <c r="AX75" s="73">
        <f>BA75/DA75</f>
        <v>15.730000000000018</v>
      </c>
      <c r="AY75" s="673">
        <f>AW75*DA75</f>
        <v>2106</v>
      </c>
      <c r="AZ75" s="55">
        <f>BB75+BF75+BJ75</f>
        <v>42.120000000000147</v>
      </c>
      <c r="BA75" s="673">
        <f>AZ75+BS75+BW75+CA75+CH75</f>
        <v>127.41300000000014</v>
      </c>
      <c r="BB75" s="73">
        <f>SUM(BC75:BE75)</f>
        <v>42.120000000000147</v>
      </c>
      <c r="BC75" s="73">
        <f>$AY75*$J75*K75</f>
        <v>29.062800000000102</v>
      </c>
      <c r="BD75" s="73">
        <f>$AY75*$J75*L75</f>
        <v>7.1604000000000267</v>
      </c>
      <c r="BE75" s="73">
        <f>$AY75*$J75*M75</f>
        <v>5.896800000000022</v>
      </c>
      <c r="BF75" s="73">
        <f>SUM(BG75:BI75)</f>
        <v>0</v>
      </c>
      <c r="BG75" s="73">
        <f>$AY75*$N75*O75</f>
        <v>0</v>
      </c>
      <c r="BH75" s="73">
        <f>$AY75*$N75*P75</f>
        <v>0</v>
      </c>
      <c r="BI75" s="73">
        <f>$AY75*$N75*Q75</f>
        <v>0</v>
      </c>
      <c r="BJ75" s="629">
        <f>SUM(BK75:BL75)</f>
        <v>0</v>
      </c>
      <c r="BK75" s="73">
        <f>$AY75*$R75*S75</f>
        <v>0</v>
      </c>
      <c r="BL75" s="73">
        <f>$AY75*$R75*T75</f>
        <v>0</v>
      </c>
      <c r="BM75" s="674">
        <f>SUM(BN75:BO75)</f>
        <v>210.60000000000002</v>
      </c>
      <c r="BN75" s="73">
        <f>$AY75*$U75*V75</f>
        <v>179.01000000000002</v>
      </c>
      <c r="BO75" s="73">
        <f>$AY75*$U75*W75</f>
        <v>31.590000000000007</v>
      </c>
      <c r="BP75" s="674">
        <f>SUM(BQ75:BQ75)</f>
        <v>1221.48</v>
      </c>
      <c r="BQ75" s="73">
        <f>$AY75*$X75*Y75</f>
        <v>1221.48</v>
      </c>
      <c r="BR75" s="68">
        <f>BS75+BW75+CA75+CH75+CL75</f>
        <v>631.79999999999995</v>
      </c>
      <c r="BS75" s="55">
        <f>SUM(BT75:BV75)</f>
        <v>63.179999999999993</v>
      </c>
      <c r="BT75" s="73">
        <f>$AY75*$Z75*$AA75*AC75</f>
        <v>7.7753328757721327</v>
      </c>
      <c r="BU75" s="73">
        <f>$AY75*$Z75*$AA75*AB75</f>
        <v>20.61413864104324</v>
      </c>
      <c r="BV75" s="73">
        <f>$AY75*$Z75*$AA75*AD75</f>
        <v>34.790528483184616</v>
      </c>
      <c r="BW75" s="55">
        <f>SUM(BX75:BZ75)</f>
        <v>0</v>
      </c>
      <c r="BX75" s="73">
        <f>$AY75*$Z75*$AE75*AF75</f>
        <v>0</v>
      </c>
      <c r="BY75" s="73">
        <f>$AY75*$Z75*$AE75*AG75</f>
        <v>0</v>
      </c>
      <c r="BZ75" s="73">
        <f>$AY75*$Z75*$AE75*AH75</f>
        <v>0</v>
      </c>
      <c r="CA75" s="73">
        <f>SUM(CB75:CG75)</f>
        <v>0</v>
      </c>
      <c r="CB75" s="73">
        <f t="shared" ref="CB75:CG75" si="31">$AY75*$Z75*$AI75*AJ75</f>
        <v>0</v>
      </c>
      <c r="CC75" s="73">
        <f t="shared" si="31"/>
        <v>0</v>
      </c>
      <c r="CD75" s="73">
        <f t="shared" si="31"/>
        <v>0</v>
      </c>
      <c r="CE75" s="73">
        <f t="shared" si="31"/>
        <v>0</v>
      </c>
      <c r="CF75" s="73">
        <f t="shared" si="31"/>
        <v>0</v>
      </c>
      <c r="CG75" s="73">
        <f t="shared" si="31"/>
        <v>0</v>
      </c>
      <c r="CH75" s="55">
        <f>SUM(CI75:CK75)</f>
        <v>22.112999999999996</v>
      </c>
      <c r="CI75" s="73">
        <f>$AY75*$Z75*$AP75*AQ75</f>
        <v>6.0506478913509651</v>
      </c>
      <c r="CJ75" s="73">
        <f>$AY75*$Z75*$AP75*AR75</f>
        <v>2.6744243030736223</v>
      </c>
      <c r="CK75" s="73">
        <f>$AY75*$Z75*$AP75*AS75</f>
        <v>13.387927805575409</v>
      </c>
      <c r="CL75" s="675">
        <f>$AY75*$Z75*AT75</f>
        <v>546.50699999999995</v>
      </c>
      <c r="CM75" s="97">
        <f>(BC75*CM$12+BD75*CM$13+BE75*CM$14+BG75*CM$17+BH75*CM$18+BI75*CM$19+BK75*CM$22+BL75*CM$23+CM$26*BN75+CM$27*BO75+CM$30*BQ75+BT75*CM$35+BU75*CM$36+BV75*CM$37+BX75*CM$40+BY75*CM$41+BZ75*CM$42+CB75*CM$45+CC75*CM$46+CD75*CM$47+CE75*CM$48+CF75*CM$49+CI75*CM$53+CJ75*CM$54+CK75*CM$55)/AY75</f>
        <v>7.6192831555833793</v>
      </c>
      <c r="CN75" s="97">
        <f>IF((BB75+BF75+BJ75+BM75)&gt;0,(BC75*CM$12+BD75*CM$13+BE75*CM$14+BG75*CM$17+BH75*CM$18+BI75*CM$19+BK75*CM$22+BL75*CM$23+CM$26*BN75+CM$27*BO75)/(BB75+BF75+BJ75+BM75),0)</f>
        <v>2.3309636529364051</v>
      </c>
      <c r="CO75" s="97">
        <f>(BT75*CM$35+BU75*CM$36+BV75*CM$37+BX75*CM$40+BY75*CM$41+BZ75*CM$42+CB75*CM$45+CC75*CM$46+CD75*CM$47+CE75*CM$48+CF75*CM$49+CI75*CM$53+CJ75*CM$54+CK75*CM$55)/(BS75+BW75+CA75+CH75)</f>
        <v>3.5441417421252615</v>
      </c>
      <c r="CP75" s="68">
        <f>CM$30*BQ75/BP75</f>
        <v>12.406947890818858</v>
      </c>
      <c r="CQ75" s="68">
        <f>10*(CT75+CU75)/DA75</f>
        <v>110.04587851619489</v>
      </c>
      <c r="CR75" s="68">
        <f>10*CW75/$DA75</f>
        <v>1870.9677419354841</v>
      </c>
      <c r="CS75" s="261">
        <f>CM75*AY75/10</f>
        <v>1604.6210325658597</v>
      </c>
      <c r="CT75" s="107">
        <f>CN75*(BB75+BF75+BJ75+BM75)/10</f>
        <v>58.908113437008865</v>
      </c>
      <c r="CU75" s="107">
        <f>CO75*(BS75+BW75+CA75+CH75)/10</f>
        <v>30.229048161108988</v>
      </c>
      <c r="CV75" s="107">
        <f>CP75*BP75/10</f>
        <v>1515.483870967742</v>
      </c>
      <c r="CW75" s="144">
        <f>CM$30*BQ75/10</f>
        <v>1515.483870967742</v>
      </c>
      <c r="CX75" s="26">
        <f>DB75+DF75</f>
        <v>54</v>
      </c>
      <c r="CY75" s="26">
        <f t="shared" ref="CY75:DA75" si="32">DC75+DG75</f>
        <v>22.68</v>
      </c>
      <c r="CZ75" s="335">
        <f t="shared" si="32"/>
        <v>0.4158</v>
      </c>
      <c r="DA75" s="26">
        <f t="shared" si="32"/>
        <v>8.1</v>
      </c>
      <c r="DB75" s="84">
        <v>54</v>
      </c>
      <c r="DC75" s="26">
        <f>DB75*GG$95</f>
        <v>22.68</v>
      </c>
      <c r="DD75" s="335">
        <f>DB75*GJ$95/10^3</f>
        <v>0.4158</v>
      </c>
      <c r="DE75" s="26">
        <f>DB75*GL$95</f>
        <v>8.1</v>
      </c>
      <c r="DN75" s="527">
        <f>10*'Amortization metrics'!D$4*DP75/CM75</f>
        <v>45.939767375758294</v>
      </c>
      <c r="DO75" s="263">
        <f>10*DQ75/CM75</f>
        <v>1.4406431298889633</v>
      </c>
      <c r="DP75" s="272">
        <f>(BC75*DP$12+BD75*DP$13+BE75*DP$14+BG75*DP$17+BH75*DP$18+BI75*DP$19+BK75*DP$22+BL75*DP$23+DP$26*BN75+DP$27*BO75+DP$30*BQ75+BT75*DP$35+BU75*DP$36+BV75*DP$37+BX75*DP$40+BY75*DP$41+BZ75*DP$42+CB75*DP$45+CC75*DP$46+CD75*DP$47+CE75*DP$48+CF75*DP$49+CG75*DP$50+CI75*DP$53+CJ75*DP$54+CK75*DP$55)/AY75</f>
        <v>1.1667603191251135</v>
      </c>
      <c r="DQ75" s="143">
        <f>(BC75*DQ$12+BD75*DQ$13+BE75*DQ$14+BG75*DQ$17+BH75*DQ$18+BI75*DQ$19+BK75*DQ$22+BL75*DQ$23+DQ$26*BN75+DQ$27*BO75+DQ$30*BQ75+BT75*DQ$35+BU75*DQ$36+BV75*DQ$37+BX75*DQ$40+BY75*DQ$41+BZ75*DQ$42+CB75*DQ$45+CC75*DQ$46+CD75*DQ$47+CE75*DQ$48+CF75*DQ$49+CG75*DQ$50+CI75*DQ$53+CJ75*DQ$54+CK75*DQ$55)/AY75</f>
        <v>1.0976667932769897</v>
      </c>
      <c r="DR75" s="26">
        <f>DP75*$AY75/$CX75</f>
        <v>45.503652445879425</v>
      </c>
      <c r="DS75" s="153">
        <f>DR75/$GG75</f>
        <v>108.34202963304625</v>
      </c>
      <c r="DT75" s="676">
        <f>DP75*$AY75/$CZ75</f>
        <v>5909.5652527116135</v>
      </c>
      <c r="DU75" s="677">
        <f>DP75*$AY75/$DA75</f>
        <v>303.35768297252952</v>
      </c>
      <c r="DV75" s="26">
        <f>DQ75*$AY75/$CX75</f>
        <v>42.809004937802598</v>
      </c>
      <c r="DW75" s="153">
        <f>DV75/$GG75</f>
        <v>101.92620223286333</v>
      </c>
      <c r="DX75" s="676">
        <f>DQ75*$AY75/$CZ75</f>
        <v>5559.6110308834541</v>
      </c>
      <c r="DY75" s="677">
        <f>DQ75*$AY75/$DA75</f>
        <v>285.39336625201736</v>
      </c>
      <c r="DZ75" s="678">
        <f>(BC75*DZ$12+BD75*DZ$13+BE75*DZ$14+BG75*DZ$17+BH75*DZ$18+BI75*DZ$19+BK75*DZ$22+BL75*DZ$23+DZ$26*BN75+DZ$27*BO75+DZ$30*BQ75+BT75*DZ$35+BU75*DZ$36+BV75*DZ$37+BX75*DZ$40+BY75*DZ$41+BZ75*DZ$42+CB75*DZ$45+CC75*DZ$46+CD75*DZ$47+CE75*DZ$48+CF75*DZ$49+CG75*DZ$50+CI75*DZ$53+CJ75*DZ$54+CK75*DZ$55)/AY75</f>
        <v>2.4587808009065668</v>
      </c>
      <c r="EA75" s="26">
        <f>DZ75*$AY75/$CX75</f>
        <v>95.892451235356106</v>
      </c>
      <c r="EB75" s="676">
        <f>DZ75*$AY75/$CZ75</f>
        <v>12453.565095500793</v>
      </c>
      <c r="EC75" s="677">
        <f>DZ75*$AY75/$DA75</f>
        <v>639.28300823570737</v>
      </c>
      <c r="ED75" s="410">
        <f>(BC75*ED$12+BD75*ED$13+BE75*ED$14+BG75*ED$17+BH75*ED$18+BI75*ED$19+BK75*ED$22+BL75*ED$23+ED$26*BN75+ED$27*BO75+ED$30*BQ75+BT75*ED$35+BU75*ED$36+BV75*ED$37+BX75*ED$40+BY75*ED$41+BZ75*ED$42+CB75*ED$45+CC75*ED$46+CD75*ED$47+CE75*ED$48+CF75*ED$49+CG75*ED$50+CI75*ED$53+CJ75*ED$54+CK75*ED$55)/AY75</f>
        <v>0.24612685532229972</v>
      </c>
      <c r="EE75" s="73">
        <f>ED75*$AY75</f>
        <v>518.34315730876324</v>
      </c>
      <c r="EF75" s="127">
        <f>ED75*$AY75/$CX75</f>
        <v>9.5989473575696902</v>
      </c>
      <c r="EG75" s="153">
        <f>EF75/$GG75</f>
        <v>22.854636565642121</v>
      </c>
      <c r="EH75" s="679">
        <f>ED75*$AY75/$CZ75</f>
        <v>1246.6165399441156</v>
      </c>
      <c r="EI75" s="110">
        <f>ED75*$AY75/$DA75</f>
        <v>63.992982383797937</v>
      </c>
      <c r="EJ75" s="410">
        <f>EK75+EL75+EM75</f>
        <v>0.14723441147951596</v>
      </c>
      <c r="EK75" s="127">
        <f>(BC75*EK$12+BD75*EK$13+BE75*EK$14+BG75*EK$17+BH75*EK$18+BI75*EK$19+BK75*EK$22+BL75*EK$23+EK$26*BN75+EK$27*BO75+EK$30*BQ75+BT75*EK$35+BU75*EK$36+BV75*EK$37+BX75*EK$40+BY75*EK$41+BZ75*EK$42+CB75*EK$45+CC75*EK$46+CD75*EK$47+CE75*EK$48+CF75*EK$49+CG75*EK$50+CI75*EK$53+CJ75*EK$54+CK75*EK$55)/AY75</f>
        <v>6.996134080222792E-2</v>
      </c>
      <c r="EL75" s="127">
        <f>(BC75*EL$12+BD75*EL$13+BE75*EL$14+BG75*EL$17+BH75*EL$18+BI75*EL$19+BK75*EL$22+BL75*EL$23+EL$26*BN75+EL$27*BO75+EL$30*BQ75+BT75*EL$35+BU75*EL$36+BV75*EL$37+BX75*EL$40+BY75*EL$41+BZ75*EL$42+CB75*EL$45+CC75*EL$46+CD75*EL$47+CE75*EL$48+CF75*EL$49+CG75*EL$50+CI75*EL$53+CJ75*EL$54+CK75*EL$55)/AY75</f>
        <v>5.0295983289412247E-2</v>
      </c>
      <c r="EM75" s="127">
        <f>(BC75*EM$12+BD75*EM$13+BE75*EM$14+BG75*EM$17+BH75*EM$18+BI75*EM$19+BK75*EM$22+BL75*EM$23+EM$26*BN75+EM$27*BO75+EM$30*BQ75+BT75*EM$35+BU75*EM$36+BV75*EM$37+BX75*EM$40+BY75*EM$41+BZ75*EM$42+CB75*EM$45+CC75*EM$46+CD75*EM$47+CE75*EM$48+CF75*EM$49+CG75*EM$50+CI75*EM$53+CJ75*EM$54+CK75*EM$55)/AY75</f>
        <v>2.6977087387875805E-2</v>
      </c>
      <c r="EN75" s="73">
        <f>ES75+ET75+EU75+EV75+EW75+EX75+EY75+EZ75</f>
        <v>2492.9396115134032</v>
      </c>
      <c r="EO75" s="110">
        <f>EN75/CX75</f>
        <v>46.16554836135932</v>
      </c>
      <c r="EP75" s="153">
        <f>EO75/$GG75</f>
        <v>109.91797228895076</v>
      </c>
      <c r="EQ75" s="73">
        <f>EN75/CZ75</f>
        <v>5995.5257612154955</v>
      </c>
      <c r="ER75" s="672">
        <f>EN75/DA75</f>
        <v>307.77032240906215</v>
      </c>
      <c r="ES75" s="73">
        <f>FE75*$DA75</f>
        <v>147.338583729492</v>
      </c>
      <c r="ET75" s="73">
        <f>FG75*$DA75</f>
        <v>105.9233408075022</v>
      </c>
      <c r="EU75" s="73">
        <f>FJ75*$DA75</f>
        <v>56.813746038866434</v>
      </c>
      <c r="EV75" s="73">
        <f>FM75*$DA75</f>
        <v>450.57600000000002</v>
      </c>
      <c r="EW75" s="73">
        <f>FP75*$DA75</f>
        <v>1520.2623409375431</v>
      </c>
      <c r="EX75" s="73">
        <f>FT75*$DA75</f>
        <v>22.68</v>
      </c>
      <c r="EY75" s="73">
        <f>FV75*$DA75</f>
        <v>141.6096</v>
      </c>
      <c r="EZ75" s="73">
        <f>FY75*$DA75</f>
        <v>47.735999999999997</v>
      </c>
      <c r="FA75" s="73">
        <f>ES75+ET75+EU75</f>
        <v>310.07567057586061</v>
      </c>
      <c r="FB75" s="115">
        <f>FA75/CX75</f>
        <v>5.7421420477011225</v>
      </c>
      <c r="FC75" s="73">
        <f>FA75/DA75</f>
        <v>38.280946984674152</v>
      </c>
      <c r="FD75" s="410">
        <f>EK75*$AY75/$CX75</f>
        <v>2.728492291286889</v>
      </c>
      <c r="FE75" s="73">
        <f>FD75*$DB75/$DA75</f>
        <v>18.189948608579261</v>
      </c>
      <c r="FF75" s="115">
        <f>ET75/$DB75</f>
        <v>1.9615433482870779</v>
      </c>
      <c r="FG75" s="483">
        <f>'Amortization metrics'!$B$6*FH75*$DB75/$DA75/10^3</f>
        <v>13.076955655247186</v>
      </c>
      <c r="FH75" s="680">
        <f>10^3*EL75*$AY75/$CX75/'Amortization metrics'!$B$6</f>
        <v>6.5823602291512682</v>
      </c>
      <c r="FI75" s="73">
        <f>EU75/$DB75</f>
        <v>1.0521064081271563</v>
      </c>
      <c r="FJ75" s="681">
        <f>'Amortization metrics'!$B$5*FK75*$DB75/$DA75/10^3</f>
        <v>7.0140427208477085</v>
      </c>
      <c r="FK75" s="682">
        <f>10^3*EM75*$AY75/$CX75/'Amortization metrics'!$B$5</f>
        <v>30.944306121386951</v>
      </c>
      <c r="FL75" s="115">
        <f>EV75/$DB75</f>
        <v>8.3440000000000012</v>
      </c>
      <c r="FM75" s="681">
        <f>'Amortization metrics'!$B$6*FN75*$DB75/$DA75/10^3</f>
        <v>55.626666666666672</v>
      </c>
      <c r="FN75" s="80">
        <v>28</v>
      </c>
      <c r="FO75" s="115">
        <f>EW75/$DB75</f>
        <v>28.153006313658206</v>
      </c>
      <c r="FP75" s="681">
        <f>'Amortization metrics'!$B$5*FR75*$DB75/$DA75/10^3</f>
        <v>187.68670875772136</v>
      </c>
      <c r="FQ75" s="82">
        <v>6.5000000000000002E-2</v>
      </c>
      <c r="FR75" s="73">
        <f>10^3*FQ75*AY75*GI75/55.7/DB75</f>
        <v>828.02959746053534</v>
      </c>
      <c r="FS75" s="80">
        <v>0.42</v>
      </c>
      <c r="FT75" s="115">
        <f>FS75*$DB75/$DA75</f>
        <v>2.8000000000000003</v>
      </c>
      <c r="FU75" s="115">
        <f>EY75/$DB75</f>
        <v>2.6223999999999998</v>
      </c>
      <c r="FV75" s="681">
        <f>'Amortization metrics'!$B$6*FW75*$DB75/$DA75/10^3</f>
        <v>17.482666666666667</v>
      </c>
      <c r="FW75" s="80">
        <v>8.8000000000000007</v>
      </c>
      <c r="FX75" s="115">
        <f>EZ75/$DB75</f>
        <v>0.8839999999999999</v>
      </c>
      <c r="FY75" s="681">
        <f>'Amortization metrics'!$B$5*FZ75*$DB75/$DA75/10^3</f>
        <v>5.8933333333333335</v>
      </c>
      <c r="FZ75" s="80">
        <v>26</v>
      </c>
      <c r="GA75" s="73">
        <f>DR75*44/12+EF75+EO75</f>
        <v>222.61122135382024</v>
      </c>
      <c r="GB75" s="677">
        <f>DT75*44/12+EH75+EQ75</f>
        <v>28910.548227768861</v>
      </c>
      <c r="GC75" s="676">
        <f>DU75*44/12+EI75+ER75</f>
        <v>1484.0748090254683</v>
      </c>
      <c r="GD75" s="73">
        <f>DV75*44/12+EF75+EO75</f>
        <v>212.73084715753856</v>
      </c>
      <c r="GE75" s="677">
        <f>DW75*44/12+EH75+EQ75</f>
        <v>7615.8717093467767</v>
      </c>
      <c r="GF75" s="676">
        <f>DY75*44/12+EI75+ER75</f>
        <v>1418.2056477169235</v>
      </c>
      <c r="GG75" s="52">
        <f>GG95</f>
        <v>0.42</v>
      </c>
      <c r="GI75" s="26">
        <f>(BC75*GI$12+BD75*GI$13+BE75*GI$14+BG75*GI$17+BH75*GI$18+BI75*GI$19+BK75*GI$22+BL75*GI$23+GI$26*BN75+GI$27*BO75+GI$30*BQ75+BT75*GI$35+BU75*GI$36+BV75*GI$37+BX75*GI$40+BY75*GI$41+BZ75*GI$42+CB75*GI$45+CC75*GI$46+CD75*GI$47+CE75*GI$48+CF75*GI$49+CI75*GI$53+CJ75*GI$54+CK75*GI$55+CL75*GI$58)/AY75</f>
        <v>18.193786421519455</v>
      </c>
      <c r="GM75" s="683">
        <f>(BC75*GM$12+BD75*GM$13+BE75*GM$14+BG75*GM$17+BH75*GM$18+BI75*GM$19+BK75*GM$22+BL75*GM$23+GM$26*BN75+GM$27*BO75+GM$30*BQ75+BT75*GM$35+BU75*GM$36+BV75*GM$37+BX75*GM$40+BY75*GM$41+BZ75*GM$42+CB75*GM$45+CC75*GM$46+CD75*GM$47+CE75*GM$48+CF75*GM$49+CI75*GM$53+CJ75*GM$54+CK75*GM$55+CL75*GM$58)/AY75</f>
        <v>8.4782196452140871E-2</v>
      </c>
    </row>
    <row r="76" spans="1:295" x14ac:dyDescent="0.25">
      <c r="A76" s="4"/>
      <c r="B76" s="14"/>
      <c r="C76" s="14"/>
      <c r="D76" s="14"/>
      <c r="E76" s="14"/>
      <c r="F76" s="14"/>
      <c r="G76" s="14"/>
      <c r="H76" s="14"/>
      <c r="I76" s="14"/>
      <c r="J76" s="52"/>
      <c r="AT76" s="74"/>
      <c r="AY76" s="55"/>
      <c r="AZ76" s="55"/>
      <c r="BA76" s="55"/>
      <c r="BB76" s="55"/>
      <c r="BC76" s="73"/>
      <c r="BD76" s="73"/>
      <c r="BE76" s="73"/>
      <c r="BF76" s="55"/>
      <c r="BG76" s="73"/>
      <c r="BH76" s="73"/>
      <c r="BI76" s="73"/>
      <c r="BJ76" s="73"/>
      <c r="BK76" s="73"/>
      <c r="BL76" s="73"/>
      <c r="BM76" s="73"/>
      <c r="BN76" s="73"/>
      <c r="BO76" s="73"/>
      <c r="BP76" s="73"/>
      <c r="BQ76" s="73"/>
      <c r="BR76" s="73"/>
      <c r="BS76" s="55"/>
      <c r="BT76" s="73"/>
      <c r="BU76" s="73"/>
      <c r="BV76" s="73"/>
      <c r="BW76" s="55"/>
      <c r="BX76" s="73"/>
      <c r="BY76" s="73"/>
      <c r="BZ76" s="73"/>
      <c r="CA76" s="73"/>
      <c r="CB76" s="73"/>
      <c r="CC76" s="73"/>
      <c r="CD76" s="73"/>
      <c r="CE76" s="73"/>
      <c r="CF76" s="73"/>
      <c r="CG76" s="73"/>
      <c r="CH76" s="73"/>
      <c r="CI76" s="73"/>
      <c r="CJ76" s="73"/>
      <c r="CK76" s="73"/>
      <c r="CL76" s="73"/>
      <c r="CM76" s="74"/>
      <c r="CN76" s="74"/>
      <c r="CO76" s="74"/>
      <c r="CP76" s="73"/>
      <c r="CQ76" s="73"/>
      <c r="CR76" s="73"/>
      <c r="CW76" s="133"/>
      <c r="CZ76" s="335"/>
      <c r="DD76" s="335"/>
      <c r="DN76" s="73"/>
      <c r="DO76" s="115"/>
      <c r="DP76" s="115"/>
      <c r="DT76" s="55"/>
      <c r="ED76" s="335"/>
      <c r="EE76" s="127"/>
      <c r="EF76" s="469"/>
      <c r="EH76" s="60"/>
      <c r="EI76" s="97"/>
      <c r="EK76" s="127"/>
      <c r="EL76" s="127"/>
      <c r="EM76" s="133"/>
      <c r="EN76" s="123"/>
      <c r="EO76" s="153"/>
      <c r="EP76" s="37"/>
      <c r="EQ76" s="60"/>
      <c r="ER76" s="152"/>
      <c r="ES76" s="474"/>
      <c r="ET76" s="474"/>
      <c r="EU76" s="73"/>
      <c r="EW76" s="681"/>
      <c r="FA76" s="60"/>
      <c r="FB76" s="60"/>
      <c r="FC76" s="60"/>
      <c r="FE76" s="474"/>
      <c r="FF76" s="474"/>
      <c r="FG76" s="684"/>
      <c r="FH76" s="179"/>
      <c r="FI76" s="474"/>
      <c r="FJ76" s="73"/>
      <c r="FK76" s="73"/>
      <c r="FL76" s="474"/>
      <c r="FO76" s="474"/>
      <c r="FP76" s="669"/>
      <c r="FR76" s="73"/>
      <c r="FT76" s="115"/>
      <c r="FU76" s="474"/>
      <c r="FX76" s="474"/>
    </row>
    <row r="77" spans="1:295" x14ac:dyDescent="0.25">
      <c r="A77" s="4" t="s">
        <v>116</v>
      </c>
      <c r="H77" s="670">
        <f>J77+N77+Z77*(AA77+AE77)</f>
        <v>1.4999999999999999E-2</v>
      </c>
      <c r="I77" s="670">
        <f>R77+Z77*(AI77+AP77)</f>
        <v>7.4999999999999997E-3</v>
      </c>
      <c r="J77" s="63">
        <f>1-N77-R77-U77-X77-Z77</f>
        <v>0</v>
      </c>
      <c r="K77" s="129">
        <v>0.69</v>
      </c>
      <c r="L77" s="129">
        <v>0.17</v>
      </c>
      <c r="M77" s="130">
        <v>0.14000000000000001</v>
      </c>
      <c r="N77" s="39">
        <v>0</v>
      </c>
      <c r="O77" s="129">
        <v>0.52</v>
      </c>
      <c r="P77" s="129">
        <v>0.16</v>
      </c>
      <c r="Q77" s="130">
        <v>0.32</v>
      </c>
      <c r="R77" s="39">
        <v>0</v>
      </c>
      <c r="S77" s="57">
        <f>C$22</f>
        <v>0.91829596188296059</v>
      </c>
      <c r="T77" s="57">
        <f>C$23</f>
        <v>8.1704038117039385E-2</v>
      </c>
      <c r="U77" s="140">
        <v>0.03</v>
      </c>
      <c r="V77" s="129">
        <v>0.9</v>
      </c>
      <c r="W77" s="131">
        <f>1-V77</f>
        <v>9.9999999999999978E-2</v>
      </c>
      <c r="X77" s="139">
        <v>0.67</v>
      </c>
      <c r="Y77" s="129">
        <v>1</v>
      </c>
      <c r="Z77" s="90">
        <v>0.3</v>
      </c>
      <c r="AA77" s="39">
        <v>0.05</v>
      </c>
      <c r="AB77" s="57">
        <f>C$36</f>
        <v>0.32627633176706616</v>
      </c>
      <c r="AC77" s="57">
        <f>C$35</f>
        <v>0.12306636397233511</v>
      </c>
      <c r="AD77" s="57">
        <f>C$37</f>
        <v>0.55065730426059856</v>
      </c>
      <c r="AE77" s="39">
        <v>0</v>
      </c>
      <c r="AF77" s="57">
        <f>C$40</f>
        <v>0.46292585170340678</v>
      </c>
      <c r="AG77" s="57">
        <f>C$41</f>
        <v>0.21643286573146289</v>
      </c>
      <c r="AH77" s="57">
        <f>C$42</f>
        <v>0.32064128256513025</v>
      </c>
      <c r="AI77" s="39">
        <v>0</v>
      </c>
      <c r="AJ77" s="131">
        <f>C$45</f>
        <v>0.66906282055683264</v>
      </c>
      <c r="AK77" s="131">
        <f>C$46</f>
        <v>2.0464179068278004E-2</v>
      </c>
      <c r="AL77" s="131">
        <f>C$47</f>
        <v>0.10457441214444914</v>
      </c>
      <c r="AM77" s="131">
        <f>C$48</f>
        <v>6.6603941068190814E-2</v>
      </c>
      <c r="AN77" s="131">
        <f>C$49</f>
        <v>3.7777291743479158E-2</v>
      </c>
      <c r="AO77" s="132">
        <f>C$50</f>
        <v>0.10151735541877024</v>
      </c>
      <c r="AP77" s="45">
        <v>2.5000000000000001E-2</v>
      </c>
      <c r="AQ77" s="131">
        <f>C$53</f>
        <v>0.27362401715511081</v>
      </c>
      <c r="AR77" s="131">
        <f>C$54</f>
        <v>0.12094353109363824</v>
      </c>
      <c r="AS77" s="131">
        <f>C$55</f>
        <v>0.60543245175125082</v>
      </c>
      <c r="AT77" s="53">
        <f>1-AA77-AE77-AI77-AP77</f>
        <v>0.92499999999999993</v>
      </c>
      <c r="AU77" s="671">
        <f>Z77*AT77</f>
        <v>0.27749999999999997</v>
      </c>
      <c r="AV77" s="672">
        <f>AW77*DA77/CX77</f>
        <v>44.95</v>
      </c>
      <c r="AW77" s="112">
        <v>310</v>
      </c>
      <c r="AX77" s="73">
        <f>BA77/DA77</f>
        <v>6.9749999999999988</v>
      </c>
      <c r="AY77" s="673">
        <f>AW77*DA77</f>
        <v>449.5</v>
      </c>
      <c r="AZ77" s="55">
        <f>BB77+BF77+BJ77</f>
        <v>0</v>
      </c>
      <c r="BA77" s="673">
        <f>AZ77+BS77+BW77+CA77+CH77</f>
        <v>10.113749999999998</v>
      </c>
      <c r="BB77" s="55">
        <f>SUM(BC77:BE77)</f>
        <v>0</v>
      </c>
      <c r="BC77" s="73">
        <f>$AY77*$J77*K77</f>
        <v>0</v>
      </c>
      <c r="BD77" s="73">
        <f>$AY77*$J77*L77</f>
        <v>0</v>
      </c>
      <c r="BE77" s="73">
        <f>$AY77*$J77*M77</f>
        <v>0</v>
      </c>
      <c r="BF77" s="55">
        <f>SUM(BG77:BI77)</f>
        <v>0</v>
      </c>
      <c r="BG77" s="73">
        <f>$AY77*$N77*O77</f>
        <v>0</v>
      </c>
      <c r="BH77" s="73">
        <f>$AY77*$N77*P77</f>
        <v>0</v>
      </c>
      <c r="BI77" s="73">
        <f>$AY77*$N77*Q77</f>
        <v>0</v>
      </c>
      <c r="BJ77" s="629">
        <f>SUM(BK77:BL77)</f>
        <v>0</v>
      </c>
      <c r="BK77" s="73">
        <f>$AY77*$R77*S77</f>
        <v>0</v>
      </c>
      <c r="BL77" s="73">
        <f>$AY77*$R77*T77</f>
        <v>0</v>
      </c>
      <c r="BM77" s="674">
        <f>SUM(BN77:BO77)</f>
        <v>13.484999999999999</v>
      </c>
      <c r="BN77" s="73">
        <f>$AY77*$U77*V77</f>
        <v>12.1365</v>
      </c>
      <c r="BO77" s="73">
        <f>$AY77*$U77*W77</f>
        <v>1.3484999999999996</v>
      </c>
      <c r="BP77" s="674">
        <f>SUM(BQ77:BQ77)</f>
        <v>301.16500000000002</v>
      </c>
      <c r="BQ77" s="73">
        <f>$AY77*$X77*Y77</f>
        <v>301.16500000000002</v>
      </c>
      <c r="BR77" s="68">
        <f>BS77+BW77+CA77+CH77+CL77</f>
        <v>134.85</v>
      </c>
      <c r="BS77" s="55">
        <f>SUM(BT77:BV77)</f>
        <v>6.7424999999999979</v>
      </c>
      <c r="BT77" s="73">
        <f>$AY77*$Z77*$AA77*AC77</f>
        <v>0.82977495908346943</v>
      </c>
      <c r="BU77" s="73">
        <f>$AY77*$Z77*$AA77*AB77</f>
        <v>2.1999181669394434</v>
      </c>
      <c r="BV77" s="73">
        <f>$AY77*$Z77*$AA77*AD77</f>
        <v>3.7128068739770854</v>
      </c>
      <c r="BW77" s="55">
        <f>SUM(BX77:BZ77)</f>
        <v>0</v>
      </c>
      <c r="BX77" s="73">
        <f>$AY77*$Z77*$AE77*AF77</f>
        <v>0</v>
      </c>
      <c r="BY77" s="73">
        <f>$AY77*$Z77*$AE77*AG77</f>
        <v>0</v>
      </c>
      <c r="BZ77" s="73">
        <f>$AY77*$Z77*$AE77*AH77</f>
        <v>0</v>
      </c>
      <c r="CA77" s="73">
        <f>SUM(CB77:CG77)</f>
        <v>0</v>
      </c>
      <c r="CB77" s="73">
        <f t="shared" ref="CB77:CG77" si="33">$AY77*$Z77*$AI77*AJ77</f>
        <v>0</v>
      </c>
      <c r="CC77" s="73">
        <f t="shared" si="33"/>
        <v>0</v>
      </c>
      <c r="CD77" s="73">
        <f t="shared" si="33"/>
        <v>0</v>
      </c>
      <c r="CE77" s="73">
        <f t="shared" si="33"/>
        <v>0</v>
      </c>
      <c r="CF77" s="73">
        <f t="shared" si="33"/>
        <v>0</v>
      </c>
      <c r="CG77" s="73">
        <f t="shared" si="33"/>
        <v>0</v>
      </c>
      <c r="CH77" s="55">
        <f>SUM(CI77:CK77)</f>
        <v>3.3712499999999999</v>
      </c>
      <c r="CI77" s="73">
        <f>$AY77*$Z77*$AP77*AQ77</f>
        <v>0.92245496783416725</v>
      </c>
      <c r="CJ77" s="73">
        <f>$AY77*$Z77*$AP77*AR77</f>
        <v>0.40773087919942791</v>
      </c>
      <c r="CK77" s="73">
        <f>$AY77*$Z77*$AP77*AS77</f>
        <v>2.0410641529664044</v>
      </c>
      <c r="CL77" s="675">
        <f>$AY77*$Z77*AT77</f>
        <v>124.73624999999998</v>
      </c>
      <c r="CM77" s="97">
        <f>(BC77*CM$12+BD77*CM$13+BE77*CM$14+BG77*CM$17+BH77*CM$18+BI77*CM$19+BK77*CM$22+BL77*CM$23+CM$26*BN77+CM$27*BO77+CM$30*BQ77+BT77*CM$35+BU77*CM$36+BV77*CM$37+BX77*CM$40+BY77*CM$41+BZ77*CM$42+CB77*CM$45+CC77*CM$46+CD77*CM$47+CE77*CM$48+CF77*CM$49+CI77*CM$53+CJ77*CM$54+CK77*CM$55)/AY77</f>
        <v>8.4642442880810531</v>
      </c>
      <c r="CN77" s="97">
        <f>IF((BB77+BF77+BJ77+BM77)&gt;0,(BC77*CM$12+BD77*CM$13+BE77*CM$14+BG77*CM$17+BH77*CM$18+BI77*CM$19+BK77*CM$22+BL77*CM$23+CM$26*BN77+CM$27*BO77)/(BB77+BF77+BJ77+BM77),0)</f>
        <v>2.3115758440978973</v>
      </c>
      <c r="CO77" s="97">
        <f>(BT77*CM$35+BU77*CM$36+BV77*CM$37+BX77*CM$40+BY77*CM$41+BZ77*CM$42+CB77*CM$45+CC77*CM$46+CD77*CM$47+CE77*CM$48+CF77*CM$49+CI77*CM$53+CJ77*CM$54+CK77*CM$55)/(BS77+BW77+CA77+CH77)</f>
        <v>3.655196707088006</v>
      </c>
      <c r="CP77" s="68">
        <f>CM$30*BQ77/BP77</f>
        <v>12.406947890818858</v>
      </c>
      <c r="CQ77" s="68">
        <f>10*(CT77+CU77)/DA77</f>
        <v>46.992652382049279</v>
      </c>
      <c r="CR77" s="68">
        <f>10*CW77/$DA77</f>
        <v>2576.9230769230771</v>
      </c>
      <c r="CS77" s="261">
        <f>CM77*AY77/10</f>
        <v>380.46778074924333</v>
      </c>
      <c r="CT77" s="107">
        <f>CN77*(BB77+BF77+BJ77+BM77)/10</f>
        <v>3.1171600257660144</v>
      </c>
      <c r="CU77" s="107">
        <f>CO77*(BS77+BW77+CA77+CH77)/10</f>
        <v>3.6967745696311312</v>
      </c>
      <c r="CV77" s="107">
        <f>CP77*BP77/10</f>
        <v>373.65384615384613</v>
      </c>
      <c r="CW77" s="144">
        <f>CM$30*BQ77/10</f>
        <v>373.65384615384613</v>
      </c>
      <c r="CX77" s="26">
        <f>DB77+DF77</f>
        <v>10</v>
      </c>
      <c r="CY77" s="26">
        <f t="shared" ref="CY77" si="34">DC77+DG77</f>
        <v>4.0999999999999996</v>
      </c>
      <c r="CZ77" s="335">
        <f t="shared" ref="CZ77" si="35">DD77+DH77</f>
        <v>8.5000000000000006E-2</v>
      </c>
      <c r="DA77" s="26">
        <f t="shared" ref="DA77" si="36">DE77+DI77</f>
        <v>1.45</v>
      </c>
      <c r="DB77" s="84">
        <v>10</v>
      </c>
      <c r="DC77" s="26">
        <f>DB77*GG$96</f>
        <v>4.0999999999999996</v>
      </c>
      <c r="DD77" s="335">
        <f>DB77*GJ$96/10^3</f>
        <v>8.5000000000000006E-2</v>
      </c>
      <c r="DE77" s="26">
        <f>DB77*GL$96</f>
        <v>1.45</v>
      </c>
      <c r="DN77" s="527">
        <f>10*'Amortization metrics'!D$4*DP77/CM77</f>
        <v>44.643541836231478</v>
      </c>
      <c r="DO77" s="263">
        <f>10*DQ77/CM77</f>
        <v>1.3767614967735793</v>
      </c>
      <c r="DP77" s="272">
        <f>(BC77*DP$12+BD77*DP$13+BE77*DP$14+BG77*DP$17+BH77*DP$18+BI77*DP$19+BK77*DP$22+BL77*DP$23+DP$26*BN77+DP$27*BO77+DP$30*BQ77+BT77*DP$35+BU77*DP$36+BV77*DP$37+BX77*DP$40+BY77*DP$41+BZ77*DP$42+CB77*DP$45+CC77*DP$46+CD77*DP$47+CE77*DP$48+CF77*DP$49+CG77*DP$50+CI77*DP$53+CJ77*DP$54+CK77*DP$55)/AY77</f>
        <v>1.2595794799567661</v>
      </c>
      <c r="DQ77" s="143">
        <f>(BC77*DQ$12+BD77*DQ$13+BE77*DQ$14+BG77*DQ$17+BH77*DQ$18+BI77*DQ$19+BK77*DQ$22+BL77*DQ$23+DQ$26*BN77+DQ$27*BO77+DQ$30*BQ77+BT77*DQ$35+BU77*DQ$36+BV77*DQ$37+BX77*DQ$40+BY77*DQ$41+BZ77*DQ$42+CB77*DQ$45+CC77*DQ$46+CD77*DQ$47+CE77*DQ$48+CF77*DQ$49+CG77*DQ$50+CI77*DQ$53+CJ77*DQ$54+CK77*DQ$55)/AY77</f>
        <v>1.165324563511569</v>
      </c>
      <c r="DR77" s="26">
        <f>DP77*$AY77/$CX77</f>
        <v>56.618097624056631</v>
      </c>
      <c r="DS77" s="153">
        <f>DR77/$GG77</f>
        <v>138.09292103428447</v>
      </c>
      <c r="DT77" s="676">
        <f>DP77*$AY77/$CZ77</f>
        <v>6660.9526616537214</v>
      </c>
      <c r="DU77" s="677">
        <f>DP77*$AY77/$DA77</f>
        <v>390.4696387865975</v>
      </c>
      <c r="DV77" s="26">
        <f>DQ77*$AY77/$CX77</f>
        <v>52.381339129845024</v>
      </c>
      <c r="DW77" s="153">
        <f>DV77/$GG77</f>
        <v>127.75936373132933</v>
      </c>
      <c r="DX77" s="676">
        <f>DQ77*$AY77/$CZ77</f>
        <v>6162.5104858641198</v>
      </c>
      <c r="DY77" s="677">
        <f>DQ77*$AY77/$DA77</f>
        <v>361.25061468858638</v>
      </c>
      <c r="DZ77" s="678">
        <f>(BC77*DZ$12+BD77*DZ$13+BE77*DZ$14+BG77*DZ$17+BH77*DZ$18+BI77*DZ$19+BK77*DZ$22+BL77*DZ$23+DZ$26*BN77+DZ$27*BO77+DZ$30*BQ77+BT77*DZ$35+BU77*DZ$36+BV77*DZ$37+BX77*DZ$40+BY77*DZ$41+BZ77*DZ$42+CB77*DZ$45+CC77*DZ$46+CD77*DZ$47+CE77*DZ$48+CF77*DZ$49+CG77*DZ$50+CI77*DZ$53+CJ77*DZ$54+CK77*DZ$55)/AY77</f>
        <v>2.6358583142781931</v>
      </c>
      <c r="EA77" s="26">
        <f>DZ77*$AY77/$CX77</f>
        <v>118.48183122680477</v>
      </c>
      <c r="EB77" s="676">
        <f>DZ77*$AY77/$CZ77</f>
        <v>13939.038967859384</v>
      </c>
      <c r="EC77" s="677">
        <f>DZ77*$AY77/$DA77</f>
        <v>817.11607742623983</v>
      </c>
      <c r="ED77" s="410">
        <f>(BC77*ED$12+BD77*ED$13+BE77*ED$14+BG77*ED$17+BH77*ED$18+BI77*ED$19+BK77*ED$22+BL77*ED$23+ED$26*BN77+ED$27*BO77+ED$30*BQ77+BT77*ED$35+BU77*ED$36+BV77*ED$37+BX77*ED$40+BY77*ED$41+BZ77*ED$42+CB77*ED$45+CC77*ED$46+CD77*ED$47+CE77*ED$48+CF77*ED$49+CG77*ED$50+CI77*ED$53+CJ77*ED$54+CK77*ED$55)/AY77</f>
        <v>0.2559696714801713</v>
      </c>
      <c r="EE77" s="73">
        <f>ED77*$AY77</f>
        <v>115.05836733033701</v>
      </c>
      <c r="EF77" s="127">
        <f>ED77*$AY77/$CX77</f>
        <v>11.5058367330337</v>
      </c>
      <c r="EG77" s="153">
        <f>EF77/$GG77</f>
        <v>28.063016422033417</v>
      </c>
      <c r="EH77" s="679">
        <f>ED77*$AY77/$CZ77</f>
        <v>1353.6278509451411</v>
      </c>
      <c r="EI77" s="110">
        <f>ED77*$AY77/$DA77</f>
        <v>79.350598158853117</v>
      </c>
      <c r="EJ77" s="410">
        <f>EK77+EL77+EM77</f>
        <v>9.2593767898767262E-2</v>
      </c>
      <c r="EK77" s="127">
        <f>(BC77*EK$12+BD77*EK$13+BE77*EK$14+BG77*EK$17+BH77*EK$18+BI77*EK$19+BK77*EK$22+BL77*EK$23+EK$26*BN77+EK$27*BO77+EK$30*BQ77+BT77*EK$35+BU77*EK$36+BV77*EK$37+BX77*EK$40+BY77*EK$41+BZ77*EK$42+CB77*EK$45+CC77*EK$46+CD77*EK$47+CE77*EK$48+CF77*EK$49+CG77*EK$50+CI77*EK$53+CJ77*EK$54+CK77*EK$55)/AY77</f>
        <v>4.6572621399351033E-2</v>
      </c>
      <c r="EL77" s="127">
        <f>(BC77*EL$12+BD77*EL$13+BE77*EL$14+BG77*EL$17+BH77*EL$18+BI77*EL$19+BK77*EL$22+BL77*EL$23+EL$26*BN77+EL$27*BO77+EL$30*BQ77+BT77*EL$35+BU77*EL$36+BV77*EL$37+BX77*EL$40+BY77*EL$41+BZ77*EL$42+CB77*EL$45+CC77*EL$46+CD77*EL$47+CE77*EL$48+CF77*EL$49+CG77*EL$50+CI77*EL$53+CJ77*EL$54+CK77*EL$55)/AY77</f>
        <v>3.2466187426098414E-2</v>
      </c>
      <c r="EM77" s="127">
        <f>(BC77*EM$12+BD77*EM$13+BE77*EM$14+BG77*EM$17+BH77*EM$18+BI77*EM$19+BK77*EM$22+BL77*EM$23+EM$26*BN77+EM$27*BO77+EM$30*BQ77+BT77*EM$35+BU77*EM$36+BV77*EM$37+BX77*EM$40+BY77*EM$41+BZ77*EM$42+CB77*EM$45+CC77*EM$46+CD77*EM$47+CE77*EM$48+CF77*EM$49+CG77*EM$50+CI77*EM$53+CJ77*EM$54+CK77*EM$55)/AY77</f>
        <v>1.3554959073317812E-2</v>
      </c>
      <c r="EN77" s="73">
        <f>ES77+ET77+EU77+EV77+EW77+EX77+EY77+EZ77</f>
        <v>422.90023769939302</v>
      </c>
      <c r="EO77" s="110">
        <f>EN77/CX77</f>
        <v>42.290023769939303</v>
      </c>
      <c r="EP77" s="153">
        <f>EO77/$GG77</f>
        <v>103.14639943887636</v>
      </c>
      <c r="EQ77" s="73">
        <f>EN77/CZ77</f>
        <v>4975.2969141105059</v>
      </c>
      <c r="ER77" s="672">
        <f>EN77/DA77</f>
        <v>291.65533634440897</v>
      </c>
      <c r="ES77" s="73">
        <f>FE77*$DA77</f>
        <v>20.93439331900829</v>
      </c>
      <c r="ET77" s="73">
        <f>FG77*$DA77</f>
        <v>14.59355124803124</v>
      </c>
      <c r="EU77" s="73">
        <f>FJ77*$DA77</f>
        <v>6.092954103456357</v>
      </c>
      <c r="EV77" s="73">
        <f>FM77*$DA77</f>
        <v>41.72</v>
      </c>
      <c r="EW77" s="73">
        <f>FP77*$DA77</f>
        <v>324.03133902889721</v>
      </c>
      <c r="EX77" s="115">
        <f>FT77*$DA77</f>
        <v>4.3</v>
      </c>
      <c r="EY77" s="73">
        <f>FV77*$DA77</f>
        <v>4.7679999999999998</v>
      </c>
      <c r="EZ77" s="115">
        <f>FY77*$DA77</f>
        <v>6.4599999999999991</v>
      </c>
      <c r="FA77" s="73">
        <f>ES77+ET77+EU77</f>
        <v>41.620898670495883</v>
      </c>
      <c r="FB77" s="115">
        <f>FA77/CX77</f>
        <v>4.1620898670495885</v>
      </c>
      <c r="FC77" s="73">
        <f>FA77/DA77</f>
        <v>28.704068048617852</v>
      </c>
      <c r="FD77" s="213">
        <f>EK77*$AY77/$CX77</f>
        <v>2.0934393319008291</v>
      </c>
      <c r="FE77" s="73">
        <f>FD77*$DB77/$DA77</f>
        <v>14.437512633798821</v>
      </c>
      <c r="FF77" s="115">
        <f>ET77/$DB77</f>
        <v>1.459355124803124</v>
      </c>
      <c r="FG77" s="483">
        <f>'Amortization metrics'!$B$6*FH77*$DB77/$DA77/10^3</f>
        <v>10.06451810209051</v>
      </c>
      <c r="FH77" s="680">
        <f>10^3*EL77*$AY77/$CX77/'Amortization metrics'!$B$6</f>
        <v>4.89716484833263</v>
      </c>
      <c r="FI77" s="73">
        <f>EU77/$DB77</f>
        <v>0.60929541034563572</v>
      </c>
      <c r="FJ77" s="681">
        <f>'Amortization metrics'!$B$5*FK77*$DB77/$DA77/10^3</f>
        <v>4.202037312728522</v>
      </c>
      <c r="FK77" s="682">
        <f>10^3*EM77*$AY77/$CX77/'Amortization metrics'!$B$5</f>
        <v>17.920453245459871</v>
      </c>
      <c r="FL77" s="115">
        <f>EV77/$DB77</f>
        <v>4.1719999999999997</v>
      </c>
      <c r="FM77" s="681">
        <f>'Amortization metrics'!$B$6*FN77*$DB77/$DA77/10^3</f>
        <v>28.77241379310345</v>
      </c>
      <c r="FN77" s="80">
        <v>14</v>
      </c>
      <c r="FO77" s="115">
        <f>EW77/$DB77</f>
        <v>32.403133902889721</v>
      </c>
      <c r="FP77" s="681">
        <f>'Amortization metrics'!$B$5*FR77*$DB77/$DA77/10^3</f>
        <v>223.46988898544635</v>
      </c>
      <c r="FQ77" s="82">
        <v>6.5000000000000002E-2</v>
      </c>
      <c r="FR77" s="73">
        <f>10^3*FQ77*AY77*GI77/55.7/DB77</f>
        <v>953.03335008499164</v>
      </c>
      <c r="FS77" s="80">
        <v>0.43</v>
      </c>
      <c r="FT77" s="115">
        <f>FS77*$DB77/$DA77</f>
        <v>2.9655172413793105</v>
      </c>
      <c r="FU77" s="115">
        <f>EY77/$DB77</f>
        <v>0.4768</v>
      </c>
      <c r="FV77" s="681">
        <f>'Amortization metrics'!$B$6*FW77*$DB77/$DA77/10^3</f>
        <v>3.2882758620689656</v>
      </c>
      <c r="FW77" s="80">
        <v>1.6</v>
      </c>
      <c r="FX77" s="115">
        <f>EZ77/$DB77</f>
        <v>0.64599999999999991</v>
      </c>
      <c r="FY77" s="681">
        <f>'Amortization metrics'!$B$5*FZ77*$DB77/$DA77/10^3</f>
        <v>4.455172413793103</v>
      </c>
      <c r="FZ77" s="80">
        <v>19</v>
      </c>
      <c r="GA77" s="73">
        <f>DR77*44/12+EF77+EO77</f>
        <v>261.39555179118065</v>
      </c>
      <c r="GB77" s="677">
        <f>DT77*44/12+EH77+EQ77</f>
        <v>30752.417857785957</v>
      </c>
      <c r="GC77" s="676">
        <f>DU77*44/12+EI77+ER77</f>
        <v>1802.7279433874528</v>
      </c>
      <c r="GD77" s="73">
        <f>DV77*44/12+EF77+EO77</f>
        <v>245.86077064573811</v>
      </c>
      <c r="GE77" s="677">
        <f>DW77*44/12+EH77+EQ77</f>
        <v>6797.3757654038545</v>
      </c>
      <c r="GF77" s="676">
        <f>DY77*44/12+EI77+ER77</f>
        <v>1695.5915216947456</v>
      </c>
      <c r="GG77" s="52">
        <f>GG96</f>
        <v>0.41</v>
      </c>
      <c r="GI77" s="26">
        <f>(BC77*GI$12+BD77*GI$13+BE77*GI$14+BG77*GI$17+BH77*GI$18+BI77*GI$19+BK77*GI$22+BL77*GI$23+GI$26*BN77+GI$27*BO77+GI$30*BQ77+BT77*GI$35+BU77*GI$36+BV77*GI$37+BX77*GI$40+BY77*GI$41+BZ77*GI$42+CB77*GI$45+CC77*GI$46+CD77*GI$47+CE77*GI$48+CF77*GI$49+CI77*GI$53+CJ77*GI$54+CK77*GI$55+CL77*GI$58)/AY77</f>
        <v>18.168548849057597</v>
      </c>
      <c r="GM77" s="683">
        <f>(BC77*GM$12+BD77*GM$13+BE77*GM$14+BG77*GM$17+BH77*GM$18+BI77*GM$19+BK77*GM$22+BL77*GM$23+GM$26*BN77+GM$27*BO77+GM$30*BQ77+BT77*GM$35+BU77*GM$36+BV77*GM$37+BX77*GM$40+BY77*GM$41+BZ77*GM$42+CB77*GM$45+CC77*GM$46+CD77*GM$47+CE77*GM$48+CF77*GM$49+CI77*GM$53+CJ77*GM$54+CK77*GM$55+CL77*GM$58)/AY77</f>
        <v>7.9354598226070425E-2</v>
      </c>
    </row>
    <row r="78" spans="1:295" x14ac:dyDescent="0.25">
      <c r="A78" s="4"/>
      <c r="J78" s="52"/>
      <c r="AT78" s="74"/>
      <c r="AY78" s="55"/>
      <c r="AZ78" s="55"/>
      <c r="BA78" s="55"/>
      <c r="BB78" s="55"/>
      <c r="BC78" s="73"/>
      <c r="BD78" s="73"/>
      <c r="BE78" s="73"/>
      <c r="BF78" s="55"/>
      <c r="BG78" s="73"/>
      <c r="BH78" s="73"/>
      <c r="BI78" s="73"/>
      <c r="BJ78" s="73"/>
      <c r="BK78" s="73"/>
      <c r="BL78" s="73"/>
      <c r="BM78" s="73"/>
      <c r="BN78" s="73"/>
      <c r="BO78" s="73"/>
      <c r="BP78" s="73"/>
      <c r="BQ78" s="73"/>
      <c r="BR78" s="73"/>
      <c r="BS78" s="55"/>
      <c r="BT78" s="73"/>
      <c r="BU78" s="73"/>
      <c r="BV78" s="73"/>
      <c r="BW78" s="55"/>
      <c r="BX78" s="73"/>
      <c r="BY78" s="73"/>
      <c r="BZ78" s="73"/>
      <c r="CA78" s="73"/>
      <c r="CB78" s="73"/>
      <c r="CC78" s="73"/>
      <c r="CD78" s="73"/>
      <c r="CE78" s="73"/>
      <c r="CF78" s="73"/>
      <c r="CG78" s="73"/>
      <c r="CH78" s="73"/>
      <c r="CI78" s="73"/>
      <c r="CJ78" s="73"/>
      <c r="CK78" s="73"/>
      <c r="CL78" s="73"/>
      <c r="CM78" s="74"/>
      <c r="CN78" s="74"/>
      <c r="CO78" s="74"/>
      <c r="CP78" s="73"/>
      <c r="CQ78" s="73"/>
      <c r="CR78" s="73"/>
      <c r="CW78" s="133"/>
      <c r="CZ78" s="335"/>
      <c r="DA78" s="133"/>
      <c r="DB78" s="645"/>
      <c r="DD78" s="335"/>
      <c r="DE78" s="133"/>
      <c r="DF78" s="645"/>
      <c r="DN78" s="73"/>
      <c r="DO78" s="115"/>
      <c r="DP78" s="115"/>
      <c r="DT78" s="55"/>
      <c r="ED78" s="335"/>
      <c r="EE78" s="127"/>
      <c r="EF78" s="469"/>
      <c r="EH78" s="74"/>
      <c r="EI78" s="115"/>
      <c r="EK78" s="127"/>
      <c r="EL78" s="127"/>
      <c r="EM78" s="133"/>
      <c r="EN78" s="123"/>
      <c r="EO78" s="153"/>
      <c r="EP78" s="37"/>
      <c r="ER78" s="152"/>
      <c r="ES78" s="474"/>
      <c r="ET78" s="474"/>
      <c r="EU78" s="68"/>
      <c r="EV78" s="60"/>
      <c r="EW78" s="543"/>
      <c r="EX78" s="60"/>
      <c r="EY78" s="60"/>
      <c r="EZ78" s="60"/>
      <c r="FE78" s="179"/>
      <c r="FF78" s="474"/>
      <c r="FG78" s="179"/>
      <c r="FH78" s="469"/>
      <c r="FI78" s="474"/>
      <c r="FJ78" s="68"/>
      <c r="FK78" s="68"/>
      <c r="FL78" s="474"/>
      <c r="FM78" s="60"/>
      <c r="FN78" s="60"/>
      <c r="FO78" s="474"/>
      <c r="FP78" s="669"/>
      <c r="FQ78" s="60"/>
      <c r="FR78" s="68"/>
      <c r="FS78" s="60"/>
      <c r="FT78" s="97"/>
      <c r="FU78" s="474"/>
      <c r="FV78" s="60"/>
      <c r="FW78" s="60"/>
      <c r="FX78" s="474"/>
      <c r="FY78" s="60"/>
      <c r="FZ78" s="60"/>
      <c r="GA78" s="60"/>
      <c r="GB78" s="60"/>
      <c r="GC78" s="60"/>
      <c r="GD78" s="60"/>
      <c r="GE78" s="60"/>
      <c r="GF78" s="60"/>
    </row>
    <row r="79" spans="1:295" x14ac:dyDescent="0.25">
      <c r="A79" s="4" t="s">
        <v>794</v>
      </c>
      <c r="H79" s="671">
        <f>J79+N79+Z79*(AA79+AE79)</f>
        <v>0.10450000000000001</v>
      </c>
      <c r="I79" s="670">
        <f>R79+Z79*(AI79+AP79)</f>
        <v>2.2499999999999999E-2</v>
      </c>
      <c r="J79" s="63">
        <f>1-N79-R79-U79-X79-Z79</f>
        <v>7.0000000000000007E-2</v>
      </c>
      <c r="K79" s="129">
        <v>0.69</v>
      </c>
      <c r="L79" s="129">
        <v>0.17</v>
      </c>
      <c r="M79" s="130">
        <v>0.14000000000000001</v>
      </c>
      <c r="N79" s="39">
        <v>0</v>
      </c>
      <c r="O79" s="129">
        <v>0.52</v>
      </c>
      <c r="P79" s="129">
        <v>0.16</v>
      </c>
      <c r="Q79" s="130">
        <v>0.32</v>
      </c>
      <c r="R79" s="39">
        <v>0</v>
      </c>
      <c r="S79" s="57">
        <f>C$22</f>
        <v>0.91829596188296059</v>
      </c>
      <c r="T79" s="57">
        <f>C$23</f>
        <v>8.1704038117039385E-2</v>
      </c>
      <c r="U79" s="142">
        <v>0.15</v>
      </c>
      <c r="V79" s="129">
        <v>0.72499999999999998</v>
      </c>
      <c r="W79" s="131">
        <f>1-V79</f>
        <v>0.27500000000000002</v>
      </c>
      <c r="X79" s="139">
        <v>0.48</v>
      </c>
      <c r="Y79" s="129">
        <v>1</v>
      </c>
      <c r="Z79" s="134">
        <v>0.3</v>
      </c>
      <c r="AA79" s="45">
        <v>0.09</v>
      </c>
      <c r="AB79" s="57">
        <f>C$36</f>
        <v>0.32627633176706616</v>
      </c>
      <c r="AC79" s="57">
        <f>C$35</f>
        <v>0.12306636397233511</v>
      </c>
      <c r="AD79" s="57">
        <f>C$37</f>
        <v>0.55065730426059856</v>
      </c>
      <c r="AE79" s="45">
        <v>2.5000000000000001E-2</v>
      </c>
      <c r="AF79" s="57">
        <f>C$40</f>
        <v>0.46292585170340678</v>
      </c>
      <c r="AG79" s="57">
        <f>C$41</f>
        <v>0.21643286573146289</v>
      </c>
      <c r="AH79" s="57">
        <f>C$42</f>
        <v>0.32064128256513025</v>
      </c>
      <c r="AI79" s="45">
        <v>7.4999999999999997E-2</v>
      </c>
      <c r="AJ79" s="131">
        <f>C$45</f>
        <v>0.66906282055683264</v>
      </c>
      <c r="AK79" s="131">
        <f>C$46</f>
        <v>2.0464179068278004E-2</v>
      </c>
      <c r="AL79" s="131">
        <f>C$47</f>
        <v>0.10457441214444914</v>
      </c>
      <c r="AM79" s="131">
        <f>C$48</f>
        <v>6.6603941068190814E-2</v>
      </c>
      <c r="AN79" s="131">
        <f>C$49</f>
        <v>3.7777291743479158E-2</v>
      </c>
      <c r="AO79" s="132">
        <f>C$50</f>
        <v>0.10151735541877024</v>
      </c>
      <c r="AP79" s="138">
        <v>0</v>
      </c>
      <c r="AQ79" s="131">
        <f>C$53</f>
        <v>0.27362401715511081</v>
      </c>
      <c r="AR79" s="131">
        <f>C$54</f>
        <v>0.12094353109363824</v>
      </c>
      <c r="AS79" s="131">
        <f>C$55</f>
        <v>0.60543245175125082</v>
      </c>
      <c r="AT79" s="53">
        <f>1-AA79-AE79-AI79-AP79</f>
        <v>0.81</v>
      </c>
      <c r="AU79" s="671">
        <f>Z79*AT79</f>
        <v>0.24299999999999999</v>
      </c>
      <c r="AV79" s="390">
        <f>AW79*DA79/DF79</f>
        <v>2.03952</v>
      </c>
      <c r="AW79" s="112">
        <v>60</v>
      </c>
      <c r="AX79" s="73">
        <f>BA79/DA79</f>
        <v>7.6199999999999992</v>
      </c>
      <c r="AY79" s="673">
        <f>AW79*DA79</f>
        <v>1274.7</v>
      </c>
      <c r="AZ79" s="55">
        <f>BB79+BF79+BJ79</f>
        <v>89.229000000000013</v>
      </c>
      <c r="BA79" s="673">
        <f>AZ79+BS79+BW79+CA79+CH79</f>
        <v>161.8869</v>
      </c>
      <c r="BB79" s="55">
        <f>SUM(BC79:BE79)</f>
        <v>89.229000000000013</v>
      </c>
      <c r="BC79" s="73">
        <f>$AY79*$J79*K79</f>
        <v>61.568010000000001</v>
      </c>
      <c r="BD79" s="73">
        <f>$AY79*$J79*L79</f>
        <v>15.168930000000003</v>
      </c>
      <c r="BE79" s="73">
        <f>$AY79*$J79*M79</f>
        <v>12.492060000000004</v>
      </c>
      <c r="BF79" s="55">
        <f>SUM(BG79:BI79)</f>
        <v>0</v>
      </c>
      <c r="BG79" s="73">
        <f>$AY79*$N79*O79</f>
        <v>0</v>
      </c>
      <c r="BH79" s="73">
        <f>$AY79*$N79*P79</f>
        <v>0</v>
      </c>
      <c r="BI79" s="73">
        <f>$AY79*$N79*Q79</f>
        <v>0</v>
      </c>
      <c r="BJ79" s="629">
        <f>SUM(BK79:BL79)</f>
        <v>0</v>
      </c>
      <c r="BK79" s="73">
        <f>$AY79*$R79*S79</f>
        <v>0</v>
      </c>
      <c r="BL79" s="73">
        <f>$AY79*$R79*T79</f>
        <v>0</v>
      </c>
      <c r="BM79" s="674">
        <f>SUM(BN79:BO79)</f>
        <v>191.20500000000001</v>
      </c>
      <c r="BN79" s="73">
        <f>$AY79*$U79*V79</f>
        <v>138.623625</v>
      </c>
      <c r="BO79" s="73">
        <f>$AY79*$U79*W79</f>
        <v>52.581375000000008</v>
      </c>
      <c r="BP79" s="674">
        <f>SUM(BQ79:BQ79)</f>
        <v>611.85599999999999</v>
      </c>
      <c r="BQ79" s="73">
        <f>$AY79*$X79*Y79</f>
        <v>611.85599999999999</v>
      </c>
      <c r="BR79" s="68">
        <f>BS79+BW79+CA79+CH79+CL79</f>
        <v>382.41</v>
      </c>
      <c r="BS79" s="55">
        <f>SUM(BT79:BV79)</f>
        <v>34.416899999999998</v>
      </c>
      <c r="BT79" s="73">
        <f>$AY79*$Z79*$AA79*AC79</f>
        <v>4.2355627421994599</v>
      </c>
      <c r="BU79" s="73">
        <f>$AY79*$Z79*$AA79*AB79</f>
        <v>11.229419882793939</v>
      </c>
      <c r="BV79" s="73">
        <f>$AY79*$Z79*$AA79*AD79</f>
        <v>18.951917375006595</v>
      </c>
      <c r="BW79" s="55">
        <f>SUM(BX79:BZ79)</f>
        <v>9.5602500000000017</v>
      </c>
      <c r="BX79" s="73">
        <f>$AY79*$Z79*$AE79*AF79</f>
        <v>4.4256868737474955</v>
      </c>
      <c r="BY79" s="73">
        <f>$AY79*$Z79*$AE79*AG79</f>
        <v>2.0691523046092186</v>
      </c>
      <c r="BZ79" s="73">
        <f>$AY79*$Z79*$AE79*AH79</f>
        <v>3.0654108216432872</v>
      </c>
      <c r="CA79" s="73">
        <f>SUM(CB79:CG79)</f>
        <v>28.680749999999996</v>
      </c>
      <c r="CB79" s="73">
        <f t="shared" ref="CB79:CG79" si="37">$AY79*$Z79*$AI79*AJ79</f>
        <v>19.189223490685379</v>
      </c>
      <c r="CC79" s="73">
        <f t="shared" si="37"/>
        <v>0.58692800381251431</v>
      </c>
      <c r="CD79" s="73">
        <f t="shared" si="37"/>
        <v>2.9992725711119097</v>
      </c>
      <c r="CE79" s="73">
        <f t="shared" si="37"/>
        <v>1.9102509827915137</v>
      </c>
      <c r="CF79" s="73">
        <f t="shared" si="37"/>
        <v>1.0834810601717899</v>
      </c>
      <c r="CG79" s="73">
        <f t="shared" si="37"/>
        <v>2.9115938914268948</v>
      </c>
      <c r="CH79" s="55">
        <f>SUM(CI79:CK79)</f>
        <v>0</v>
      </c>
      <c r="CI79" s="73">
        <f>$AY79*$Z79*$AP79*AQ79</f>
        <v>0</v>
      </c>
      <c r="CJ79" s="73">
        <f>$AY79*$Z79*$AP79*AR79</f>
        <v>0</v>
      </c>
      <c r="CK79" s="73">
        <f>$AY79*$Z79*$AP79*AS79</f>
        <v>0</v>
      </c>
      <c r="CL79" s="675">
        <f>$AY79*$Z79*AT79</f>
        <v>309.75210000000004</v>
      </c>
      <c r="CM79" s="97">
        <f>(BC79*CM$12+BD79*CM$13+BE79*CM$14+BG79*CM$17+BH79*CM$18+BI79*CM$19+BK79*CM$22+BL79*CM$23+CM$26*BN79+CM$27*BO79+CM$30*BQ79+BT79*CM$35+BU79*CM$36+BV79*CM$37+BX79*CM$40+BY79*CM$41+BZ79*CM$42+CB79*CM$45+CC79*CM$46+CD79*CM$47+CE79*CM$48+CF79*CM$49+CI79*CM$53+CJ79*CM$54+CK79*CM$55)/AY79</f>
        <v>6.6376441045313541</v>
      </c>
      <c r="CN79" s="97">
        <f>IF((BB79+BF79+BJ79+BM79)&gt;0,(BC79*CM$12+BD79*CM$13+BE79*CM$14+BG79*CM$17+BH79*CM$18+BI79*CM$19+BK79*CM$22+BL79*CM$23+CM$26*BN79+CM$27*BO79)/(BB79+BF79+BJ79+BM79),0)</f>
        <v>2.3010750644782036</v>
      </c>
      <c r="CO79" s="97">
        <f>(BT79*CM$35+BU79*CM$36+BV79*CM$37+BX79*CM$40+BY79*CM$41+BZ79*CM$42+CB79*CM$45+CC79*CM$46+CD79*CM$47+CE79*CM$48+CF79*CM$49+CI79*CM$53+CJ79*CM$54+CK79*CM$55)/(BS79+BW79+CA79+CH79)</f>
        <v>3.088993030756134</v>
      </c>
      <c r="CP79" s="68">
        <f>CM$30*BQ79/BP79</f>
        <v>12.406947890818858</v>
      </c>
      <c r="CQ79" s="68">
        <f>10*(CT79+CU79)/DA79</f>
        <v>40.938547016298266</v>
      </c>
      <c r="CR79" s="68">
        <f>10*CW79/$DA79</f>
        <v>357.32009925558305</v>
      </c>
      <c r="CS79" s="261">
        <f>CM79*AY79/10</f>
        <v>846.10049400461173</v>
      </c>
      <c r="CT79" s="107">
        <f>CN79*(BB79+BF79+BJ79+BM79)/10</f>
        <v>64.529968463188055</v>
      </c>
      <c r="CU79" s="107">
        <f>CO79*(BS79+BW79+CA79+CH79)/10</f>
        <v>22.44397467293761</v>
      </c>
      <c r="CV79" s="107">
        <f>CP79*BP79/10</f>
        <v>759.12655086848622</v>
      </c>
      <c r="CW79" s="144">
        <f>CM$30*BQ79/10</f>
        <v>759.12655086848622</v>
      </c>
      <c r="CX79" s="55">
        <f>DB79+DF79</f>
        <v>633.29999999999995</v>
      </c>
      <c r="CY79" s="26">
        <f t="shared" ref="CY79" si="38">DC79+DG79</f>
        <v>82.236000000000004</v>
      </c>
      <c r="CZ79" s="335">
        <f t="shared" ref="CZ79" si="39">DD79+DH79</f>
        <v>1.7514099999999999</v>
      </c>
      <c r="DA79" s="26">
        <f t="shared" ref="DA79" si="40">DE79+DI79</f>
        <v>21.245000000000001</v>
      </c>
      <c r="DB79" s="80">
        <v>8.3000000000000007</v>
      </c>
      <c r="DC79" s="26">
        <f>DB79*GG$95</f>
        <v>3.4860000000000002</v>
      </c>
      <c r="DD79" s="335">
        <f>DB79*GJ$95/10^3</f>
        <v>6.3910000000000008E-2</v>
      </c>
      <c r="DE79" s="26">
        <f>DB79*GL$95</f>
        <v>1.2450000000000001</v>
      </c>
      <c r="DF79" s="80">
        <v>625</v>
      </c>
      <c r="DG79" s="37">
        <f>DF79*GG99</f>
        <v>78.75</v>
      </c>
      <c r="DH79" s="335">
        <f>DF79*GJ99/10^3</f>
        <v>1.6875</v>
      </c>
      <c r="DI79" s="37">
        <f>DF79*GL99</f>
        <v>20</v>
      </c>
      <c r="DN79" s="527">
        <f>10*'Amortization metrics'!D$4*DP79/CM79</f>
        <v>48.45173607157092</v>
      </c>
      <c r="DO79" s="263">
        <f>10*DQ79/CM79</f>
        <v>1.5338519228143037</v>
      </c>
      <c r="DP79" s="272">
        <f>(BC79*DP$12+BD79*DP$13+BE79*DP$14+BG79*DP$17+BH79*DP$18+BI79*DP$19+BK79*DP$22+BL79*DP$23+DP$26*BN79+DP$27*BO79+DP$30*BQ79+BT79*DP$35+BU79*DP$36+BV79*DP$37+BX79*DP$40+BY79*DP$41+BZ79*DP$42+CB79*DP$45+CC79*DP$46+CD79*DP$47+CE79*DP$48+CF79*DP$49+CG79*DP$50+CI79*DP$53+CJ79*DP$54+CK79*DP$55)/AY79</f>
        <v>1.0720179342992395</v>
      </c>
      <c r="DQ79" s="143">
        <f>(BC79*DQ$12+BD79*DQ$13+BE79*DQ$14+BG79*DQ$17+BH79*DQ$18+BI79*DQ$19+BK79*DQ$22+BL79*DQ$23+DQ$26*BN79+DQ$27*BO79+DQ$30*BQ79+BT79*DQ$35+BU79*DQ$36+BV79*DQ$37+BX79*DQ$40+BY79*DQ$41+BZ79*DQ$42+CB79*DQ$45+CC79*DQ$46+CD79*DQ$47+CE79*DQ$48+CF79*DQ$49+CG79*DQ$50+CI79*DQ$53+CJ79*DQ$54+CK79*DQ$55)/AY79</f>
        <v>1.0181163172692445</v>
      </c>
      <c r="DR79" s="26">
        <f>DP79*$AY79/$CX79</f>
        <v>2.1577471354038225</v>
      </c>
      <c r="DS79" s="153">
        <f>DR79/$GG79</f>
        <v>17.124977265109703</v>
      </c>
      <c r="DT79" s="676">
        <f>DP79*$AY79/$CZ79</f>
        <v>780.22922151366083</v>
      </c>
      <c r="DU79" s="677">
        <f>DP79*$AY79/$DA79</f>
        <v>64.321076057954372</v>
      </c>
      <c r="DV79" s="26">
        <f>DQ79*$AY79/$CX79</f>
        <v>2.0492544917465749</v>
      </c>
      <c r="DW79" s="153">
        <f>DV79/$GG79</f>
        <v>16.26392453767123</v>
      </c>
      <c r="DX79" s="676">
        <f>DQ79*$AY79/$CZ79</f>
        <v>740.99889210584956</v>
      </c>
      <c r="DY79" s="685">
        <f>DQ79*$AY79/$DA79</f>
        <v>61.086979036154659</v>
      </c>
      <c r="DZ79" s="678">
        <f>(BC79*DZ$12+BD79*DZ$13+BE79*DZ$14+BG79*DZ$17+BH79*DZ$18+BI79*DZ$19+BK79*DZ$22+BL79*DZ$23+DZ$26*BN79+DZ$27*BO79+DZ$30*BQ79+BT79*DZ$35+BU79*DZ$36+BV79*DZ$37+BX79*DZ$40+BY79*DZ$41+BZ79*DZ$42+CB79*DZ$45+CC79*DZ$46+CD79*DZ$47+CE79*DZ$48+CF79*DZ$49+CG79*DZ$50+CI79*DZ$53+CJ79*DZ$54+CK79*DZ$55)/AY79</f>
        <v>2.2533152522723645</v>
      </c>
      <c r="EA79" s="26">
        <f>DZ79*$AY79/$CX79</f>
        <v>4.5354507375202644</v>
      </c>
      <c r="EB79" s="676">
        <f>DZ79*$AY79/$CZ79</f>
        <v>1639.9934635930954</v>
      </c>
      <c r="EC79" s="677">
        <f>DZ79*$AY79/$DA79</f>
        <v>135.19891513634187</v>
      </c>
      <c r="ED79" s="410">
        <f>(BC79*ED$12+BD79*ED$13+BE79*ED$14+BG79*ED$17+BH79*ED$18+BI79*ED$19+BK79*ED$22+BL79*ED$23+ED$26*BN79+ED$27*BO79+ED$30*BQ79+BT79*ED$35+BU79*ED$36+BV79*ED$37+BX79*ED$40+BY79*ED$41+BZ79*ED$42+CB79*ED$45+CC79*ED$46+CD79*ED$47+CE79*ED$48+CF79*ED$49+CG79*ED$50+CI79*ED$53+CJ79*ED$54+CK79*ED$55)/AY79</f>
        <v>0.22745639424623468</v>
      </c>
      <c r="EE79" s="73">
        <f>ED79*$AY79</f>
        <v>289.93866574567534</v>
      </c>
      <c r="EF79" s="127">
        <f>ED79*$AY79/$CX79</f>
        <v>0.45782198917681249</v>
      </c>
      <c r="EG79" s="153">
        <f>EF79/$GG79</f>
        <v>3.633507850609623</v>
      </c>
      <c r="EH79" s="679">
        <f>ED79*$AY79/$CZ79</f>
        <v>165.54585490871662</v>
      </c>
      <c r="EI79" s="110">
        <f>ED79*$AY79/$DA79</f>
        <v>13.64738365477408</v>
      </c>
      <c r="EJ79" s="410">
        <f>EK79+EL79+EM79</f>
        <v>0.18169157610223974</v>
      </c>
      <c r="EK79" s="127">
        <f>(BC79*EK$12+BD79*EK$13+BE79*EK$14+BG79*EK$17+BH79*EK$18+BI79*EK$19+BK79*EK$22+BL79*EK$23+EK$26*BN79+EK$27*BO79+EK$30*BQ79+BT79*EK$35+BU79*EK$36+BV79*EK$37+BX79*EK$40+BY79*EK$41+BZ79*EK$42+CB79*EK$45+CC79*EK$46+CD79*EK$47+CE79*EK$48+CF79*EK$49+CG79*EK$50+CI79*EK$53+CJ79*EK$54+CK79*EK$55)/AY79</f>
        <v>9.0616675699790927E-2</v>
      </c>
      <c r="EL79" s="127">
        <f>(BC79*EL$12+BD79*EL$13+BE79*EL$14+BG79*EL$17+BH79*EL$18+BI79*EL$19+BK79*EL$22+BL79*EL$23+EL$26*BN79+EL$27*BO79+EL$30*BQ79+BT79*EL$35+BU79*EL$36+BV79*EL$37+BX79*EL$40+BY79*EL$41+BZ79*EL$42+CB79*EL$45+CC79*EL$46+CD79*EL$47+CE79*EL$48+CF79*EL$49+CG79*EL$50+CI79*EL$53+CJ79*EL$54+CK79*EL$55)/AY79</f>
        <v>6.6551935506587806E-2</v>
      </c>
      <c r="EM79" s="127">
        <f>(BC79*EM$12+BD79*EM$13+BE79*EM$14+BG79*EM$17+BH79*EM$18+BI79*EM$19+BK79*EM$22+BL79*EM$23+EM$26*BN79+EM$27*BO79+EM$30*BQ79+BT79*EM$35+BU79*EM$36+BV79*EM$37+BX79*EM$40+BY79*EM$41+BZ79*EM$42+CB79*EM$45+CC79*EM$46+CD79*EM$47+CE79*EM$48+CF79*EM$49+CG79*EM$50+CI79*EM$53+CJ79*EM$54+CK79*EM$55)/AY79</f>
        <v>2.4522964895860991E-2</v>
      </c>
      <c r="EN79" s="73">
        <f>ES79+ET79+EU79+EV79+EW79+EX79+EY79+EZ79</f>
        <v>1670.7643868166404</v>
      </c>
      <c r="EO79" s="110">
        <f>EN79/CX79</f>
        <v>2.6381878838096329</v>
      </c>
      <c r="EP79" s="153">
        <f>EO79/$GG79</f>
        <v>20.937999077854229</v>
      </c>
      <c r="EQ79" s="73">
        <f>EN79/CZ79</f>
        <v>953.95389247328751</v>
      </c>
      <c r="ER79" s="672">
        <f>EN79/DA79</f>
        <v>78.64271060563145</v>
      </c>
      <c r="ES79" s="73">
        <f>FE79*$DA79</f>
        <v>113.99521999301625</v>
      </c>
      <c r="ET79" s="73">
        <f>FG79*$DA79</f>
        <v>83.721925025903502</v>
      </c>
      <c r="EU79" s="73">
        <f>FJ79*$DA79</f>
        <v>30.849738821208359</v>
      </c>
      <c r="EV79" s="73">
        <f>FM79*$DA79</f>
        <v>298</v>
      </c>
      <c r="EW79" s="73">
        <f>FP79*$DA79</f>
        <v>919.08500297651221</v>
      </c>
      <c r="EX79" s="73">
        <f>FT79*$DA79</f>
        <v>38.75</v>
      </c>
      <c r="EY79" s="73">
        <f>FV79*$DA79</f>
        <v>94.987499999999997</v>
      </c>
      <c r="EZ79" s="73">
        <f>FY79*$DA79</f>
        <v>91.374999999999986</v>
      </c>
      <c r="FA79" s="73">
        <f>ES79+ET79+EU79</f>
        <v>228.5668838401281</v>
      </c>
      <c r="FB79" s="115">
        <f>FA79/CX79</f>
        <v>0.36091407522521413</v>
      </c>
      <c r="FC79" s="73">
        <f>FA79/DA79</f>
        <v>10.758620091321633</v>
      </c>
      <c r="FD79" s="410">
        <f>EK79*$AY79/$CX79</f>
        <v>0.182392351988826</v>
      </c>
      <c r="FE79" s="115">
        <f>FD79*$DF79/$DA79</f>
        <v>5.3657434687228172</v>
      </c>
      <c r="FF79" s="127">
        <f>ET79/$DF79</f>
        <v>0.1339550800414456</v>
      </c>
      <c r="FG79" s="483">
        <f>'Amortization metrics'!$B$6*FH79*$DF79/$DA79/10^3</f>
        <v>3.9407825382868205</v>
      </c>
      <c r="FH79" s="680">
        <f>10^3*EL79*$AY79/$CX79/'Amortization metrics'!$B$6</f>
        <v>0.44951369141424696</v>
      </c>
      <c r="FI79" s="73">
        <f>EU79/$DF79</f>
        <v>4.9359582113933376E-2</v>
      </c>
      <c r="FJ79" s="681">
        <f>'Amortization metrics'!$B$5*FK79*$DF79/$DA79/10^3</f>
        <v>1.452094084311996</v>
      </c>
      <c r="FK79" s="682">
        <f>10^3*EM79*$AY79/$CX79/'Amortization metrics'!$B$5</f>
        <v>1.4517524151156875</v>
      </c>
      <c r="FL79" s="127">
        <f>EV79/$DF79</f>
        <v>0.4768</v>
      </c>
      <c r="FM79" s="681">
        <f>'Amortization metrics'!$B$6*FN79*$DF79/$DA79/10^3</f>
        <v>14.026829842315838</v>
      </c>
      <c r="FN79" s="80">
        <v>1.6</v>
      </c>
      <c r="FO79" s="127">
        <f>EW79/$DF79</f>
        <v>1.4705360047624196</v>
      </c>
      <c r="FP79" s="681">
        <f>'Amortization metrics'!$B$5*FR79*$DF79/$DA79/10^3</f>
        <v>43.26123807844256</v>
      </c>
      <c r="FQ79" s="82">
        <v>6.5000000000000002E-2</v>
      </c>
      <c r="FR79" s="73">
        <f>10^3*FQ79*AY79*GI79/55.7/DF79</f>
        <v>43.251058963600578</v>
      </c>
      <c r="FS79" s="80">
        <v>6.2E-2</v>
      </c>
      <c r="FT79" s="115">
        <f>FS79*$DF79/$DA79</f>
        <v>1.8239585784890562</v>
      </c>
      <c r="FU79" s="127">
        <f>EY79/$DF79</f>
        <v>0.15198</v>
      </c>
      <c r="FV79" s="483">
        <f>'Amortization metrics'!$B$6*FW79*$DF79/$DA79/10^3</f>
        <v>4.4710520122381734</v>
      </c>
      <c r="FW79" s="80">
        <v>0.51</v>
      </c>
      <c r="FX79" s="127">
        <f>EZ79/$DF79</f>
        <v>0.14619999999999997</v>
      </c>
      <c r="FY79" s="483">
        <f>'Amortization metrics'!$B$5*FZ79*$DF79/$DA79/10^3</f>
        <v>4.3010120028241934</v>
      </c>
      <c r="FZ79" s="80">
        <v>4.3</v>
      </c>
      <c r="GA79" s="73">
        <f>DR79*44/12+EF79+EO79</f>
        <v>11.007749369467128</v>
      </c>
      <c r="GB79" s="677">
        <f>DT79*44/12+EH79+EQ79</f>
        <v>3980.3402262654272</v>
      </c>
      <c r="GC79" s="676">
        <f>DU79*44/12+EI79+ER79</f>
        <v>328.13403980623826</v>
      </c>
      <c r="GD79" s="73">
        <f>DV79*44/12+EF79+EO79</f>
        <v>10.609943009390554</v>
      </c>
      <c r="GE79" s="677">
        <f>DW79*44/12+EH79+EQ79</f>
        <v>1179.1341373534653</v>
      </c>
      <c r="GF79" s="676">
        <f>DY79*44/12+EI79+ER79</f>
        <v>316.27568405963927</v>
      </c>
      <c r="GG79" s="52">
        <f>GG99</f>
        <v>0.126</v>
      </c>
      <c r="GI79" s="26">
        <f>(BC79*GI$12+BD79*GI$13+BE79*GI$14+BG79*GI$17+BH79*GI$18+BI79*GI$19+BK79*GI$22+BL79*GI$23+GI$26*BN79+GI$27*BO79+GI$30*BQ79+BT79*GI$35+BU79*GI$36+BV79*GI$37+BX79*GI$40+BY79*GI$41+BZ79*GI$42+CB79*GI$45+CC79*GI$46+CD79*GI$47+CE79*GI$48+CF79*GI$49+CI79*GI$53+CJ79*GI$54+CK79*GI$55+CL79*GI$58)/AY79</f>
        <v>18.17233002239254</v>
      </c>
      <c r="GM79" s="683">
        <f>(BC79*GM$12+BD79*GM$13+BE79*GM$14+BG79*GM$17+BH79*GM$18+BI79*GM$19+BK79*GM$22+BL79*GM$23+GM$26*BN79+GM$27*BO79+GM$30*BQ79+BT79*GM$35+BU79*GM$36+BV79*GM$37+BX79*GM$40+BY79*GM$41+BZ79*GM$42+CB79*GM$45+CC79*GM$46+CD79*GM$47+CE79*GM$48+CF79*GM$49+CI79*GM$53+CJ79*GM$54+CK79*GM$55+CL79*GM$58)/AY79</f>
        <v>9.2589065338337787E-2</v>
      </c>
    </row>
    <row r="80" spans="1:295" x14ac:dyDescent="0.25">
      <c r="A80" s="4"/>
      <c r="J80" s="52"/>
      <c r="AT80" s="74"/>
      <c r="AY80" s="55"/>
      <c r="AZ80" s="55"/>
      <c r="BA80" s="55"/>
      <c r="BB80" s="55"/>
      <c r="BC80" s="73"/>
      <c r="BD80" s="73"/>
      <c r="BE80" s="73"/>
      <c r="BF80" s="55"/>
      <c r="BG80" s="73"/>
      <c r="BH80" s="73"/>
      <c r="BI80" s="73"/>
      <c r="BJ80" s="73"/>
      <c r="BK80" s="73"/>
      <c r="BL80" s="73"/>
      <c r="BM80" s="73"/>
      <c r="BN80" s="73"/>
      <c r="BO80" s="73"/>
      <c r="BP80" s="73"/>
      <c r="BQ80" s="73"/>
      <c r="BR80" s="73"/>
      <c r="BS80" s="55"/>
      <c r="BT80" s="73"/>
      <c r="BU80" s="73"/>
      <c r="BV80" s="73"/>
      <c r="BW80" s="55"/>
      <c r="BX80" s="73"/>
      <c r="BY80" s="73"/>
      <c r="BZ80" s="73"/>
      <c r="CA80" s="73"/>
      <c r="CB80" s="73"/>
      <c r="CC80" s="73"/>
      <c r="CD80" s="73"/>
      <c r="CE80" s="73"/>
      <c r="CF80" s="73"/>
      <c r="CG80" s="73"/>
      <c r="CH80" s="73"/>
      <c r="CI80" s="73"/>
      <c r="CJ80" s="73"/>
      <c r="CK80" s="73"/>
      <c r="CL80" s="73"/>
      <c r="CM80" s="74"/>
      <c r="CN80" s="74"/>
      <c r="CO80" s="74"/>
      <c r="CP80" s="73"/>
      <c r="CQ80" s="73"/>
      <c r="CR80" s="73"/>
      <c r="CW80" s="133"/>
      <c r="CZ80" s="335"/>
      <c r="DD80" s="335"/>
      <c r="DE80" s="133"/>
      <c r="DF80" s="686"/>
      <c r="DH80" s="335"/>
      <c r="DJ80" s="52"/>
      <c r="DN80" s="73"/>
      <c r="DO80" s="115"/>
      <c r="DP80" s="115"/>
      <c r="DT80" s="55"/>
      <c r="ED80" s="335"/>
      <c r="EE80" s="127"/>
      <c r="EF80" s="469"/>
      <c r="EH80" s="74"/>
      <c r="EI80" s="115"/>
      <c r="EK80" s="127"/>
      <c r="EL80" s="127"/>
      <c r="EM80" s="133"/>
      <c r="EN80" s="123"/>
      <c r="EO80" s="153"/>
      <c r="EP80" s="37"/>
      <c r="ER80" s="49"/>
      <c r="ES80" s="474"/>
      <c r="ET80" s="474"/>
      <c r="EU80" s="73"/>
      <c r="EW80" s="681"/>
      <c r="FE80" s="474"/>
      <c r="FF80" s="474"/>
      <c r="FG80" s="179"/>
      <c r="FI80" s="474"/>
      <c r="FJ80" s="73"/>
      <c r="FK80" s="73"/>
      <c r="FL80" s="474"/>
      <c r="FO80" s="474"/>
      <c r="FP80" s="73"/>
      <c r="FR80" s="73"/>
      <c r="FT80" s="115"/>
      <c r="FU80" s="474"/>
      <c r="FX80" s="474"/>
    </row>
    <row r="81" spans="1:295" x14ac:dyDescent="0.25">
      <c r="A81" s="4" t="s">
        <v>795</v>
      </c>
      <c r="H81" s="670">
        <f>J81+N81+Z81*(AA81+AE81)</f>
        <v>1.0029999999999954E-2</v>
      </c>
      <c r="I81" s="670">
        <f>R81+Z81*(AI81+AP81)</f>
        <v>0</v>
      </c>
      <c r="J81" s="63">
        <f>1-N81-R81-U81-X81-Z81</f>
        <v>9.9999999999999534E-3</v>
      </c>
      <c r="K81" s="129">
        <v>0.69</v>
      </c>
      <c r="L81" s="129">
        <v>0.17</v>
      </c>
      <c r="M81" s="130">
        <v>0.14000000000000001</v>
      </c>
      <c r="N81" s="39">
        <v>0</v>
      </c>
      <c r="O81" s="129">
        <v>0.52</v>
      </c>
      <c r="P81" s="129">
        <v>0.16</v>
      </c>
      <c r="Q81" s="130">
        <v>0.32</v>
      </c>
      <c r="R81" s="39">
        <v>0</v>
      </c>
      <c r="S81" s="57">
        <f>C$22</f>
        <v>0.91829596188296059</v>
      </c>
      <c r="T81" s="57">
        <f>C$23</f>
        <v>8.1704038117039385E-2</v>
      </c>
      <c r="U81" s="140">
        <v>7.0000000000000007E-2</v>
      </c>
      <c r="V81" s="129">
        <v>0.9</v>
      </c>
      <c r="W81" s="131">
        <f>1-V81</f>
        <v>9.9999999999999978E-2</v>
      </c>
      <c r="X81" s="139">
        <v>0.62</v>
      </c>
      <c r="Y81" s="129">
        <v>1</v>
      </c>
      <c r="Z81" s="90">
        <v>0.3</v>
      </c>
      <c r="AA81" s="39">
        <v>1E-4</v>
      </c>
      <c r="AB81" s="57">
        <f>C$36</f>
        <v>0.32627633176706616</v>
      </c>
      <c r="AC81" s="57">
        <f>C$35</f>
        <v>0.12306636397233511</v>
      </c>
      <c r="AD81" s="57">
        <f>C$37</f>
        <v>0.55065730426059856</v>
      </c>
      <c r="AE81" s="39">
        <v>0</v>
      </c>
      <c r="AF81" s="57">
        <f>C$40</f>
        <v>0.46292585170340678</v>
      </c>
      <c r="AG81" s="57">
        <f>C$41</f>
        <v>0.21643286573146289</v>
      </c>
      <c r="AH81" s="57">
        <f>C$42</f>
        <v>0.32064128256513025</v>
      </c>
      <c r="AI81" s="141">
        <v>0</v>
      </c>
      <c r="AJ81" s="131">
        <f>C$45</f>
        <v>0.66906282055683264</v>
      </c>
      <c r="AK81" s="131">
        <f>C$46</f>
        <v>2.0464179068278004E-2</v>
      </c>
      <c r="AL81" s="131">
        <f>C$47</f>
        <v>0.10457441214444914</v>
      </c>
      <c r="AM81" s="131">
        <f>C$48</f>
        <v>6.6603941068190814E-2</v>
      </c>
      <c r="AN81" s="131">
        <f>C$49</f>
        <v>3.7777291743479158E-2</v>
      </c>
      <c r="AO81" s="132">
        <f>C$50</f>
        <v>0.10151735541877024</v>
      </c>
      <c r="AP81" s="138">
        <v>0</v>
      </c>
      <c r="AQ81" s="131">
        <f>C$53</f>
        <v>0.27362401715511081</v>
      </c>
      <c r="AR81" s="131">
        <f>C$54</f>
        <v>0.12094353109363824</v>
      </c>
      <c r="AS81" s="131">
        <f>C$55</f>
        <v>0.60543245175125082</v>
      </c>
      <c r="AT81" s="53">
        <f>1-AA81-AE81-AI81-AP81</f>
        <v>0.99990000000000001</v>
      </c>
      <c r="AU81" s="671">
        <f>Z81*AT81</f>
        <v>0.29997000000000001</v>
      </c>
      <c r="AV81" s="390">
        <f>AW81*DA81/DF81</f>
        <v>9.9468750000000004</v>
      </c>
      <c r="AW81" s="112">
        <v>150</v>
      </c>
      <c r="AX81" s="73">
        <f>BA81/DA81</f>
        <v>1.5044999999999931</v>
      </c>
      <c r="AY81" s="673">
        <f>AW81*DA81</f>
        <v>238.72500000000002</v>
      </c>
      <c r="AZ81" s="55">
        <f>BB81+BF81+BJ81</f>
        <v>2.3872499999999892</v>
      </c>
      <c r="BA81" s="673">
        <f>AZ81+BS81+BW81+CA81+CH81</f>
        <v>2.3944117499999891</v>
      </c>
      <c r="BB81" s="55">
        <f>SUM(BC81:BE81)</f>
        <v>2.3872499999999892</v>
      </c>
      <c r="BC81" s="73">
        <f>$AY81*$J81*K81</f>
        <v>1.6472024999999924</v>
      </c>
      <c r="BD81" s="73">
        <f>$AY81*$J81*L81</f>
        <v>0.40583249999999821</v>
      </c>
      <c r="BE81" s="73">
        <f>$AY81*$J81*M81</f>
        <v>0.33421499999999854</v>
      </c>
      <c r="BF81" s="55">
        <f>SUM(BG81:BI81)</f>
        <v>0</v>
      </c>
      <c r="BG81" s="73">
        <f>$AY81*$N81*O81</f>
        <v>0</v>
      </c>
      <c r="BH81" s="73">
        <f>$AY81*$N81*P81</f>
        <v>0</v>
      </c>
      <c r="BI81" s="73">
        <f>$AY81*$N81*Q81</f>
        <v>0</v>
      </c>
      <c r="BJ81" s="629">
        <f>SUM(BK81:BL81)</f>
        <v>0</v>
      </c>
      <c r="BK81" s="73">
        <f>$AY81*$R81*S81</f>
        <v>0</v>
      </c>
      <c r="BL81" s="73">
        <f>$AY81*$R81*T81</f>
        <v>0</v>
      </c>
      <c r="BM81" s="674">
        <f>SUM(BN81:BO81)</f>
        <v>16.710750000000004</v>
      </c>
      <c r="BN81" s="73">
        <f>$AY81*$U81*V81</f>
        <v>15.039675000000004</v>
      </c>
      <c r="BO81" s="73">
        <f>$AY81*$U81*W81</f>
        <v>1.6710750000000001</v>
      </c>
      <c r="BP81" s="674">
        <f>SUM(BQ81:BQ81)</f>
        <v>148.0095</v>
      </c>
      <c r="BQ81" s="73">
        <f>$AY81*$X81*Y81</f>
        <v>148.0095</v>
      </c>
      <c r="BR81" s="68">
        <f>BS81+BW81+CA81+CH81+CL81</f>
        <v>71.617500000000007</v>
      </c>
      <c r="BS81" s="55">
        <f>SUM(BT81:BV81)</f>
        <v>7.1617499999999997E-3</v>
      </c>
      <c r="BT81" s="73">
        <f>$AY81*$Z81*$AA81*AC81</f>
        <v>8.813705321788712E-4</v>
      </c>
      <c r="BU81" s="73">
        <f>$AY81*$Z81*$AA81*AB81</f>
        <v>2.3367095190327866E-3</v>
      </c>
      <c r="BV81" s="73">
        <f>$AY81*$Z81*$AA81*AD81</f>
        <v>3.9436699487883425E-3</v>
      </c>
      <c r="BW81" s="55">
        <f>SUM(BX81:BZ81)</f>
        <v>0</v>
      </c>
      <c r="BX81" s="73">
        <f>$AY81*$Z81*$AE81*AF81</f>
        <v>0</v>
      </c>
      <c r="BY81" s="73">
        <f>$AY81*$Z81*$AE81*AG81</f>
        <v>0</v>
      </c>
      <c r="BZ81" s="73">
        <f>$AY81*$Z81*$AE81*AH81</f>
        <v>0</v>
      </c>
      <c r="CA81" s="73">
        <f>SUM(CB81:CG81)</f>
        <v>0</v>
      </c>
      <c r="CB81" s="73">
        <f t="shared" ref="CB81:CG81" si="41">$AY81*$Z81*$AI81*AJ81</f>
        <v>0</v>
      </c>
      <c r="CC81" s="73">
        <f t="shared" si="41"/>
        <v>0</v>
      </c>
      <c r="CD81" s="73">
        <f t="shared" si="41"/>
        <v>0</v>
      </c>
      <c r="CE81" s="73">
        <f t="shared" si="41"/>
        <v>0</v>
      </c>
      <c r="CF81" s="73">
        <f t="shared" si="41"/>
        <v>0</v>
      </c>
      <c r="CG81" s="73">
        <f t="shared" si="41"/>
        <v>0</v>
      </c>
      <c r="CH81" s="55">
        <f>SUM(CI81:CK81)</f>
        <v>0</v>
      </c>
      <c r="CI81" s="73">
        <f>$AY81*$Z81*$AP81*AQ81</f>
        <v>0</v>
      </c>
      <c r="CJ81" s="73">
        <f>$AY81*$Z81*$AP81*AR81</f>
        <v>0</v>
      </c>
      <c r="CK81" s="73">
        <f>$AY81*$Z81*$AP81*AS81</f>
        <v>0</v>
      </c>
      <c r="CL81" s="675">
        <f>$AY81*$Z81*AT81</f>
        <v>71.610338250000012</v>
      </c>
      <c r="CM81" s="97">
        <f>(BC81*CM$12+BD81*CM$13+BE81*CM$14+BG81*CM$17+BH81*CM$18+BI81*CM$19+BK81*CM$22+BL81*CM$23+CM$26*BN81+CM$27*BO81+CM$30*BQ81+BT81*CM$35+BU81*CM$36+BV81*CM$37+BX81*CM$40+BY81*CM$41+BZ81*CM$42+CB81*CM$45+CC81*CM$46+CD81*CM$47+CE81*CM$48+CF81*CM$49+CI81*CM$53+CJ81*CM$54+CK81*CM$55)/AY81</f>
        <v>7.8814782779120636</v>
      </c>
      <c r="CN81" s="97">
        <f>IF((BB81+BF81+BJ81+BM81)&gt;0,(BC81*CM$12+BD81*CM$13+BE81*CM$14+BG81*CM$17+BH81*CM$18+BI81*CM$19+BK81*CM$22+BL81*CM$23+CM$26*BN81+CM$27*BO81)/(BB81+BF81+BJ81+BM81),0)</f>
        <v>2.3634490265428689</v>
      </c>
      <c r="CO81" s="97">
        <f>(BT81*CM$35+BU81*CM$36+BV81*CM$37+BX81*CM$40+BY81*CM$41+BZ81*CM$42+CB81*CM$45+CC81*CM$46+CD81*CM$47+CE81*CM$48+CF81*CM$49+CI81*CM$53+CJ81*CM$54+CK81*CM$55)/(BS81+BW81+CA81+CH81)</f>
        <v>3.1554493647556527</v>
      </c>
      <c r="CP81" s="68">
        <f>CM$30*BQ81/BP81</f>
        <v>12.406947890818858</v>
      </c>
      <c r="CQ81" s="68">
        <f>10*(CT81+CU81)/DA81</f>
        <v>28.375587840655811</v>
      </c>
      <c r="CR81" s="68">
        <f>10*CW81/$DA81</f>
        <v>1153.8461538461538</v>
      </c>
      <c r="CS81" s="261">
        <f>CM81*AY81/10</f>
        <v>188.15059018945576</v>
      </c>
      <c r="CT81" s="107">
        <f>CN81*(BB81+BF81+BJ81+BM81)/10</f>
        <v>4.5137149508915693</v>
      </c>
      <c r="CU81" s="107">
        <f>CO81*(BS81+BW81+CA81+CH81)/10</f>
        <v>2.2598539488038792E-3</v>
      </c>
      <c r="CV81" s="107">
        <f>CP81*BP81/10</f>
        <v>183.63461538461539</v>
      </c>
      <c r="CW81" s="144">
        <f>CM$30*BQ81/10</f>
        <v>183.63461538461539</v>
      </c>
      <c r="CX81" s="26">
        <f>DB81+DF81</f>
        <v>26.7</v>
      </c>
      <c r="CY81" s="26">
        <f t="shared" ref="CY81" si="42">DC81+DG81</f>
        <v>4.7069999999999999</v>
      </c>
      <c r="CZ81" s="335">
        <f t="shared" ref="CZ81" si="43">DD81+DH81</f>
        <v>0.11895</v>
      </c>
      <c r="DA81" s="26">
        <f t="shared" ref="DA81" si="44">DE81+DI81</f>
        <v>1.5915000000000001</v>
      </c>
      <c r="DB81" s="80">
        <v>2.7</v>
      </c>
      <c r="DC81" s="26">
        <f>DB81*GG$96</f>
        <v>1.107</v>
      </c>
      <c r="DD81" s="335">
        <f>DB81*GJ$96/10^3</f>
        <v>2.2950000000000002E-2</v>
      </c>
      <c r="DE81" s="26">
        <f>DB81*GL$96</f>
        <v>0.39150000000000001</v>
      </c>
      <c r="DF81" s="84">
        <v>24</v>
      </c>
      <c r="DG81" s="26">
        <f>DF81*GG100</f>
        <v>3.5999999999999996</v>
      </c>
      <c r="DH81" s="335">
        <f>DF81*GJ100/10^3</f>
        <v>9.6000000000000002E-2</v>
      </c>
      <c r="DI81" s="26">
        <f>DF81*GL100</f>
        <v>1.2000000000000002</v>
      </c>
      <c r="DN81" s="527">
        <f>10*'Amortization metrics'!D$4*DP81/CM81</f>
        <v>44.965982026383685</v>
      </c>
      <c r="DO81" s="263">
        <f>10*DQ81/CM81</f>
        <v>1.3939047489694194</v>
      </c>
      <c r="DP81" s="272">
        <f>(BC81*DP$12+BD81*DP$13+BE81*DP$14+BG81*DP$17+BH81*DP$18+BI81*DP$19+BK81*DP$22+BL81*DP$23+DP$26*BN81+DP$27*BO81+DP$30*BQ81+BT81*DP$35+BU81*DP$36+BV81*DP$37+BX81*DP$40+BY81*DP$41+BZ81*DP$42+CB81*DP$45+CC81*DP$46+CD81*DP$47+CE81*DP$48+CF81*DP$49+CG81*DP$50+CI81*DP$53+CJ81*DP$54+CK81*DP$55)/AY81</f>
        <v>1.1813280352864244</v>
      </c>
      <c r="DQ81" s="143">
        <f>(BC81*DQ$12+BD81*DQ$13+BE81*DQ$14+BG81*DQ$17+BH81*DQ$18+BI81*DQ$19+BK81*DQ$22+BL81*DQ$23+DQ$26*BN81+DQ$27*BO81+DQ$30*BQ81+BT81*DQ$35+BU81*DQ$36+BV81*DQ$37+BX81*DQ$40+BY81*DQ$41+BZ81*DQ$42+CB81*DQ$45+CC81*DQ$46+CD81*DQ$47+CE81*DQ$48+CF81*DQ$49+CG81*DQ$50+CI81*DQ$53+CJ81*DQ$54+CK81*DQ$55)/AY81</f>
        <v>1.0986030000480946</v>
      </c>
      <c r="DR81" s="26">
        <f>DP81*$AY81/$CX81</f>
        <v>10.562267236844633</v>
      </c>
      <c r="DS81" s="153">
        <f>DR81/$GG81</f>
        <v>70.415114912297554</v>
      </c>
      <c r="DT81" s="676">
        <f>DP81*$AY81/$CZ81</f>
        <v>2370.8493923812666</v>
      </c>
      <c r="DU81" s="677">
        <f>DP81*$AY81/$DA81</f>
        <v>177.19920529296365</v>
      </c>
      <c r="DV81" s="26">
        <f>DQ81*$AY81/$CX81</f>
        <v>9.82262176728395</v>
      </c>
      <c r="DW81" s="153">
        <f>DV81/$GG81</f>
        <v>65.48414511522634</v>
      </c>
      <c r="DX81" s="676">
        <f>DQ81*$AY81/$CZ81</f>
        <v>2204.8255669313276</v>
      </c>
      <c r="DY81" s="677">
        <f>DQ81*$AY81/$DA81</f>
        <v>164.79045000721422</v>
      </c>
      <c r="DZ81" s="678">
        <f>(BC81*DZ$12+BD81*DZ$13+BE81*DZ$14+BG81*DZ$17+BH81*DZ$18+BI81*DZ$19+BK81*DZ$22+BL81*DZ$23+DZ$26*BN81+DZ$27*BO81+DZ$30*BQ81+BT81*DZ$35+BU81*DZ$36+BV81*DZ$37+BX81*DZ$40+BY81*DZ$41+BZ81*DZ$42+CB81*DZ$45+CC81*DZ$46+CD81*DZ$47+CE81*DZ$48+CF81*DZ$49+CG81*DZ$50+CI81*DZ$53+CJ81*DZ$54+CK81*DZ$55)/AY81</f>
        <v>2.4794644364142591</v>
      </c>
      <c r="EA81" s="26">
        <f>DZ81*$AY81/$CX81</f>
        <v>22.168919385130863</v>
      </c>
      <c r="EB81" s="676">
        <f>DZ81*$AY81/$CZ81</f>
        <v>4976.1256627405965</v>
      </c>
      <c r="EC81" s="677">
        <f>DZ81*$AY81/$DA81</f>
        <v>371.91966546213882</v>
      </c>
      <c r="ED81" s="410">
        <f>(BC81*ED$12+BD81*ED$13+BE81*ED$14+BG81*ED$17+BH81*ED$18+BI81*ED$19+BK81*ED$22+BL81*ED$23+ED$26*BN81+ED$27*BO81+ED$30*BQ81+BT81*ED$35+BU81*ED$36+BV81*ED$37+BX81*ED$40+BY81*ED$41+BZ81*ED$42+CB81*ED$45+CC81*ED$46+CD81*ED$47+CE81*ED$48+CF81*ED$49+CG81*ED$50+CI81*ED$53+CJ81*ED$54+CK81*ED$55)/AY81</f>
        <v>0.24397735394411674</v>
      </c>
      <c r="EE81" s="73">
        <f>ED81*$AY81</f>
        <v>58.243493820309276</v>
      </c>
      <c r="EF81" s="127">
        <f>ED81*$AY81/$CX81</f>
        <v>2.1814042629329315</v>
      </c>
      <c r="EG81" s="153">
        <f>EF81/$GG81</f>
        <v>14.542695086219544</v>
      </c>
      <c r="EH81" s="679">
        <f>ED81*$AY81/$CZ81</f>
        <v>489.64685851457989</v>
      </c>
      <c r="EI81" s="110">
        <f>ED81*$AY81/$DA81</f>
        <v>36.59660309161751</v>
      </c>
      <c r="EJ81" s="410">
        <f>EK81+EL81+EM81</f>
        <v>7.5118267062198721E-2</v>
      </c>
      <c r="EK81" s="127">
        <f>(BC81*EK$12+BD81*EK$13+BE81*EK$14+BG81*EK$17+BH81*EK$18+BI81*EK$19+BK81*EK$22+BL81*EK$23+EK$26*BN81+EK$27*BO81+EK$30*BQ81+BT81*EK$35+BU81*EK$36+BV81*EK$37+BX81*EK$40+BY81*EK$41+BZ81*EK$42+CB81*EK$45+CC81*EK$46+CD81*EK$47+CE81*EK$48+CF81*EK$49+CG81*EK$50+CI81*EK$53+CJ81*EK$54+CK81*EK$55)/AY81</f>
        <v>4.2150175208182865E-2</v>
      </c>
      <c r="EL81" s="127">
        <f>(BC81*EL$12+BD81*EL$13+BE81*EL$14+BG81*EL$17+BH81*EL$18+BI81*EL$19+BK81*EL$22+BL81*EL$23+EL$26*BN81+EL$27*BO81+EL$30*BQ81+BT81*EL$35+BU81*EL$36+BV81*EL$37+BX81*EL$40+BY81*EL$41+BZ81*EL$42+CB81*EL$45+CC81*EL$46+CD81*EL$47+CE81*EL$48+CF81*EL$49+CG81*EL$50+CI81*EL$53+CJ81*EL$54+CK81*EL$55)/AY81</f>
        <v>3.294142470506508E-2</v>
      </c>
      <c r="EM81" s="127">
        <f>(BC81*EM$12+BD81*EM$13+BE81*EM$14+BG81*EM$17+BH81*EM$18+BI81*EM$19+BK81*EM$22+BL81*EM$23+EM$26*BN81+EM$27*BO81+EM$30*BQ81+BT81*EM$35+BU81*EM$36+BV81*EM$37+BX81*EM$40+BY81*EM$41+BZ81*EM$42+CB81*EM$45+CC81*EM$46+CD81*EM$47+CE81*EM$48+CF81*EM$49+CG81*EM$50+CI81*EM$53+CJ81*EM$54+CK81*EM$55)/AY81</f>
        <v>2.6667148950769552E-5</v>
      </c>
      <c r="EN81" s="73">
        <f>ES81+ET81+EU81+EV81+EW81+EX81+EY81+EZ81</f>
        <v>224.74623376947665</v>
      </c>
      <c r="EO81" s="110">
        <f>EN81/CX81</f>
        <v>8.4174619389317105</v>
      </c>
      <c r="EP81" s="153">
        <f>EO81/$GG81</f>
        <v>56.116412926211403</v>
      </c>
      <c r="EQ81" s="73">
        <f>EN81/CZ81</f>
        <v>1889.4176861662602</v>
      </c>
      <c r="ER81" s="672">
        <f>EN81/DA81</f>
        <v>141.21660934305788</v>
      </c>
      <c r="ES81" s="73">
        <f>FE81*$DA81</f>
        <v>9.0447645632120945</v>
      </c>
      <c r="ET81" s="73">
        <f>FG81*$DA81</f>
        <v>7.0687115619925054</v>
      </c>
      <c r="EU81" s="73">
        <f>FJ81*$DA81</f>
        <v>5.7223506815932247E-3</v>
      </c>
      <c r="EV81" s="73">
        <f>FM81*$DA81</f>
        <v>24.316800000000001</v>
      </c>
      <c r="EW81" s="73">
        <f>FP81*$DA81</f>
        <v>171.97567529359043</v>
      </c>
      <c r="EX81" s="115">
        <f>FT81*$DA81</f>
        <v>2.4000000000000004</v>
      </c>
      <c r="EY81" s="73">
        <f>FV81*$DA81</f>
        <v>5.9361599999999992</v>
      </c>
      <c r="EZ81" s="115">
        <f>FY81*$DA81</f>
        <v>3.9984000000000006</v>
      </c>
      <c r="FA81" s="73">
        <f>ES81+ET81+EU81</f>
        <v>16.119198475886193</v>
      </c>
      <c r="FB81" s="115">
        <f>FA81/CX81</f>
        <v>0.60371529872232932</v>
      </c>
      <c r="FC81" s="73">
        <f>FA81/DA81</f>
        <v>10.128305671307691</v>
      </c>
      <c r="FD81" s="410">
        <f>EK81*$AY81/$CX81</f>
        <v>0.37686519013383729</v>
      </c>
      <c r="FE81" s="73">
        <f>FD81*$DF81/$DA81</f>
        <v>5.6831696909909484</v>
      </c>
      <c r="FF81" s="127">
        <f>ET81/$DF81</f>
        <v>0.29452964841635437</v>
      </c>
      <c r="FG81" s="483">
        <f>'Amortization metrics'!$B$6*FH81*$DF81/$DA81/10^3</f>
        <v>4.4415404096716964</v>
      </c>
      <c r="FH81" s="680">
        <f>10^3*EL81*$AY81/$CX81/'Amortization metrics'!$B$6</f>
        <v>0.9883545248870953</v>
      </c>
      <c r="FI81" s="73">
        <f>EU81/$DF81</f>
        <v>2.3843127839971769E-4</v>
      </c>
      <c r="FJ81" s="681">
        <f>'Amortization metrics'!$B$5*FK81*$DF81/$DA81/10^3</f>
        <v>3.5955706450475806E-3</v>
      </c>
      <c r="FK81" s="682">
        <f>10^3*EM81*$AY81/$CX81/'Amortization metrics'!$B$5</f>
        <v>7.0126846588152263E-3</v>
      </c>
      <c r="FL81" s="127">
        <f>EV81/$DF81</f>
        <v>1.0132000000000001</v>
      </c>
      <c r="FM81" s="681">
        <f>'Amortization metrics'!$B$6*FN81*$DF81/$DA81/10^3</f>
        <v>15.279170593779453</v>
      </c>
      <c r="FN81" s="80">
        <v>3.4</v>
      </c>
      <c r="FO81" s="127">
        <f>EW81/$DF81</f>
        <v>7.1656531372329342</v>
      </c>
      <c r="FP81" s="681">
        <f>'Amortization metrics'!$B$5*FR81*$DF81/$DA81/10^3</f>
        <v>108.05885975092077</v>
      </c>
      <c r="FQ81" s="82">
        <v>6.5000000000000002E-2</v>
      </c>
      <c r="FR81" s="73">
        <f>10^3*FQ81*AY81*GI81/55.7/DF81</f>
        <v>210.75450403626277</v>
      </c>
      <c r="FS81" s="687">
        <v>0.1</v>
      </c>
      <c r="FT81" s="115">
        <f>FS81*$DF81/$DA81</f>
        <v>1.5080113100848258</v>
      </c>
      <c r="FU81" s="127">
        <f>EY81/$DF81</f>
        <v>0.24733999999999998</v>
      </c>
      <c r="FV81" s="483">
        <f>'Amortization metrics'!$B$6*FW81*$DF81/$DA81/10^3</f>
        <v>3.729915174363807</v>
      </c>
      <c r="FW81" s="80">
        <v>0.83</v>
      </c>
      <c r="FX81" s="127">
        <f>EZ81/$DF81</f>
        <v>0.16660000000000003</v>
      </c>
      <c r="FY81" s="483">
        <f>'Amortization metrics'!$B$5*FZ81*$DF81/$DA81/10^3</f>
        <v>2.5123468426013198</v>
      </c>
      <c r="FZ81" s="80">
        <v>4.9000000000000004</v>
      </c>
      <c r="GA81" s="73">
        <f>DR81*44/12+EF81+EO81</f>
        <v>49.327179403628293</v>
      </c>
      <c r="GB81" s="677">
        <f>DT81*44/12+EH81+EQ81</f>
        <v>11072.17898341215</v>
      </c>
      <c r="GC81" s="676">
        <f>DU81*44/12+EI81+ER81</f>
        <v>827.5436318422087</v>
      </c>
      <c r="GD81" s="73">
        <f>DV81*44/12+EF81+EO81</f>
        <v>46.615146015239119</v>
      </c>
      <c r="GE81" s="677">
        <f>DW81*44/12+EH81+EQ81</f>
        <v>2619.1730767700033</v>
      </c>
      <c r="GF81" s="676">
        <f>DY81*44/12+EI81+ER81</f>
        <v>782.04486246112742</v>
      </c>
      <c r="GG81" s="52">
        <f>GG100</f>
        <v>0.15</v>
      </c>
      <c r="GI81" s="26">
        <f>(BC81*GI$12+BD81*GI$13+BE81*GI$14+BG81*GI$17+BH81*GI$18+BI81*GI$19+BK81*GI$22+BL81*GI$23+GI$26*BN81+GI$27*BO81+GI$30*BQ81+BT81*GI$35+BU81*GI$36+BV81*GI$37+BX81*GI$40+BY81*GI$41+BZ81*GI$42+CB81*GI$45+CC81*GI$46+CD81*GI$47+CE81*GI$48+CF81*GI$49+CI81*GI$53+CJ81*GI$54+CK81*GI$55+CL81*GI$58)/AY81</f>
        <v>18.156496193442795</v>
      </c>
      <c r="GM81" s="683">
        <f>(BC81*GM$12+BD81*GM$13+BE81*GM$14+BG81*GM$17+BH81*GM$18+BI81*GM$19+BK81*GM$22+BL81*GM$23+GM$26*BN81+GM$27*BO81+GM$30*BQ81+BT81*GM$35+BU81*GM$36+BV81*GM$37+BX81*GM$40+BY81*GM$41+BZ81*GM$42+CB81*GM$45+CC81*GM$46+CD81*GM$47+CE81*GM$48+CF81*GM$49+CI81*GM$53+CJ81*GM$54+CK81*GM$55+CL81*GM$58)/AY81</f>
        <v>7.7252799196452129E-2</v>
      </c>
    </row>
    <row r="82" spans="1:295" x14ac:dyDescent="0.25">
      <c r="AT82" s="74"/>
      <c r="AY82" s="55"/>
      <c r="AZ82" s="55"/>
      <c r="BA82" s="55"/>
      <c r="BB82" s="55"/>
      <c r="BC82" s="73"/>
      <c r="BD82" s="73"/>
      <c r="BE82" s="73"/>
      <c r="BF82" s="55"/>
      <c r="BG82" s="73"/>
      <c r="BH82" s="73"/>
      <c r="BI82" s="73"/>
      <c r="BJ82" s="73"/>
      <c r="BK82" s="73"/>
      <c r="BL82" s="73"/>
      <c r="BM82" s="73"/>
      <c r="BN82" s="73"/>
      <c r="BO82" s="73"/>
      <c r="BP82" s="73"/>
      <c r="BQ82" s="73"/>
      <c r="BR82" s="73"/>
      <c r="BS82" s="55"/>
      <c r="BT82" s="73"/>
      <c r="BU82" s="73"/>
      <c r="BV82" s="73"/>
      <c r="BW82" s="55"/>
      <c r="BX82" s="73"/>
      <c r="BY82" s="73"/>
      <c r="BZ82" s="73"/>
      <c r="CA82" s="73"/>
      <c r="CB82" s="73"/>
      <c r="CC82" s="73"/>
      <c r="CD82" s="73"/>
      <c r="CE82" s="73"/>
      <c r="CF82" s="73"/>
      <c r="CG82" s="73"/>
      <c r="CH82" s="73"/>
      <c r="CI82" s="73"/>
      <c r="CJ82" s="73"/>
      <c r="CK82" s="73"/>
      <c r="CL82" s="73"/>
      <c r="CM82" s="74"/>
      <c r="CN82" s="74"/>
      <c r="CO82" s="74"/>
      <c r="CP82" s="74"/>
      <c r="CQ82" s="55"/>
      <c r="CR82" s="55"/>
      <c r="DD82" s="335"/>
      <c r="DN82" s="73"/>
      <c r="DO82" s="74"/>
      <c r="DP82" s="115"/>
      <c r="DT82" s="55"/>
      <c r="EE82" s="74"/>
      <c r="EF82" s="127"/>
      <c r="EH82" s="74"/>
      <c r="EI82" s="115"/>
      <c r="EK82" s="74"/>
      <c r="EP82" s="37"/>
    </row>
    <row r="83" spans="1:295" ht="13.8" x14ac:dyDescent="0.3">
      <c r="A83" s="44" t="s">
        <v>118</v>
      </c>
      <c r="AT83" s="74"/>
      <c r="AV83" s="115">
        <f>AY83/CX83</f>
        <v>3.8719598308668073</v>
      </c>
      <c r="AW83" s="55">
        <f>AY83/DA83</f>
        <v>30.124796447076239</v>
      </c>
      <c r="AY83" s="73">
        <f>AY87+AY89+AY91</f>
        <v>915.71849999999995</v>
      </c>
      <c r="AZ83" s="55"/>
      <c r="BA83" s="55"/>
      <c r="BB83" s="55"/>
      <c r="BC83" s="73"/>
      <c r="BD83" s="73"/>
      <c r="BE83" s="73"/>
      <c r="BF83" s="55"/>
      <c r="BG83" s="73"/>
      <c r="BH83" s="73"/>
      <c r="BI83" s="73"/>
      <c r="BJ83" s="73"/>
      <c r="BK83" s="73"/>
      <c r="BL83" s="73"/>
      <c r="BM83" s="73"/>
      <c r="BN83" s="73"/>
      <c r="BO83" s="73"/>
      <c r="BP83" s="73"/>
      <c r="BQ83" s="73"/>
      <c r="BR83" s="73"/>
      <c r="BS83" s="55"/>
      <c r="BT83" s="73"/>
      <c r="BU83" s="73"/>
      <c r="BV83" s="73"/>
      <c r="BW83" s="55"/>
      <c r="BX83" s="73"/>
      <c r="BY83" s="73"/>
      <c r="BZ83" s="73"/>
      <c r="CA83" s="73"/>
      <c r="CB83" s="73"/>
      <c r="CC83" s="73"/>
      <c r="CD83" s="73"/>
      <c r="CE83" s="73"/>
      <c r="CF83" s="73"/>
      <c r="CG83" s="73"/>
      <c r="CH83" s="73"/>
      <c r="CI83" s="73"/>
      <c r="CJ83" s="73"/>
      <c r="CK83" s="73"/>
      <c r="CL83" s="73"/>
      <c r="CM83" s="74"/>
      <c r="CN83" s="74"/>
      <c r="CO83" s="74"/>
      <c r="CP83" s="74"/>
      <c r="CQ83" s="55"/>
      <c r="CR83" s="55"/>
      <c r="CS83" s="73">
        <f>CS87+CS89+CS91</f>
        <v>270.41620677911578</v>
      </c>
      <c r="CT83" s="73">
        <f t="shared" ref="CT83:CU83" si="45">CT87+CT89+CT91</f>
        <v>209.30069596206332</v>
      </c>
      <c r="CU83" s="73">
        <f t="shared" si="45"/>
        <v>61.115510817052467</v>
      </c>
      <c r="CX83" s="73">
        <f t="shared" ref="CX83:CZ83" si="46">CX87+CX89+CX91</f>
        <v>236.5</v>
      </c>
      <c r="CY83" s="73">
        <f t="shared" si="46"/>
        <v>90.649000000000001</v>
      </c>
      <c r="CZ83" s="115">
        <f t="shared" si="46"/>
        <v>1.7560799999999999</v>
      </c>
      <c r="DA83" s="73">
        <f>DA87+DA89+DA91</f>
        <v>30.397500000000001</v>
      </c>
      <c r="DB83" s="73"/>
      <c r="DC83" s="115"/>
      <c r="DD83" s="115"/>
      <c r="DE83" s="115"/>
      <c r="DF83" s="115"/>
      <c r="DG83" s="115"/>
      <c r="DH83" s="115"/>
      <c r="DI83" s="115"/>
      <c r="DN83" s="73"/>
      <c r="DO83" s="74"/>
      <c r="DP83" s="115"/>
      <c r="DT83" s="55"/>
      <c r="EE83" s="74"/>
      <c r="EF83" s="127"/>
      <c r="EH83" s="74"/>
      <c r="EI83" s="115"/>
      <c r="EK83" s="74"/>
      <c r="EL83" s="74"/>
      <c r="EM83" s="74"/>
      <c r="EN83" s="672">
        <f>EN87+EN89+EN91</f>
        <v>1038.2131301116017</v>
      </c>
      <c r="EO83" s="115">
        <f>EN83/CX83</f>
        <v>4.3899075268989503</v>
      </c>
      <c r="EP83" s="37"/>
      <c r="ER83" s="73">
        <f>EN83/DA83</f>
        <v>34.154556463906623</v>
      </c>
      <c r="FA83" s="73">
        <f t="shared" ref="FA83" si="47">FA87+FA89+FA91</f>
        <v>491.51859167803821</v>
      </c>
      <c r="FB83" s="73"/>
      <c r="FC83" s="73"/>
    </row>
    <row r="84" spans="1:295" s="54" customFormat="1" x14ac:dyDescent="0.25">
      <c r="A84" s="54" t="s">
        <v>842</v>
      </c>
      <c r="AO84" s="133"/>
      <c r="AT84" s="133"/>
      <c r="AV84" s="665">
        <f>AY84/CX84</f>
        <v>3.304267605633803</v>
      </c>
      <c r="AW84" s="688">
        <f>AY84/DA84</f>
        <v>26.598979591836734</v>
      </c>
      <c r="AX84" s="133"/>
      <c r="AY84" s="689">
        <f>AY89+AY91</f>
        <v>469.20600000000002</v>
      </c>
      <c r="AZ84" s="689"/>
      <c r="BA84" s="689"/>
      <c r="BB84" s="689"/>
      <c r="BC84" s="474"/>
      <c r="BD84" s="474"/>
      <c r="BE84" s="474"/>
      <c r="BF84" s="689"/>
      <c r="BG84" s="474"/>
      <c r="BH84" s="474"/>
      <c r="BI84" s="474"/>
      <c r="BJ84" s="474"/>
      <c r="BK84" s="474"/>
      <c r="BL84" s="474"/>
      <c r="BM84" s="474"/>
      <c r="BN84" s="474"/>
      <c r="BO84" s="474"/>
      <c r="BP84" s="474"/>
      <c r="BQ84" s="474"/>
      <c r="BR84" s="474"/>
      <c r="BS84" s="689"/>
      <c r="BT84" s="474"/>
      <c r="BU84" s="474"/>
      <c r="BV84" s="474"/>
      <c r="BW84" s="689"/>
      <c r="BX84" s="474"/>
      <c r="BY84" s="474"/>
      <c r="BZ84" s="474"/>
      <c r="CA84" s="474"/>
      <c r="CB84" s="474"/>
      <c r="CC84" s="474"/>
      <c r="CD84" s="474"/>
      <c r="CE84" s="474"/>
      <c r="CF84" s="474"/>
      <c r="CG84" s="474"/>
      <c r="CH84" s="474"/>
      <c r="CI84" s="474"/>
      <c r="CJ84" s="474"/>
      <c r="CK84" s="474"/>
      <c r="CL84" s="474"/>
      <c r="CM84" s="133"/>
      <c r="CN84" s="133"/>
      <c r="CO84" s="133"/>
      <c r="CP84" s="133"/>
      <c r="CQ84" s="144">
        <f>10*(CT84+CU84)/DA84</f>
        <v>81.870816933287472</v>
      </c>
      <c r="CR84" s="689"/>
      <c r="CS84" s="689">
        <f t="shared" ref="CS84:CU84" si="48">CS89+CS91</f>
        <v>144.42012107031911</v>
      </c>
      <c r="CT84" s="689">
        <f t="shared" si="48"/>
        <v>109.97053946434301</v>
      </c>
      <c r="CU84" s="689">
        <f t="shared" si="48"/>
        <v>34.449581605976114</v>
      </c>
      <c r="CX84" s="690">
        <f t="shared" ref="CX84:DA84" si="49">CX89+CX91</f>
        <v>142</v>
      </c>
      <c r="CY84" s="689">
        <f t="shared" si="49"/>
        <v>51.903999999999996</v>
      </c>
      <c r="CZ84" s="689">
        <f t="shared" si="49"/>
        <v>0.92447999999999997</v>
      </c>
      <c r="DA84" s="665">
        <f t="shared" si="49"/>
        <v>17.64</v>
      </c>
      <c r="DB84" s="689"/>
      <c r="DC84" s="689"/>
      <c r="DD84" s="689"/>
      <c r="DE84" s="689"/>
      <c r="DF84" s="689"/>
      <c r="DG84" s="689"/>
      <c r="DH84" s="689"/>
      <c r="DI84" s="689"/>
      <c r="DN84" s="474"/>
      <c r="DO84" s="133"/>
      <c r="DP84" s="179"/>
      <c r="DT84" s="689"/>
      <c r="EE84" s="133"/>
      <c r="EF84" s="127"/>
      <c r="EH84" s="74"/>
      <c r="EI84" s="115"/>
      <c r="EK84" s="133"/>
      <c r="EL84" s="133"/>
      <c r="EN84" s="689">
        <f>EN89+EN91</f>
        <v>522.41961799170076</v>
      </c>
      <c r="EO84" s="691">
        <f>EN84/CX84</f>
        <v>3.6790113943077518</v>
      </c>
      <c r="EQ84" s="74"/>
      <c r="ER84" s="688">
        <f>EN84/DA84</f>
        <v>29.615624602704123</v>
      </c>
      <c r="ES84" s="474">
        <f>ES89+ES91</f>
        <v>159.40766671226856</v>
      </c>
      <c r="ET84" s="474">
        <f>ET89+ET91</f>
        <v>100.24726145372505</v>
      </c>
      <c r="EU84" s="133"/>
      <c r="EV84" s="474">
        <f>EV89+EV91</f>
        <v>143.73136</v>
      </c>
      <c r="EW84" s="133"/>
      <c r="EX84" s="474">
        <f>EX89+EX91</f>
        <v>41.5</v>
      </c>
      <c r="EY84" s="474">
        <f>EY89+EY91</f>
        <v>39.395600000000002</v>
      </c>
      <c r="EZ84" s="474">
        <f>EZ89+EZ91</f>
        <v>35.958399999999997</v>
      </c>
      <c r="FA84" s="474">
        <f>ES84+ET84+EU84</f>
        <v>259.65492816599362</v>
      </c>
      <c r="FB84" s="179">
        <f>FA84/CX84</f>
        <v>1.8285558321548847</v>
      </c>
      <c r="FC84" s="474">
        <f>FA84/DA84</f>
        <v>14.719667129591475</v>
      </c>
      <c r="FD84" s="691">
        <f>ES84/$CX84</f>
        <v>1.1225892021990744</v>
      </c>
      <c r="FE84" s="179">
        <f>ES84/$DA84</f>
        <v>9.0367158000152248</v>
      </c>
      <c r="FF84" s="474"/>
      <c r="FG84" s="179">
        <f>ET84/$DA84</f>
        <v>5.6829513295762499</v>
      </c>
      <c r="FH84" s="691">
        <f>10^3*ET84/'Amortization metrics'!$B$6/$CX84</f>
        <v>2.3690155367644636</v>
      </c>
      <c r="FI84" s="133"/>
      <c r="FJ84" s="133"/>
      <c r="FK84" s="133"/>
      <c r="FL84" s="474"/>
      <c r="FM84" s="179">
        <f>EV84/$DA84</f>
        <v>8.148036281179138</v>
      </c>
      <c r="FN84" s="691">
        <f>10^3*EV84/'Amortization metrics'!$B$6/$CX84</f>
        <v>3.3966197183098585</v>
      </c>
      <c r="FO84" s="133"/>
      <c r="FP84" s="133"/>
      <c r="FQ84" s="133"/>
      <c r="FR84" s="133"/>
      <c r="FS84" s="692">
        <f>EX84/$CX84</f>
        <v>0.29225352112676056</v>
      </c>
      <c r="FT84" s="179">
        <f>EX84/$DA84</f>
        <v>2.3526077097505667</v>
      </c>
      <c r="FU84" s="474"/>
      <c r="FV84" s="179">
        <f>EY84/$DA84</f>
        <v>2.2333106575963719</v>
      </c>
      <c r="FW84" s="691">
        <f>10^3*EY84/'Amortization metrics'!$B$6/$CX84</f>
        <v>0.93098591549295762</v>
      </c>
      <c r="FX84" s="474"/>
      <c r="FY84" s="179">
        <f>EZ84/$DA84</f>
        <v>2.0384580498866209</v>
      </c>
      <c r="FZ84" s="691">
        <f>10^3*EZ84/'Amortization metrics'!$B$5/$CX84</f>
        <v>7.4478873239436609</v>
      </c>
      <c r="GA84" s="133"/>
      <c r="GB84" s="133"/>
      <c r="GC84" s="133"/>
      <c r="GD84" s="133"/>
      <c r="GE84" s="133"/>
      <c r="GF84" s="133"/>
      <c r="KD84" s="179"/>
      <c r="KE84" s="179"/>
      <c r="KF84" s="179"/>
      <c r="KG84" s="179"/>
      <c r="KH84" s="179"/>
      <c r="KI84" s="179"/>
    </row>
    <row r="85" spans="1:295" ht="13.8" x14ac:dyDescent="0.3">
      <c r="A85" s="44"/>
      <c r="AT85" s="74"/>
      <c r="AV85" s="693"/>
      <c r="AW85" s="689"/>
      <c r="AY85" s="55"/>
      <c r="AZ85" s="55"/>
      <c r="BA85" s="55"/>
      <c r="BB85" s="55"/>
      <c r="BC85" s="73"/>
      <c r="BD85" s="73"/>
      <c r="BE85" s="73"/>
      <c r="BF85" s="55"/>
      <c r="BG85" s="73"/>
      <c r="BH85" s="73"/>
      <c r="BI85" s="73"/>
      <c r="BJ85" s="73"/>
      <c r="BK85" s="73"/>
      <c r="BL85" s="73"/>
      <c r="BM85" s="73"/>
      <c r="BN85" s="73"/>
      <c r="BO85" s="73"/>
      <c r="BP85" s="73"/>
      <c r="BQ85" s="73"/>
      <c r="BR85" s="73"/>
      <c r="BS85" s="55"/>
      <c r="BT85" s="73"/>
      <c r="BU85" s="73"/>
      <c r="BV85" s="73"/>
      <c r="BW85" s="55"/>
      <c r="BX85" s="73"/>
      <c r="BY85" s="73"/>
      <c r="BZ85" s="73"/>
      <c r="CA85" s="73"/>
      <c r="CB85" s="73"/>
      <c r="CC85" s="73"/>
      <c r="CD85" s="73"/>
      <c r="CE85" s="73"/>
      <c r="CF85" s="73"/>
      <c r="CG85" s="73"/>
      <c r="CH85" s="73"/>
      <c r="CI85" s="73"/>
      <c r="CJ85" s="73"/>
      <c r="CK85" s="73"/>
      <c r="CL85" s="73"/>
      <c r="CM85" s="74"/>
      <c r="CN85" s="74"/>
      <c r="CO85" s="74"/>
      <c r="CP85" s="74"/>
      <c r="CQ85" s="55"/>
      <c r="CR85" s="55"/>
      <c r="CY85" s="133"/>
      <c r="DA85" s="54"/>
      <c r="DD85" s="335"/>
      <c r="DN85" s="73"/>
      <c r="DO85" s="74"/>
      <c r="DP85" s="115"/>
      <c r="DT85" s="55"/>
      <c r="EE85" s="74"/>
      <c r="EF85" s="469"/>
      <c r="EH85" s="74"/>
      <c r="EI85" s="115"/>
      <c r="EK85" s="74"/>
      <c r="EL85" s="133"/>
      <c r="EN85" s="645"/>
      <c r="EO85" s="179"/>
      <c r="EP85" s="37"/>
      <c r="ES85" s="474"/>
      <c r="ET85" s="474"/>
      <c r="EY85" s="133"/>
      <c r="EZ85" s="37"/>
      <c r="FA85" s="645"/>
      <c r="FE85" s="474"/>
      <c r="FF85" s="474"/>
      <c r="FG85" s="684"/>
      <c r="FH85" s="179"/>
      <c r="FM85" s="694"/>
      <c r="FP85" s="694"/>
      <c r="FT85" s="694"/>
      <c r="FV85" s="694"/>
      <c r="FY85" s="694"/>
    </row>
    <row r="86" spans="1:295" s="74" customFormat="1" ht="13.8" x14ac:dyDescent="0.3">
      <c r="A86" s="695"/>
      <c r="K86" s="133"/>
      <c r="L86" s="133"/>
      <c r="M86" s="133"/>
      <c r="O86" s="133"/>
      <c r="P86" s="133"/>
      <c r="Q86" s="133"/>
      <c r="S86" s="133"/>
      <c r="T86" s="133"/>
      <c r="V86" s="133"/>
      <c r="W86" s="133"/>
      <c r="Y86" s="133"/>
      <c r="AB86" s="133"/>
      <c r="AC86" s="133"/>
      <c r="AD86" s="133"/>
      <c r="AE86" s="133"/>
      <c r="AF86" s="133"/>
      <c r="AG86" s="133"/>
      <c r="AH86" s="133"/>
      <c r="AJ86" s="133"/>
      <c r="AK86" s="133"/>
      <c r="AL86" s="133"/>
      <c r="AM86" s="133"/>
      <c r="AN86" s="133"/>
      <c r="AO86" s="133"/>
      <c r="AP86" s="133"/>
      <c r="AQ86" s="133"/>
      <c r="AR86" s="133"/>
      <c r="AS86" s="133"/>
      <c r="AV86" s="179"/>
      <c r="AW86" s="474"/>
      <c r="AY86" s="73"/>
      <c r="AZ86" s="73"/>
      <c r="BA86" s="73"/>
      <c r="BB86" s="73"/>
      <c r="BC86" s="73"/>
      <c r="BD86" s="73"/>
      <c r="BE86" s="73"/>
      <c r="BF86" s="73"/>
      <c r="BG86" s="73"/>
      <c r="BH86" s="73"/>
      <c r="BI86" s="73"/>
      <c r="BJ86" s="73"/>
      <c r="BK86" s="73"/>
      <c r="BL86" s="73"/>
      <c r="BM86" s="73"/>
      <c r="BN86" s="73"/>
      <c r="BO86" s="73"/>
      <c r="BP86" s="73"/>
      <c r="BQ86" s="73"/>
      <c r="BR86" s="73"/>
      <c r="BS86" s="73"/>
      <c r="BT86" s="73"/>
      <c r="BU86" s="73"/>
      <c r="BV86" s="73"/>
      <c r="BW86" s="73"/>
      <c r="BX86" s="73"/>
      <c r="BY86" s="73"/>
      <c r="BZ86" s="73"/>
      <c r="CA86" s="73"/>
      <c r="CB86" s="73"/>
      <c r="CC86" s="73"/>
      <c r="CD86" s="73"/>
      <c r="CE86" s="73"/>
      <c r="CF86" s="73"/>
      <c r="CG86" s="73"/>
      <c r="CH86" s="73"/>
      <c r="CI86" s="73"/>
      <c r="CJ86" s="73"/>
      <c r="CK86" s="73"/>
      <c r="CL86" s="73"/>
      <c r="CQ86" s="73"/>
      <c r="CR86" s="73"/>
      <c r="CW86" s="133"/>
      <c r="CZ86" s="127"/>
      <c r="DA86" s="133"/>
      <c r="DB86" s="645"/>
      <c r="DD86" s="127"/>
      <c r="DN86" s="73"/>
      <c r="DP86" s="115"/>
      <c r="DT86" s="73"/>
      <c r="EF86" s="469"/>
      <c r="EI86" s="115"/>
      <c r="EM86" s="133"/>
      <c r="EN86" s="645"/>
      <c r="EO86" s="179"/>
      <c r="ES86" s="474"/>
      <c r="ET86" s="474"/>
      <c r="EY86" s="474"/>
      <c r="EZ86" s="133"/>
      <c r="FA86" s="645"/>
      <c r="FE86" s="474"/>
      <c r="FF86" s="474"/>
      <c r="FG86" s="684"/>
      <c r="FH86" s="179"/>
      <c r="FM86" s="694"/>
      <c r="FP86" s="694"/>
      <c r="FT86" s="694"/>
      <c r="FV86" s="694"/>
      <c r="FY86" s="694"/>
      <c r="JT86" s="133"/>
      <c r="JU86" s="133"/>
      <c r="KD86" s="179"/>
      <c r="KE86" s="179"/>
      <c r="KF86" s="179"/>
      <c r="KG86" s="179"/>
      <c r="KH86" s="179"/>
      <c r="KI86" s="179"/>
    </row>
    <row r="87" spans="1:295" x14ac:dyDescent="0.25">
      <c r="A87" s="4" t="s">
        <v>114</v>
      </c>
      <c r="H87" s="671">
        <f>J87+N87+Z87*(AA87+AE87)</f>
        <v>0.77500000000000002</v>
      </c>
      <c r="I87" s="671">
        <f>R87+Z87*(AI87+AP87)</f>
        <v>0.18500000000000003</v>
      </c>
      <c r="J87" s="62">
        <f>1-N87-R87-U87-X87-Z87</f>
        <v>0.67500000000000004</v>
      </c>
      <c r="K87" s="129">
        <v>0.69</v>
      </c>
      <c r="L87" s="129">
        <v>0.17</v>
      </c>
      <c r="M87" s="130">
        <v>0.14000000000000001</v>
      </c>
      <c r="N87" s="82">
        <v>0.1</v>
      </c>
      <c r="O87" s="129">
        <v>0.52</v>
      </c>
      <c r="P87" s="129">
        <v>0.16</v>
      </c>
      <c r="Q87" s="130">
        <v>0.32</v>
      </c>
      <c r="R87" s="82">
        <v>2.5000000000000001E-2</v>
      </c>
      <c r="S87" s="57">
        <f>C$22</f>
        <v>0.91829596188296059</v>
      </c>
      <c r="T87" s="57">
        <f>C$23</f>
        <v>8.1704038117039385E-2</v>
      </c>
      <c r="U87" s="39"/>
      <c r="X87" s="39"/>
      <c r="Z87" s="90">
        <v>0.2</v>
      </c>
      <c r="AA87" s="39">
        <v>0</v>
      </c>
      <c r="AB87" s="57">
        <f>C$36</f>
        <v>0.32627633176706616</v>
      </c>
      <c r="AC87" s="57">
        <f>C$35</f>
        <v>0.12306636397233511</v>
      </c>
      <c r="AD87" s="57">
        <f>C$37</f>
        <v>0.55065730426059856</v>
      </c>
      <c r="AE87" s="39">
        <v>0</v>
      </c>
      <c r="AF87" s="57">
        <f>C$40</f>
        <v>0.46292585170340678</v>
      </c>
      <c r="AG87" s="57">
        <f>C$41</f>
        <v>0.21643286573146289</v>
      </c>
      <c r="AH87" s="57">
        <f>C$42</f>
        <v>0.32064128256513025</v>
      </c>
      <c r="AI87" s="39">
        <v>0.75</v>
      </c>
      <c r="AJ87" s="131">
        <f>C$45</f>
        <v>0.66906282055683264</v>
      </c>
      <c r="AK87" s="131">
        <f>C$46</f>
        <v>2.0464179068278004E-2</v>
      </c>
      <c r="AL87" s="131">
        <f>C$47</f>
        <v>0.10457441214444914</v>
      </c>
      <c r="AM87" s="131">
        <f>C$48</f>
        <v>6.6603941068190814E-2</v>
      </c>
      <c r="AN87" s="131">
        <f>C$49</f>
        <v>3.7777291743479158E-2</v>
      </c>
      <c r="AO87" s="132">
        <f>C$50</f>
        <v>0.10151735541877024</v>
      </c>
      <c r="AP87" s="138">
        <v>0.05</v>
      </c>
      <c r="AQ87" s="131">
        <f>C$53</f>
        <v>0.27362401715511081</v>
      </c>
      <c r="AR87" s="131">
        <f>C$54</f>
        <v>0.12094353109363824</v>
      </c>
      <c r="AS87" s="131">
        <f>C$55</f>
        <v>0.60543245175125082</v>
      </c>
      <c r="AT87" s="53">
        <f>1-AA87-AE87-AI87-AP87</f>
        <v>0.2</v>
      </c>
      <c r="AU87" s="670">
        <f>Z87*AT87</f>
        <v>4.0000000000000008E-2</v>
      </c>
      <c r="AV87" s="390">
        <f>AW87*DA87/CX87</f>
        <v>4.7249999999999996</v>
      </c>
      <c r="AW87" s="72">
        <v>35</v>
      </c>
      <c r="AX87" s="73">
        <f>BA87/DA87</f>
        <v>33.6</v>
      </c>
      <c r="AY87" s="673">
        <f>AW87*DA87</f>
        <v>446.51249999999999</v>
      </c>
      <c r="AZ87" s="55">
        <f>BB87+BF87+BJ87</f>
        <v>357.21000000000004</v>
      </c>
      <c r="BA87" s="673">
        <f>AZ87+BS87+BW87+CA87+CH87</f>
        <v>428.65200000000004</v>
      </c>
      <c r="BB87" s="73">
        <f>SUM(BC87:BE87)</f>
        <v>301.3959375</v>
      </c>
      <c r="BC87" s="73">
        <f>$AY87*$J87*K87</f>
        <v>207.96319687499999</v>
      </c>
      <c r="BD87" s="73">
        <f>$AY87*$J87*L87</f>
        <v>51.237309375000002</v>
      </c>
      <c r="BE87" s="73">
        <f>$AY87*$J87*M87</f>
        <v>42.195431250000006</v>
      </c>
      <c r="BF87" s="73">
        <f>SUM(BG87:BI87)</f>
        <v>44.651250000000005</v>
      </c>
      <c r="BG87" s="73">
        <f>$AY87*$N87*O87</f>
        <v>23.218650000000004</v>
      </c>
      <c r="BH87" s="73">
        <f>$AY87*$N87*P87</f>
        <v>7.1442000000000005</v>
      </c>
      <c r="BI87" s="73">
        <f>$AY87*$N87*Q87</f>
        <v>14.288400000000001</v>
      </c>
      <c r="BJ87" s="629">
        <f>SUM(BK87:BL87)</f>
        <v>11.162812500000001</v>
      </c>
      <c r="BK87" s="73">
        <f>$AY87*$R87*S87</f>
        <v>10.250765642006638</v>
      </c>
      <c r="BL87" s="73">
        <f>$AY87*$R87*T87</f>
        <v>0.91204685799336382</v>
      </c>
      <c r="BM87" s="73"/>
      <c r="BN87" s="73"/>
      <c r="BO87" s="73"/>
      <c r="BP87" s="73"/>
      <c r="BQ87" s="73"/>
      <c r="BR87" s="68">
        <f>BS87+BW87+CA87+CH87+CL87</f>
        <v>89.302500000000009</v>
      </c>
      <c r="BS87" s="73">
        <f>SUM(BT87:BV87)</f>
        <v>0</v>
      </c>
      <c r="BT87" s="73">
        <f>$AY87*$Z87*$AA87*AC87</f>
        <v>0</v>
      </c>
      <c r="BU87" s="73">
        <f>$AY87*$Z87*$AA87*AB87</f>
        <v>0</v>
      </c>
      <c r="BV87" s="73">
        <f>$AY87*$Z87*$AA87*AD87</f>
        <v>0</v>
      </c>
      <c r="BW87" s="73">
        <f>SUM(BX87:BZ87)</f>
        <v>0</v>
      </c>
      <c r="BX87" s="73">
        <f>$AY87*$Z87*$AE87*AF87</f>
        <v>0</v>
      </c>
      <c r="BY87" s="73">
        <f>$AY87*$Z87*$AE87*AG87</f>
        <v>0</v>
      </c>
      <c r="BZ87" s="73">
        <f>$AY87*$Z87*$AE87*AH87</f>
        <v>0</v>
      </c>
      <c r="CA87" s="73">
        <f>SUM(CB87:CG87)</f>
        <v>66.976875000000007</v>
      </c>
      <c r="CB87" s="73">
        <f t="shared" ref="CB87:CG87" si="50">$AY87*$Z87*$AI87*AJ87</f>
        <v>44.811736899582414</v>
      </c>
      <c r="CC87" s="73">
        <f t="shared" si="50"/>
        <v>1.3706267634336724</v>
      </c>
      <c r="CD87" s="73">
        <f t="shared" si="50"/>
        <v>7.0040673303972527</v>
      </c>
      <c r="CE87" s="73">
        <f t="shared" si="50"/>
        <v>4.4609238354315828</v>
      </c>
      <c r="CF87" s="73">
        <f t="shared" si="50"/>
        <v>2.5302049469415357</v>
      </c>
      <c r="CG87" s="73">
        <f t="shared" si="50"/>
        <v>6.7993152242135482</v>
      </c>
      <c r="CH87" s="55">
        <f>SUM(CI87:CK87)</f>
        <v>4.4651249999999996</v>
      </c>
      <c r="CI87" s="73">
        <f>$AY87*$Z87*$AP87*AQ87</f>
        <v>1.2217654395997142</v>
      </c>
      <c r="CJ87" s="73">
        <f>$AY87*$Z87*$AP87*AR87</f>
        <v>0.54002798427448151</v>
      </c>
      <c r="CK87" s="73">
        <f>$AY87*$Z87*$AP87*AS87</f>
        <v>2.7033315761258039</v>
      </c>
      <c r="CL87" s="675">
        <f>$AY87*$Z87*AT87</f>
        <v>17.860500000000002</v>
      </c>
      <c r="CM87" s="97">
        <f>(BC87*CM$12+BD87*CM$13+BE87*CM$14+BG87*CM$17+BH87*CM$18+BI87*CM$19+BK87*CM$22+BL87*CM$23+CM$26*BN87+CM$27*BO87+CM$30*BQ87+BT87*CM$35+BU87*CM$36+BV87*CM$37+BX87*CM$40+BY87*CM$41+BZ87*CM$42+CB87*CM$45+CC87*CM$46+CD87*CM$47+CE87*CM$48+CF87*CM$49+CI87*CM$53+CJ87*CM$54+CK87*CM$55)/AY87</f>
        <v>2.8217818248939657</v>
      </c>
      <c r="CN87" s="97">
        <f>IF((BB87+BF87+BJ87+BM87)&gt;0,(BC87*CM$12+BD87*CM$13+BE87*CM$14+BG87*CM$17+BH87*CM$18+BI87*CM$19+BK87*CM$22+BL87*CM$23+CM$26*BN87+CM$27*BO87)/(BB87+BF87+BJ87+BM87),0)</f>
        <v>2.7807216062741889</v>
      </c>
      <c r="CO87" s="97">
        <f>(BT87*CM$35+BU87*CM$36+BV87*CM$37+BX87*CM$40+BY87*CM$41+BZ87*CM$42+CB87*CM$45+CC87*CM$46+CD87*CM$47+CE87*CM$48+CF87*CM$49+CI87*CM$53+CJ87*CM$54+CK87*CM$55)/(BS87+BW87+CA87+CH87)</f>
        <v>3.7325283742163364</v>
      </c>
      <c r="CP87" s="74"/>
      <c r="CQ87" s="68">
        <f>10*(CT87+CU87)/DA87</f>
        <v>98.762363871288798</v>
      </c>
      <c r="CR87" s="68"/>
      <c r="CS87" s="261">
        <f>CM87*AY87/10</f>
        <v>125.99608570879668</v>
      </c>
      <c r="CT87" s="107">
        <f>CN87*(BB87+BF87+BJ87+BM87)/10</f>
        <v>99.33015649772031</v>
      </c>
      <c r="CU87" s="107">
        <f>CO87*(BS87+BW87+CA87+CH87)/10</f>
        <v>26.665929211076353</v>
      </c>
      <c r="CX87" s="26">
        <f>DB87+DF87</f>
        <v>94.5</v>
      </c>
      <c r="CY87" s="26">
        <f t="shared" ref="CY87" si="51">DC87+DG87</f>
        <v>38.744999999999997</v>
      </c>
      <c r="CZ87" s="335">
        <f t="shared" ref="CZ87" si="52">DD87+DH87</f>
        <v>0.83160000000000001</v>
      </c>
      <c r="DA87" s="26">
        <f t="shared" ref="DA87" si="53">DE87+DI87</f>
        <v>12.7575</v>
      </c>
      <c r="DB87" s="80">
        <v>94.5</v>
      </c>
      <c r="DC87" s="37">
        <f>DB87*GG97</f>
        <v>38.744999999999997</v>
      </c>
      <c r="DD87" s="335">
        <f>DB87*GJ$97/10^3</f>
        <v>0.83160000000000001</v>
      </c>
      <c r="DE87" s="37">
        <f>DB87*GL97</f>
        <v>12.7575</v>
      </c>
      <c r="DN87" s="527">
        <f>10*'Amortization metrics'!D$4*DP87/CM87</f>
        <v>95.478005626490912</v>
      </c>
      <c r="DO87" s="263">
        <f>10*DQ87/CM87</f>
        <v>3.106240213445262</v>
      </c>
      <c r="DP87" s="272">
        <f>(BC87*DP$12+BD87*DP$13+BE87*DP$14+BG87*DP$17+BH87*DP$18+BI87*DP$19+BK87*DP$22+BL87*DP$23+DP$26*BN87+DP$27*BO87+DP$30*BQ87+BT87*DP$35+BU87*DP$36+BV87*DP$37+BX87*DP$40+BY87*DP$41+BZ87*DP$42+CB87*DP$45+CC87*DP$46+CD87*DP$47+CE87*DP$48+CF87*DP$49+CG87*DP$50+CI87*DP$53+CJ87*DP$54+CK87*DP$55)/AY87</f>
        <v>0.89806033651318606</v>
      </c>
      <c r="DQ87" s="143">
        <f>(BC87*DQ$12+BD87*DQ$13+BE87*DQ$14+BG87*DQ$17+BH87*DQ$18+BI87*DQ$19+BK87*DQ$22+BL87*DQ$23+DQ$26*BN87+DQ$27*BO87+DQ$30*BQ87+BT87*DQ$35+BU87*DQ$36+BV87*DQ$37+BX87*DQ$40+BY87*DQ$41+BZ87*DQ$42+CB87*DQ$45+CC87*DQ$46+CD87*DQ$47+CE87*DQ$48+CF87*DQ$49+CG87*DQ$50+CI87*DQ$53+CJ87*DQ$54+CK87*DQ$55)/AY87</f>
        <v>0.87651321780545921</v>
      </c>
      <c r="DR87" s="26">
        <f>DP87*$AY87/$CX87</f>
        <v>4.2433350900248037</v>
      </c>
      <c r="DS87" s="153">
        <f>DR87/$GG87</f>
        <v>10.349597780548303</v>
      </c>
      <c r="DT87" s="676">
        <f>DP87*$AY87/$CZ87</f>
        <v>482.19716932100044</v>
      </c>
      <c r="DU87" s="677">
        <f>DP87*$AY87/$DA87</f>
        <v>31.432111777961509</v>
      </c>
      <c r="DV87" s="26">
        <f>DQ87*$AY87/$CX87</f>
        <v>4.1415249541307944</v>
      </c>
      <c r="DW87" s="153">
        <f>DV87/$GG87</f>
        <v>10.101280375928768</v>
      </c>
      <c r="DX87" s="676">
        <f>DQ87*$AY87/$CZ87</f>
        <v>470.62783569668119</v>
      </c>
      <c r="DY87" s="677">
        <f>DQ87*$AY87/$DA87</f>
        <v>30.677962623191071</v>
      </c>
      <c r="DZ87" s="678">
        <f>(BC87*DZ$12+BD87*DZ$13+BE87*DZ$14+BG87*DZ$17+BH87*DZ$18+BI87*DZ$19+BK87*DZ$22+BL87*DZ$23+DZ$26*BN87+DZ$27*BO87+DZ$30*BQ87+BT87*DZ$35+BU87*DZ$36+BV87*DZ$37+BX87*DZ$40+BY87*DZ$41+BZ87*DZ$42+CB87*DZ$45+CC87*DZ$46+CD87*DZ$47+CE87*DZ$48+CF87*DZ$49+CG87*DZ$50+CI87*DZ$53+CJ87*DZ$54+CK87*DZ$55)/AY87</f>
        <v>1.745494635672741</v>
      </c>
      <c r="EA87" s="26">
        <f>DZ87*$AY87/$CX87</f>
        <v>8.2474621535537018</v>
      </c>
      <c r="EB87" s="676">
        <f>DZ87*$AY87/$CZ87</f>
        <v>937.21160835837509</v>
      </c>
      <c r="EC87" s="677">
        <f>DZ87*$AY87/$DA87</f>
        <v>61.09231224854593</v>
      </c>
      <c r="ED87" s="410">
        <f>(BC87*ED$12+BD87*ED$13+BE87*ED$14+BG87*ED$17+BH87*ED$18+BI87*ED$19+BK87*ED$22+BL87*ED$23+ED$26*BN87+ED$27*BO87+ED$30*BQ87+BT87*ED$35+BU87*ED$36+BV87*ED$37+BX87*ED$40+BY87*ED$41+BZ87*ED$42+CB87*ED$45+CC87*ED$46+CD87*ED$47+CE87*ED$48+CF87*ED$49+CG87*ED$50+CI87*ED$53+CJ87*ED$54+CK87*ED$55)/AY87</f>
        <v>0.16883953128717563</v>
      </c>
      <c r="EE87" s="73">
        <f>ED87*$AY87</f>
        <v>75.388961213865002</v>
      </c>
      <c r="EF87" s="127">
        <f>ED87*$AY87/$CX87</f>
        <v>0.79776678533190482</v>
      </c>
      <c r="EG87" s="153">
        <f>EF87/$GG87</f>
        <v>1.9457726471509875</v>
      </c>
      <c r="EH87" s="679">
        <f>ED87*$AY87/$CZ87</f>
        <v>90.655316514989181</v>
      </c>
      <c r="EI87" s="110">
        <f>ED87*$AY87/$DA87</f>
        <v>5.9093835950511462</v>
      </c>
      <c r="EJ87" s="410">
        <f>EK87+EL87+EM87</f>
        <v>0.51439620097161332</v>
      </c>
      <c r="EK87" s="127">
        <f>(BC87*EK$12+BD87*EK$13+BE87*EK$14+BG87*EK$17+BH87*EK$18+BI87*EK$19+BK87*EK$22+BL87*EK$23+EK$26*BN87+EK$27*BO87+EK$30*BQ87+BT87*EK$35+BU87*EK$36+BV87*EK$37+BX87*EK$40+BY87*EK$41+BZ87*EK$42+CB87*EK$45+CC87*EK$46+CD87*EK$47+CE87*EK$48+CF87*EK$49+CG87*EK$50+CI87*EK$53+CJ87*EK$54+CK87*EK$55)/AY87</f>
        <v>0.31220059567288261</v>
      </c>
      <c r="EL87" s="127">
        <f>(BC87*EL$12+BD87*EL$13+BE87*EL$14+BG87*EL$17+BH87*EL$18+BI87*EL$19+BK87*EL$22+BL87*EL$23+EL$26*BN87+EL$27*BO87+EL$30*BQ87+BT87*EL$35+BU87*EL$36+BV87*EL$37+BX87*EL$40+BY87*EL$41+BZ87*EL$42+CB87*EL$45+CC87*EL$46+CD87*EL$47+CE87*EL$48+CF87*EL$49+CG87*EL$50+CI87*EL$53+CJ87*EL$54+CK87*EL$55)/AY87</f>
        <v>0.19841688690036391</v>
      </c>
      <c r="EM87" s="127">
        <f>(BC87*EM$12+BD87*EM$13+BE87*EM$14+BG87*EM$17+BH87*EM$18+BI87*EM$19+BK87*EM$22+BL87*EM$23+EM$26*BN87+EM$27*BO87+EM$30*BQ87+BT87*EM$35+BU87*EM$36+BV87*EM$37+BX87*EM$40+BY87*EM$41+BZ87*EM$42+CB87*EM$45+CC87*EM$46+CD87*EM$47+CE87*EM$48+CF87*EM$49+CG87*EM$50+CI87*EM$53+CJ87*EM$54+CK87*EM$55)/AY87</f>
        <v>3.7787183983667223E-3</v>
      </c>
      <c r="EN87" s="73">
        <f>ES87+ET87+EU87+EV87+EW87+EX87+EY87+EZ87</f>
        <v>515.79351211990104</v>
      </c>
      <c r="EO87" s="390">
        <f>EN87/CX87</f>
        <v>5.4581324033851963</v>
      </c>
      <c r="EP87" s="153">
        <f>EO87/$GG87</f>
        <v>13.312518057037066</v>
      </c>
      <c r="EQ87" s="73">
        <f>EN87/CZ87</f>
        <v>620.24231856649953</v>
      </c>
      <c r="ER87" s="696">
        <f>EN87/DA87</f>
        <v>40.430610395445896</v>
      </c>
      <c r="ES87" s="73">
        <f>FE87*$DA87</f>
        <v>139.40146847538799</v>
      </c>
      <c r="ET87" s="73">
        <f>FG87*$DA87</f>
        <v>88.595620212098751</v>
      </c>
      <c r="EU87" s="73">
        <f>FJ87*$DA87</f>
        <v>1.687244998850721</v>
      </c>
      <c r="EV87" s="73">
        <f>FM87*$DA87</f>
        <v>45.057600000000001</v>
      </c>
      <c r="EW87" s="73">
        <f>FP87*$DA87</f>
        <v>25.156878433563659</v>
      </c>
      <c r="EX87" s="73">
        <f>FT87*$DA87</f>
        <v>17.009999999999998</v>
      </c>
      <c r="EY87" s="73">
        <f>FV87*$DA87</f>
        <v>47.873699999999999</v>
      </c>
      <c r="EZ87" s="73">
        <f>FY87*$DA87</f>
        <v>151.011</v>
      </c>
      <c r="FA87" s="73">
        <f>ES87+ET87+EU87</f>
        <v>229.68433368633745</v>
      </c>
      <c r="FB87" s="91">
        <f>FA87/CX87</f>
        <v>2.4305220495908726</v>
      </c>
      <c r="FC87" s="73">
        <f>FA87/DA87</f>
        <v>18.003867034006461</v>
      </c>
      <c r="FD87" s="213">
        <f>EK87*$AY87/$CX87</f>
        <v>1.4751478145543702</v>
      </c>
      <c r="FE87" s="73">
        <f>FD87*$DB87/$DA87</f>
        <v>10.927020848550891</v>
      </c>
      <c r="FF87" s="115">
        <f>ET87/$DB87</f>
        <v>0.93751979060421964</v>
      </c>
      <c r="FG87" s="483">
        <f>'Amortization metrics'!$B$6*FH87*$DB87/$DA87/10^3</f>
        <v>6.9445910415127372</v>
      </c>
      <c r="FH87" s="680">
        <f>10^3*EL87*$AY87/$CX87/'Amortization metrics'!$B$6</f>
        <v>3.1460395657859719</v>
      </c>
      <c r="FI87" s="73">
        <f>EU87/$DB87</f>
        <v>1.7854444432282762E-2</v>
      </c>
      <c r="FJ87" s="681">
        <f>'Amortization metrics'!$B$5*FK87*$DB87/$DA87/10^3</f>
        <v>0.13225514394283527</v>
      </c>
      <c r="FK87" s="682">
        <f>10^3*EM87*$AY87/$CX87/'Amortization metrics'!$B$5</f>
        <v>0.5251307185965518</v>
      </c>
      <c r="FL87" s="115">
        <f>EV87/$DB87</f>
        <v>0.4768</v>
      </c>
      <c r="FM87" s="483">
        <f>'Amortization metrics'!$B$6*FN87*$DB87/$DA87/10^3</f>
        <v>3.5318518518518518</v>
      </c>
      <c r="FN87" s="84">
        <v>1.6</v>
      </c>
      <c r="FO87" s="115">
        <f>EW87/$DB87</f>
        <v>0.26621035379432445</v>
      </c>
      <c r="FP87" s="681">
        <f>'Amortization metrics'!$B$5*FR87*$DB87/$DA87/10^3</f>
        <v>1.9719285466246255</v>
      </c>
      <c r="FQ87" s="82">
        <v>5.0000000000000001E-3</v>
      </c>
      <c r="FR87" s="115">
        <f>10^3*FQ87*AY87*GI87/55.7/DB87</f>
        <v>7.8297162880683651</v>
      </c>
      <c r="FS87" s="687">
        <v>0.18</v>
      </c>
      <c r="FT87" s="115">
        <f>FS87*$DB87/$DA87</f>
        <v>1.333333333333333</v>
      </c>
      <c r="FU87" s="127">
        <f>EY87/$DB87</f>
        <v>0.50659999999999994</v>
      </c>
      <c r="FV87" s="483">
        <f>'Amortization metrics'!$B$6*FW87*$DB87/$DA87/10^3</f>
        <v>3.7525925925925923</v>
      </c>
      <c r="FW87" s="80">
        <v>1.7</v>
      </c>
      <c r="FX87" s="115">
        <f>EZ87/$DB87</f>
        <v>1.5979999999999999</v>
      </c>
      <c r="FY87" s="483">
        <f>'Amortization metrics'!$B$5*FZ87*$DB87/$DA87/10^3</f>
        <v>11.837037037037037</v>
      </c>
      <c r="FZ87" s="80">
        <v>47</v>
      </c>
      <c r="GA87" s="73">
        <f>DR87*44/12+EF87+EO87</f>
        <v>21.81479451880805</v>
      </c>
      <c r="GB87" s="677">
        <f>DT87*44/12+EH87+EQ87</f>
        <v>2478.9539225918238</v>
      </c>
      <c r="GC87" s="676">
        <f>DU87*44/12+EI87+ER87</f>
        <v>161.59107050968925</v>
      </c>
      <c r="GD87" s="73">
        <f>DV87*44/12+EF87+EO87</f>
        <v>21.441490687196683</v>
      </c>
      <c r="GE87" s="677">
        <f>DW87*44/12+EH87+EQ87</f>
        <v>747.93566312656083</v>
      </c>
      <c r="GF87" s="676">
        <f>DY87*44/12+EI87+ER87</f>
        <v>158.82585694219762</v>
      </c>
      <c r="GG87" s="52">
        <f>GG97</f>
        <v>0.41</v>
      </c>
      <c r="GI87" s="26">
        <f>(BC87*GI$12+BD87*GI$13+BE87*GI$14+BG87*GI$17+BH87*GI$18+BI87*GI$19+BK87*GI$22+BL87*GI$23+GI$26*BN87+GI$27*BO87+GI$30*BQ87+BT87*GI$35+BU87*GI$36+BV87*GI$37+BX87*GI$40+BY87*GI$41+BZ87*GI$42+CB87*GI$45+CC87*GI$46+CD87*GI$47+CE87*GI$48+CF87*GI$49+CI87*GI$53+CJ87*GI$54+CK87*GI$55+CL87*GI$58)/AY87</f>
        <v>18.459902528906156</v>
      </c>
      <c r="GM87" s="683">
        <f>(BC87*GM$12+BD87*GM$13+BE87*GM$14+BG87*GM$17+BH87*GM$18+BI87*GM$19+BK87*GM$22+BL87*GM$23+GM$26*BN87+GM$27*BO87+GM$30*BQ87+BT87*GM$35+BU87*GM$36+BV87*GM$37+BX87*GM$40+BY87*GM$41+BZ87*GM$42+CB87*GM$45+CC87*GM$46+CD87*GM$47+CE87*GM$48+CF87*GM$49+CI87*GM$53+CJ87*GM$54+CK87*GM$55+CL87*GM$58)/AY87</f>
        <v>0.1558969661077067</v>
      </c>
    </row>
    <row r="88" spans="1:295" x14ac:dyDescent="0.25">
      <c r="A88" s="4"/>
      <c r="H88" s="40"/>
      <c r="I88" s="40"/>
      <c r="R88" s="52"/>
      <c r="AT88" s="74"/>
      <c r="AW88" s="55"/>
      <c r="AY88" s="55"/>
      <c r="AZ88" s="55"/>
      <c r="BA88" s="55"/>
      <c r="BB88" s="73"/>
      <c r="BC88" s="73"/>
      <c r="BD88" s="73"/>
      <c r="BE88" s="73"/>
      <c r="BF88" s="55"/>
      <c r="BG88" s="73"/>
      <c r="BH88" s="73"/>
      <c r="BI88" s="73"/>
      <c r="BJ88" s="73"/>
      <c r="BK88" s="73"/>
      <c r="BL88" s="73"/>
      <c r="BM88" s="73"/>
      <c r="BN88" s="73"/>
      <c r="BO88" s="73"/>
      <c r="BP88" s="73"/>
      <c r="BQ88" s="73"/>
      <c r="BR88" s="73"/>
      <c r="BS88" s="55"/>
      <c r="BT88" s="73"/>
      <c r="BU88" s="73"/>
      <c r="BV88" s="73"/>
      <c r="BW88" s="55"/>
      <c r="BX88" s="73"/>
      <c r="BY88" s="73"/>
      <c r="BZ88" s="73"/>
      <c r="CA88" s="73"/>
      <c r="CB88" s="73"/>
      <c r="CC88" s="73"/>
      <c r="CD88" s="73"/>
      <c r="CE88" s="73"/>
      <c r="CF88" s="73"/>
      <c r="CG88" s="73"/>
      <c r="CH88" s="73"/>
      <c r="CI88" s="73"/>
      <c r="CJ88" s="73"/>
      <c r="CK88" s="73"/>
      <c r="CL88" s="73"/>
      <c r="CM88" s="74"/>
      <c r="CN88" s="74"/>
      <c r="CO88" s="74"/>
      <c r="CP88" s="74"/>
      <c r="CQ88" s="55"/>
      <c r="CR88" s="55"/>
      <c r="CZ88" s="335"/>
      <c r="DA88" s="133"/>
      <c r="DB88" s="645"/>
      <c r="DD88" s="335"/>
      <c r="DN88" s="73"/>
      <c r="DO88" s="115"/>
      <c r="DP88" s="115"/>
      <c r="DT88" s="55"/>
      <c r="ED88" s="335"/>
      <c r="EE88" s="127"/>
      <c r="EF88" s="469"/>
      <c r="EH88" s="74"/>
      <c r="EI88" s="115"/>
      <c r="EK88" s="127"/>
      <c r="EL88" s="127"/>
      <c r="EO88" s="179"/>
      <c r="EP88" s="37"/>
      <c r="ES88" s="474"/>
      <c r="ET88" s="474"/>
      <c r="FE88" s="474"/>
      <c r="FF88" s="474"/>
      <c r="FG88" s="684"/>
      <c r="FH88" s="179"/>
      <c r="FI88" s="474"/>
      <c r="FJ88" s="73"/>
      <c r="FL88" s="474"/>
      <c r="FM88" s="694"/>
      <c r="FO88" s="474"/>
      <c r="FT88" s="694"/>
      <c r="FU88" s="474"/>
      <c r="FV88" s="694"/>
      <c r="FX88" s="474"/>
      <c r="FY88" s="694"/>
    </row>
    <row r="89" spans="1:295" x14ac:dyDescent="0.25">
      <c r="A89" s="4" t="s">
        <v>518</v>
      </c>
      <c r="H89" s="671">
        <f>J89+N89+Z89*(AA89+AE89)</f>
        <v>0.74</v>
      </c>
      <c r="I89" s="671">
        <f>R89+Z89*(AI89+AP89)</f>
        <v>0.26</v>
      </c>
      <c r="J89" s="62">
        <f>1-N89-R89-U89-X89-Z89</f>
        <v>0.74</v>
      </c>
      <c r="K89" s="129">
        <v>0.69</v>
      </c>
      <c r="L89" s="129">
        <v>0.17</v>
      </c>
      <c r="M89" s="130">
        <v>0.14000000000000001</v>
      </c>
      <c r="N89" s="39">
        <v>0</v>
      </c>
      <c r="O89" s="129">
        <v>0.52</v>
      </c>
      <c r="P89" s="129">
        <v>0.16</v>
      </c>
      <c r="Q89" s="130">
        <v>0.32</v>
      </c>
      <c r="R89" s="82">
        <v>0.06</v>
      </c>
      <c r="S89" s="57">
        <f>C$22</f>
        <v>0.91829596188296059</v>
      </c>
      <c r="T89" s="57">
        <f>C$23</f>
        <v>8.1704038117039385E-2</v>
      </c>
      <c r="U89" s="39"/>
      <c r="X89" s="39"/>
      <c r="Z89" s="90">
        <v>0.2</v>
      </c>
      <c r="AA89" s="39">
        <v>0</v>
      </c>
      <c r="AB89" s="57">
        <f>C$36</f>
        <v>0.32627633176706616</v>
      </c>
      <c r="AC89" s="57">
        <f>C$35</f>
        <v>0.12306636397233511</v>
      </c>
      <c r="AD89" s="57">
        <f>C$37</f>
        <v>0.55065730426059856</v>
      </c>
      <c r="AE89" s="39">
        <v>0</v>
      </c>
      <c r="AF89" s="57">
        <f>C$40</f>
        <v>0.46292585170340678</v>
      </c>
      <c r="AG89" s="57">
        <f>C$41</f>
        <v>0.21643286573146289</v>
      </c>
      <c r="AH89" s="57">
        <f>C$42</f>
        <v>0.32064128256513025</v>
      </c>
      <c r="AI89" s="39">
        <v>1</v>
      </c>
      <c r="AJ89" s="131">
        <f>C$45</f>
        <v>0.66906282055683264</v>
      </c>
      <c r="AK89" s="131">
        <f>C$46</f>
        <v>2.0464179068278004E-2</v>
      </c>
      <c r="AL89" s="131">
        <f>C$47</f>
        <v>0.10457441214444914</v>
      </c>
      <c r="AM89" s="131">
        <f>C$48</f>
        <v>6.6603941068190814E-2</v>
      </c>
      <c r="AN89" s="131">
        <f>C$49</f>
        <v>3.7777291743479158E-2</v>
      </c>
      <c r="AO89" s="132">
        <f>C$50</f>
        <v>0.10151735541877024</v>
      </c>
      <c r="AP89" s="39">
        <v>0</v>
      </c>
      <c r="AQ89" s="131">
        <f>C$53</f>
        <v>0.27362401715511081</v>
      </c>
      <c r="AR89" s="131">
        <f>C$54</f>
        <v>0.12094353109363824</v>
      </c>
      <c r="AS89" s="131">
        <f>C$55</f>
        <v>0.60543245175125082</v>
      </c>
      <c r="AT89" s="53">
        <f>1-AA89-AE89-AI89-AP89</f>
        <v>0</v>
      </c>
      <c r="AU89" s="671">
        <f>Z89*AT89</f>
        <v>0</v>
      </c>
      <c r="AV89" s="390">
        <f>AW89*DA89/CX89</f>
        <v>3.3074999999999997</v>
      </c>
      <c r="AW89" s="72">
        <v>24.5</v>
      </c>
      <c r="AX89" s="73">
        <f>BA89/DA89</f>
        <v>24.5</v>
      </c>
      <c r="AY89" s="673">
        <f>AW89*DA89</f>
        <v>267.24599999999998</v>
      </c>
      <c r="AZ89" s="55">
        <f>BB89+BF89+BJ89</f>
        <v>213.79679999999999</v>
      </c>
      <c r="BA89" s="673">
        <f>AZ89+BS89+BW89+CA89+CH89</f>
        <v>267.24599999999998</v>
      </c>
      <c r="BB89" s="73">
        <f>SUM(BC89:BE89)</f>
        <v>197.76203999999998</v>
      </c>
      <c r="BC89" s="73">
        <f>$AY89*$J89*K89</f>
        <v>136.45580759999999</v>
      </c>
      <c r="BD89" s="73">
        <f>$AY89*$J89*L89</f>
        <v>33.619546800000002</v>
      </c>
      <c r="BE89" s="73">
        <f>$AY89*$J89*M89</f>
        <v>27.686685600000001</v>
      </c>
      <c r="BF89" s="55">
        <f>SUM(BG89:BI89)</f>
        <v>0</v>
      </c>
      <c r="BG89" s="73">
        <f>$AY89*$N89*O89</f>
        <v>0</v>
      </c>
      <c r="BH89" s="73">
        <f>$AY89*$N89*P89</f>
        <v>0</v>
      </c>
      <c r="BI89" s="73">
        <f>$AY89*$N89*Q89</f>
        <v>0</v>
      </c>
      <c r="BJ89" s="629">
        <f>SUM(BK89:BL89)</f>
        <v>16.034759999999999</v>
      </c>
      <c r="BK89" s="73">
        <f>$AY89*$R89*S89</f>
        <v>14.724655357762419</v>
      </c>
      <c r="BL89" s="73">
        <f>$AY89*$R89*T89</f>
        <v>1.3101046422375784</v>
      </c>
      <c r="BM89" s="73"/>
      <c r="BN89" s="73"/>
      <c r="BO89" s="73"/>
      <c r="BP89" s="73"/>
      <c r="BQ89" s="73"/>
      <c r="BR89" s="68">
        <f>BS89+BW89+CA89+CH89+CL89</f>
        <v>53.449199999999998</v>
      </c>
      <c r="BS89" s="55">
        <f>SUM(BT89:BV89)</f>
        <v>0</v>
      </c>
      <c r="BT89" s="73">
        <f>$AY89*$Z89*$AA89*AC89</f>
        <v>0</v>
      </c>
      <c r="BU89" s="73">
        <f>$AY89*$Z89*$AA89*AB89</f>
        <v>0</v>
      </c>
      <c r="BV89" s="73">
        <f>$AY89*$Z89*$AA89*AD89</f>
        <v>0</v>
      </c>
      <c r="BW89" s="55">
        <f>SUM(BX89:BZ89)</f>
        <v>0</v>
      </c>
      <c r="BX89" s="73">
        <f>$AY89*$Z89*$AE89*AF89</f>
        <v>0</v>
      </c>
      <c r="BY89" s="73">
        <f>$AY89*$Z89*$AE89*AG89</f>
        <v>0</v>
      </c>
      <c r="BZ89" s="73">
        <f>$AY89*$Z89*$AE89*AH89</f>
        <v>0</v>
      </c>
      <c r="CA89" s="73">
        <f>SUM(CB89:CG89)</f>
        <v>53.449199999999998</v>
      </c>
      <c r="CB89" s="73">
        <f t="shared" ref="CB89:CG89" si="54">$AY89*$Z89*$AI89*AJ89</f>
        <v>35.76087250850626</v>
      </c>
      <c r="CC89" s="73">
        <f t="shared" si="54"/>
        <v>1.0937939998562047</v>
      </c>
      <c r="CD89" s="73">
        <f t="shared" si="54"/>
        <v>5.5894186695910903</v>
      </c>
      <c r="CE89" s="73">
        <f t="shared" si="54"/>
        <v>3.5599273669419444</v>
      </c>
      <c r="CF89" s="73">
        <f t="shared" si="54"/>
        <v>2.019166021855566</v>
      </c>
      <c r="CG89" s="73">
        <f t="shared" si="54"/>
        <v>5.426021433248934</v>
      </c>
      <c r="CH89" s="55">
        <f>SUM(CI89:CK89)</f>
        <v>0</v>
      </c>
      <c r="CI89" s="73">
        <f>$AY89*$Z89*$AP89*AQ89</f>
        <v>0</v>
      </c>
      <c r="CJ89" s="73">
        <f>$AY89*$Z89*$AP89*AR89</f>
        <v>0</v>
      </c>
      <c r="CK89" s="73">
        <f>$AY89*$Z89*$AP89*AS89</f>
        <v>0</v>
      </c>
      <c r="CL89" s="675">
        <f>$AY89*$Z89*AT89</f>
        <v>0</v>
      </c>
      <c r="CM89" s="97">
        <f>(BC89*CM$12+BD89*CM$13+BE89*CM$14+BG89*CM$17+BH89*CM$18+BI89*CM$19+BK89*CM$22+BL89*CM$23+CM$26*BN89+CM$27*BO89+CM$30*BQ89+BT89*CM$35+BU89*CM$36+BV89*CM$37+BX89*CM$40+BY89*CM$41+BZ89*CM$42+CB89*CM$45+CC89*CM$46+CD89*CM$47+CE89*CM$48+CF89*CM$49+CI89*CM$53+CJ89*CM$54+CK89*CM$55)/AY89</f>
        <v>3.0779683352369562</v>
      </c>
      <c r="CN89" s="97">
        <f>IF((BB89+BF89+BJ89+BM89)&gt;0,(BC89*CM$12+BD89*CM$13+BE89*CM$14+BG89*CM$17+BH89*CM$18+BI89*CM$19+BK89*CM$22+BL89*CM$23+CM$26*BN89+CM$27*BO89)/(BB89+BF89+BJ89+BM89),0)</f>
        <v>2.929697709117717</v>
      </c>
      <c r="CO89" s="97">
        <f>(BT89*CM$35+BU89*CM$36+BV89*CM$37+BX89*CM$40+BY89*CM$41+BZ89*CM$42+CB89*CM$45+CC89*CM$46+CD89*CM$47+CE89*CM$48+CF89*CM$49+CI89*CM$53+CJ89*CM$54+CK89*CM$55)/(BS89+BW89+CA89+CH89)</f>
        <v>3.6710508397139114</v>
      </c>
      <c r="CP89" s="74"/>
      <c r="CQ89" s="68">
        <f>10*(CT89+CU89)/DA89</f>
        <v>75.410224213305426</v>
      </c>
      <c r="CR89" s="68"/>
      <c r="CS89" s="261">
        <f>CM89*AY89/10</f>
        <v>82.257472571873549</v>
      </c>
      <c r="CT89" s="107">
        <f>CN89*(BB89+BF89+BJ89+BM89)/10</f>
        <v>62.635999517669873</v>
      </c>
      <c r="CU89" s="107">
        <f>CO89*(BS89+BW89+CA89+CH89)/10</f>
        <v>19.62147305420368</v>
      </c>
      <c r="CX89" s="26">
        <f>DB89+DF89</f>
        <v>80.8</v>
      </c>
      <c r="CY89" s="26">
        <f t="shared" ref="CY89" si="55">DC89+DG89</f>
        <v>32.32</v>
      </c>
      <c r="CZ89" s="335">
        <f t="shared" ref="CZ89" si="56">DD89+DH89</f>
        <v>0.58175999999999994</v>
      </c>
      <c r="DA89" s="26">
        <f t="shared" ref="DA89" si="57">DE89+DI89</f>
        <v>10.907999999999999</v>
      </c>
      <c r="DB89" s="80">
        <v>80.8</v>
      </c>
      <c r="DC89" s="37">
        <f>DB89*GG98</f>
        <v>32.32</v>
      </c>
      <c r="DD89" s="335">
        <f>DB89*GJ$98/10^3</f>
        <v>0.58175999999999994</v>
      </c>
      <c r="DE89" s="26">
        <f>DB89*GL98</f>
        <v>10.907999999999999</v>
      </c>
      <c r="DN89" s="527">
        <f>10*'Amortization metrics'!D$4*DP89/CM89</f>
        <v>94.52162400116201</v>
      </c>
      <c r="DO89" s="263">
        <f>10*DQ89/CM89</f>
        <v>3.0921994328677291</v>
      </c>
      <c r="DP89" s="272">
        <f>(BC89*DP$12+BD89*DP$13+BE89*DP$14+BG89*DP$17+BH89*DP$18+BI89*DP$19+BK89*DP$22+BL89*DP$23+DP$26*BN89+DP$27*BO89+DP$30*BQ89+BT89*DP$35+BU89*DP$36+BV89*DP$37+BX89*DP$40+BY89*DP$41+BZ89*DP$42+CB89*DP$45+CC89*DP$46+CD89*DP$47+CE89*DP$48+CF89*DP$49+CG89*DP$50+CI89*DP$53+CJ89*DP$54+CK89*DP$55)/AY89</f>
        <v>0.96978188556916711</v>
      </c>
      <c r="DQ89" s="143">
        <f>(BC89*DQ$12+BD89*DQ$13+BE89*DQ$14+BG89*DQ$17+BH89*DQ$18+BI89*DQ$19+BK89*DQ$22+BL89*DQ$23+DQ$26*BN89+DQ$27*BO89+DQ$30*BQ89+BT89*DQ$35+BU89*DQ$36+BV89*DQ$37+BX89*DQ$40+BY89*DQ$41+BZ89*DQ$42+CB89*DQ$45+CC89*DQ$46+CD89*DQ$47+CE89*DQ$48+CF89*DQ$49+CG89*DQ$50+CI89*DQ$53+CJ89*DQ$54+CK89*DQ$55)/AY89</f>
        <v>0.95176919406045446</v>
      </c>
      <c r="DR89" s="26">
        <f>DP89*$AY89/$CX89</f>
        <v>3.20755358652002</v>
      </c>
      <c r="DS89" s="153">
        <f>DR89/$GG89</f>
        <v>8.0188839663000486</v>
      </c>
      <c r="DT89" s="676">
        <f>DP89*$AY89/$CZ89</f>
        <v>445.49355368333613</v>
      </c>
      <c r="DU89" s="677">
        <f>DP89*$AY89/$DA89</f>
        <v>23.759656196444595</v>
      </c>
      <c r="DV89" s="26">
        <f>DQ89*$AY89/$CX89</f>
        <v>3.147976609354953</v>
      </c>
      <c r="DW89" s="153">
        <f>DV89/$GG89</f>
        <v>7.8699415233873822</v>
      </c>
      <c r="DX89" s="676">
        <f>DQ89*$AY89/$CZ89</f>
        <v>437.21897352152132</v>
      </c>
      <c r="DY89" s="677">
        <f>DQ89*$AY89/$DA89</f>
        <v>23.318345254481134</v>
      </c>
      <c r="DZ89" s="678">
        <f>(BC89*DZ$12+BD89*DZ$13+BE89*DZ$14+BG89*DZ$17+BH89*DZ$18+BI89*DZ$19+BK89*DZ$22+BL89*DZ$23+DZ$26*BN89+DZ$27*BO89+DZ$30*BQ89+BT89*DZ$35+BU89*DZ$36+BV89*DZ$37+BX89*DZ$40+BY89*DZ$41+BZ89*DZ$42+CB89*DZ$45+CC89*DZ$46+CD89*DZ$47+CE89*DZ$48+CF89*DZ$49+CG89*DZ$50+CI89*DZ$53+CJ89*DZ$54+CK89*DZ$55)/AY89</f>
        <v>1.8953599202879516</v>
      </c>
      <c r="EA89" s="26">
        <f>DZ89*$AY89/$CX89</f>
        <v>6.2689029363523998</v>
      </c>
      <c r="EB89" s="676">
        <f>DZ89*$AY89/$CZ89</f>
        <v>870.68096338227781</v>
      </c>
      <c r="EC89" s="677">
        <f>DZ89*$AY89/$DA89</f>
        <v>46.436318047054812</v>
      </c>
      <c r="ED89" s="410">
        <f>(BC89*ED$12+BD89*ED$13+BE89*ED$14+BG89*ED$17+BH89*ED$18+BI89*ED$19+BK89*ED$22+BL89*ED$23+ED$26*BN89+ED$27*BO89+ED$30*BQ89+BT89*ED$35+BU89*ED$36+BV89*ED$37+BX89*ED$40+BY89*ED$41+BZ89*ED$42+CB89*ED$45+CC89*ED$46+CD89*ED$47+CE89*ED$48+CF89*ED$49+CG89*ED$50+CI89*ED$53+CJ89*ED$54+CK89*ED$55)/AY89</f>
        <v>0.15980535365960363</v>
      </c>
      <c r="EE89" s="73">
        <f>ED89*$AY89</f>
        <v>42.707341544114428</v>
      </c>
      <c r="EF89" s="127">
        <f>ED89*$AY89/$CX89</f>
        <v>0.52855620722913899</v>
      </c>
      <c r="EG89" s="153">
        <f>EF89/$GG89</f>
        <v>1.3213905180728474</v>
      </c>
      <c r="EH89" s="679">
        <f>ED89*$AY89/$CZ89</f>
        <v>73.410584337380413</v>
      </c>
      <c r="EI89" s="110">
        <f>ED89*$AY89/$DA89</f>
        <v>3.9152311646602889</v>
      </c>
      <c r="EJ89" s="410">
        <f>EK89+EL89+EM89</f>
        <v>0.55803689209366625</v>
      </c>
      <c r="EK89" s="127">
        <f>(BC89*EK$12+BD89*EK$13+BE89*EK$14+BG89*EK$17+BH89*EK$18+BI89*EK$19+BK89*EK$22+BL89*EK$23+EK$26*BN89+EK$27*BO89+EK$30*BQ89+BT89*EK$35+BU89*EK$36+BV89*EK$37+BX89*EK$40+BY89*EK$41+BZ89*EK$42+CB89*EK$45+CC89*EK$46+CD89*EK$47+CE89*EK$48+CF89*EK$49+CG89*EK$50+CI89*EK$53+CJ89*EK$54+CK89*EK$55)/AY89</f>
        <v>0.33973919070145858</v>
      </c>
      <c r="EL89" s="127">
        <f>(BC89*EL$12+BD89*EL$13+BE89*EL$14+BG89*EL$17+BH89*EL$18+BI89*EL$19+BK89*EL$22+BL89*EL$23+EL$26*BN89+EL$27*BO89+EL$30*BQ89+BT89*EL$35+BU89*EL$36+BV89*EL$37+BX89*EL$40+BY89*EL$41+BZ89*EL$42+CB89*EL$45+CC89*EL$46+CD89*EL$47+CE89*EL$48+CF89*EL$49+CG89*EL$50+CI89*EL$53+CJ89*EL$54+CK89*EL$55)/AY89</f>
        <v>0.21365298281293307</v>
      </c>
      <c r="EM89" s="127">
        <f>(BC89*EM$12+BD89*EM$13+BE89*EM$14+BG89*EM$17+BH89*EM$18+BI89*EM$19+BK89*EM$22+BL89*EM$23+EM$26*BN89+EM$27*BO89+EM$30*BQ89+BT89*EM$35+BU89*EM$36+BV89*EM$37+BX89*EM$40+BY89*EM$41+BZ89*EM$42+CB89*EM$45+CC89*EM$46+CD89*EM$47+CE89*EM$48+CF89*EM$49+CG89*EM$50+CI89*EM$53+CJ89*EM$54+CK89*EM$55)/AY89</f>
        <v>4.6447185792746733E-3</v>
      </c>
      <c r="EN89" s="73">
        <f>ES89+ET89+EU89+EV89+EW89+EX89+EY89+EZ89</f>
        <v>300.79472726446386</v>
      </c>
      <c r="EO89" s="390">
        <f>EN89/CX89</f>
        <v>3.7227070205998003</v>
      </c>
      <c r="EP89" s="153">
        <f>EO89/$GG89</f>
        <v>9.306767551499501</v>
      </c>
      <c r="EQ89" s="73">
        <f>EN89/CZ89</f>
        <v>517.04264174997229</v>
      </c>
      <c r="ER89" s="696">
        <f>EN89/DA89</f>
        <v>27.57560755999852</v>
      </c>
      <c r="ES89" s="73">
        <f>FE89*$DA89</f>
        <v>90.793939758202001</v>
      </c>
      <c r="ET89" s="73">
        <f>FG89*$DA89</f>
        <v>57.097905044825097</v>
      </c>
      <c r="EU89" s="73">
        <f>FJ89*$DA89</f>
        <v>1.2412824614368394</v>
      </c>
      <c r="EV89" s="73">
        <f>FM89*$DA89</f>
        <v>96.313599999999994</v>
      </c>
      <c r="EW89" s="73"/>
      <c r="EX89" s="73">
        <f>FT89*$DA89</f>
        <v>32.32</v>
      </c>
      <c r="EY89" s="73">
        <f>FV89*$DA89</f>
        <v>12.039199999999999</v>
      </c>
      <c r="EZ89" s="73">
        <f>FY89*$DA89</f>
        <v>10.988799999999998</v>
      </c>
      <c r="FA89" s="73">
        <f>ES89+ET89+EU89</f>
        <v>149.13312726446392</v>
      </c>
      <c r="FB89" s="91">
        <f>FA89/CX89</f>
        <v>1.8457070205998012</v>
      </c>
      <c r="FC89" s="73">
        <f>FA89/DA89</f>
        <v>13.671903856294824</v>
      </c>
      <c r="FD89" s="213">
        <f>EK89*$AY89/$CX89</f>
        <v>1.1236873732450743</v>
      </c>
      <c r="FE89" s="73">
        <f>FD89*$DB89/$DA89</f>
        <v>8.3236101721857363</v>
      </c>
      <c r="FF89" s="115">
        <f>ET89/$DB89</f>
        <v>0.706657240653776</v>
      </c>
      <c r="FG89" s="483">
        <f>'Amortization metrics'!$B$6*FH89*$DB89/$DA89/10^3</f>
        <v>5.2344980789168591</v>
      </c>
      <c r="FH89" s="680">
        <f>10^3*EL89*$AY89/$CX89/'Amortization metrics'!$B$6</f>
        <v>2.3713330223281077</v>
      </c>
      <c r="FI89" s="73">
        <f>EU89/$DB89</f>
        <v>1.5362406700950983E-2</v>
      </c>
      <c r="FJ89" s="681">
        <f>'Amortization metrics'!$B$5*FK89*$DB89/$DA89/10^3</f>
        <v>0.1137956051922295</v>
      </c>
      <c r="FK89" s="682">
        <f>10^3*EM89*$AY89/$CX89/'Amortization metrics'!$B$5</f>
        <v>0.45183549120444066</v>
      </c>
      <c r="FL89" s="115">
        <f>EV89/$DB89</f>
        <v>1.1919999999999999</v>
      </c>
      <c r="FM89" s="483">
        <f>'Amortization metrics'!$B$6*FN89*$DB89/$DA89/10^3</f>
        <v>8.8296296296296291</v>
      </c>
      <c r="FN89" s="84">
        <v>4</v>
      </c>
      <c r="FO89" s="115"/>
      <c r="FP89" s="681"/>
      <c r="FQ89" s="83"/>
      <c r="FR89" s="115"/>
      <c r="FS89" s="687">
        <v>0.4</v>
      </c>
      <c r="FT89" s="115">
        <f>FS89*$DB89/$DA89</f>
        <v>2.9629629629629632</v>
      </c>
      <c r="FU89" s="127">
        <f>EY89/$DB89</f>
        <v>0.14899999999999999</v>
      </c>
      <c r="FV89" s="483">
        <f>'Amortization metrics'!$B$6*FW89*$DB89/$DA89/10^3</f>
        <v>1.1037037037037036</v>
      </c>
      <c r="FW89" s="80">
        <v>0.5</v>
      </c>
      <c r="FX89" s="127">
        <f>EZ89/$DB89</f>
        <v>0.13599999999999998</v>
      </c>
      <c r="FY89" s="483">
        <f>'Amortization metrics'!$B$5*FZ89*$DB89/$DA89/10^3</f>
        <v>1.0074074074074073</v>
      </c>
      <c r="FZ89" s="84">
        <v>4</v>
      </c>
      <c r="GA89" s="73">
        <f>DR89*44/12+EF89+EO89</f>
        <v>16.012293045069011</v>
      </c>
      <c r="GB89" s="677">
        <f>DT89*44/12+EH89+EQ89</f>
        <v>2223.9295895929185</v>
      </c>
      <c r="GC89" s="676">
        <f>DU89*44/12+EI89+ER89</f>
        <v>118.60957811162231</v>
      </c>
      <c r="GD89" s="73">
        <f>DV89*44/12+EF89+EO89</f>
        <v>15.793844128797101</v>
      </c>
      <c r="GE89" s="677">
        <f>DW89*44/12+EH89+EQ89</f>
        <v>619.30967833977309</v>
      </c>
      <c r="GF89" s="676">
        <f>DY89*44/12+EI89+ER89</f>
        <v>116.99143799108963</v>
      </c>
      <c r="GG89" s="52">
        <f>GG98</f>
        <v>0.4</v>
      </c>
      <c r="GI89" s="26">
        <f>(BC89*GI$12+BD89*GI$13+BE89*GI$14+BG89*GI$17+BH89*GI$18+BI89*GI$19+BK89*GI$22+BL89*GI$23+GI$26*BN89+GI$27*BO89+GI$30*BQ89+BT89*GI$35+BU89*GI$36+BV89*GI$37+BX89*GI$40+BY89*GI$41+BZ89*GI$42+CB89*GI$45+CC89*GI$46+CD89*GI$47+CE89*GI$48+CF89*GI$49+CI89*GI$53+CJ89*GI$54+CK89*GI$55+CL89*GI$58)/AY89</f>
        <v>18.687803993683801</v>
      </c>
      <c r="GM89" s="683">
        <f>(BC89*GM$12+BD89*GM$13+BE89*GM$14+BG89*GM$17+BH89*GM$18+BI89*GM$19+BK89*GM$22+BL89*GM$23+GM$26*BN89+GM$27*BO89+GM$30*BQ89+BT89*GM$35+BU89*GM$36+BV89*GM$37+BX89*GM$40+BY89*GM$41+BZ89*GM$42+CB89*GM$45+CC89*GM$46+CD89*GM$47+CE89*GM$48+CF89*GM$49+CI89*GM$53+CJ89*GM$54+CK89*GM$55+CL89*GM$58)/AY89</f>
        <v>0.188116684247643</v>
      </c>
    </row>
    <row r="90" spans="1:295" x14ac:dyDescent="0.25">
      <c r="A90" s="4"/>
      <c r="H90" s="40"/>
      <c r="I90" s="40"/>
      <c r="R90" s="45"/>
      <c r="AT90" s="74"/>
      <c r="AW90" s="55"/>
      <c r="AY90" s="55"/>
      <c r="AZ90" s="55"/>
      <c r="BA90" s="55"/>
      <c r="BB90" s="73"/>
      <c r="BC90" s="73"/>
      <c r="BD90" s="73"/>
      <c r="BE90" s="73"/>
      <c r="BF90" s="55"/>
      <c r="BG90" s="73"/>
      <c r="BH90" s="73"/>
      <c r="BI90" s="73"/>
      <c r="BJ90" s="73"/>
      <c r="BK90" s="73"/>
      <c r="BL90" s="73"/>
      <c r="BM90" s="73"/>
      <c r="BN90" s="73"/>
      <c r="BO90" s="73"/>
      <c r="BP90" s="73"/>
      <c r="BQ90" s="73"/>
      <c r="BR90" s="73"/>
      <c r="BS90" s="55"/>
      <c r="BT90" s="73"/>
      <c r="BU90" s="73"/>
      <c r="BV90" s="73"/>
      <c r="BW90" s="55"/>
      <c r="BX90" s="73"/>
      <c r="BY90" s="73"/>
      <c r="BZ90" s="73"/>
      <c r="CA90" s="73"/>
      <c r="CB90" s="73"/>
      <c r="CC90" s="73"/>
      <c r="CD90" s="73"/>
      <c r="CE90" s="73"/>
      <c r="CF90" s="73"/>
      <c r="CG90" s="73"/>
      <c r="CH90" s="73"/>
      <c r="CI90" s="73"/>
      <c r="CJ90" s="73"/>
      <c r="CK90" s="73"/>
      <c r="CL90" s="73"/>
      <c r="CM90" s="74"/>
      <c r="CN90" s="74"/>
      <c r="CO90" s="74"/>
      <c r="CP90" s="74"/>
      <c r="CQ90" s="55"/>
      <c r="CR90" s="55"/>
      <c r="CZ90" s="335"/>
      <c r="DE90" s="133"/>
      <c r="DF90" s="645"/>
      <c r="DN90" s="73"/>
      <c r="DO90" s="115"/>
      <c r="DP90" s="115"/>
      <c r="DT90" s="55"/>
      <c r="ED90" s="335"/>
      <c r="EE90" s="127"/>
      <c r="EF90" s="469"/>
      <c r="EH90" s="74"/>
      <c r="EI90" s="115"/>
      <c r="EK90" s="127"/>
      <c r="EL90" s="127"/>
      <c r="EM90" s="127"/>
      <c r="EN90" s="474"/>
      <c r="EO90" s="179"/>
      <c r="EP90" s="37"/>
      <c r="ES90" s="474"/>
      <c r="ET90" s="474"/>
      <c r="FD90" s="179"/>
      <c r="FE90" s="474"/>
      <c r="FF90" s="474"/>
      <c r="FG90" s="179"/>
      <c r="FH90" s="133"/>
      <c r="FI90" s="474"/>
      <c r="FJ90" s="73"/>
      <c r="FL90" s="474"/>
      <c r="FM90" s="694"/>
      <c r="FO90" s="474"/>
      <c r="FT90" s="694"/>
      <c r="FU90" s="474"/>
      <c r="FV90" s="694"/>
      <c r="FX90" s="474"/>
      <c r="FY90" s="694"/>
    </row>
    <row r="91" spans="1:295" x14ac:dyDescent="0.25">
      <c r="A91" s="4" t="s">
        <v>17</v>
      </c>
      <c r="H91" s="671">
        <f>J91+N91+Z91*(AA91+AE91)</f>
        <v>0.74</v>
      </c>
      <c r="I91" s="671">
        <f>R91+Z91*(AI91+AP91)</f>
        <v>0.26</v>
      </c>
      <c r="J91" s="62">
        <f>1-N91-R91-U91-X91-Z91</f>
        <v>0.74</v>
      </c>
      <c r="K91" s="129">
        <v>0.69</v>
      </c>
      <c r="L91" s="129">
        <v>0.17</v>
      </c>
      <c r="M91" s="130">
        <v>0.14000000000000001</v>
      </c>
      <c r="N91" s="39">
        <v>0</v>
      </c>
      <c r="O91" s="129">
        <v>0.52</v>
      </c>
      <c r="P91" s="129">
        <v>0.16</v>
      </c>
      <c r="Q91" s="130">
        <v>0.32</v>
      </c>
      <c r="R91" s="82">
        <v>0.06</v>
      </c>
      <c r="S91" s="57">
        <f>C$22</f>
        <v>0.91829596188296059</v>
      </c>
      <c r="T91" s="57">
        <f>C$23</f>
        <v>8.1704038117039385E-2</v>
      </c>
      <c r="U91" s="39"/>
      <c r="X91" s="39"/>
      <c r="Z91" s="90">
        <v>0.2</v>
      </c>
      <c r="AA91" s="39">
        <v>0</v>
      </c>
      <c r="AB91" s="57">
        <f>C$36</f>
        <v>0.32627633176706616</v>
      </c>
      <c r="AC91" s="57">
        <f>C$35</f>
        <v>0.12306636397233511</v>
      </c>
      <c r="AD91" s="57">
        <f>C$37</f>
        <v>0.55065730426059856</v>
      </c>
      <c r="AE91" s="39">
        <v>0</v>
      </c>
      <c r="AF91" s="57">
        <f>C$40</f>
        <v>0.46292585170340678</v>
      </c>
      <c r="AG91" s="57">
        <f>C$41</f>
        <v>0.21643286573146289</v>
      </c>
      <c r="AH91" s="57">
        <f>C$42</f>
        <v>0.32064128256513025</v>
      </c>
      <c r="AI91" s="39">
        <v>1</v>
      </c>
      <c r="AJ91" s="131">
        <f>C$45</f>
        <v>0.66906282055683264</v>
      </c>
      <c r="AK91" s="131">
        <f>C$46</f>
        <v>2.0464179068278004E-2</v>
      </c>
      <c r="AL91" s="131">
        <f>C$47</f>
        <v>0.10457441214444914</v>
      </c>
      <c r="AM91" s="131">
        <f>C$48</f>
        <v>6.6603941068190814E-2</v>
      </c>
      <c r="AN91" s="131">
        <f>C$49</f>
        <v>3.7777291743479158E-2</v>
      </c>
      <c r="AO91" s="132">
        <f>C$50</f>
        <v>0.10151735541877024</v>
      </c>
      <c r="AP91" s="39">
        <v>0</v>
      </c>
      <c r="AQ91" s="131">
        <f>C$53</f>
        <v>0.27362401715511081</v>
      </c>
      <c r="AR91" s="131">
        <f>C$54</f>
        <v>0.12094353109363824</v>
      </c>
      <c r="AS91" s="131">
        <f>C$55</f>
        <v>0.60543245175125082</v>
      </c>
      <c r="AT91" s="53">
        <f>1-AA91-AE91-AI91-AP91</f>
        <v>0</v>
      </c>
      <c r="AU91" s="671">
        <f>Z91*AT91</f>
        <v>0</v>
      </c>
      <c r="AV91" s="390">
        <f>AW91*DA91/CX91</f>
        <v>3.3</v>
      </c>
      <c r="AW91" s="72">
        <v>30</v>
      </c>
      <c r="AX91" s="73">
        <f>BA91/DA91</f>
        <v>30</v>
      </c>
      <c r="AY91" s="673">
        <f>AW91*DA91</f>
        <v>201.96</v>
      </c>
      <c r="AZ91" s="55">
        <f>BB91+BF91+BJ91</f>
        <v>161.56800000000001</v>
      </c>
      <c r="BA91" s="673">
        <f>AZ91+BS91+BW91+CA91+CH91</f>
        <v>201.96</v>
      </c>
      <c r="BB91" s="73">
        <f>SUM(BC91:BE91)</f>
        <v>149.4504</v>
      </c>
      <c r="BC91" s="73">
        <f>$AY91*$J91*K91</f>
        <v>103.12077599999999</v>
      </c>
      <c r="BD91" s="73">
        <f>$AY91*$J91*L91</f>
        <v>25.406568000000004</v>
      </c>
      <c r="BE91" s="73">
        <f>$AY91*$J91*M91</f>
        <v>20.923056000000003</v>
      </c>
      <c r="BF91" s="55">
        <f>SUM(BG91:BI91)</f>
        <v>0</v>
      </c>
      <c r="BG91" s="73">
        <f>$AY91*$N91*O91</f>
        <v>0</v>
      </c>
      <c r="BH91" s="73">
        <f>$AY91*$N91*P91</f>
        <v>0</v>
      </c>
      <c r="BI91" s="73">
        <f>$AY91*$N91*Q91</f>
        <v>0</v>
      </c>
      <c r="BJ91" s="629">
        <f>SUM(BK91:BL91)</f>
        <v>12.117599999999999</v>
      </c>
      <c r="BK91" s="73">
        <f>$AY91*$R91*S91</f>
        <v>11.127543147712963</v>
      </c>
      <c r="BL91" s="73">
        <f>$AY91*$R91*T91</f>
        <v>0.99005685228703644</v>
      </c>
      <c r="BM91" s="73"/>
      <c r="BN91" s="73"/>
      <c r="BO91" s="73"/>
      <c r="BP91" s="73"/>
      <c r="BQ91" s="73"/>
      <c r="BR91" s="68">
        <f>BS91+BW91+CA91+CH91+CL91</f>
        <v>40.392000000000003</v>
      </c>
      <c r="BS91" s="55">
        <f>SUM(BT91:BV91)</f>
        <v>0</v>
      </c>
      <c r="BT91" s="73">
        <f>$AY91*$Z91*$AA91*AC91</f>
        <v>0</v>
      </c>
      <c r="BU91" s="73">
        <f>$AY91*$Z91*$AA91*AB91</f>
        <v>0</v>
      </c>
      <c r="BV91" s="73">
        <f>$AY91*$Z91*$AA91*AD91</f>
        <v>0</v>
      </c>
      <c r="BW91" s="55">
        <f>SUM(BX91:BZ91)</f>
        <v>0</v>
      </c>
      <c r="BX91" s="73">
        <f>$AY91*$Z91*$AE91*AF91</f>
        <v>0</v>
      </c>
      <c r="BY91" s="73">
        <f>$AY91*$Z91*$AE91*AG91</f>
        <v>0</v>
      </c>
      <c r="BZ91" s="73">
        <f>$AY91*$Z91*$AE91*AH91</f>
        <v>0</v>
      </c>
      <c r="CA91" s="73">
        <f>SUM(CB91:CG91)</f>
        <v>40.392000000000003</v>
      </c>
      <c r="CB91" s="73">
        <f t="shared" ref="CB91:CG91" si="58">$AY91*$Z91*$AI91*AJ91</f>
        <v>27.024785447931585</v>
      </c>
      <c r="CC91" s="73">
        <f t="shared" si="58"/>
        <v>0.82658912092588521</v>
      </c>
      <c r="CD91" s="73">
        <f t="shared" si="58"/>
        <v>4.2239696553385899</v>
      </c>
      <c r="CE91" s="73">
        <f t="shared" si="58"/>
        <v>2.6902663876263637</v>
      </c>
      <c r="CF91" s="73">
        <f t="shared" si="58"/>
        <v>1.5259003681026102</v>
      </c>
      <c r="CG91" s="73">
        <f t="shared" si="58"/>
        <v>4.100489020074968</v>
      </c>
      <c r="CH91" s="55">
        <f>SUM(CI91:CK91)</f>
        <v>0</v>
      </c>
      <c r="CI91" s="73">
        <f>$AY91*$Z91*$AP91*AQ91</f>
        <v>0</v>
      </c>
      <c r="CJ91" s="73">
        <f>$AY91*$Z91*$AP91*AR91</f>
        <v>0</v>
      </c>
      <c r="CK91" s="73">
        <f>$AY91*$Z91*$AP91*AS91</f>
        <v>0</v>
      </c>
      <c r="CL91" s="675">
        <f>$AY91*$Z91*AT91</f>
        <v>0</v>
      </c>
      <c r="CM91" s="97">
        <f>(BC91*CM$12+BD91*CM$13+BE91*CM$14+BG91*CM$17+BH91*CM$18+BI91*CM$19+BK91*CM$22+BL91*CM$23+CM$26*BN91+CM$27*BO91+CM$30*BQ91+BT91*CM$35+BU91*CM$36+BV91*CM$37+BX91*CM$40+BY91*CM$41+BZ91*CM$42+CB91*CM$45+CC91*CM$46+CD91*CM$47+CE91*CM$48+CF91*CM$49+CI91*CM$53+CJ91*CM$54+CK91*CM$55)/AY91</f>
        <v>3.0779683352369558</v>
      </c>
      <c r="CN91" s="97">
        <f>IF((BB91+BF91+BJ91+BM91)&gt;0,(BC91*CM$12+BD91*CM$13+BE91*CM$14+BG91*CM$17+BH91*CM$18+BI91*CM$19+BK91*CM$22+BL91*CM$23+CM$26*BN91+CM$27*BO91)/(BB91+BF91+BJ91+BM91),0)</f>
        <v>2.9296977091177165</v>
      </c>
      <c r="CO91" s="97">
        <f>(BT91*CM$35+BU91*CM$36+BV91*CM$37+BX91*CM$40+BY91*CM$41+BZ91*CM$42+CB91*CM$45+CC91*CM$46+CD91*CM$47+CE91*CM$48+CF91*CM$49+CI91*CM$53+CJ91*CM$54+CK91*CM$55)/(BS91+BW91+CA91+CH91)</f>
        <v>3.6710508397139119</v>
      </c>
      <c r="CP91" s="74"/>
      <c r="CQ91" s="68">
        <f>10*(CT91+CU91)/DA91</f>
        <v>92.339050057108679</v>
      </c>
      <c r="CR91" s="68"/>
      <c r="CS91" s="261">
        <f>CM91*AY91/10</f>
        <v>62.162648498445563</v>
      </c>
      <c r="CT91" s="107">
        <f>CN91*(BB91+BF91+BJ91+BM91)/10</f>
        <v>47.334539946673125</v>
      </c>
      <c r="CU91" s="107">
        <f>CO91*(BS91+BW91+CA91+CH91)/10</f>
        <v>14.828108551772434</v>
      </c>
      <c r="CX91" s="26">
        <f>DB91+DF91</f>
        <v>61.2</v>
      </c>
      <c r="CY91" s="26">
        <f t="shared" ref="CY91" si="59">DC91+DG91</f>
        <v>19.584</v>
      </c>
      <c r="CZ91" s="335">
        <f t="shared" ref="CZ91" si="60">DD91+DH91</f>
        <v>0.34271999999999997</v>
      </c>
      <c r="DA91" s="26">
        <f t="shared" ref="DA91" si="61">DE91+DI91</f>
        <v>6.7320000000000002</v>
      </c>
      <c r="DF91" s="80">
        <v>61.2</v>
      </c>
      <c r="DG91" s="37">
        <f>DF91*GG101</f>
        <v>19.584</v>
      </c>
      <c r="DH91" s="335">
        <f>DF91*GJ101/10^3</f>
        <v>0.34271999999999997</v>
      </c>
      <c r="DI91" s="26">
        <f>DF91*GL101</f>
        <v>6.7320000000000002</v>
      </c>
      <c r="DJ91" s="26"/>
      <c r="DK91" s="26"/>
      <c r="DL91" s="26"/>
      <c r="DM91" s="26"/>
      <c r="DN91" s="527">
        <f>10*'Amortization metrics'!D$4*DP91/CM91</f>
        <v>94.521624001162024</v>
      </c>
      <c r="DO91" s="263">
        <f>10*DQ91/CM91</f>
        <v>3.0921994328677296</v>
      </c>
      <c r="DP91" s="272">
        <f>(BC91*DP$12+BD91*DP$13+BE91*DP$14+BG91*DP$17+BH91*DP$18+BI91*DP$19+BK91*DP$22+BL91*DP$23+DP$26*BN91+DP$27*BO91+DP$30*BQ91+BT91*DP$35+BU91*DP$36+BV91*DP$37+BX91*DP$40+BY91*DP$41+BZ91*DP$42+CB91*DP$45+CC91*DP$46+CD91*DP$47+CE91*DP$48+CF91*DP$49+CG91*DP$50+CI91*DP$53+CJ91*DP$54+CK91*DP$55)/AY91</f>
        <v>0.96978188556916722</v>
      </c>
      <c r="DQ91" s="143">
        <f>(BC91*DQ$12+BD91*DQ$13+BE91*DQ$14+BG91*DQ$17+BH91*DQ$18+BI91*DQ$19+BK91*DQ$22+BL91*DQ$23+DQ$26*BN91+DQ$27*BO91+DQ$30*BQ91+BT91*DQ$35+BU91*DQ$36+BV91*DQ$37+BX91*DQ$40+BY91*DQ$41+BZ91*DQ$42+CB91*DQ$45+CC91*DQ$46+CD91*DQ$47+CE91*DQ$48+CF91*DQ$49+CG91*DQ$50+CI91*DQ$53+CJ91*DQ$54+CK91*DQ$55)/AY91</f>
        <v>0.95176919406045446</v>
      </c>
      <c r="DR91" s="26">
        <f>DP91*$AY91/$CX91</f>
        <v>3.200280222378252</v>
      </c>
      <c r="DS91" s="153">
        <f>DR91/$GG91</f>
        <v>10.000875694932038</v>
      </c>
      <c r="DT91" s="676">
        <f>DP91*$AY91/$CZ91</f>
        <v>571.47861113897363</v>
      </c>
      <c r="DU91" s="677">
        <f>DP91*$AY91/$DA91</f>
        <v>29.09345656707502</v>
      </c>
      <c r="DV91" s="26">
        <f>DQ91*$AY91/$CX91</f>
        <v>3.1408383403994997</v>
      </c>
      <c r="DW91" s="153">
        <f>DV91/$GG91</f>
        <v>9.8151198137484368</v>
      </c>
      <c r="DX91" s="676">
        <f>DQ91*$AY91/$CZ91</f>
        <v>560.86398935705358</v>
      </c>
      <c r="DY91" s="677">
        <f>DQ91*$AY91/$DA91</f>
        <v>28.553075821813636</v>
      </c>
      <c r="DZ91" s="678">
        <f>(BC91*DZ$12+BD91*DZ$13+BE91*DZ$14+BG91*DZ$17+BH91*DZ$18+BI91*DZ$19+BK91*DZ$22+BL91*DZ$23+DZ$26*BN91+DZ$27*BO91+DZ$30*BQ91+BT91*DZ$35+BU91*DZ$36+BV91*DZ$37+BX91*DZ$40+BY91*DZ$41+BZ91*DZ$42+CB91*DZ$45+CC91*DZ$46+CD91*DZ$47+CE91*DZ$48+CF91*DZ$49+CG91*DZ$50+CI91*DZ$53+CJ91*DZ$54+CK91*DZ$55)/AY91</f>
        <v>1.8953599202879514</v>
      </c>
      <c r="EA91" s="26">
        <f>DZ91*$AY91/$CX91</f>
        <v>6.2546877369502392</v>
      </c>
      <c r="EB91" s="676">
        <f>DZ91*$AY91/$CZ91</f>
        <v>1116.9085244554001</v>
      </c>
      <c r="EC91" s="677">
        <f>DZ91*$AY91/$DA91</f>
        <v>56.860797608638542</v>
      </c>
      <c r="ED91" s="410">
        <f>(BC91*ED$12+BD91*ED$13+BE91*ED$14+BG91*ED$17+BH91*ED$18+BI91*ED$19+BK91*ED$22+BL91*ED$23+ED$26*BN91+ED$27*BO91+ED$30*BQ91+BT91*ED$35+BU91*ED$36+BV91*ED$37+BX91*ED$40+BY91*ED$41+BZ91*ED$42+CB91*ED$45+CC91*ED$46+CD91*ED$47+CE91*ED$48+CF91*ED$49+CG91*ED$50+CI91*ED$53+CJ91*ED$54+CK91*ED$55)/AY91</f>
        <v>0.15980535365960361</v>
      </c>
      <c r="EE91" s="73">
        <f>ED91*$AY91</f>
        <v>32.274289225093547</v>
      </c>
      <c r="EF91" s="127">
        <f>ED91*$AY91/$CX91</f>
        <v>0.52735766707669196</v>
      </c>
      <c r="EG91" s="153">
        <f>EF91/$GG91</f>
        <v>1.6479927096146623</v>
      </c>
      <c r="EH91" s="679">
        <f>ED91*$AY91/$CZ91</f>
        <v>94.171011977980712</v>
      </c>
      <c r="EI91" s="110">
        <f>ED91*$AY91/$DA91</f>
        <v>4.7941606097881087</v>
      </c>
      <c r="EJ91" s="410">
        <f>EK91+EL91+EM91</f>
        <v>0.55803689209366625</v>
      </c>
      <c r="EK91" s="127">
        <f>(BC91*EK$12+BD91*EK$13+BE91*EK$14+BG91*EK$17+BH91*EK$18+BI91*EK$19+BK91*EK$22+BL91*EK$23+EK$26*BN91+EK$27*BO91+EK$30*BQ91+BT91*EK$35+BU91*EK$36+BV91*EK$37+BX91*EK$40+BY91*EK$41+BZ91*EK$42+CB91*EK$45+CC91*EK$46+CD91*EK$47+CE91*EK$48+CF91*EK$49+CG91*EK$50+CI91*EK$53+CJ91*EK$54+CK91*EK$55)/AY91</f>
        <v>0.33973919070145858</v>
      </c>
      <c r="EL91" s="127">
        <f>(BC91*EL$12+BD91*EL$13+BE91*EL$14+BG91*EL$17+BH91*EL$18+BI91*EL$19+BK91*EL$22+BL91*EL$23+EL$26*BN91+EL$27*BO91+EL$30*BQ91+BT91*EL$35+BU91*EL$36+BV91*EL$37+BX91*EL$40+BY91*EL$41+BZ91*EL$42+CB91*EL$45+CC91*EL$46+CD91*EL$47+CE91*EL$48+CF91*EL$49+CG91*EL$50+CI91*EL$53+CJ91*EL$54+CK91*EL$55)/AY91</f>
        <v>0.21365298281293302</v>
      </c>
      <c r="EM91" s="127">
        <f>(BC91*EM$12+BD91*EM$13+BE91*EM$14+BG91*EM$17+BH91*EM$18+BI91*EM$19+BK91*EM$22+BL91*EM$23+EM$26*BN91+EM$27*BO91+EM$30*BQ91+BT91*EM$35+BU91*EM$36+BV91*EM$37+BX91*EM$40+BY91*EM$41+BZ91*EM$42+CB91*EM$45+CC91*EM$46+CD91*EM$47+CE91*EM$48+CF91*EM$49+CG91*EM$50+CI91*EM$53+CJ91*EM$54+CK91*EM$55)/AY91</f>
        <v>4.6447185792746716E-3</v>
      </c>
      <c r="EN91" s="73">
        <f>ES91+ET91+EU91+EV91+EW91+EX91+EY91+EZ91</f>
        <v>221.62489072723687</v>
      </c>
      <c r="EO91" s="390">
        <f>EN91/CX91</f>
        <v>3.6213217439090992</v>
      </c>
      <c r="EP91" s="153">
        <f>EO91/$GG91</f>
        <v>11.316630449715936</v>
      </c>
      <c r="EQ91" s="73">
        <f>EN91/CZ91</f>
        <v>646.66459712662493</v>
      </c>
      <c r="ER91" s="696">
        <f>EN91/DA91</f>
        <v>32.921106762809991</v>
      </c>
      <c r="ES91" s="73">
        <f>FE91*$DA91</f>
        <v>68.613726954066578</v>
      </c>
      <c r="ET91" s="73">
        <f>FG91*$DA91</f>
        <v>43.149356408899948</v>
      </c>
      <c r="EU91" s="73">
        <f>FJ91*$DA91</f>
        <v>0.93804736427031288</v>
      </c>
      <c r="EV91" s="73">
        <f>FM91*$DA91</f>
        <v>47.417760000000008</v>
      </c>
      <c r="EW91" s="73"/>
      <c r="EX91" s="73">
        <f>FT91*$DA91</f>
        <v>9.18</v>
      </c>
      <c r="EY91" s="73">
        <f>FV91*$DA91</f>
        <v>27.356400000000001</v>
      </c>
      <c r="EZ91" s="73">
        <f>FY91*$DA91</f>
        <v>24.969600000000003</v>
      </c>
      <c r="FA91" s="73">
        <f>ES91+ET91+EU91</f>
        <v>112.70113072723684</v>
      </c>
      <c r="FB91" s="91">
        <f>FA91/CX91</f>
        <v>1.8415217439090987</v>
      </c>
      <c r="FC91" s="73">
        <f>FA91/DA91</f>
        <v>16.741106762809988</v>
      </c>
      <c r="FD91" s="213">
        <f>EK91*$AY91/$CX91</f>
        <v>1.1211393293148133</v>
      </c>
      <c r="FE91" s="115">
        <f>FD91*$DF91/$DA91</f>
        <v>10.192175721043757</v>
      </c>
      <c r="FF91" s="127">
        <f>ET91/$DF91</f>
        <v>0.70505484328267887</v>
      </c>
      <c r="FG91" s="483">
        <f>'Amortization metrics'!$B$6*FH91*$DF91/$DA91/10^3</f>
        <v>6.4095894843879897</v>
      </c>
      <c r="FH91" s="680">
        <f>10^3*EL91*$AY91/$CX91/'Amortization metrics'!$B$6</f>
        <v>2.3659558499418756</v>
      </c>
      <c r="FI91" s="73">
        <f>EU91/$DF91</f>
        <v>1.5327571311606419E-2</v>
      </c>
      <c r="FJ91" s="681">
        <f>'Amortization metrics'!$B$5*FK91*$DF91/$DA91/10^3</f>
        <v>0.13934155737824017</v>
      </c>
      <c r="FK91" s="682">
        <f>10^3*EM91*$AY91/$CX91/'Amortization metrics'!$B$5</f>
        <v>0.45081092092960046</v>
      </c>
      <c r="FL91" s="127">
        <f>EV91/$DF91</f>
        <v>0.77480000000000016</v>
      </c>
      <c r="FM91" s="483">
        <f>'Amortization metrics'!$B$6*FN91*$DF91/$DA91/10^3</f>
        <v>7.0436363636363648</v>
      </c>
      <c r="FN91" s="80">
        <v>2.6</v>
      </c>
      <c r="FO91" s="127"/>
      <c r="FP91" s="681"/>
      <c r="FQ91" s="83"/>
      <c r="FR91" s="681"/>
      <c r="FS91" s="687">
        <v>0.15</v>
      </c>
      <c r="FT91" s="115">
        <f>FS91*$DF91/$DA91</f>
        <v>1.3636363636363635</v>
      </c>
      <c r="FU91" s="127">
        <f>EY91/$DF91</f>
        <v>0.44700000000000001</v>
      </c>
      <c r="FV91" s="483">
        <f>'Amortization metrics'!$B$6*FW91*$DF91/$DA91/10^3</f>
        <v>4.0636363636363635</v>
      </c>
      <c r="FW91" s="80">
        <v>1.5</v>
      </c>
      <c r="FX91" s="127">
        <f>EZ91/$DF91</f>
        <v>0.40800000000000003</v>
      </c>
      <c r="FY91" s="483">
        <f>'Amortization metrics'!$B$5*FZ91*$DF91/$DA91/10^3</f>
        <v>3.7090909090909094</v>
      </c>
      <c r="FZ91" s="697">
        <v>12</v>
      </c>
      <c r="GA91" s="73">
        <f>DR91*44/12+EF91+EO91</f>
        <v>15.883040226372714</v>
      </c>
      <c r="GB91" s="677">
        <f>DT91*44/12+EH91+EQ91</f>
        <v>2836.2571832808426</v>
      </c>
      <c r="GC91" s="676">
        <f>DU91*44/12+EI91+ER91</f>
        <v>144.39127478520649</v>
      </c>
      <c r="GD91" s="73">
        <f>DV91*44/12+EF91+EO91</f>
        <v>15.665086659117289</v>
      </c>
      <c r="GE91" s="677">
        <f>DW91*44/12+EH91+EQ91</f>
        <v>776.82438175501659</v>
      </c>
      <c r="GF91" s="676">
        <f>DY91*44/12+EI91+ER91</f>
        <v>142.4098787192481</v>
      </c>
      <c r="GG91" s="52">
        <f>GG101</f>
        <v>0.32</v>
      </c>
      <c r="GI91" s="26">
        <f>(BC91*GI$12+BD91*GI$13+BE91*GI$14+BG91*GI$17+BH91*GI$18+BI91*GI$19+BK91*GI$22+BL91*GI$23+GI$26*BN91+GI$27*BO91+GI$30*BQ91+BT91*GI$35+BU91*GI$36+BV91*GI$37+BX91*GI$40+BY91*GI$41+BZ91*GI$42+CB91*GI$45+CC91*GI$46+CD91*GI$47+CE91*GI$48+CF91*GI$49+CI91*GI$53+CJ91*GI$54+CK91*GI$55+CL91*GI$58)/AY91</f>
        <v>18.687803993683804</v>
      </c>
      <c r="GM91" s="683">
        <f>(BC91*GM$12+BD91*GM$13+BE91*GM$14+BG91*GM$17+BH91*GM$18+BI91*GM$19+BK91*GM$22+BL91*GM$23+GM$26*BN91+GM$27*BO91+GM$30*BQ91+BT91*GM$35+BU91*GM$36+BV91*GM$37+BX91*GM$40+BY91*GM$41+BZ91*GM$42+CB91*GM$45+CC91*GM$46+CD91*GM$47+CE91*GM$48+CF91*GM$49+CI91*GM$53+CJ91*GM$54+CK91*GM$55+CL91*GM$58)/AY91</f>
        <v>0.18811668424764302</v>
      </c>
    </row>
    <row r="92" spans="1:295" x14ac:dyDescent="0.25">
      <c r="A92" s="4"/>
      <c r="EE92" s="74"/>
    </row>
    <row r="94" spans="1:295" ht="14.4" x14ac:dyDescent="0.3">
      <c r="A94" s="358" t="s">
        <v>112</v>
      </c>
    </row>
    <row r="95" spans="1:295" x14ac:dyDescent="0.25">
      <c r="A95" s="37" t="s">
        <v>24</v>
      </c>
      <c r="GG95" s="45">
        <v>0.42</v>
      </c>
      <c r="GH95" s="45"/>
      <c r="GI95" s="45"/>
      <c r="GJ95" s="9">
        <v>7.7</v>
      </c>
      <c r="GK95" s="26">
        <f t="shared" ref="GK95:GK101" si="62">GJ95/GG95</f>
        <v>18.333333333333336</v>
      </c>
      <c r="GL95" s="45">
        <v>0.15</v>
      </c>
      <c r="GM95" s="40">
        <f t="shared" ref="GM95:GM101" si="63">GL95/GG95</f>
        <v>0.35714285714285715</v>
      </c>
    </row>
    <row r="96" spans="1:295" x14ac:dyDescent="0.25">
      <c r="A96" s="37" t="s">
        <v>23</v>
      </c>
      <c r="GG96" s="45">
        <v>0.41</v>
      </c>
      <c r="GH96" s="45"/>
      <c r="GI96" s="45"/>
      <c r="GJ96" s="9">
        <v>8.5</v>
      </c>
      <c r="GK96" s="26">
        <f t="shared" si="62"/>
        <v>20.731707317073173</v>
      </c>
      <c r="GL96" s="45">
        <v>0.14499999999999999</v>
      </c>
      <c r="GM96" s="40">
        <f t="shared" si="63"/>
        <v>0.35365853658536583</v>
      </c>
    </row>
    <row r="97" spans="1:195" x14ac:dyDescent="0.25">
      <c r="A97" s="37" t="s">
        <v>21</v>
      </c>
      <c r="GG97" s="45">
        <v>0.41</v>
      </c>
      <c r="GH97" s="45"/>
      <c r="GI97" s="45"/>
      <c r="GJ97" s="9">
        <v>8.8000000000000007</v>
      </c>
      <c r="GK97" s="26">
        <f t="shared" si="62"/>
        <v>21.463414634146343</v>
      </c>
      <c r="GL97" s="45">
        <v>0.13500000000000001</v>
      </c>
      <c r="GM97" s="40">
        <f t="shared" si="63"/>
        <v>0.32926829268292684</v>
      </c>
    </row>
    <row r="98" spans="1:195" x14ac:dyDescent="0.25">
      <c r="A98" s="37" t="s">
        <v>22</v>
      </c>
      <c r="GG98" s="45">
        <v>0.4</v>
      </c>
      <c r="GH98" s="45"/>
      <c r="GI98" s="45"/>
      <c r="GJ98" s="9">
        <v>7.2</v>
      </c>
      <c r="GK98" s="26">
        <f t="shared" si="62"/>
        <v>18</v>
      </c>
      <c r="GL98" s="45">
        <v>0.13500000000000001</v>
      </c>
      <c r="GM98" s="40">
        <f t="shared" si="63"/>
        <v>0.33750000000000002</v>
      </c>
    </row>
    <row r="99" spans="1:195" x14ac:dyDescent="0.25">
      <c r="A99" s="37" t="s">
        <v>27</v>
      </c>
      <c r="GG99" s="45">
        <v>0.126</v>
      </c>
      <c r="GH99" s="45"/>
      <c r="GI99" s="45"/>
      <c r="GJ99" s="9">
        <v>2.7</v>
      </c>
      <c r="GK99" s="26">
        <f t="shared" si="62"/>
        <v>21.428571428571431</v>
      </c>
      <c r="GL99" s="45">
        <v>3.2000000000000001E-2</v>
      </c>
      <c r="GM99" s="40">
        <f t="shared" si="63"/>
        <v>0.25396825396825395</v>
      </c>
    </row>
    <row r="100" spans="1:195" x14ac:dyDescent="0.25">
      <c r="A100" s="37" t="s">
        <v>28</v>
      </c>
      <c r="GG100" s="45">
        <v>0.15</v>
      </c>
      <c r="GH100" s="45"/>
      <c r="GI100" s="45"/>
      <c r="GJ100" s="43">
        <v>4</v>
      </c>
      <c r="GK100" s="26">
        <f t="shared" si="62"/>
        <v>26.666666666666668</v>
      </c>
      <c r="GL100" s="45">
        <v>0.05</v>
      </c>
      <c r="GM100" s="40">
        <f t="shared" si="63"/>
        <v>0.33333333333333337</v>
      </c>
    </row>
    <row r="101" spans="1:195" x14ac:dyDescent="0.25">
      <c r="A101" s="37" t="s">
        <v>17</v>
      </c>
      <c r="GG101" s="45">
        <v>0.32</v>
      </c>
      <c r="GH101" s="45"/>
      <c r="GI101" s="45"/>
      <c r="GJ101" s="9">
        <v>5.6</v>
      </c>
      <c r="GK101" s="26">
        <f t="shared" si="62"/>
        <v>17.5</v>
      </c>
      <c r="GL101" s="45">
        <v>0.11</v>
      </c>
      <c r="GM101" s="40">
        <f t="shared" si="63"/>
        <v>0.34375</v>
      </c>
    </row>
    <row r="103" spans="1:195" x14ac:dyDescent="0.25">
      <c r="EN103" s="133"/>
      <c r="EO103" s="133"/>
      <c r="EP103" s="133"/>
      <c r="EQ103" s="133"/>
      <c r="ER103" s="133"/>
      <c r="ES103" s="133"/>
      <c r="ET103" s="133"/>
      <c r="EU103" s="133"/>
      <c r="EV103" s="133"/>
      <c r="EW103" s="133"/>
      <c r="EX103" s="133"/>
      <c r="EY103" s="133"/>
      <c r="EZ103" s="133"/>
      <c r="FA103" s="133"/>
      <c r="FB103" s="133"/>
      <c r="FC103" s="133"/>
      <c r="FD103" s="133"/>
      <c r="FE103" s="133"/>
      <c r="FF103" s="133"/>
      <c r="FG103" s="133"/>
      <c r="FH103" s="133"/>
      <c r="FI103" s="133"/>
      <c r="FJ103" s="133"/>
      <c r="FK103" s="133"/>
      <c r="FL103" s="133"/>
      <c r="FM103" s="133"/>
      <c r="FN103" s="133"/>
      <c r="FO103" s="133"/>
      <c r="FP103" s="133"/>
      <c r="FQ103" s="133"/>
      <c r="FR103" s="133"/>
      <c r="FS103" s="133"/>
      <c r="FT103" s="133"/>
      <c r="FU103" s="133"/>
      <c r="FV103" s="133"/>
      <c r="FW103" s="133"/>
      <c r="FX103" s="133"/>
      <c r="FY103" s="133"/>
      <c r="FZ103" s="133"/>
      <c r="GA103" s="133"/>
      <c r="GB103" s="133"/>
      <c r="GC103" s="133"/>
      <c r="GD103" s="133"/>
      <c r="GE103" s="133"/>
      <c r="GF103" s="133"/>
    </row>
    <row r="104" spans="1:195" x14ac:dyDescent="0.25">
      <c r="EN104" s="133"/>
      <c r="EO104" s="133"/>
      <c r="EP104" s="133"/>
      <c r="EQ104" s="133"/>
      <c r="ER104" s="133"/>
      <c r="ES104" s="133"/>
      <c r="ET104" s="133"/>
      <c r="EU104" s="133"/>
      <c r="EV104" s="133"/>
      <c r="EW104" s="133"/>
      <c r="EX104" s="133"/>
      <c r="EY104" s="133"/>
      <c r="EZ104" s="133"/>
      <c r="FA104" s="133"/>
      <c r="FB104" s="133"/>
      <c r="FC104" s="133"/>
      <c r="FD104" s="133"/>
      <c r="FE104" s="133"/>
      <c r="FF104" s="133"/>
      <c r="FG104" s="133"/>
      <c r="FH104" s="133"/>
      <c r="FI104" s="133"/>
      <c r="FJ104" s="133"/>
      <c r="FK104" s="133"/>
      <c r="FL104" s="133"/>
      <c r="FM104" s="133"/>
      <c r="FN104" s="133"/>
      <c r="FO104" s="133"/>
      <c r="FP104" s="133"/>
      <c r="FQ104" s="133"/>
      <c r="FR104" s="133"/>
      <c r="FS104" s="133"/>
      <c r="FT104" s="133"/>
      <c r="FU104" s="133"/>
      <c r="FV104" s="133"/>
      <c r="FW104" s="133"/>
      <c r="FX104" s="133"/>
      <c r="FY104" s="133"/>
      <c r="FZ104" s="133"/>
      <c r="GA104" s="133"/>
      <c r="GB104" s="133"/>
      <c r="GC104" s="133"/>
      <c r="GD104" s="133"/>
      <c r="GE104" s="133"/>
      <c r="GF104" s="133"/>
    </row>
  </sheetData>
  <printOptions gridLines="1"/>
  <pageMargins left="0.31496062992125984" right="0.31496062992125984" top="0.35433070866141736" bottom="0.35433070866141736" header="0.31496062992125984" footer="0.31496062992125984"/>
  <pageSetup paperSize="8" scale="80" orientation="landscape"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8"/>
  <sheetViews>
    <sheetView workbookViewId="0">
      <selection activeCell="F14" sqref="F14"/>
    </sheetView>
  </sheetViews>
  <sheetFormatPr defaultColWidth="9.109375" defaultRowHeight="12" x14ac:dyDescent="0.25"/>
  <cols>
    <col min="1" max="1" width="32" style="173" bestFit="1" customWidth="1"/>
    <col min="2" max="3" width="8.6640625" style="173" customWidth="1"/>
    <col min="4" max="6" width="9.109375" style="173"/>
    <col min="7" max="7" width="9.109375" style="6"/>
    <col min="8" max="16384" width="9.109375" style="173"/>
  </cols>
  <sheetData>
    <row r="1" spans="1:9" s="424" customFormat="1" ht="15.6" x14ac:dyDescent="0.3">
      <c r="B1" s="428" t="s">
        <v>542</v>
      </c>
      <c r="G1" s="6"/>
      <c r="I1" s="361"/>
    </row>
    <row r="2" spans="1:9" ht="48.6" x14ac:dyDescent="0.3">
      <c r="B2" s="486" t="s">
        <v>572</v>
      </c>
      <c r="C2" s="4" t="s">
        <v>767</v>
      </c>
      <c r="D2" s="4" t="s">
        <v>831</v>
      </c>
      <c r="E2" s="4" t="s">
        <v>830</v>
      </c>
      <c r="F2" s="4"/>
      <c r="I2" s="389"/>
    </row>
    <row r="3" spans="1:9" ht="24" x14ac:dyDescent="0.25">
      <c r="A3" s="150" t="s">
        <v>539</v>
      </c>
      <c r="B3" s="150"/>
      <c r="C3" s="150"/>
      <c r="D3" s="174">
        <v>18.3</v>
      </c>
      <c r="G3" s="51"/>
      <c r="H3" s="51"/>
    </row>
    <row r="4" spans="1:9" x14ac:dyDescent="0.25">
      <c r="D4" s="174"/>
    </row>
    <row r="5" spans="1:9" ht="24" x14ac:dyDescent="0.25">
      <c r="A5" s="150" t="s">
        <v>782</v>
      </c>
      <c r="B5" s="455">
        <f>'Ex - Livestock DISC.'!J23</f>
        <v>31.863018845545177</v>
      </c>
      <c r="C5" s="455">
        <f>'Ex - Livestock DISC.'!K23</f>
        <v>1.8011417633009841</v>
      </c>
      <c r="D5" s="455">
        <f>'Ex - Livestock DISC.'!L23</f>
        <v>33.66416060884616</v>
      </c>
    </row>
    <row r="6" spans="1:9" ht="24" x14ac:dyDescent="0.25">
      <c r="A6" s="150" t="s">
        <v>781</v>
      </c>
      <c r="B6" s="455">
        <f>'Ex - Livestock DISC.'!J20</f>
        <v>29.027872182233342</v>
      </c>
      <c r="C6" s="455">
        <f>'Ex - Livestock DISC.'!K20</f>
        <v>0.85424756846345329</v>
      </c>
      <c r="D6" s="455">
        <f>'Ex - Livestock DISC.'!L20</f>
        <v>29.882119750696795</v>
      </c>
    </row>
    <row r="7" spans="1:9" ht="24" x14ac:dyDescent="0.25">
      <c r="A7" s="150" t="s">
        <v>780</v>
      </c>
      <c r="B7" s="455">
        <f>'Ex - Livestock DISC.'!J17</f>
        <v>20.148250399170394</v>
      </c>
      <c r="C7" s="455">
        <f>'Ex - Livestock DISC.'!K17</f>
        <v>0.8029333643276324</v>
      </c>
      <c r="D7" s="455">
        <f>'Ex - Livestock DISC.'!L17</f>
        <v>20.951183763498026</v>
      </c>
    </row>
    <row r="8" spans="1:9" ht="24" x14ac:dyDescent="0.25">
      <c r="A8" s="150" t="s">
        <v>779</v>
      </c>
      <c r="B8" s="455">
        <f>'Ex - Livestock DISC.'!J13</f>
        <v>10.750530748700204</v>
      </c>
      <c r="C8" s="455">
        <f>'Ex - Livestock DISC.'!K13</f>
        <v>-0.75930769774804174</v>
      </c>
      <c r="D8" s="455">
        <f>'Ex - Livestock DISC.'!L13</f>
        <v>9.9912230509521613</v>
      </c>
      <c r="G8" s="51"/>
    </row>
    <row r="9" spans="1:9" ht="24" x14ac:dyDescent="0.25">
      <c r="A9" s="150" t="s">
        <v>783</v>
      </c>
      <c r="B9" s="455">
        <f>'Ex - Livestock DISC.'!J10</f>
        <v>4.4901815175294013</v>
      </c>
      <c r="C9" s="455">
        <f>'Ex - Livestock DISC.'!K10</f>
        <v>-1.0534605645212705</v>
      </c>
      <c r="D9" s="455">
        <f>'Ex - Livestock DISC.'!L10</f>
        <v>3.4367209530081309</v>
      </c>
    </row>
    <row r="10" spans="1:9" x14ac:dyDescent="0.25">
      <c r="A10" s="173" t="s">
        <v>538</v>
      </c>
      <c r="B10" s="455"/>
      <c r="C10" s="455"/>
      <c r="D10" s="455">
        <f>'Ex - Fuels DISC.'!Q12</f>
        <v>9.6337638936000012</v>
      </c>
    </row>
    <row r="11" spans="1:9" x14ac:dyDescent="0.25">
      <c r="A11" s="173" t="s">
        <v>537</v>
      </c>
      <c r="B11" s="455">
        <f>'Ex - Crops DISC.'!K39</f>
        <v>16.389257694875461</v>
      </c>
      <c r="C11" s="455">
        <f>'Ex - Crops DISC.'!L39</f>
        <v>-0.10986560311999995</v>
      </c>
      <c r="D11" s="455">
        <f>'Ex - Crops DISC.'!M39</f>
        <v>16.279392091755462</v>
      </c>
    </row>
    <row r="12" spans="1:9" x14ac:dyDescent="0.25">
      <c r="B12" s="455"/>
      <c r="C12" s="455"/>
      <c r="D12" s="455"/>
    </row>
    <row r="13" spans="1:9" ht="36" x14ac:dyDescent="0.25">
      <c r="A13" s="150" t="s">
        <v>816</v>
      </c>
      <c r="B13" s="455"/>
      <c r="C13" s="455"/>
      <c r="D13" s="455">
        <f>'Ex - Fuels DISC.'!Q38</f>
        <v>12.457834</v>
      </c>
      <c r="G13" s="47"/>
    </row>
    <row r="14" spans="1:9" ht="36" x14ac:dyDescent="0.25">
      <c r="A14" s="150" t="s">
        <v>790</v>
      </c>
      <c r="B14" s="455"/>
      <c r="C14" s="455"/>
      <c r="D14" s="455">
        <f>'Ex - Fuels DISC.'!Q16</f>
        <v>1.6723148811999993</v>
      </c>
      <c r="E14" s="455">
        <f>'Ex - Fuels DISC.'!Q17</f>
        <v>7.6807104947640097</v>
      </c>
      <c r="F14" s="174"/>
      <c r="G14" s="47"/>
    </row>
    <row r="15" spans="1:9" x14ac:dyDescent="0.25">
      <c r="A15" s="37" t="s">
        <v>535</v>
      </c>
      <c r="B15" s="455">
        <f>'Ex - Crops DISC.'!K36</f>
        <v>21.849672014280806</v>
      </c>
      <c r="C15" s="455">
        <f>'Ex - Crops DISC.'!L36</f>
        <v>-4.7085816412000159E-2</v>
      </c>
      <c r="D15" s="455">
        <f>'Ex - Crops DISC.'!M36</f>
        <v>21.802586197868806</v>
      </c>
    </row>
    <row r="16" spans="1:9" x14ac:dyDescent="0.25">
      <c r="D16" s="174"/>
    </row>
    <row r="17" spans="1:4" x14ac:dyDescent="0.25">
      <c r="A17" s="37" t="s">
        <v>944</v>
      </c>
      <c r="B17" s="455">
        <f>'Ex - Livestock DISC.'!J32</f>
        <v>6.4762233425904832</v>
      </c>
      <c r="C17" s="455">
        <f>'Ex - Livestock DISC.'!K32</f>
        <v>-0.52941427575183242</v>
      </c>
      <c r="D17" s="455">
        <f>'Ex - Livestock DISC.'!L32</f>
        <v>5.9468090668386511</v>
      </c>
    </row>
    <row r="18" spans="1:4" x14ac:dyDescent="0.25">
      <c r="A18" s="37" t="s">
        <v>945</v>
      </c>
      <c r="D18" s="174">
        <f>44/12*0.4</f>
        <v>1.4666666666666668</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17"/>
  <sheetViews>
    <sheetView workbookViewId="0">
      <selection activeCell="C15" sqref="C15"/>
    </sheetView>
  </sheetViews>
  <sheetFormatPr defaultColWidth="9.109375" defaultRowHeight="12" x14ac:dyDescent="0.25"/>
  <cols>
    <col min="1" max="1" width="32" style="173" bestFit="1" customWidth="1"/>
    <col min="2" max="16384" width="9.109375" style="173"/>
  </cols>
  <sheetData>
    <row r="1" spans="1:4" s="424" customFormat="1" ht="15.6" x14ac:dyDescent="0.3">
      <c r="A1" s="456"/>
      <c r="B1" s="428" t="s">
        <v>542</v>
      </c>
    </row>
    <row r="2" spans="1:4" ht="24" x14ac:dyDescent="0.25">
      <c r="B2" s="4" t="s">
        <v>541</v>
      </c>
      <c r="C2" s="150" t="s">
        <v>540</v>
      </c>
    </row>
    <row r="3" spans="1:4" ht="24" x14ac:dyDescent="0.25">
      <c r="A3" s="150" t="s">
        <v>539</v>
      </c>
      <c r="B3" s="174">
        <v>18.3</v>
      </c>
    </row>
    <row r="4" spans="1:4" x14ac:dyDescent="0.25">
      <c r="B4" s="174"/>
    </row>
    <row r="5" spans="1:4" ht="36" x14ac:dyDescent="0.25">
      <c r="A5" s="150" t="s">
        <v>832</v>
      </c>
      <c r="B5" s="455">
        <f>'Ex - Fuels DISC.'!Q38</f>
        <v>12.457834</v>
      </c>
    </row>
    <row r="6" spans="1:4" ht="36" x14ac:dyDescent="0.25">
      <c r="A6" s="150" t="s">
        <v>833</v>
      </c>
      <c r="B6" s="455">
        <f>'Ex - Fuels DISC.'!Q28</f>
        <v>8.2340199999999992</v>
      </c>
    </row>
    <row r="7" spans="1:4" x14ac:dyDescent="0.25">
      <c r="A7" s="173" t="s">
        <v>538</v>
      </c>
      <c r="B7" s="455">
        <f>'Ex - Fuels DISC.'!Q12</f>
        <v>9.6337638936000012</v>
      </c>
      <c r="D7" s="6"/>
    </row>
    <row r="8" spans="1:4" ht="24" x14ac:dyDescent="0.25">
      <c r="A8" s="150" t="s">
        <v>817</v>
      </c>
      <c r="B8" s="455">
        <f>'Ex - Livestock DISC.'!L17</f>
        <v>20.951183763498026</v>
      </c>
    </row>
    <row r="9" spans="1:4" ht="24" x14ac:dyDescent="0.25">
      <c r="A9" s="150" t="s">
        <v>818</v>
      </c>
      <c r="B9" s="455">
        <f>'Ex - Livestock DISC.'!L13</f>
        <v>9.9912230509521613</v>
      </c>
      <c r="D9" s="136"/>
    </row>
    <row r="10" spans="1:4" ht="24" x14ac:dyDescent="0.25">
      <c r="A10" s="150" t="s">
        <v>819</v>
      </c>
      <c r="B10" s="455">
        <f>'Ex - Livestock DISC.'!L10</f>
        <v>3.4367209530081309</v>
      </c>
      <c r="D10" s="136"/>
    </row>
    <row r="11" spans="1:4" x14ac:dyDescent="0.25">
      <c r="B11" s="455"/>
      <c r="D11" s="6"/>
    </row>
    <row r="12" spans="1:4" ht="36" x14ac:dyDescent="0.25">
      <c r="A12" s="150" t="s">
        <v>964</v>
      </c>
      <c r="B12" s="455">
        <f>'Ex - Fuels DISC.'!Q43</f>
        <v>21.750224800000002</v>
      </c>
      <c r="D12" s="6"/>
    </row>
    <row r="13" spans="1:4" ht="36" x14ac:dyDescent="0.25">
      <c r="A13" s="150" t="s">
        <v>832</v>
      </c>
      <c r="B13" s="455">
        <f>'Ex - Fuels DISC.'!Q38</f>
        <v>12.457834</v>
      </c>
      <c r="D13" s="47"/>
    </row>
    <row r="14" spans="1:4" ht="36" x14ac:dyDescent="0.25">
      <c r="A14" s="150" t="s">
        <v>833</v>
      </c>
      <c r="B14" s="455">
        <f>'Ex - Fuels DISC.'!Q28</f>
        <v>8.2340199999999992</v>
      </c>
      <c r="D14" s="47"/>
    </row>
    <row r="15" spans="1:4" ht="36" x14ac:dyDescent="0.25">
      <c r="A15" s="150" t="s">
        <v>790</v>
      </c>
      <c r="B15" s="455">
        <f>'Ex - Fuels DISC.'!Q16</f>
        <v>1.6723148811999993</v>
      </c>
      <c r="C15" s="455">
        <f>'Ex - Fuels DISC.'!Q17</f>
        <v>7.6807104947640097</v>
      </c>
      <c r="D15" s="47"/>
    </row>
    <row r="16" spans="1:4" x14ac:dyDescent="0.25">
      <c r="A16" s="37" t="s">
        <v>535</v>
      </c>
      <c r="B16" s="455">
        <f>'Ex - Crops DISC.'!M36</f>
        <v>21.802586197868806</v>
      </c>
    </row>
    <row r="17" spans="2:2" x14ac:dyDescent="0.25">
      <c r="B17" s="174"/>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V44"/>
  <sheetViews>
    <sheetView zoomScaleNormal="100" zoomScalePageLayoutView="200" workbookViewId="0">
      <pane xSplit="1" ySplit="5" topLeftCell="B6" activePane="bottomRight" state="frozen"/>
      <selection activeCell="J24" sqref="J24"/>
      <selection pane="topRight" activeCell="J24" sqref="J24"/>
      <selection pane="bottomLeft" activeCell="J24" sqref="J24"/>
      <selection pane="bottomRight" activeCell="B9" sqref="B9"/>
    </sheetView>
  </sheetViews>
  <sheetFormatPr defaultColWidth="9.109375" defaultRowHeight="12" x14ac:dyDescent="0.25"/>
  <cols>
    <col min="1" max="1" width="34.6640625" style="173" customWidth="1"/>
    <col min="2" max="2" width="7.6640625" style="173" customWidth="1"/>
    <col min="3" max="3" width="6.6640625" style="173" customWidth="1"/>
    <col min="4" max="4" width="7.33203125" style="173" customWidth="1"/>
    <col min="5" max="5" width="9.33203125" style="76" customWidth="1"/>
    <col min="6" max="6" width="9.109375" style="76" customWidth="1"/>
    <col min="7" max="8" width="5.33203125" style="173" customWidth="1"/>
    <col min="9" max="9" width="6.6640625" style="173" customWidth="1"/>
    <col min="10" max="10" width="6.33203125" style="173" customWidth="1"/>
    <col min="11" max="11" width="6.6640625" style="173" customWidth="1"/>
    <col min="12" max="12" width="7.6640625" style="173" customWidth="1"/>
    <col min="13" max="13" width="6.6640625" style="173" customWidth="1"/>
    <col min="14" max="14" width="8.6640625" style="173" customWidth="1"/>
    <col min="15" max="16" width="6.6640625" style="173" customWidth="1"/>
    <col min="17" max="17" width="8.6640625" style="173" customWidth="1"/>
    <col min="18" max="18" width="8.6640625" style="210" customWidth="1"/>
    <col min="19" max="23" width="7.6640625" style="173" customWidth="1"/>
    <col min="24" max="16384" width="9.109375" style="173"/>
  </cols>
  <sheetData>
    <row r="1" spans="1:22" s="2" customFormat="1" ht="15.6" x14ac:dyDescent="0.3">
      <c r="A1" s="359" t="s">
        <v>424</v>
      </c>
      <c r="B1" s="359"/>
      <c r="C1" s="361"/>
      <c r="D1" s="359"/>
      <c r="E1" s="354"/>
      <c r="F1" s="354"/>
      <c r="G1" s="359"/>
      <c r="H1" s="359"/>
      <c r="I1" s="359"/>
      <c r="J1" s="361"/>
      <c r="K1" s="360"/>
      <c r="L1" s="360"/>
      <c r="M1" s="359"/>
      <c r="N1" s="359"/>
      <c r="O1" s="361"/>
      <c r="P1" s="359"/>
      <c r="Q1" s="359"/>
      <c r="R1" s="360"/>
      <c r="S1" s="359"/>
      <c r="T1" s="359"/>
      <c r="U1" s="359"/>
      <c r="V1" s="359"/>
    </row>
    <row r="2" spans="1:22" s="2" customFormat="1" ht="14.4" x14ac:dyDescent="0.3">
      <c r="B2" s="358" t="s">
        <v>586</v>
      </c>
      <c r="C2" s="358"/>
      <c r="E2" s="354"/>
      <c r="F2" s="354"/>
      <c r="L2" s="406"/>
      <c r="N2" s="358" t="s">
        <v>585</v>
      </c>
      <c r="O2" s="358"/>
      <c r="Q2" s="2" t="s">
        <v>584</v>
      </c>
      <c r="R2" s="357"/>
    </row>
    <row r="3" spans="1:22" ht="24" customHeight="1" x14ac:dyDescent="0.25">
      <c r="B3" s="27" t="s">
        <v>583</v>
      </c>
      <c r="C3" s="16" t="s">
        <v>582</v>
      </c>
      <c r="E3" s="356"/>
      <c r="F3" s="356"/>
      <c r="K3" s="9" t="s">
        <v>581</v>
      </c>
      <c r="N3" s="9" t="s">
        <v>580</v>
      </c>
      <c r="O3" s="9"/>
      <c r="Q3" s="1" t="s">
        <v>579</v>
      </c>
      <c r="R3" s="59"/>
      <c r="S3" s="1" t="s">
        <v>578</v>
      </c>
    </row>
    <row r="4" spans="1:22" s="150" customFormat="1" ht="60" customHeight="1" x14ac:dyDescent="0.25">
      <c r="B4" s="4" t="s">
        <v>577</v>
      </c>
      <c r="C4" s="4" t="s">
        <v>744</v>
      </c>
      <c r="D4" s="14" t="s">
        <v>570</v>
      </c>
      <c r="E4" s="123"/>
      <c r="F4" s="60" t="s">
        <v>576</v>
      </c>
      <c r="G4" s="747" t="s">
        <v>575</v>
      </c>
      <c r="H4" s="747"/>
      <c r="I4" s="486" t="s">
        <v>574</v>
      </c>
      <c r="J4" s="4" t="s">
        <v>573</v>
      </c>
      <c r="K4" s="486" t="s">
        <v>572</v>
      </c>
      <c r="L4" s="4" t="s">
        <v>767</v>
      </c>
      <c r="M4" s="4" t="s">
        <v>571</v>
      </c>
      <c r="N4" s="150" t="s">
        <v>820</v>
      </c>
      <c r="O4" s="4" t="s">
        <v>744</v>
      </c>
      <c r="P4" s="4" t="s">
        <v>636</v>
      </c>
      <c r="Q4" s="748" t="s">
        <v>569</v>
      </c>
      <c r="R4" s="748"/>
      <c r="S4" s="150" t="s">
        <v>568</v>
      </c>
      <c r="T4" s="150" t="s">
        <v>363</v>
      </c>
      <c r="U4" s="150" t="s">
        <v>567</v>
      </c>
    </row>
    <row r="5" spans="1:22" ht="48" customHeight="1" x14ac:dyDescent="0.25">
      <c r="B5" s="4" t="s">
        <v>566</v>
      </c>
      <c r="C5" s="4" t="s">
        <v>558</v>
      </c>
      <c r="D5" s="4" t="s">
        <v>558</v>
      </c>
      <c r="E5" s="123" t="s">
        <v>565</v>
      </c>
      <c r="F5" s="4" t="s">
        <v>558</v>
      </c>
      <c r="G5" s="4" t="s">
        <v>564</v>
      </c>
      <c r="H5" s="4" t="s">
        <v>560</v>
      </c>
      <c r="I5" s="4" t="s">
        <v>562</v>
      </c>
      <c r="J5" s="4" t="s">
        <v>558</v>
      </c>
      <c r="K5" s="4" t="s">
        <v>560</v>
      </c>
      <c r="L5" s="4" t="s">
        <v>563</v>
      </c>
      <c r="M5" s="4" t="s">
        <v>559</v>
      </c>
      <c r="N5" s="4" t="s">
        <v>562</v>
      </c>
      <c r="O5" s="4" t="s">
        <v>558</v>
      </c>
      <c r="P5" s="4" t="s">
        <v>558</v>
      </c>
      <c r="Q5" s="4" t="s">
        <v>561</v>
      </c>
      <c r="R5" s="60" t="s">
        <v>560</v>
      </c>
      <c r="S5" s="4" t="s">
        <v>559</v>
      </c>
      <c r="T5" s="4" t="s">
        <v>558</v>
      </c>
    </row>
    <row r="6" spans="1:22" x14ac:dyDescent="0.25">
      <c r="D6" s="4"/>
      <c r="E6" s="123"/>
      <c r="F6" s="123"/>
      <c r="G6" s="1"/>
      <c r="H6" s="1"/>
      <c r="I6" s="1"/>
      <c r="J6" s="1"/>
      <c r="K6" s="1"/>
      <c r="L6" s="1"/>
      <c r="M6" s="1"/>
      <c r="Q6" s="1"/>
      <c r="R6" s="59"/>
      <c r="S6" s="1"/>
      <c r="T6" s="1"/>
      <c r="U6" s="1"/>
      <c r="V6" s="1"/>
    </row>
    <row r="7" spans="1:22" ht="14.4" x14ac:dyDescent="0.3">
      <c r="A7" s="2" t="s">
        <v>74</v>
      </c>
      <c r="D7" s="4"/>
      <c r="E7" s="123"/>
      <c r="F7" s="123"/>
      <c r="G7" s="1"/>
      <c r="H7" s="1"/>
      <c r="I7" s="1"/>
      <c r="J7" s="1"/>
      <c r="K7" s="1"/>
      <c r="L7" s="1"/>
      <c r="M7" s="1"/>
      <c r="Q7" s="1"/>
      <c r="R7" s="59"/>
      <c r="S7" s="1"/>
      <c r="T7" s="1"/>
      <c r="U7" s="1"/>
      <c r="V7" s="1"/>
    </row>
    <row r="8" spans="1:22" x14ac:dyDescent="0.25">
      <c r="D8" s="4"/>
      <c r="E8" s="123"/>
      <c r="F8" s="123"/>
      <c r="G8" s="1"/>
      <c r="H8" s="1"/>
      <c r="I8" s="1"/>
      <c r="J8" s="1"/>
      <c r="K8" s="1"/>
      <c r="L8" s="1"/>
      <c r="M8" s="1"/>
      <c r="Q8" s="1"/>
      <c r="R8" s="59"/>
      <c r="S8" s="1"/>
      <c r="T8" s="1"/>
      <c r="U8" s="1"/>
      <c r="V8" s="1"/>
    </row>
    <row r="9" spans="1:22" x14ac:dyDescent="0.25">
      <c r="A9" s="1" t="s">
        <v>557</v>
      </c>
      <c r="D9" s="4"/>
      <c r="E9" s="123"/>
      <c r="F9" s="123"/>
      <c r="G9" s="1"/>
      <c r="H9" s="1"/>
      <c r="I9" s="1"/>
      <c r="J9" s="1"/>
      <c r="K9" s="1"/>
      <c r="L9" s="1"/>
      <c r="M9" s="1"/>
      <c r="Q9" s="1"/>
      <c r="R9" s="59"/>
      <c r="S9" s="1"/>
      <c r="T9" s="1"/>
      <c r="U9" s="1"/>
      <c r="V9" s="1"/>
    </row>
    <row r="10" spans="1:22" x14ac:dyDescent="0.25">
      <c r="A10" s="347" t="s">
        <v>556</v>
      </c>
      <c r="B10" s="252">
        <v>11.1</v>
      </c>
      <c r="C10" s="43">
        <v>0</v>
      </c>
      <c r="D10" s="164">
        <v>0.43</v>
      </c>
      <c r="E10" s="344">
        <v>0.25</v>
      </c>
      <c r="F10" s="344"/>
      <c r="G10" s="252">
        <v>0</v>
      </c>
      <c r="H10" s="26">
        <f>44/12*G10</f>
        <v>0</v>
      </c>
      <c r="I10" s="26">
        <f>R10/B10</f>
        <v>1.1561561561561562</v>
      </c>
      <c r="J10" s="343">
        <f>C10+D10-H10/B10+I10</f>
        <v>1.5861561561561561</v>
      </c>
      <c r="K10" s="381">
        <f>B10*(N10+O10)</f>
        <v>23.446904162751224</v>
      </c>
      <c r="L10" s="174">
        <f>(P10-D10)*B10+H10</f>
        <v>0.35299086245999972</v>
      </c>
      <c r="M10" s="342">
        <f>K10+L10</f>
        <v>23.799895025211224</v>
      </c>
      <c r="N10" s="341">
        <f>'Summary DISCOUNTED'!$F$10</f>
        <v>2.001327652627177</v>
      </c>
      <c r="O10" s="340">
        <f>'Summary DISCOUNTED'!$AL$10</f>
        <v>0.11100605572878924</v>
      </c>
      <c r="P10" s="467">
        <f>'Summary DISCOUNTED'!$AP$10</f>
        <v>0.46180097859999997</v>
      </c>
      <c r="Q10" s="346">
        <v>3.5</v>
      </c>
      <c r="R10" s="163">
        <f>44/12*Q10</f>
        <v>12.833333333333332</v>
      </c>
      <c r="S10" s="339">
        <f>M10-R10</f>
        <v>10.966561691877892</v>
      </c>
      <c r="T10" s="211">
        <f>S10/$B10</f>
        <v>0.98797853079981013</v>
      </c>
      <c r="U10" s="338">
        <f>S10/R10</f>
        <v>0.85453727469178387</v>
      </c>
    </row>
    <row r="11" spans="1:22" ht="24" x14ac:dyDescent="0.25">
      <c r="A11" s="437" t="s">
        <v>789</v>
      </c>
      <c r="B11" s="252">
        <v>12.1</v>
      </c>
      <c r="C11" s="43">
        <v>0</v>
      </c>
      <c r="D11" s="127">
        <f>D10-E10+E11</f>
        <v>0.53113783943329396</v>
      </c>
      <c r="E11" s="355">
        <f>(B10*E10+F11*(B11-B10))/B11</f>
        <v>0.35113783943329396</v>
      </c>
      <c r="F11" s="164">
        <f>0.125*(0.0145*44/28*298+5)</f>
        <v>1.4737678571428572</v>
      </c>
      <c r="G11" s="252">
        <v>0</v>
      </c>
      <c r="H11" s="26">
        <f>44/12*G11</f>
        <v>0</v>
      </c>
      <c r="I11" s="26">
        <f>R11/B11</f>
        <v>1.0606060606060606</v>
      </c>
      <c r="J11" s="343">
        <f>C11+D11-H11/B11+I11</f>
        <v>1.5917439000393545</v>
      </c>
      <c r="K11" s="174">
        <f>B11*(N11+O11)</f>
        <v>25.559237871107193</v>
      </c>
      <c r="L11" s="174">
        <f>(P11-D11)*B11+H11</f>
        <v>-0.83897601608285721</v>
      </c>
      <c r="M11" s="342">
        <f>K11+L11</f>
        <v>24.720261855024336</v>
      </c>
      <c r="N11" s="341">
        <f>'Summary DISCOUNTED'!$F$10</f>
        <v>2.001327652627177</v>
      </c>
      <c r="O11" s="340">
        <f>'Summary DISCOUNTED'!$AL$10</f>
        <v>0.11100605572878924</v>
      </c>
      <c r="P11" s="340">
        <f>'Summary DISCOUNTED'!$AP$10</f>
        <v>0.46180097859999997</v>
      </c>
      <c r="Q11" s="346">
        <v>3.5</v>
      </c>
      <c r="R11" s="163">
        <f>44/12*Q11</f>
        <v>12.833333333333332</v>
      </c>
      <c r="S11" s="339">
        <f>M11-R11</f>
        <v>11.886928521691004</v>
      </c>
      <c r="T11" s="211">
        <f>S11/$B11</f>
        <v>0.98239078691661197</v>
      </c>
      <c r="U11" s="338">
        <f>S11/R11</f>
        <v>0.92625417052137704</v>
      </c>
    </row>
    <row r="12" spans="1:22" s="6" customFormat="1" x14ac:dyDescent="0.25">
      <c r="A12" s="337" t="s">
        <v>543</v>
      </c>
      <c r="B12" s="54"/>
      <c r="C12" s="374"/>
      <c r="D12" s="54"/>
      <c r="E12" s="133"/>
      <c r="F12" s="133"/>
      <c r="G12" s="54"/>
      <c r="H12" s="54"/>
      <c r="I12" s="54"/>
      <c r="J12" s="336">
        <f>J10-J11</f>
        <v>-5.5877438831983817E-3</v>
      </c>
      <c r="K12" s="51"/>
      <c r="M12" s="51">
        <f>-(M10-M11)</f>
        <v>0.92036682981311202</v>
      </c>
      <c r="R12" s="76"/>
      <c r="S12" s="51">
        <f>-(S10-S11)</f>
        <v>0.92036682981311202</v>
      </c>
      <c r="T12" s="136">
        <f>-(T10-T11)</f>
        <v>-5.5877438831981596E-3</v>
      </c>
    </row>
    <row r="13" spans="1:22" x14ac:dyDescent="0.25">
      <c r="B13" s="55"/>
      <c r="C13" s="363"/>
      <c r="D13" s="9"/>
      <c r="E13" s="466"/>
      <c r="F13" s="466"/>
      <c r="G13" s="37"/>
      <c r="H13" s="37"/>
      <c r="I13" s="37"/>
      <c r="J13" s="353"/>
      <c r="N13" s="37"/>
      <c r="O13" s="352"/>
      <c r="P13" s="352"/>
      <c r="Q13" s="116"/>
    </row>
    <row r="14" spans="1:22" x14ac:dyDescent="0.25">
      <c r="A14" s="9" t="s">
        <v>555</v>
      </c>
      <c r="B14" s="74"/>
      <c r="C14" s="369"/>
      <c r="D14" s="74"/>
      <c r="E14" s="133"/>
      <c r="F14" s="133"/>
      <c r="G14" s="74"/>
      <c r="H14" s="74"/>
      <c r="I14" s="74"/>
      <c r="J14" s="163">
        <f>J15/J16</f>
        <v>2.5607305936073059</v>
      </c>
      <c r="K14" s="210"/>
      <c r="L14" s="210"/>
      <c r="M14" s="210"/>
      <c r="N14" s="210"/>
      <c r="O14" s="210"/>
      <c r="P14" s="210"/>
      <c r="Q14" s="116"/>
      <c r="S14" s="210"/>
      <c r="T14" s="210"/>
      <c r="U14" s="210"/>
    </row>
    <row r="15" spans="1:22" x14ac:dyDescent="0.25">
      <c r="A15" s="345" t="s">
        <v>554</v>
      </c>
      <c r="B15" s="43">
        <v>1.8</v>
      </c>
      <c r="C15" s="43">
        <v>0</v>
      </c>
      <c r="D15" s="164">
        <v>0.06</v>
      </c>
      <c r="E15" s="344"/>
      <c r="F15" s="344"/>
      <c r="G15" s="252">
        <v>0</v>
      </c>
      <c r="H15" s="26">
        <f>44/12*G15</f>
        <v>0</v>
      </c>
      <c r="I15" s="26">
        <f>R15/B15</f>
        <v>3.0555555555555554</v>
      </c>
      <c r="J15" s="343">
        <f t="shared" ref="J15:J16" si="0">C15+D15-H15/B15+I15</f>
        <v>3.1155555555555554</v>
      </c>
      <c r="K15" s="174">
        <f t="shared" ref="K15:K16" si="1">B15*(N15+O15)</f>
        <v>3.8022006750407393</v>
      </c>
      <c r="L15" s="174">
        <f t="shared" ref="L15:L16" si="2">(P15-D15)*B15+H15</f>
        <v>0.72324176147999997</v>
      </c>
      <c r="M15" s="342">
        <f>K15+L15</f>
        <v>4.5254424365207395</v>
      </c>
      <c r="N15" s="341">
        <f>'Summary DISCOUNTED'!$F$10</f>
        <v>2.001327652627177</v>
      </c>
      <c r="O15" s="340">
        <f>'Summary DISCOUNTED'!$AL$10</f>
        <v>0.11100605572878924</v>
      </c>
      <c r="P15" s="340">
        <f>'Summary DISCOUNTED'!$AP$10</f>
        <v>0.46180097859999997</v>
      </c>
      <c r="Q15" s="346">
        <v>1.5</v>
      </c>
      <c r="R15" s="163">
        <f>44/12*Q15</f>
        <v>5.5</v>
      </c>
      <c r="S15" s="339">
        <f>M15-R15</f>
        <v>-0.97455756347926048</v>
      </c>
      <c r="T15" s="211">
        <f>S15/$B15</f>
        <v>-0.54142086859958916</v>
      </c>
      <c r="U15" s="338">
        <f>S15/R15</f>
        <v>-0.17719228426895645</v>
      </c>
    </row>
    <row r="16" spans="1:22" ht="24" x14ac:dyDescent="0.25">
      <c r="A16" s="350" t="s">
        <v>784</v>
      </c>
      <c r="B16" s="43">
        <v>6</v>
      </c>
      <c r="C16" s="43">
        <v>0</v>
      </c>
      <c r="D16" s="164">
        <v>0.3</v>
      </c>
      <c r="E16" s="344"/>
      <c r="F16" s="344"/>
      <c r="G16" s="252">
        <v>0</v>
      </c>
      <c r="H16" s="26">
        <f>44/12*G16</f>
        <v>0</v>
      </c>
      <c r="I16" s="26">
        <f>R16/B16</f>
        <v>0.91666666666666663</v>
      </c>
      <c r="J16" s="343">
        <f t="shared" si="0"/>
        <v>1.2166666666666666</v>
      </c>
      <c r="K16" s="174">
        <f t="shared" si="1"/>
        <v>12.674002250135798</v>
      </c>
      <c r="L16" s="174">
        <f t="shared" si="2"/>
        <v>0.97080587159999987</v>
      </c>
      <c r="M16" s="342">
        <f>K16+L16</f>
        <v>13.644808121735798</v>
      </c>
      <c r="N16" s="341">
        <f>'Summary DISCOUNTED'!$F$10</f>
        <v>2.001327652627177</v>
      </c>
      <c r="O16" s="340">
        <f>'Summary DISCOUNTED'!$AL$10</f>
        <v>0.11100605572878924</v>
      </c>
      <c r="P16" s="340">
        <f>'Summary DISCOUNTED'!$AP$10</f>
        <v>0.46180097859999997</v>
      </c>
      <c r="Q16" s="351">
        <f>Q15</f>
        <v>1.5</v>
      </c>
      <c r="R16" s="163">
        <f>44/12*Q16</f>
        <v>5.5</v>
      </c>
      <c r="S16" s="339">
        <f>M16-R16</f>
        <v>8.1448081217357977</v>
      </c>
      <c r="T16" s="211">
        <f>S16/$B16</f>
        <v>1.3574680202892997</v>
      </c>
      <c r="U16" s="338">
        <f>S16/R16</f>
        <v>1.4808742039519631</v>
      </c>
    </row>
    <row r="17" spans="1:21" s="6" customFormat="1" x14ac:dyDescent="0.25">
      <c r="A17" s="337" t="s">
        <v>543</v>
      </c>
      <c r="B17" s="54"/>
      <c r="C17" s="363"/>
      <c r="D17" s="54"/>
      <c r="E17" s="133"/>
      <c r="F17" s="133"/>
      <c r="G17" s="54"/>
      <c r="H17" s="54"/>
      <c r="I17" s="54"/>
      <c r="J17" s="336">
        <f>J15-J16</f>
        <v>1.8988888888888888</v>
      </c>
      <c r="M17" s="135">
        <f>-(M15-M16)</f>
        <v>9.1193656852150582</v>
      </c>
      <c r="Q17" s="118"/>
      <c r="R17" s="76"/>
      <c r="S17" s="135">
        <f>-(S15-S16)</f>
        <v>9.1193656852150582</v>
      </c>
      <c r="T17" s="51">
        <f>-(T15-T16)</f>
        <v>1.8988888888888888</v>
      </c>
    </row>
    <row r="18" spans="1:21" x14ac:dyDescent="0.25">
      <c r="A18" s="350"/>
      <c r="B18" s="37"/>
      <c r="C18" s="369"/>
      <c r="D18" s="37"/>
      <c r="E18" s="133"/>
      <c r="F18" s="133"/>
      <c r="G18" s="37"/>
      <c r="H18" s="37"/>
      <c r="I18" s="37"/>
      <c r="Q18" s="116"/>
    </row>
    <row r="19" spans="1:21" x14ac:dyDescent="0.25">
      <c r="A19" s="1" t="s">
        <v>553</v>
      </c>
      <c r="B19" s="37"/>
      <c r="C19" s="374"/>
      <c r="D19" s="37"/>
      <c r="E19" s="133"/>
      <c r="F19" s="133"/>
      <c r="G19" s="37"/>
      <c r="H19" s="37"/>
      <c r="I19" s="37"/>
      <c r="Q19" s="116"/>
    </row>
    <row r="20" spans="1:21" x14ac:dyDescent="0.25">
      <c r="A20" s="347" t="s">
        <v>552</v>
      </c>
      <c r="B20" s="252">
        <v>3.1</v>
      </c>
      <c r="C20" s="43">
        <v>0</v>
      </c>
      <c r="D20" s="164">
        <v>0.2</v>
      </c>
      <c r="E20" s="344"/>
      <c r="F20" s="344"/>
      <c r="G20" s="252">
        <v>0</v>
      </c>
      <c r="H20" s="26">
        <f>44/12*G20</f>
        <v>0</v>
      </c>
      <c r="I20" s="26">
        <f>R20/B20</f>
        <v>5.086021505376344</v>
      </c>
      <c r="J20" s="343">
        <f t="shared" ref="J20:J21" si="3">C20+D20-H20/B20+I20</f>
        <v>5.2860215053763442</v>
      </c>
      <c r="K20" s="174">
        <f t="shared" ref="K20:K21" si="4">B20*(N20+O20)</f>
        <v>8.0872068440950713</v>
      </c>
      <c r="L20" s="174">
        <f t="shared" ref="L20:L21" si="5">(P20-D20)*B20+H20</f>
        <v>6.1196825342480015</v>
      </c>
      <c r="M20" s="342">
        <f>K20+L20</f>
        <v>14.206889378343073</v>
      </c>
      <c r="N20" s="341">
        <f>'Summary DISCOUNTED'!$F$11</f>
        <v>2.3651418601441829</v>
      </c>
      <c r="O20" s="340">
        <f>'Summary DISCOUNTED'!$AL$11</f>
        <v>0.24363454117680775</v>
      </c>
      <c r="P20" s="349">
        <f>'Summary DISCOUNTED'!$AP$11</f>
        <v>2.1740911400800003</v>
      </c>
      <c r="Q20" s="252">
        <v>4.3</v>
      </c>
      <c r="R20" s="163">
        <f>44/12*Q20</f>
        <v>15.766666666666666</v>
      </c>
      <c r="S20" s="339">
        <f>M20-R20</f>
        <v>-1.559777288323593</v>
      </c>
      <c r="T20" s="211">
        <f>S20/$B20</f>
        <v>-0.5031539639753525</v>
      </c>
      <c r="U20" s="338">
        <f>S20/R20</f>
        <v>-9.892879207126383E-2</v>
      </c>
    </row>
    <row r="21" spans="1:21" x14ac:dyDescent="0.25">
      <c r="A21" s="347" t="s">
        <v>551</v>
      </c>
      <c r="B21" s="252">
        <v>7.8</v>
      </c>
      <c r="C21" s="43">
        <v>0</v>
      </c>
      <c r="D21" s="164">
        <v>2</v>
      </c>
      <c r="E21" s="344"/>
      <c r="F21" s="344"/>
      <c r="G21" s="252">
        <v>0</v>
      </c>
      <c r="H21" s="26">
        <f>44/12*G21</f>
        <v>0</v>
      </c>
      <c r="I21" s="26">
        <f>R21/B21</f>
        <v>1.7393162393162394</v>
      </c>
      <c r="J21" s="343">
        <f t="shared" si="3"/>
        <v>3.7393162393162394</v>
      </c>
      <c r="K21" s="174">
        <f t="shared" si="4"/>
        <v>20.348455930303729</v>
      </c>
      <c r="L21" s="174">
        <f t="shared" si="5"/>
        <v>1.357910892624002</v>
      </c>
      <c r="M21" s="342">
        <f>K21+L21</f>
        <v>21.70636682292773</v>
      </c>
      <c r="N21" s="341">
        <f>'Summary DISCOUNTED'!$F$11</f>
        <v>2.3651418601441829</v>
      </c>
      <c r="O21" s="340">
        <f>'Summary DISCOUNTED'!$AL$11</f>
        <v>0.24363454117680775</v>
      </c>
      <c r="P21" s="349">
        <f>'Summary DISCOUNTED'!$AP$11</f>
        <v>2.1740911400800003</v>
      </c>
      <c r="Q21" s="252">
        <v>3.7</v>
      </c>
      <c r="R21" s="163">
        <f>44/12*Q21</f>
        <v>13.566666666666666</v>
      </c>
      <c r="S21" s="339">
        <f>M21-R21</f>
        <v>8.139700156261064</v>
      </c>
      <c r="T21" s="211">
        <f>S21/$B21</f>
        <v>1.0435513020847518</v>
      </c>
      <c r="U21" s="338">
        <f>S21/R21</f>
        <v>0.59997789849590155</v>
      </c>
    </row>
    <row r="22" spans="1:21" s="6" customFormat="1" x14ac:dyDescent="0.25">
      <c r="A22" s="348" t="s">
        <v>543</v>
      </c>
      <c r="B22" s="54"/>
      <c r="C22" s="374"/>
      <c r="D22" s="54"/>
      <c r="E22" s="133"/>
      <c r="F22" s="133"/>
      <c r="G22" s="54"/>
      <c r="H22" s="54"/>
      <c r="I22" s="54"/>
      <c r="J22" s="336">
        <f>J20-J21</f>
        <v>1.5467052660601048</v>
      </c>
      <c r="M22" s="51">
        <f>-(M20-M21)</f>
        <v>7.4994774445846577</v>
      </c>
      <c r="Q22" s="118"/>
      <c r="R22" s="76"/>
      <c r="S22" s="51">
        <f>-(S20-S21)</f>
        <v>9.699477444584657</v>
      </c>
      <c r="T22" s="51">
        <f>-(T20-T21)</f>
        <v>1.5467052660601044</v>
      </c>
    </row>
    <row r="23" spans="1:21" x14ac:dyDescent="0.25">
      <c r="B23" s="37"/>
      <c r="C23" s="363"/>
      <c r="D23" s="37"/>
      <c r="E23" s="133"/>
      <c r="F23" s="133"/>
      <c r="G23" s="37"/>
      <c r="H23" s="37"/>
      <c r="I23" s="37"/>
    </row>
    <row r="24" spans="1:21" ht="24" x14ac:dyDescent="0.25">
      <c r="A24" s="27" t="s">
        <v>550</v>
      </c>
      <c r="B24" s="37"/>
      <c r="C24" s="369"/>
      <c r="D24" s="37"/>
      <c r="E24" s="133"/>
      <c r="F24" s="133"/>
      <c r="G24" s="37"/>
      <c r="H24" s="37"/>
      <c r="I24" s="37"/>
    </row>
    <row r="25" spans="1:21" x14ac:dyDescent="0.25">
      <c r="A25" s="345" t="s">
        <v>545</v>
      </c>
      <c r="B25" s="43">
        <v>6.47</v>
      </c>
      <c r="C25" s="43">
        <v>0</v>
      </c>
      <c r="D25" s="164">
        <v>0.4</v>
      </c>
      <c r="E25" s="344"/>
      <c r="F25" s="344"/>
      <c r="G25" s="252">
        <v>0</v>
      </c>
      <c r="H25" s="26">
        <f>44/12*G25</f>
        <v>0</v>
      </c>
      <c r="I25" s="26">
        <f>R25/B25</f>
        <v>1.5868109222050488</v>
      </c>
      <c r="J25" s="343">
        <f t="shared" ref="J25:J26" si="6">C25+D25-H25/B25+I25</f>
        <v>1.986810922205049</v>
      </c>
      <c r="K25" s="174">
        <f t="shared" ref="K25:K26" si="7">B25*(N25+O25)</f>
        <v>12.276973328214847</v>
      </c>
      <c r="L25" s="174">
        <f t="shared" ref="L25:L26" si="8">(P25-D25)*B25+H25</f>
        <v>1.8668312438977999</v>
      </c>
      <c r="M25" s="342">
        <f>K25+L25</f>
        <v>14.143804572112646</v>
      </c>
      <c r="N25" s="341">
        <f>'Summary DISCOUNTED'!$F$12</f>
        <v>1.7854951974541262</v>
      </c>
      <c r="O25" s="340">
        <f>'Summary DISCOUNTED'!$AL$12</f>
        <v>0.11202772808139883</v>
      </c>
      <c r="P25" s="340">
        <f>'Summary DISCOUNTED'!$AP$12</f>
        <v>0.68853651374000002</v>
      </c>
      <c r="Q25" s="252">
        <v>2.8</v>
      </c>
      <c r="R25" s="163">
        <f>44/12*Q25</f>
        <v>10.266666666666666</v>
      </c>
      <c r="S25" s="339">
        <f>M25-R25</f>
        <v>3.8771379054459807</v>
      </c>
      <c r="T25" s="211">
        <f>S25/$B25</f>
        <v>0.59924851707047622</v>
      </c>
      <c r="U25" s="338">
        <f>S25/R25</f>
        <v>0.37764330247850464</v>
      </c>
    </row>
    <row r="26" spans="1:21" x14ac:dyDescent="0.25">
      <c r="A26" s="345" t="s">
        <v>544</v>
      </c>
      <c r="B26" s="43">
        <v>3.42</v>
      </c>
      <c r="C26" s="43">
        <v>0</v>
      </c>
      <c r="D26" s="164">
        <v>0.3</v>
      </c>
      <c r="E26" s="344"/>
      <c r="F26" s="344"/>
      <c r="G26" s="252">
        <v>0</v>
      </c>
      <c r="H26" s="26">
        <f>44/12*G26</f>
        <v>0</v>
      </c>
      <c r="I26" s="26">
        <f>R26/B26</f>
        <v>3.001949317738791</v>
      </c>
      <c r="J26" s="343">
        <f t="shared" si="6"/>
        <v>3.3019493177387909</v>
      </c>
      <c r="K26" s="174">
        <f t="shared" si="7"/>
        <v>6.4895284053314954</v>
      </c>
      <c r="L26" s="174">
        <f t="shared" si="8"/>
        <v>1.3287948769908</v>
      </c>
      <c r="M26" s="342">
        <f>K26+L26</f>
        <v>7.8183232823222957</v>
      </c>
      <c r="N26" s="341">
        <f>'Summary DISCOUNTED'!$F$12</f>
        <v>1.7854951974541262</v>
      </c>
      <c r="O26" s="340">
        <f>'Summary DISCOUNTED'!$AL$12</f>
        <v>0.11202772808139883</v>
      </c>
      <c r="P26" s="340">
        <f>'Summary DISCOUNTED'!$AP$12</f>
        <v>0.68853651374000002</v>
      </c>
      <c r="Q26" s="115">
        <f>Q25</f>
        <v>2.8</v>
      </c>
      <c r="R26" s="163">
        <f>44/12*Q26</f>
        <v>10.266666666666666</v>
      </c>
      <c r="S26" s="339">
        <f>M26-R26</f>
        <v>-2.44834338434437</v>
      </c>
      <c r="T26" s="211">
        <f>S26/$B26</f>
        <v>-0.71588987846326613</v>
      </c>
      <c r="U26" s="338">
        <f>S26/R26</f>
        <v>-0.23847500496860749</v>
      </c>
    </row>
    <row r="27" spans="1:21" s="6" customFormat="1" x14ac:dyDescent="0.25">
      <c r="A27" s="337" t="s">
        <v>543</v>
      </c>
      <c r="B27" s="54"/>
      <c r="C27" s="37"/>
      <c r="D27" s="54"/>
      <c r="E27" s="133"/>
      <c r="F27" s="133"/>
      <c r="G27" s="54"/>
      <c r="H27" s="54"/>
      <c r="I27" s="54"/>
      <c r="J27" s="336">
        <f>J25-J26</f>
        <v>-1.3151383955337419</v>
      </c>
      <c r="M27" s="135">
        <f>-(M25-M26)</f>
        <v>-6.3254812897903507</v>
      </c>
      <c r="R27" s="76"/>
      <c r="S27" s="135">
        <f>-(S25-S26)</f>
        <v>-6.3254812897903507</v>
      </c>
      <c r="T27" s="51">
        <f>-(T25-T26)</f>
        <v>-1.3151383955337423</v>
      </c>
    </row>
    <row r="28" spans="1:21" x14ac:dyDescent="0.25">
      <c r="B28" s="37"/>
      <c r="C28" s="363"/>
      <c r="D28" s="37"/>
      <c r="E28" s="133"/>
      <c r="F28" s="133"/>
      <c r="G28" s="37"/>
      <c r="H28" s="37"/>
      <c r="I28" s="37"/>
    </row>
    <row r="29" spans="1:21" x14ac:dyDescent="0.25">
      <c r="B29" s="37"/>
      <c r="C29" s="37"/>
      <c r="D29" s="37"/>
      <c r="E29" s="133"/>
      <c r="F29" s="133"/>
      <c r="G29" s="37"/>
      <c r="H29" s="37"/>
      <c r="I29" s="37"/>
    </row>
    <row r="30" spans="1:21" ht="14.4" x14ac:dyDescent="0.3">
      <c r="A30" s="2" t="s">
        <v>309</v>
      </c>
      <c r="B30" s="37"/>
      <c r="C30" s="37"/>
      <c r="D30" s="37"/>
      <c r="E30" s="133"/>
      <c r="F30" s="133"/>
      <c r="G30" s="37"/>
      <c r="H30" s="37"/>
      <c r="I30" s="37"/>
    </row>
    <row r="31" spans="1:21" x14ac:dyDescent="0.25">
      <c r="B31" s="37"/>
      <c r="C31" s="37"/>
      <c r="D31" s="37"/>
      <c r="E31" s="133"/>
      <c r="F31" s="133"/>
      <c r="G31" s="37"/>
      <c r="H31" s="37"/>
      <c r="I31" s="37"/>
    </row>
    <row r="32" spans="1:21" x14ac:dyDescent="0.25">
      <c r="A32" s="9" t="s">
        <v>549</v>
      </c>
      <c r="B32" s="37"/>
      <c r="C32" s="363"/>
      <c r="D32" s="37"/>
      <c r="E32" s="133"/>
      <c r="F32" s="133"/>
      <c r="G32" s="37"/>
      <c r="H32" s="37"/>
      <c r="I32" s="37"/>
    </row>
    <row r="33" spans="1:21" x14ac:dyDescent="0.25">
      <c r="A33" s="347" t="s">
        <v>548</v>
      </c>
      <c r="B33" s="252">
        <v>3.46</v>
      </c>
      <c r="C33" s="43">
        <v>0</v>
      </c>
      <c r="D33" s="164">
        <v>0.39</v>
      </c>
      <c r="E33" s="344"/>
      <c r="F33" s="344"/>
      <c r="G33" s="252">
        <v>0</v>
      </c>
      <c r="H33" s="26">
        <f>44/12*G33</f>
        <v>0</v>
      </c>
      <c r="I33" s="26">
        <f>R33/B33</f>
        <v>3.7090558766859343</v>
      </c>
      <c r="J33" s="343">
        <f>C33+D33-H33/B33+I33</f>
        <v>4.0990558766859344</v>
      </c>
      <c r="K33" s="174">
        <f t="shared" ref="K33" si="9">B33*(N33+O33)</f>
        <v>20.252439865810391</v>
      </c>
      <c r="L33" s="174">
        <f t="shared" ref="L33" si="10">(P33-D33)*B33+H33</f>
        <v>-0.44716249528400004</v>
      </c>
      <c r="M33" s="342">
        <f>K33+L33</f>
        <v>19.80527737052639</v>
      </c>
      <c r="N33" s="341">
        <f>'Summary DISCOUNTED'!$F$28</f>
        <v>5.6873996257355337</v>
      </c>
      <c r="O33" s="340">
        <f>'Summary DISCOUNTED'!$AL$28</f>
        <v>0.16590669386284537</v>
      </c>
      <c r="P33" s="340">
        <f>'Summary DISCOUNTED'!$AP$28</f>
        <v>0.2607622846</v>
      </c>
      <c r="Q33" s="346">
        <v>3.5</v>
      </c>
      <c r="R33" s="163">
        <f>44/12*Q33</f>
        <v>12.833333333333332</v>
      </c>
      <c r="S33" s="339">
        <f>M33-R33</f>
        <v>6.9719440371930581</v>
      </c>
      <c r="T33" s="211">
        <f>S33/$B33</f>
        <v>2.0150127275124445</v>
      </c>
      <c r="U33" s="338">
        <f>S33/R33</f>
        <v>0.54326836653452404</v>
      </c>
    </row>
    <row r="34" spans="1:21" x14ac:dyDescent="0.25">
      <c r="B34" s="37"/>
      <c r="C34" s="37"/>
      <c r="D34" s="37"/>
      <c r="E34" s="133"/>
      <c r="F34" s="133"/>
      <c r="G34" s="37"/>
      <c r="H34" s="37"/>
      <c r="I34" s="37"/>
      <c r="Q34" s="8"/>
    </row>
    <row r="35" spans="1:21" x14ac:dyDescent="0.25">
      <c r="A35" s="9" t="s">
        <v>535</v>
      </c>
      <c r="B35" s="37"/>
      <c r="C35" s="37"/>
      <c r="D35" s="37"/>
      <c r="E35" s="133"/>
      <c r="F35" s="133"/>
      <c r="G35" s="37"/>
      <c r="H35" s="37"/>
      <c r="I35" s="37"/>
      <c r="Q35" s="8"/>
    </row>
    <row r="36" spans="1:21" x14ac:dyDescent="0.25">
      <c r="A36" s="347" t="s">
        <v>547</v>
      </c>
      <c r="B36" s="37"/>
      <c r="C36" s="363"/>
      <c r="D36" s="37"/>
      <c r="E36" s="133"/>
      <c r="F36" s="133"/>
      <c r="G36" s="37"/>
      <c r="H36" s="37"/>
      <c r="I36" s="37"/>
      <c r="K36" s="163">
        <f>(K10+K33)/2</f>
        <v>21.849672014280806</v>
      </c>
      <c r="L36" s="556">
        <f>(L10+L33)/2</f>
        <v>-4.7085816412000159E-2</v>
      </c>
      <c r="M36" s="342">
        <f>(M10+M33)/2</f>
        <v>21.802586197868806</v>
      </c>
      <c r="Q36" s="8"/>
      <c r="R36" s="163">
        <f>(R10+R33)/2</f>
        <v>12.833333333333332</v>
      </c>
      <c r="S36" s="339">
        <f>M36-R36</f>
        <v>8.9692528645354734</v>
      </c>
    </row>
    <row r="37" spans="1:21" x14ac:dyDescent="0.25">
      <c r="B37" s="37"/>
      <c r="C37" s="37"/>
      <c r="D37" s="37"/>
      <c r="E37" s="133"/>
      <c r="F37" s="133"/>
      <c r="G37" s="37"/>
      <c r="H37" s="37"/>
      <c r="I37" s="37"/>
      <c r="Q37" s="8"/>
    </row>
    <row r="38" spans="1:21" x14ac:dyDescent="0.25">
      <c r="A38" s="9" t="s">
        <v>537</v>
      </c>
      <c r="B38" s="37"/>
      <c r="C38" s="55"/>
      <c r="D38" s="37"/>
      <c r="E38" s="133"/>
      <c r="F38" s="133"/>
      <c r="G38" s="37"/>
      <c r="H38" s="37"/>
      <c r="I38" s="37"/>
      <c r="Q38" s="8"/>
    </row>
    <row r="39" spans="1:21" x14ac:dyDescent="0.25">
      <c r="A39" s="347" t="s">
        <v>546</v>
      </c>
      <c r="B39" s="43">
        <v>2.8</v>
      </c>
      <c r="C39" s="43">
        <v>0</v>
      </c>
      <c r="D39" s="164">
        <v>0.3</v>
      </c>
      <c r="E39" s="344"/>
      <c r="F39" s="344"/>
      <c r="G39" s="252">
        <v>0</v>
      </c>
      <c r="H39" s="26">
        <f>44/12*G39</f>
        <v>0</v>
      </c>
      <c r="I39" s="26">
        <f>R39/B39</f>
        <v>4.583333333333333</v>
      </c>
      <c r="J39" s="343">
        <f>C39+D39-H39/B39+I39</f>
        <v>4.8833333333333329</v>
      </c>
      <c r="K39" s="174">
        <f t="shared" ref="K39" si="11">B39*(N39+O39)</f>
        <v>16.389257694875461</v>
      </c>
      <c r="L39" s="174">
        <f t="shared" ref="L39" si="12">(P39-D39)*B39+H39</f>
        <v>-0.10986560311999995</v>
      </c>
      <c r="M39" s="342">
        <f>K39+L39</f>
        <v>16.279392091755462</v>
      </c>
      <c r="N39" s="341">
        <f>'Summary DISCOUNTED'!$F$28</f>
        <v>5.6873996257355337</v>
      </c>
      <c r="O39" s="340">
        <f>'Summary DISCOUNTED'!$AL$28</f>
        <v>0.16590669386284537</v>
      </c>
      <c r="P39" s="340">
        <f>'Summary DISCOUNTED'!$AP$28</f>
        <v>0.2607622846</v>
      </c>
      <c r="Q39" s="346">
        <v>3.5</v>
      </c>
      <c r="R39" s="163">
        <f>44/12*Q39</f>
        <v>12.833333333333332</v>
      </c>
      <c r="S39" s="339">
        <f>M39-R39</f>
        <v>3.4460587584221294</v>
      </c>
      <c r="T39" s="211">
        <f>S39/$B39</f>
        <v>1.2307352708650463</v>
      </c>
      <c r="U39" s="338">
        <f>S39/R39</f>
        <v>0.26852405909782828</v>
      </c>
    </row>
    <row r="40" spans="1:21" x14ac:dyDescent="0.25">
      <c r="B40" s="37"/>
      <c r="C40" s="37"/>
      <c r="D40" s="37"/>
      <c r="E40" s="133"/>
      <c r="F40" s="133"/>
      <c r="G40" s="37"/>
      <c r="H40" s="37"/>
      <c r="I40" s="37"/>
    </row>
    <row r="41" spans="1:21" ht="24" x14ac:dyDescent="0.25">
      <c r="A41" s="27" t="s">
        <v>900</v>
      </c>
      <c r="B41" s="37"/>
      <c r="C41" s="37"/>
      <c r="D41" s="9"/>
      <c r="E41" s="466"/>
      <c r="F41" s="466"/>
      <c r="G41" s="37"/>
      <c r="H41" s="37"/>
      <c r="I41" s="37"/>
    </row>
    <row r="42" spans="1:21" x14ac:dyDescent="0.25">
      <c r="A42" s="345" t="s">
        <v>545</v>
      </c>
      <c r="B42" s="252">
        <v>3.6</v>
      </c>
      <c r="C42" s="103">
        <v>0</v>
      </c>
      <c r="D42" s="164">
        <v>0.23</v>
      </c>
      <c r="E42" s="344"/>
      <c r="F42" s="344"/>
      <c r="G42" s="252">
        <v>0</v>
      </c>
      <c r="H42" s="26">
        <f>44/12*G42</f>
        <v>0</v>
      </c>
      <c r="I42" s="26">
        <f>R42/B42</f>
        <v>2.8518518518518516</v>
      </c>
      <c r="J42" s="343">
        <f t="shared" ref="J42:J43" si="13">C42+D42-H42/B42+I42</f>
        <v>3.0818518518518516</v>
      </c>
      <c r="K42" s="174">
        <f t="shared" ref="K42:K43" si="14">B42*(N42+O42)</f>
        <v>13.377383851463446</v>
      </c>
      <c r="L42" s="174">
        <f t="shared" ref="L42:L43" si="15">(P42-D42)*B42+H42</f>
        <v>0.88921484524799976</v>
      </c>
      <c r="M42" s="342">
        <f>K42+L42</f>
        <v>14.266598696711446</v>
      </c>
      <c r="N42" s="487">
        <f>'Summary DISCOUNTED'!$F$37</f>
        <v>3.7159399587398458</v>
      </c>
      <c r="O42" s="488">
        <f>'Summary DISCOUNTED'!$AL$37</f>
        <v>0</v>
      </c>
      <c r="P42" s="488">
        <f>'Summary DISCOUNTED'!$AP$37</f>
        <v>0.47700412367999995</v>
      </c>
      <c r="Q42" s="252">
        <v>2.8</v>
      </c>
      <c r="R42" s="163">
        <f>44/12*Q42</f>
        <v>10.266666666666666</v>
      </c>
      <c r="S42" s="339">
        <f>M42-R42</f>
        <v>3.9999320300447803</v>
      </c>
      <c r="T42" s="211">
        <f>S42/$B42</f>
        <v>1.1110922305679944</v>
      </c>
      <c r="U42" s="338">
        <f>S42/R42</f>
        <v>0.38960376916020589</v>
      </c>
    </row>
    <row r="43" spans="1:21" x14ac:dyDescent="0.25">
      <c r="A43" s="345" t="s">
        <v>544</v>
      </c>
      <c r="B43" s="252">
        <v>2.4</v>
      </c>
      <c r="C43" s="103">
        <v>0</v>
      </c>
      <c r="D43" s="164">
        <v>0.23</v>
      </c>
      <c r="E43" s="344"/>
      <c r="F43" s="344"/>
      <c r="G43" s="252">
        <v>0</v>
      </c>
      <c r="H43" s="26">
        <f>44/12*G43</f>
        <v>0</v>
      </c>
      <c r="I43" s="26">
        <f>R43/B43</f>
        <v>4.2777777777777777</v>
      </c>
      <c r="J43" s="343">
        <f t="shared" si="13"/>
        <v>4.5077777777777781</v>
      </c>
      <c r="K43" s="174">
        <f t="shared" si="14"/>
        <v>8.9182559009756304</v>
      </c>
      <c r="L43" s="174">
        <f t="shared" si="15"/>
        <v>0.59280989683199981</v>
      </c>
      <c r="M43" s="342">
        <f>K43+L43</f>
        <v>9.5110657978076301</v>
      </c>
      <c r="N43" s="487">
        <f>'Summary DISCOUNTED'!$F$37</f>
        <v>3.7159399587398458</v>
      </c>
      <c r="O43" s="488">
        <f>'Summary DISCOUNTED'!$AL$37</f>
        <v>0</v>
      </c>
      <c r="P43" s="488">
        <f>'Summary DISCOUNTED'!$AP$37</f>
        <v>0.47700412367999995</v>
      </c>
      <c r="Q43" s="115">
        <f>Q42</f>
        <v>2.8</v>
      </c>
      <c r="R43" s="163">
        <f>44/12*Q43</f>
        <v>10.266666666666666</v>
      </c>
      <c r="S43" s="339">
        <f>M43-R43</f>
        <v>-0.75560086885903566</v>
      </c>
      <c r="T43" s="211">
        <f>S43/$B43</f>
        <v>-0.31483369535793154</v>
      </c>
      <c r="U43" s="338">
        <f>S43/R43</f>
        <v>-7.3597487226529451E-2</v>
      </c>
    </row>
    <row r="44" spans="1:21" s="6" customFormat="1" x14ac:dyDescent="0.25">
      <c r="A44" s="337" t="s">
        <v>543</v>
      </c>
      <c r="B44" s="54"/>
      <c r="C44" s="37"/>
      <c r="D44" s="54"/>
      <c r="E44" s="133"/>
      <c r="F44" s="133"/>
      <c r="G44" s="54"/>
      <c r="H44" s="54"/>
      <c r="I44" s="54"/>
      <c r="J44" s="336">
        <f>J42-J43</f>
        <v>-1.4259259259259265</v>
      </c>
      <c r="M44" s="51">
        <f>-(M42-M43)</f>
        <v>-4.7555328989038159</v>
      </c>
      <c r="O44" s="173"/>
      <c r="R44" s="76"/>
      <c r="S44" s="51">
        <f>-(S42-S43)</f>
        <v>-4.7555328989038159</v>
      </c>
      <c r="T44" s="136">
        <f>-(T42-T43)</f>
        <v>-1.425925925925926</v>
      </c>
    </row>
  </sheetData>
  <mergeCells count="2">
    <mergeCell ref="G4:H4"/>
    <mergeCell ref="Q4:R4"/>
  </mergeCells>
  <pageMargins left="0.7" right="0.7" top="0.75" bottom="0.75" header="0.3" footer="0.3"/>
  <pageSetup paperSize="9" orientation="portrait" horizontalDpi="4294967293"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V44"/>
  <sheetViews>
    <sheetView zoomScaleNormal="100" zoomScalePageLayoutView="200" workbookViewId="0">
      <pane xSplit="1" ySplit="5" topLeftCell="B6" activePane="bottomRight" state="frozen"/>
      <selection activeCell="J24" sqref="J24"/>
      <selection pane="topRight" activeCell="J24" sqref="J24"/>
      <selection pane="bottomLeft" activeCell="J24" sqref="J24"/>
      <selection pane="bottomRight" activeCell="P11" sqref="P11"/>
    </sheetView>
  </sheetViews>
  <sheetFormatPr defaultColWidth="9.109375" defaultRowHeight="12" x14ac:dyDescent="0.25"/>
  <cols>
    <col min="1" max="1" width="32.44140625" style="173" customWidth="1"/>
    <col min="2" max="2" width="7.6640625" style="173" customWidth="1"/>
    <col min="3" max="3" width="5.44140625" style="173" customWidth="1"/>
    <col min="4" max="4" width="6.6640625" style="173" customWidth="1"/>
    <col min="5" max="5" width="9.33203125" style="173" customWidth="1"/>
    <col min="6" max="7" width="5.33203125" style="173" customWidth="1"/>
    <col min="8" max="10" width="6.6640625" style="173" customWidth="1"/>
    <col min="11" max="11" width="9" style="173" customWidth="1"/>
    <col min="12" max="12" width="6.6640625" style="173" customWidth="1"/>
    <col min="13" max="13" width="8.6640625" style="173" customWidth="1"/>
    <col min="14" max="15" width="6.6640625" style="173" customWidth="1"/>
    <col min="16" max="16" width="8.6640625" style="173" customWidth="1"/>
    <col min="17" max="17" width="8.6640625" style="210" customWidth="1"/>
    <col min="18" max="22" width="7.6640625" style="173" customWidth="1"/>
    <col min="23" max="16384" width="9.109375" style="173"/>
  </cols>
  <sheetData>
    <row r="1" spans="1:22" s="2" customFormat="1" ht="15.6" x14ac:dyDescent="0.3">
      <c r="A1" s="359" t="s">
        <v>112</v>
      </c>
      <c r="B1" s="359"/>
      <c r="C1" s="359"/>
      <c r="D1" s="361"/>
      <c r="E1" s="359"/>
      <c r="F1" s="359"/>
      <c r="G1" s="359"/>
      <c r="H1" s="359"/>
      <c r="I1" s="361"/>
      <c r="J1" s="359"/>
      <c r="K1" s="359"/>
      <c r="L1" s="359"/>
      <c r="M1" s="359"/>
      <c r="N1" s="361"/>
      <c r="O1" s="359"/>
      <c r="P1" s="361"/>
      <c r="Q1" s="360"/>
      <c r="R1" s="359"/>
      <c r="S1" s="359"/>
      <c r="T1" s="359"/>
      <c r="U1" s="359"/>
      <c r="V1" s="389"/>
    </row>
    <row r="2" spans="1:22" s="2" customFormat="1" ht="14.4" x14ac:dyDescent="0.3">
      <c r="B2" s="358" t="s">
        <v>586</v>
      </c>
      <c r="C2" s="358"/>
      <c r="D2" s="358"/>
      <c r="K2" s="406"/>
      <c r="M2" s="358" t="s">
        <v>585</v>
      </c>
      <c r="N2" s="358"/>
      <c r="P2" s="2" t="s">
        <v>584</v>
      </c>
      <c r="Q2" s="357"/>
    </row>
    <row r="3" spans="1:22" ht="24" customHeight="1" x14ac:dyDescent="0.25">
      <c r="B3" s="16" t="s">
        <v>583</v>
      </c>
      <c r="C3" s="16"/>
      <c r="D3" s="16" t="s">
        <v>582</v>
      </c>
      <c r="J3" s="9" t="s">
        <v>581</v>
      </c>
      <c r="M3" s="9" t="s">
        <v>580</v>
      </c>
      <c r="N3" s="9"/>
      <c r="P3" s="1" t="s">
        <v>579</v>
      </c>
      <c r="Q3" s="59"/>
      <c r="R3" s="1" t="s">
        <v>578</v>
      </c>
    </row>
    <row r="4" spans="1:22" s="150" customFormat="1" ht="60" customHeight="1" x14ac:dyDescent="0.25">
      <c r="B4" s="4" t="s">
        <v>610</v>
      </c>
      <c r="C4" s="4" t="s">
        <v>609</v>
      </c>
      <c r="D4" s="4" t="s">
        <v>744</v>
      </c>
      <c r="E4" s="4" t="s">
        <v>570</v>
      </c>
      <c r="F4" s="747" t="s">
        <v>575</v>
      </c>
      <c r="G4" s="747"/>
      <c r="H4" s="486" t="s">
        <v>574</v>
      </c>
      <c r="I4" s="4" t="s">
        <v>573</v>
      </c>
      <c r="J4" s="486" t="s">
        <v>572</v>
      </c>
      <c r="K4" s="4" t="s">
        <v>767</v>
      </c>
      <c r="L4" s="4" t="s">
        <v>571</v>
      </c>
      <c r="M4" s="150" t="s">
        <v>820</v>
      </c>
      <c r="N4" s="4" t="s">
        <v>744</v>
      </c>
      <c r="O4" s="4" t="s">
        <v>636</v>
      </c>
      <c r="P4" s="748" t="s">
        <v>569</v>
      </c>
      <c r="Q4" s="748"/>
      <c r="R4" s="150" t="s">
        <v>568</v>
      </c>
      <c r="S4" s="150" t="s">
        <v>363</v>
      </c>
      <c r="T4" s="150" t="s">
        <v>567</v>
      </c>
    </row>
    <row r="5" spans="1:22" ht="48" customHeight="1" x14ac:dyDescent="0.25">
      <c r="B5" s="4" t="s">
        <v>608</v>
      </c>
      <c r="C5" s="4"/>
      <c r="D5" s="4" t="s">
        <v>606</v>
      </c>
      <c r="E5" s="4" t="s">
        <v>606</v>
      </c>
      <c r="F5" s="4" t="s">
        <v>564</v>
      </c>
      <c r="G5" s="4" t="s">
        <v>560</v>
      </c>
      <c r="H5" s="4" t="s">
        <v>607</v>
      </c>
      <c r="I5" s="4" t="s">
        <v>606</v>
      </c>
      <c r="J5" s="4" t="s">
        <v>560</v>
      </c>
      <c r="K5" s="4" t="s">
        <v>559</v>
      </c>
      <c r="L5" s="4" t="s">
        <v>559</v>
      </c>
      <c r="M5" s="4" t="s">
        <v>607</v>
      </c>
      <c r="N5" s="4" t="s">
        <v>606</v>
      </c>
      <c r="O5" s="4" t="s">
        <v>606</v>
      </c>
      <c r="P5" s="4" t="s">
        <v>561</v>
      </c>
      <c r="Q5" s="60" t="s">
        <v>560</v>
      </c>
      <c r="R5" s="4" t="s">
        <v>563</v>
      </c>
      <c r="S5" s="4" t="s">
        <v>606</v>
      </c>
    </row>
    <row r="6" spans="1:22" x14ac:dyDescent="0.25">
      <c r="E6" s="4"/>
      <c r="F6" s="1"/>
      <c r="G6" s="1"/>
      <c r="H6" s="1"/>
      <c r="I6" s="1"/>
      <c r="J6" s="1"/>
      <c r="K6" s="1"/>
      <c r="L6" s="1"/>
      <c r="P6" s="1"/>
      <c r="Q6" s="59"/>
      <c r="R6" s="1"/>
      <c r="S6" s="1"/>
      <c r="T6" s="1"/>
      <c r="U6" s="1"/>
    </row>
    <row r="7" spans="1:22" ht="14.4" x14ac:dyDescent="0.3">
      <c r="A7" s="2" t="s">
        <v>524</v>
      </c>
      <c r="E7" s="4"/>
      <c r="F7" s="1"/>
      <c r="G7" s="1"/>
      <c r="H7" s="1"/>
      <c r="I7" s="1"/>
      <c r="J7" s="1"/>
      <c r="K7" s="1"/>
      <c r="L7" s="1"/>
      <c r="P7" s="1"/>
      <c r="Q7" s="59"/>
      <c r="R7" s="1"/>
      <c r="S7" s="1"/>
      <c r="T7" s="1"/>
      <c r="U7" s="1"/>
    </row>
    <row r="8" spans="1:22" ht="12" customHeight="1" x14ac:dyDescent="0.25">
      <c r="B8" s="37"/>
      <c r="C8" s="37"/>
      <c r="D8" s="37"/>
      <c r="E8" s="4"/>
      <c r="F8" s="9"/>
      <c r="G8" s="9"/>
      <c r="H8" s="1"/>
      <c r="I8" s="1"/>
      <c r="J8" s="1"/>
      <c r="K8" s="1"/>
      <c r="L8" s="1"/>
      <c r="Q8" s="59"/>
      <c r="R8" s="1"/>
      <c r="S8" s="1"/>
      <c r="T8" s="1"/>
      <c r="U8" s="1"/>
    </row>
    <row r="9" spans="1:22" ht="12" customHeight="1" x14ac:dyDescent="0.25">
      <c r="A9" s="1" t="s">
        <v>605</v>
      </c>
      <c r="B9" s="37"/>
      <c r="C9" s="37"/>
      <c r="D9" s="37"/>
      <c r="E9" s="4"/>
      <c r="F9" s="9"/>
      <c r="G9" s="9"/>
      <c r="H9" s="1"/>
      <c r="I9" s="1"/>
      <c r="J9" s="1"/>
      <c r="K9" s="1"/>
      <c r="L9" s="1"/>
      <c r="P9" s="1"/>
      <c r="Q9" s="59"/>
      <c r="R9" s="1"/>
      <c r="S9" s="1"/>
      <c r="T9" s="1"/>
      <c r="U9" s="1"/>
    </row>
    <row r="10" spans="1:22" ht="12" customHeight="1" x14ac:dyDescent="0.25">
      <c r="A10" s="347" t="s">
        <v>604</v>
      </c>
      <c r="B10" s="9">
        <v>31.2</v>
      </c>
      <c r="C10" s="141">
        <v>0</v>
      </c>
      <c r="D10" s="43">
        <v>0</v>
      </c>
      <c r="E10" s="43">
        <v>78</v>
      </c>
      <c r="F10" s="43">
        <v>0</v>
      </c>
      <c r="G10" s="26">
        <f>44/12*F10</f>
        <v>0</v>
      </c>
      <c r="H10" s="353">
        <f>10^3*Q10/B10</f>
        <v>176.2820512820513</v>
      </c>
      <c r="I10" s="364">
        <f>D10+E10-10^3*G10/B10+H10</f>
        <v>254.2820512820513</v>
      </c>
      <c r="J10" s="174">
        <f>B10*(M10+N10)/10^3</f>
        <v>4.4901815175294013</v>
      </c>
      <c r="K10" s="174">
        <f>(O10-E10)*B10/10^3+G10</f>
        <v>-1.0534605645212705</v>
      </c>
      <c r="L10" s="342">
        <f>J10+K10</f>
        <v>3.4367209530081309</v>
      </c>
      <c r="M10" s="363">
        <f>'Summary DISCOUNTED'!$F$103</f>
        <v>134.86360809076277</v>
      </c>
      <c r="N10" s="349">
        <f>'Summary DISCOUNTED'!$AL$103</f>
        <v>9.0524661890257594</v>
      </c>
      <c r="O10" s="349">
        <f>'Summary DISCOUNTED'!$AP$103</f>
        <v>44.235238316625946</v>
      </c>
      <c r="P10" s="346">
        <v>1.5</v>
      </c>
      <c r="Q10" s="163">
        <f>44/12*P10</f>
        <v>5.5</v>
      </c>
      <c r="R10" s="339">
        <f>L10-Q10</f>
        <v>-2.0632790469918691</v>
      </c>
      <c r="S10" s="211">
        <f>10^3*R10/$B10</f>
        <v>-66.130738685636828</v>
      </c>
      <c r="T10" s="338">
        <f>R10/Q10</f>
        <v>-0.37514164490761259</v>
      </c>
    </row>
    <row r="11" spans="1:22" s="210" customFormat="1" ht="12" customHeight="1" x14ac:dyDescent="0.25">
      <c r="A11" s="365" t="s">
        <v>603</v>
      </c>
      <c r="B11" s="66"/>
      <c r="C11" s="453"/>
      <c r="D11" s="374"/>
      <c r="E11" s="252"/>
      <c r="F11" s="252"/>
      <c r="G11" s="115"/>
      <c r="H11" s="212"/>
      <c r="I11" s="212"/>
      <c r="J11" s="163"/>
      <c r="K11" s="163"/>
      <c r="L11" s="163"/>
      <c r="M11" s="374"/>
      <c r="N11" s="373"/>
      <c r="O11" s="373"/>
      <c r="P11" s="66"/>
      <c r="Q11" s="163"/>
      <c r="R11" s="163"/>
      <c r="S11" s="212"/>
      <c r="T11" s="372"/>
    </row>
    <row r="12" spans="1:22" s="210" customFormat="1" ht="12" customHeight="1" x14ac:dyDescent="0.25">
      <c r="A12" s="365"/>
      <c r="B12" s="66"/>
      <c r="C12" s="453"/>
      <c r="D12" s="374"/>
      <c r="E12" s="252"/>
      <c r="F12" s="252"/>
      <c r="G12" s="115"/>
      <c r="H12" s="212"/>
      <c r="I12" s="212"/>
      <c r="J12" s="163"/>
      <c r="K12" s="163"/>
      <c r="L12" s="163"/>
      <c r="M12" s="374"/>
      <c r="N12" s="373"/>
      <c r="O12" s="373"/>
      <c r="P12" s="66"/>
      <c r="Q12" s="163"/>
      <c r="R12" s="163"/>
      <c r="S12" s="212"/>
      <c r="T12" s="372"/>
    </row>
    <row r="13" spans="1:22" ht="12" customHeight="1" x14ac:dyDescent="0.25">
      <c r="A13" s="347" t="s">
        <v>602</v>
      </c>
      <c r="B13" s="9">
        <v>74.7</v>
      </c>
      <c r="C13" s="141">
        <v>0</v>
      </c>
      <c r="D13" s="43">
        <v>0</v>
      </c>
      <c r="E13" s="43">
        <v>54.4</v>
      </c>
      <c r="F13" s="252">
        <v>0</v>
      </c>
      <c r="G13" s="26">
        <f>44/12*F13</f>
        <v>0</v>
      </c>
      <c r="H13" s="353">
        <f>10^3*Q13/B13</f>
        <v>73.627844712182053</v>
      </c>
      <c r="I13" s="364">
        <f>D13+E13-10^3*G13/B13+H13</f>
        <v>128.02784471218206</v>
      </c>
      <c r="J13" s="174">
        <f>B13*(M13+N13)/10^3</f>
        <v>10.750530748700204</v>
      </c>
      <c r="K13" s="174">
        <f>(O13-E13)*B13/10^3+G13</f>
        <v>-0.75930769774804174</v>
      </c>
      <c r="L13" s="342">
        <f>J13+K13</f>
        <v>9.9912230509521613</v>
      </c>
      <c r="M13" s="363">
        <f>'Summary DISCOUNTED'!$F$103</f>
        <v>134.86360809076277</v>
      </c>
      <c r="N13" s="349">
        <f>'Summary DISCOUNTED'!$AL$103</f>
        <v>9.0524661890257594</v>
      </c>
      <c r="O13" s="349">
        <f>'Summary DISCOUNTED'!$AP$103</f>
        <v>44.235238316625946</v>
      </c>
      <c r="P13" s="115">
        <f>P$10</f>
        <v>1.5</v>
      </c>
      <c r="Q13" s="163">
        <f>44/12*P13</f>
        <v>5.5</v>
      </c>
      <c r="R13" s="339">
        <f>L13-Q13</f>
        <v>4.4912230509521613</v>
      </c>
      <c r="S13" s="362">
        <f>10^3*R13/$B13</f>
        <v>60.123467884232412</v>
      </c>
      <c r="T13" s="338">
        <f>R13/Q13</f>
        <v>0.81658600926402936</v>
      </c>
    </row>
    <row r="14" spans="1:22" s="76" customFormat="1" ht="12" customHeight="1" x14ac:dyDescent="0.2">
      <c r="A14" s="371" t="s">
        <v>597</v>
      </c>
      <c r="B14" s="466"/>
      <c r="C14" s="465"/>
      <c r="D14" s="369"/>
      <c r="E14" s="725"/>
      <c r="F14" s="725"/>
      <c r="G14" s="179"/>
      <c r="H14" s="46"/>
      <c r="I14" s="370">
        <f>I$10-I13</f>
        <v>126.25420656986924</v>
      </c>
      <c r="J14" s="10"/>
      <c r="K14" s="10"/>
      <c r="L14" s="46">
        <f>-(L$10-L13)</f>
        <v>6.5545020979440309</v>
      </c>
      <c r="M14" s="369"/>
      <c r="N14" s="368"/>
      <c r="O14" s="368"/>
      <c r="P14" s="179"/>
      <c r="Q14" s="10"/>
      <c r="R14" s="46">
        <f>-(R$10-R13)</f>
        <v>6.5545020979440309</v>
      </c>
      <c r="S14" s="46">
        <f>-(S$10-S13)</f>
        <v>126.25420656986924</v>
      </c>
      <c r="T14" s="367"/>
    </row>
    <row r="15" spans="1:22" s="210" customFormat="1" ht="12" customHeight="1" x14ac:dyDescent="0.25">
      <c r="A15" s="365" t="s">
        <v>601</v>
      </c>
      <c r="B15" s="66"/>
      <c r="C15" s="453"/>
      <c r="D15" s="374"/>
      <c r="E15" s="252"/>
      <c r="F15" s="252"/>
      <c r="G15" s="115"/>
      <c r="H15" s="212"/>
      <c r="I15" s="212"/>
      <c r="J15" s="163"/>
      <c r="K15" s="163"/>
      <c r="L15" s="163"/>
      <c r="M15" s="374"/>
      <c r="N15" s="373"/>
      <c r="O15" s="373"/>
      <c r="P15" s="66"/>
      <c r="Q15" s="163"/>
      <c r="R15" s="163"/>
      <c r="S15" s="212"/>
      <c r="T15" s="372"/>
    </row>
    <row r="16" spans="1:22" s="210" customFormat="1" ht="12" customHeight="1" x14ac:dyDescent="0.25">
      <c r="A16" s="345"/>
      <c r="B16" s="66"/>
      <c r="C16" s="453"/>
      <c r="D16" s="374"/>
      <c r="E16" s="252"/>
      <c r="F16" s="252"/>
      <c r="G16" s="115"/>
      <c r="H16" s="212"/>
      <c r="I16" s="212"/>
      <c r="J16" s="163"/>
      <c r="K16" s="163"/>
      <c r="L16" s="163"/>
      <c r="M16" s="374"/>
      <c r="N16" s="373"/>
      <c r="O16" s="373"/>
      <c r="P16" s="66"/>
      <c r="Q16" s="163"/>
      <c r="R16" s="163"/>
      <c r="S16" s="212"/>
      <c r="T16" s="372"/>
    </row>
    <row r="17" spans="1:20" ht="12" customHeight="1" x14ac:dyDescent="0.25">
      <c r="A17" s="347" t="s">
        <v>600</v>
      </c>
      <c r="B17" s="9">
        <v>140</v>
      </c>
      <c r="C17" s="45">
        <v>1.2999999999999999E-2</v>
      </c>
      <c r="D17" s="43">
        <v>0</v>
      </c>
      <c r="E17" s="43">
        <v>38.5</v>
      </c>
      <c r="F17" s="252">
        <v>0</v>
      </c>
      <c r="G17" s="26">
        <f>44/12*F17</f>
        <v>0</v>
      </c>
      <c r="H17" s="353">
        <f>10^3*Q17/B17</f>
        <v>39.285714285714285</v>
      </c>
      <c r="I17" s="364">
        <f>D17+E17-10^3*G17/B17+H17</f>
        <v>77.785714285714278</v>
      </c>
      <c r="J17" s="174">
        <f>B17*(M17+N17)/10^3</f>
        <v>20.148250399170394</v>
      </c>
      <c r="K17" s="174">
        <f>(O17-E17)*B17/10^3+G17</f>
        <v>0.8029333643276324</v>
      </c>
      <c r="L17" s="342">
        <f>J17+K17</f>
        <v>20.951183763498026</v>
      </c>
      <c r="M17" s="363">
        <f>'Summary DISCOUNTED'!$F$103</f>
        <v>134.86360809076277</v>
      </c>
      <c r="N17" s="349">
        <f>'Summary DISCOUNTED'!$AL$103</f>
        <v>9.0524661890257594</v>
      </c>
      <c r="O17" s="349">
        <f>'Summary DISCOUNTED'!$AP$103</f>
        <v>44.235238316625946</v>
      </c>
      <c r="P17" s="115">
        <f>P$10</f>
        <v>1.5</v>
      </c>
      <c r="Q17" s="163">
        <f>44/12*P17</f>
        <v>5.5</v>
      </c>
      <c r="R17" s="339">
        <f>L17-Q17</f>
        <v>15.451183763498026</v>
      </c>
      <c r="S17" s="362">
        <f>10^3*R17/$B17</f>
        <v>110.36559831070018</v>
      </c>
      <c r="T17" s="338">
        <f>R17/Q17</f>
        <v>2.8093061388178229</v>
      </c>
    </row>
    <row r="18" spans="1:20" s="76" customFormat="1" ht="12" customHeight="1" x14ac:dyDescent="0.2">
      <c r="A18" s="371" t="s">
        <v>597</v>
      </c>
      <c r="B18" s="466"/>
      <c r="C18" s="465"/>
      <c r="D18" s="369"/>
      <c r="E18" s="725"/>
      <c r="F18" s="725"/>
      <c r="G18" s="179"/>
      <c r="H18" s="46"/>
      <c r="I18" s="370">
        <f>I$10-I17</f>
        <v>176.49633699633702</v>
      </c>
      <c r="J18" s="10"/>
      <c r="K18" s="10"/>
      <c r="L18" s="46">
        <f>-(L$10-L17)</f>
        <v>17.514462810489896</v>
      </c>
      <c r="M18" s="369"/>
      <c r="N18" s="368"/>
      <c r="O18" s="368"/>
      <c r="P18" s="179"/>
      <c r="Q18" s="10"/>
      <c r="R18" s="46">
        <f>-(R$10-R17)</f>
        <v>17.514462810489896</v>
      </c>
      <c r="S18" s="46">
        <f>-(S$10-S17)</f>
        <v>176.49633699633699</v>
      </c>
      <c r="T18" s="367"/>
    </row>
    <row r="19" spans="1:20" s="210" customFormat="1" ht="12" customHeight="1" x14ac:dyDescent="0.25">
      <c r="A19" s="345"/>
      <c r="B19" s="66"/>
      <c r="C19" s="453"/>
      <c r="D19" s="374"/>
      <c r="E19" s="252"/>
      <c r="F19" s="252"/>
      <c r="G19" s="115"/>
      <c r="H19" s="212"/>
      <c r="I19" s="212"/>
      <c r="J19" s="163"/>
      <c r="K19" s="163"/>
      <c r="L19" s="163"/>
      <c r="M19" s="374"/>
      <c r="N19" s="373"/>
      <c r="O19" s="373"/>
      <c r="P19" s="66"/>
      <c r="Q19" s="163"/>
      <c r="R19" s="163"/>
      <c r="S19" s="212"/>
      <c r="T19" s="372"/>
    </row>
    <row r="20" spans="1:20" ht="12" customHeight="1" x14ac:dyDescent="0.25">
      <c r="A20" s="347" t="s">
        <v>599</v>
      </c>
      <c r="B20" s="741">
        <v>201.7</v>
      </c>
      <c r="C20" s="45">
        <v>3.5000000000000003E-2</v>
      </c>
      <c r="D20" s="43">
        <v>0</v>
      </c>
      <c r="E20" s="43">
        <v>40</v>
      </c>
      <c r="F20" s="252">
        <v>0</v>
      </c>
      <c r="G20" s="26">
        <f>44/12*F20</f>
        <v>0</v>
      </c>
      <c r="H20" s="353">
        <f>10^3*Q20/B20</f>
        <v>27.268220128904314</v>
      </c>
      <c r="I20" s="364">
        <f>D20+E20-10^3*G20/B20+H20</f>
        <v>67.268220128904318</v>
      </c>
      <c r="J20" s="174">
        <f>B20*(M20+N20)/10^3</f>
        <v>29.027872182233342</v>
      </c>
      <c r="K20" s="174">
        <f>(O20-E20)*B20/10^3+G20</f>
        <v>0.85424756846345329</v>
      </c>
      <c r="L20" s="342">
        <f>J20+K20</f>
        <v>29.882119750696795</v>
      </c>
      <c r="M20" s="363">
        <f>'Summary DISCOUNTED'!$F$103</f>
        <v>134.86360809076277</v>
      </c>
      <c r="N20" s="349">
        <f>'Summary DISCOUNTED'!$AL$103</f>
        <v>9.0524661890257594</v>
      </c>
      <c r="O20" s="349">
        <f>'Summary DISCOUNTED'!$AP$103</f>
        <v>44.235238316625946</v>
      </c>
      <c r="P20" s="115">
        <f>P$10</f>
        <v>1.5</v>
      </c>
      <c r="Q20" s="163">
        <f>44/12*P20</f>
        <v>5.5</v>
      </c>
      <c r="R20" s="339">
        <f>L20-Q20</f>
        <v>24.382119750696795</v>
      </c>
      <c r="S20" s="362">
        <f>10^3*R20/$B20</f>
        <v>120.88309246751014</v>
      </c>
      <c r="T20" s="338">
        <f>R20/Q20</f>
        <v>4.4331126819448716</v>
      </c>
    </row>
    <row r="21" spans="1:20" s="76" customFormat="1" ht="12" customHeight="1" x14ac:dyDescent="0.2">
      <c r="A21" s="371" t="s">
        <v>597</v>
      </c>
      <c r="B21" s="466"/>
      <c r="C21" s="465"/>
      <c r="D21" s="369"/>
      <c r="E21" s="725"/>
      <c r="F21" s="725"/>
      <c r="G21" s="179"/>
      <c r="H21" s="46"/>
      <c r="I21" s="370">
        <f>I$10-I20</f>
        <v>187.01383115314698</v>
      </c>
      <c r="J21" s="10"/>
      <c r="K21" s="10"/>
      <c r="L21" s="46">
        <f>-(L$10-L20)</f>
        <v>26.445398797688664</v>
      </c>
      <c r="M21" s="369"/>
      <c r="N21" s="368"/>
      <c r="O21" s="368"/>
      <c r="P21" s="179"/>
      <c r="Q21" s="10"/>
      <c r="R21" s="46">
        <f>-(R$10-R20)</f>
        <v>26.445398797688664</v>
      </c>
      <c r="S21" s="46">
        <f>-(S$10-S20)</f>
        <v>187.01383115314695</v>
      </c>
      <c r="T21" s="367"/>
    </row>
    <row r="22" spans="1:20" s="210" customFormat="1" ht="12" customHeight="1" x14ac:dyDescent="0.25">
      <c r="A22" s="345"/>
      <c r="B22" s="66"/>
      <c r="C22" s="453"/>
      <c r="D22" s="374"/>
      <c r="E22" s="252"/>
      <c r="F22" s="252"/>
      <c r="G22" s="115"/>
      <c r="H22" s="212"/>
      <c r="I22" s="212"/>
      <c r="J22" s="163"/>
      <c r="K22" s="163"/>
      <c r="L22" s="163"/>
      <c r="M22" s="374"/>
      <c r="N22" s="373"/>
      <c r="O22" s="373"/>
      <c r="P22" s="66"/>
      <c r="Q22" s="163"/>
      <c r="R22" s="163"/>
      <c r="S22" s="212"/>
      <c r="T22" s="372"/>
    </row>
    <row r="23" spans="1:20" ht="12" customHeight="1" x14ac:dyDescent="0.25">
      <c r="A23" s="347" t="s">
        <v>598</v>
      </c>
      <c r="B23" s="741">
        <v>221.4</v>
      </c>
      <c r="C23" s="45">
        <v>9.1999999999999998E-2</v>
      </c>
      <c r="D23" s="43">
        <v>0</v>
      </c>
      <c r="E23" s="43">
        <v>36.1</v>
      </c>
      <c r="F23" s="252">
        <v>0</v>
      </c>
      <c r="G23" s="26">
        <f>44/12*F23</f>
        <v>0</v>
      </c>
      <c r="H23" s="353">
        <f>10^3*Q23/B23</f>
        <v>24.841915085817526</v>
      </c>
      <c r="I23" s="364">
        <f>D23+E23-10^3*G23/B23+H23</f>
        <v>60.941915085817527</v>
      </c>
      <c r="J23" s="174">
        <f>B23*(M23+N23)/10^3</f>
        <v>31.863018845545177</v>
      </c>
      <c r="K23" s="174">
        <f>(O23-E23)*B23/10^3+G23</f>
        <v>1.8011417633009841</v>
      </c>
      <c r="L23" s="342">
        <f>J23+K23</f>
        <v>33.66416060884616</v>
      </c>
      <c r="M23" s="363">
        <f>'Summary DISCOUNTED'!$F$103</f>
        <v>134.86360809076277</v>
      </c>
      <c r="N23" s="349">
        <f>'Summary DISCOUNTED'!$AL$103</f>
        <v>9.0524661890257594</v>
      </c>
      <c r="O23" s="349">
        <f>'Summary DISCOUNTED'!$AP$103</f>
        <v>44.235238316625946</v>
      </c>
      <c r="P23" s="115">
        <f>P$10</f>
        <v>1.5</v>
      </c>
      <c r="Q23" s="163">
        <f>44/12*P23</f>
        <v>5.5</v>
      </c>
      <c r="R23" s="339">
        <f>L23-Q23</f>
        <v>28.16416060884616</v>
      </c>
      <c r="S23" s="362">
        <f>10^3*R23/$B23</f>
        <v>127.20939751059693</v>
      </c>
      <c r="T23" s="338">
        <f>R23/Q23</f>
        <v>5.1207564743356651</v>
      </c>
    </row>
    <row r="24" spans="1:20" s="76" customFormat="1" ht="12" customHeight="1" x14ac:dyDescent="0.2">
      <c r="A24" s="371" t="s">
        <v>597</v>
      </c>
      <c r="B24" s="466"/>
      <c r="C24" s="465"/>
      <c r="D24" s="369"/>
      <c r="E24" s="725"/>
      <c r="F24" s="725"/>
      <c r="G24" s="179"/>
      <c r="H24" s="46"/>
      <c r="I24" s="370">
        <f>I$10-I23</f>
        <v>193.34013619623377</v>
      </c>
      <c r="J24" s="10"/>
      <c r="K24" s="10"/>
      <c r="L24" s="46">
        <f>-(L$10-L23)</f>
        <v>30.22743965583803</v>
      </c>
      <c r="M24" s="369"/>
      <c r="N24" s="368"/>
      <c r="O24" s="368"/>
      <c r="P24" s="171"/>
      <c r="Q24" s="10"/>
      <c r="R24" s="46">
        <f>-(R$10-R23)</f>
        <v>30.22743965583803</v>
      </c>
      <c r="S24" s="46">
        <f>-(S$10-S23)</f>
        <v>193.34013619623374</v>
      </c>
      <c r="T24" s="367"/>
    </row>
    <row r="25" spans="1:20" s="76" customFormat="1" ht="12" customHeight="1" x14ac:dyDescent="0.25">
      <c r="A25" s="365" t="s">
        <v>596</v>
      </c>
      <c r="B25" s="466"/>
      <c r="C25" s="465"/>
      <c r="D25" s="369"/>
      <c r="E25" s="725"/>
      <c r="F25" s="725"/>
      <c r="G25" s="179"/>
      <c r="H25" s="46"/>
      <c r="I25" s="10"/>
      <c r="J25" s="10"/>
      <c r="K25" s="10"/>
      <c r="L25" s="46"/>
      <c r="M25" s="369"/>
      <c r="N25" s="368"/>
      <c r="O25" s="368"/>
      <c r="P25" s="171"/>
      <c r="Q25" s="10"/>
      <c r="R25" s="46"/>
      <c r="S25" s="46"/>
      <c r="T25" s="367"/>
    </row>
    <row r="26" spans="1:20" ht="12" customHeight="1" x14ac:dyDescent="0.25">
      <c r="B26" s="37"/>
      <c r="C26" s="37"/>
      <c r="D26" s="37"/>
      <c r="E26" s="37"/>
      <c r="F26" s="37"/>
      <c r="G26" s="37"/>
    </row>
    <row r="27" spans="1:20" ht="12" customHeight="1" x14ac:dyDescent="0.25">
      <c r="A27" s="9" t="s">
        <v>595</v>
      </c>
      <c r="B27" s="37"/>
      <c r="C27" s="37"/>
      <c r="D27" s="37"/>
      <c r="E27" s="37"/>
      <c r="F27" s="37"/>
      <c r="G27" s="37"/>
      <c r="P27" s="3"/>
    </row>
    <row r="28" spans="1:20" ht="12" customHeight="1" x14ac:dyDescent="0.25">
      <c r="A28" s="345" t="s">
        <v>594</v>
      </c>
      <c r="B28" s="741">
        <v>31</v>
      </c>
      <c r="C28" s="141">
        <v>0</v>
      </c>
      <c r="D28" s="43">
        <v>0</v>
      </c>
      <c r="E28" s="43">
        <v>78</v>
      </c>
      <c r="F28" s="43">
        <v>0</v>
      </c>
      <c r="G28" s="26">
        <f>44/12*F28</f>
        <v>0</v>
      </c>
      <c r="H28" s="353">
        <f>10^3*Q28/B28</f>
        <v>650.53763440860212</v>
      </c>
      <c r="I28" s="364">
        <f>D28+E28-10^3*G28/B28+H28</f>
        <v>728.53763440860212</v>
      </c>
      <c r="J28" s="174">
        <f>B28*(M28+N28)/10^3</f>
        <v>4.4613983026734436</v>
      </c>
      <c r="K28" s="174">
        <f>(O28-E28)*B28/10^3+G28</f>
        <v>-1.0467076121845957</v>
      </c>
      <c r="L28" s="342">
        <f>J28+K28</f>
        <v>3.4146906904888477</v>
      </c>
      <c r="M28" s="363">
        <f>'Summary DISCOUNTED'!$F$103</f>
        <v>134.86360809076277</v>
      </c>
      <c r="N28" s="349">
        <f>'Summary DISCOUNTED'!$AL$103</f>
        <v>9.0524661890257594</v>
      </c>
      <c r="O28" s="349">
        <f>'Summary DISCOUNTED'!$AP$103</f>
        <v>44.235238316625946</v>
      </c>
      <c r="P28" s="252">
        <v>5.5</v>
      </c>
      <c r="Q28" s="163">
        <f>44/12*P28</f>
        <v>20.166666666666664</v>
      </c>
      <c r="R28" s="339">
        <f>L28-Q28</f>
        <v>-16.751975976177818</v>
      </c>
      <c r="S28" s="362">
        <f>10^3*R28/$B28</f>
        <v>-540.3863218121877</v>
      </c>
      <c r="T28" s="338">
        <f>R28/Q28</f>
        <v>-0.8306764946865034</v>
      </c>
    </row>
    <row r="29" spans="1:20" ht="12" customHeight="1" x14ac:dyDescent="0.25">
      <c r="A29" s="365" t="s">
        <v>593</v>
      </c>
      <c r="B29" s="37"/>
      <c r="C29" s="37"/>
      <c r="D29" s="37"/>
      <c r="E29" s="37"/>
      <c r="F29" s="37"/>
      <c r="G29" s="37"/>
      <c r="P29" s="116"/>
    </row>
    <row r="30" spans="1:20" ht="12" customHeight="1" x14ac:dyDescent="0.25">
      <c r="B30" s="37"/>
      <c r="C30" s="37"/>
      <c r="D30" s="37"/>
      <c r="E30" s="37"/>
      <c r="F30" s="37"/>
      <c r="G30" s="37"/>
      <c r="P30" s="116"/>
    </row>
    <row r="31" spans="1:20" ht="12" customHeight="1" x14ac:dyDescent="0.25">
      <c r="A31" s="9" t="s">
        <v>592</v>
      </c>
      <c r="B31" s="37"/>
      <c r="C31" s="37"/>
      <c r="D31" s="37"/>
      <c r="E31" s="37"/>
      <c r="F31" s="37"/>
      <c r="G31" s="37"/>
      <c r="P31" s="116"/>
    </row>
    <row r="32" spans="1:20" ht="12" customHeight="1" x14ac:dyDescent="0.25">
      <c r="A32" s="345" t="s">
        <v>591</v>
      </c>
      <c r="B32" s="9">
        <v>45</v>
      </c>
      <c r="C32" s="141">
        <v>0</v>
      </c>
      <c r="D32" s="43">
        <v>0</v>
      </c>
      <c r="E32" s="43">
        <v>56</v>
      </c>
      <c r="F32" s="43">
        <v>0</v>
      </c>
      <c r="G32" s="26">
        <f>44/12*F32</f>
        <v>0</v>
      </c>
      <c r="H32" s="174">
        <f>10^3*Q32/B32</f>
        <v>8.1481481481481488</v>
      </c>
      <c r="I32" s="364">
        <f>D32+E32-10^3*G32/B32+H32</f>
        <v>64.148148148148152</v>
      </c>
      <c r="J32" s="174">
        <f>B32*(M32+N32)/10^3</f>
        <v>6.4762233425904832</v>
      </c>
      <c r="K32" s="174">
        <f>(O32-E32)*B32/10^3+G32</f>
        <v>-0.52941427575183242</v>
      </c>
      <c r="L32" s="342">
        <f>J32+K32</f>
        <v>5.9468090668386511</v>
      </c>
      <c r="M32" s="363">
        <f>'Summary DISCOUNTED'!$F$103</f>
        <v>134.86360809076277</v>
      </c>
      <c r="N32" s="349">
        <f>'Summary DISCOUNTED'!$AL$103</f>
        <v>9.0524661890257594</v>
      </c>
      <c r="O32" s="349">
        <f>'Summary DISCOUNTED'!$AP$103</f>
        <v>44.235238316625946</v>
      </c>
      <c r="P32" s="66">
        <v>0.1</v>
      </c>
      <c r="Q32" s="163">
        <f>44/12*P32</f>
        <v>0.3666666666666667</v>
      </c>
      <c r="R32" s="339">
        <f>L32-Q32</f>
        <v>5.5801424001719848</v>
      </c>
      <c r="S32" s="362">
        <f>10^3*R32/$B32</f>
        <v>124.00316444826633</v>
      </c>
      <c r="T32" s="338">
        <f>R32/Q32</f>
        <v>15.21857018228723</v>
      </c>
    </row>
    <row r="33" spans="1:20" ht="12" customHeight="1" x14ac:dyDescent="0.25">
      <c r="A33" s="365" t="s">
        <v>590</v>
      </c>
      <c r="B33" s="37"/>
      <c r="C33" s="37"/>
      <c r="D33" s="37"/>
      <c r="E33" s="37"/>
      <c r="F33" s="37"/>
      <c r="G33" s="37"/>
    </row>
    <row r="34" spans="1:20" ht="12" customHeight="1" x14ac:dyDescent="0.25">
      <c r="B34" s="37"/>
      <c r="C34" s="37"/>
      <c r="D34" s="37"/>
      <c r="E34" s="37"/>
      <c r="F34" s="37"/>
      <c r="G34" s="37"/>
    </row>
    <row r="35" spans="1:20" ht="12" customHeight="1" x14ac:dyDescent="0.25">
      <c r="A35" s="1" t="s">
        <v>589</v>
      </c>
      <c r="B35" s="37"/>
      <c r="C35" s="37"/>
      <c r="D35" s="37"/>
      <c r="E35" s="37"/>
      <c r="F35" s="37"/>
      <c r="G35" s="37"/>
    </row>
    <row r="36" spans="1:20" ht="12" customHeight="1" x14ac:dyDescent="0.25">
      <c r="A36" s="347" t="s">
        <v>588</v>
      </c>
      <c r="B36" s="9">
        <v>102</v>
      </c>
      <c r="C36" s="141">
        <v>0</v>
      </c>
      <c r="D36" s="43">
        <v>0</v>
      </c>
      <c r="E36" s="43">
        <v>32</v>
      </c>
      <c r="F36" s="43">
        <v>0</v>
      </c>
      <c r="G36" s="26">
        <f>44/12*F36</f>
        <v>0</v>
      </c>
      <c r="H36" s="353">
        <f>10^3*Q36/B36</f>
        <v>100.65359477124183</v>
      </c>
      <c r="I36" s="364">
        <f>D36+E36-10^3*G36/B36+H36</f>
        <v>132.65359477124184</v>
      </c>
      <c r="J36" s="174">
        <f>B36*(M36+N36)/10^3</f>
        <v>14.679439576538428</v>
      </c>
      <c r="K36" s="174">
        <f>(O36-E36)*B36/10^3+G36</f>
        <v>1.2479943082958465</v>
      </c>
      <c r="L36" s="342">
        <f>J36+K36</f>
        <v>15.927433884834274</v>
      </c>
      <c r="M36" s="363">
        <f>'Summary DISCOUNTED'!$F$103</f>
        <v>134.86360809076277</v>
      </c>
      <c r="N36" s="349">
        <f>'Summary DISCOUNTED'!$AL$103</f>
        <v>9.0524661890257594</v>
      </c>
      <c r="O36" s="349">
        <f>'Summary DISCOUNTED'!$AP$103</f>
        <v>44.235238316625946</v>
      </c>
      <c r="P36" s="252">
        <v>2.8</v>
      </c>
      <c r="Q36" s="163">
        <f>44/12*P36</f>
        <v>10.266666666666666</v>
      </c>
      <c r="R36" s="339">
        <f>L36-Q36</f>
        <v>5.6607672181676083</v>
      </c>
      <c r="S36" s="362">
        <f>10^3*R36/$B36</f>
        <v>55.497717825172629</v>
      </c>
      <c r="T36" s="338">
        <f>R36/Q36</f>
        <v>0.55137343034100084</v>
      </c>
    </row>
    <row r="37" spans="1:20" ht="12" customHeight="1" x14ac:dyDescent="0.25"/>
    <row r="38" spans="1:20" ht="12" customHeight="1" x14ac:dyDescent="0.25">
      <c r="A38" s="1" t="s">
        <v>587</v>
      </c>
      <c r="D38" s="353"/>
      <c r="M38" s="353">
        <f>M32</f>
        <v>134.86360809076277</v>
      </c>
      <c r="N38" s="174">
        <f>N32</f>
        <v>9.0524661890257594</v>
      </c>
      <c r="O38" s="174">
        <f>O32</f>
        <v>44.235238316625946</v>
      </c>
    </row>
    <row r="40" spans="1:20" ht="12" customHeight="1" x14ac:dyDescent="0.25">
      <c r="A40" s="3"/>
      <c r="L40" s="541"/>
    </row>
    <row r="44" spans="1:20" x14ac:dyDescent="0.25">
      <c r="A44" s="3"/>
    </row>
  </sheetData>
  <mergeCells count="2">
    <mergeCell ref="F4:G4"/>
    <mergeCell ref="P4:Q4"/>
  </mergeCells>
  <pageMargins left="0.7" right="0.7" top="0.75" bottom="0.75" header="0.3" footer="0.3"/>
  <pageSetup paperSize="9" orientation="portrait" horizontalDpi="4294967293"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C74"/>
  <sheetViews>
    <sheetView zoomScaleNormal="100" zoomScalePageLayoutView="200" workbookViewId="0">
      <pane xSplit="1" ySplit="5" topLeftCell="B6" activePane="bottomRight" state="frozen"/>
      <selection activeCell="J24" sqref="J24"/>
      <selection pane="topRight" activeCell="J24" sqref="J24"/>
      <selection pane="bottomLeft" activeCell="J24" sqref="J24"/>
      <selection pane="bottomRight" activeCell="L47" sqref="L47"/>
    </sheetView>
  </sheetViews>
  <sheetFormatPr defaultColWidth="9.109375" defaultRowHeight="12" x14ac:dyDescent="0.25"/>
  <cols>
    <col min="1" max="1" width="32.44140625" style="173" customWidth="1"/>
    <col min="2" max="2" width="7.6640625" style="173" customWidth="1"/>
    <col min="3" max="6" width="5.6640625" style="173" customWidth="1"/>
    <col min="7" max="10" width="5.33203125" style="173" customWidth="1"/>
    <col min="11" max="12" width="4.6640625" style="173" customWidth="1"/>
    <col min="13" max="13" width="8" style="173" customWidth="1"/>
    <col min="14" max="14" width="6.33203125" style="173" customWidth="1"/>
    <col min="15" max="15" width="6.6640625" style="173" customWidth="1"/>
    <col min="16" max="16" width="7.6640625" style="173" customWidth="1"/>
    <col min="17" max="17" width="6.6640625" style="173" customWidth="1"/>
    <col min="18" max="19" width="5.109375" style="173" customWidth="1"/>
    <col min="20" max="21" width="5.6640625" style="173" customWidth="1"/>
    <col min="22" max="22" width="7" style="8" customWidth="1"/>
    <col min="23" max="23" width="8.6640625" style="173" customWidth="1"/>
    <col min="24" max="24" width="8.6640625" style="210" customWidth="1"/>
    <col min="25" max="28" width="7.6640625" style="173" customWidth="1"/>
    <col min="29" max="16384" width="9.109375" style="173"/>
  </cols>
  <sheetData>
    <row r="1" spans="1:29" s="359" customFormat="1" ht="15.6" x14ac:dyDescent="0.3">
      <c r="A1" s="359" t="s">
        <v>642</v>
      </c>
      <c r="G1" s="361"/>
      <c r="H1" s="361"/>
      <c r="M1" s="384"/>
      <c r="N1" s="361"/>
      <c r="Q1" s="361"/>
      <c r="R1" s="361"/>
      <c r="S1" s="361"/>
      <c r="T1" s="361"/>
      <c r="U1" s="361"/>
      <c r="V1" s="361"/>
      <c r="X1" s="360"/>
      <c r="Y1" s="361"/>
      <c r="AB1" s="384"/>
      <c r="AC1" s="383"/>
    </row>
    <row r="2" spans="1:29" s="2" customFormat="1" ht="14.4" x14ac:dyDescent="0.3">
      <c r="B2" s="358" t="s">
        <v>586</v>
      </c>
      <c r="C2" s="358"/>
      <c r="D2" s="358"/>
      <c r="E2" s="358"/>
      <c r="F2" s="358"/>
      <c r="G2" s="358"/>
      <c r="H2" s="358"/>
      <c r="I2" s="358"/>
      <c r="J2" s="358"/>
      <c r="K2" s="358"/>
      <c r="L2" s="358"/>
      <c r="O2" s="406"/>
      <c r="P2" s="358"/>
      <c r="Q2" s="358"/>
      <c r="R2" s="358" t="s">
        <v>585</v>
      </c>
      <c r="S2" s="358"/>
      <c r="T2" s="358"/>
      <c r="U2" s="358"/>
      <c r="V2" s="358"/>
      <c r="W2" s="2" t="s">
        <v>584</v>
      </c>
      <c r="X2" s="357"/>
      <c r="AB2" s="358" t="s">
        <v>641</v>
      </c>
      <c r="AC2" s="2" t="s">
        <v>411</v>
      </c>
    </row>
    <row r="3" spans="1:29" s="1" customFormat="1" x14ac:dyDescent="0.25">
      <c r="B3" s="9" t="s">
        <v>583</v>
      </c>
      <c r="C3" s="9"/>
      <c r="D3" s="9"/>
      <c r="E3" s="9"/>
      <c r="F3" s="9"/>
      <c r="G3" s="16" t="s">
        <v>582</v>
      </c>
      <c r="H3" s="16"/>
      <c r="J3" s="16"/>
      <c r="K3" s="27"/>
      <c r="L3" s="27"/>
      <c r="M3" s="173"/>
      <c r="N3" s="173"/>
      <c r="O3" s="9" t="s">
        <v>581</v>
      </c>
      <c r="P3" s="9"/>
      <c r="Q3" s="9"/>
      <c r="R3" s="9" t="s">
        <v>580</v>
      </c>
      <c r="S3" s="9"/>
      <c r="T3" s="9"/>
      <c r="U3" s="9"/>
      <c r="V3" s="27"/>
      <c r="W3" s="1" t="s">
        <v>579</v>
      </c>
      <c r="X3" s="59"/>
      <c r="Y3" s="1" t="s">
        <v>578</v>
      </c>
      <c r="AB3" s="27"/>
    </row>
    <row r="4" spans="1:29" s="150" customFormat="1" ht="60" customHeight="1" x14ac:dyDescent="0.25">
      <c r="B4" s="4" t="s">
        <v>640</v>
      </c>
      <c r="C4" s="747" t="s">
        <v>639</v>
      </c>
      <c r="D4" s="747"/>
      <c r="E4" s="747" t="s">
        <v>638</v>
      </c>
      <c r="F4" s="747"/>
      <c r="G4" s="747" t="s">
        <v>744</v>
      </c>
      <c r="H4" s="747"/>
      <c r="I4" s="747" t="s">
        <v>768</v>
      </c>
      <c r="J4" s="747"/>
      <c r="K4" s="747" t="s">
        <v>575</v>
      </c>
      <c r="L4" s="747"/>
      <c r="M4" s="486" t="s">
        <v>637</v>
      </c>
      <c r="N4" s="4" t="s">
        <v>573</v>
      </c>
      <c r="O4" s="486" t="s">
        <v>572</v>
      </c>
      <c r="P4" s="4" t="s">
        <v>767</v>
      </c>
      <c r="Q4" s="4" t="s">
        <v>571</v>
      </c>
      <c r="R4" s="747" t="s">
        <v>822</v>
      </c>
      <c r="S4" s="747"/>
      <c r="T4" s="4" t="s">
        <v>743</v>
      </c>
      <c r="U4" s="4" t="s">
        <v>636</v>
      </c>
      <c r="V4" s="486" t="s">
        <v>635</v>
      </c>
      <c r="W4" s="748" t="s">
        <v>569</v>
      </c>
      <c r="X4" s="748"/>
      <c r="Y4" s="150" t="s">
        <v>568</v>
      </c>
      <c r="Z4" s="150" t="s">
        <v>363</v>
      </c>
      <c r="AA4" s="150" t="s">
        <v>567</v>
      </c>
      <c r="AB4" s="4" t="s">
        <v>634</v>
      </c>
      <c r="AC4" s="150" t="s">
        <v>633</v>
      </c>
    </row>
    <row r="5" spans="1:29" ht="48" customHeight="1" x14ac:dyDescent="0.25">
      <c r="B5" s="4" t="s">
        <v>632</v>
      </c>
      <c r="C5" s="4" t="s">
        <v>631</v>
      </c>
      <c r="D5" s="4" t="s">
        <v>630</v>
      </c>
      <c r="E5" s="4" t="s">
        <v>629</v>
      </c>
      <c r="F5" s="4" t="s">
        <v>628</v>
      </c>
      <c r="G5" s="4" t="s">
        <v>627</v>
      </c>
      <c r="H5" s="4" t="s">
        <v>287</v>
      </c>
      <c r="I5" s="4" t="s">
        <v>627</v>
      </c>
      <c r="J5" s="4" t="s">
        <v>287</v>
      </c>
      <c r="K5" s="4" t="s">
        <v>564</v>
      </c>
      <c r="L5" s="4" t="s">
        <v>560</v>
      </c>
      <c r="M5" s="4" t="s">
        <v>626</v>
      </c>
      <c r="N5" s="4" t="s">
        <v>627</v>
      </c>
      <c r="O5" s="4" t="s">
        <v>560</v>
      </c>
      <c r="P5" s="4" t="s">
        <v>563</v>
      </c>
      <c r="Q5" s="4" t="s">
        <v>560</v>
      </c>
      <c r="R5" s="4" t="s">
        <v>626</v>
      </c>
      <c r="S5" s="4" t="s">
        <v>287</v>
      </c>
      <c r="T5" s="4" t="s">
        <v>287</v>
      </c>
      <c r="U5" s="4" t="s">
        <v>287</v>
      </c>
      <c r="V5" s="4" t="s">
        <v>522</v>
      </c>
      <c r="W5" s="4" t="s">
        <v>561</v>
      </c>
      <c r="X5" s="60" t="s">
        <v>560</v>
      </c>
      <c r="Y5" s="4" t="s">
        <v>563</v>
      </c>
      <c r="Z5" s="4" t="s">
        <v>625</v>
      </c>
      <c r="AB5" s="4" t="s">
        <v>624</v>
      </c>
    </row>
    <row r="6" spans="1:29" x14ac:dyDescent="0.25">
      <c r="M6" s="1"/>
      <c r="N6" s="1"/>
    </row>
    <row r="7" spans="1:29" ht="14.4" x14ac:dyDescent="0.3">
      <c r="A7" s="2" t="s">
        <v>623</v>
      </c>
      <c r="B7" s="1"/>
      <c r="C7" s="1"/>
      <c r="D7" s="1"/>
      <c r="E7" s="1"/>
      <c r="F7" s="1"/>
      <c r="G7" s="1"/>
      <c r="H7" s="1"/>
      <c r="I7" s="1"/>
      <c r="J7" s="1"/>
      <c r="K7" s="1"/>
      <c r="L7" s="1"/>
      <c r="M7" s="1"/>
      <c r="N7" s="1"/>
      <c r="O7" s="1"/>
      <c r="P7" s="1"/>
      <c r="Q7" s="1"/>
      <c r="R7" s="1"/>
      <c r="S7" s="1"/>
      <c r="T7" s="1"/>
      <c r="U7" s="1"/>
      <c r="V7" s="3"/>
      <c r="W7" s="1"/>
      <c r="X7" s="59"/>
      <c r="Y7" s="1"/>
      <c r="Z7" s="1"/>
      <c r="AB7" s="29"/>
    </row>
    <row r="8" spans="1:29" ht="13.8" x14ac:dyDescent="0.3">
      <c r="A8" s="29"/>
      <c r="B8" s="1"/>
      <c r="C8" s="1"/>
      <c r="D8" s="1"/>
      <c r="E8" s="1"/>
      <c r="F8" s="1"/>
      <c r="G8" s="1"/>
      <c r="H8" s="1"/>
      <c r="I8" s="1"/>
      <c r="J8" s="1"/>
      <c r="K8" s="1"/>
      <c r="L8" s="1"/>
      <c r="M8" s="1"/>
      <c r="N8" s="1"/>
      <c r="O8" s="1"/>
      <c r="P8" s="1"/>
      <c r="Q8" s="1"/>
      <c r="R8" s="1"/>
      <c r="S8" s="1"/>
      <c r="T8" s="1"/>
      <c r="U8" s="1"/>
      <c r="V8" s="3"/>
      <c r="W8" s="1"/>
      <c r="X8" s="59"/>
      <c r="Y8" s="1"/>
      <c r="Z8" s="1"/>
      <c r="AB8" s="29"/>
    </row>
    <row r="9" spans="1:29" x14ac:dyDescent="0.25">
      <c r="A9" s="9" t="s">
        <v>538</v>
      </c>
      <c r="B9" s="9"/>
      <c r="C9" s="9"/>
      <c r="D9" s="9"/>
      <c r="E9" s="37"/>
      <c r="F9" s="37"/>
      <c r="G9" s="37"/>
      <c r="H9" s="37"/>
      <c r="I9" s="9"/>
      <c r="J9" s="9"/>
      <c r="K9" s="1"/>
      <c r="L9" s="1"/>
      <c r="M9" s="1"/>
      <c r="N9" s="1"/>
      <c r="Y9" s="1"/>
      <c r="Z9" s="1"/>
    </row>
    <row r="10" spans="1:29" x14ac:dyDescent="0.25">
      <c r="A10" s="376" t="s">
        <v>622</v>
      </c>
      <c r="B10" s="252">
        <v>19.8</v>
      </c>
      <c r="C10" s="9"/>
      <c r="D10" s="9"/>
      <c r="E10" s="37"/>
      <c r="F10" s="37"/>
      <c r="G10" s="9"/>
      <c r="H10" s="9"/>
      <c r="I10" s="9"/>
      <c r="J10" s="9"/>
      <c r="K10" s="252">
        <v>0</v>
      </c>
      <c r="L10" s="174">
        <f>44/12*K10</f>
        <v>0</v>
      </c>
      <c r="M10" s="1"/>
      <c r="N10" s="174"/>
      <c r="O10" s="1"/>
      <c r="P10" s="174">
        <f>L10</f>
        <v>0</v>
      </c>
      <c r="Q10" s="163">
        <f>O10+P10</f>
        <v>0</v>
      </c>
      <c r="R10" s="1"/>
      <c r="S10" s="1"/>
      <c r="T10" s="1"/>
      <c r="U10" s="1"/>
      <c r="V10" s="3"/>
      <c r="W10" s="1"/>
      <c r="X10" s="59"/>
      <c r="Y10" s="1"/>
      <c r="Z10" s="1"/>
    </row>
    <row r="11" spans="1:29" x14ac:dyDescent="0.25">
      <c r="A11" s="376" t="s">
        <v>621</v>
      </c>
      <c r="B11" s="9"/>
      <c r="C11" s="103">
        <v>0.34300000000000003</v>
      </c>
      <c r="D11" s="103"/>
      <c r="E11" s="55">
        <f>10^3*C11*B10</f>
        <v>6791.4000000000005</v>
      </c>
      <c r="F11" s="37"/>
      <c r="G11" s="43">
        <v>0</v>
      </c>
      <c r="H11" s="43"/>
      <c r="I11" s="9">
        <v>19</v>
      </c>
      <c r="J11" s="9"/>
      <c r="K11" s="115"/>
      <c r="M11" s="163">
        <f>AC11*10^6*X12/(E11*AB11)-V11</f>
        <v>13.962314207543727</v>
      </c>
      <c r="N11" s="364">
        <f>G11+I11-AC11*10^6*L10/(E11*AB11)+M11</f>
        <v>32.962314207543727</v>
      </c>
      <c r="O11" s="174">
        <f>R11*E11*AB11/10^6</f>
        <v>12.365726788800002</v>
      </c>
      <c r="P11" s="174">
        <f>-I11*E11*AB11/10^6</f>
        <v>-2.7319628952000001</v>
      </c>
      <c r="Q11" s="163">
        <f>O11+P11</f>
        <v>9.6337638936000012</v>
      </c>
      <c r="R11" s="37">
        <f>V11</f>
        <v>86</v>
      </c>
      <c r="S11" s="1"/>
      <c r="T11" s="1"/>
      <c r="U11" s="1"/>
      <c r="V11" s="9">
        <v>86</v>
      </c>
      <c r="W11" s="116"/>
      <c r="AB11" s="484">
        <f>'Crops proc. &amp; prod. DISCOUNTED'!NZ117</f>
        <v>21.172000000000001</v>
      </c>
      <c r="AC11" s="382">
        <v>0.98</v>
      </c>
    </row>
    <row r="12" spans="1:29" x14ac:dyDescent="0.25">
      <c r="A12" s="376" t="s">
        <v>611</v>
      </c>
      <c r="B12" s="9"/>
      <c r="C12" s="103"/>
      <c r="D12" s="103"/>
      <c r="E12" s="689">
        <f>E11*AB11/10^3</f>
        <v>143.78752080000004</v>
      </c>
      <c r="F12" s="9"/>
      <c r="G12" s="9"/>
      <c r="H12" s="9"/>
      <c r="I12" s="9"/>
      <c r="J12" s="9"/>
      <c r="K12" s="252"/>
      <c r="L12" s="7"/>
      <c r="M12" s="51">
        <f>M11+V11</f>
        <v>99.962314207543727</v>
      </c>
      <c r="N12" s="174"/>
      <c r="O12" s="1"/>
      <c r="P12" s="1"/>
      <c r="Q12" s="342">
        <f>Q10+Q11</f>
        <v>9.6337638936000012</v>
      </c>
      <c r="S12" s="1"/>
      <c r="T12" s="1"/>
      <c r="U12" s="1"/>
      <c r="V12" s="9"/>
      <c r="W12" s="346">
        <v>4</v>
      </c>
      <c r="X12" s="163">
        <f>44/12*W12</f>
        <v>14.666666666666666</v>
      </c>
      <c r="Y12" s="339">
        <f>Q12-X12</f>
        <v>-5.0329027730666649</v>
      </c>
      <c r="Z12" s="211">
        <f>10^3*Y12/$E11</f>
        <v>-0.74106999632868986</v>
      </c>
      <c r="AA12" s="338">
        <f>Y12/X12</f>
        <v>-0.34315246179999992</v>
      </c>
    </row>
    <row r="13" spans="1:29" x14ac:dyDescent="0.25">
      <c r="A13" s="37"/>
      <c r="B13" s="9"/>
      <c r="C13" s="103"/>
      <c r="D13" s="103"/>
      <c r="E13" s="741"/>
      <c r="F13" s="9"/>
      <c r="G13" s="9"/>
      <c r="H13" s="9"/>
      <c r="I13" s="9"/>
      <c r="J13" s="9"/>
      <c r="K13" s="252"/>
      <c r="L13" s="7"/>
      <c r="M13" s="353"/>
      <c r="N13" s="353"/>
      <c r="O13" s="1"/>
      <c r="P13" s="1"/>
      <c r="Q13" s="174"/>
      <c r="S13" s="1"/>
      <c r="T13" s="1"/>
      <c r="U13" s="1"/>
      <c r="V13" s="9"/>
      <c r="W13" s="79"/>
      <c r="X13" s="59"/>
      <c r="Y13" s="1"/>
      <c r="Z13" s="1"/>
    </row>
    <row r="14" spans="1:29" x14ac:dyDescent="0.25">
      <c r="A14" s="9" t="s">
        <v>536</v>
      </c>
      <c r="B14" s="9"/>
      <c r="C14" s="103"/>
      <c r="D14" s="103"/>
      <c r="E14" s="741"/>
      <c r="F14" s="9"/>
      <c r="G14" s="37"/>
      <c r="H14" s="37"/>
      <c r="I14" s="9"/>
      <c r="J14" s="9"/>
      <c r="K14" s="252"/>
      <c r="L14" s="7"/>
      <c r="N14" s="380"/>
      <c r="V14" s="37"/>
      <c r="W14" s="116"/>
      <c r="Y14" s="1"/>
      <c r="Z14" s="1"/>
      <c r="AB14" s="378"/>
    </row>
    <row r="15" spans="1:29" x14ac:dyDescent="0.25">
      <c r="A15" s="376" t="s">
        <v>620</v>
      </c>
      <c r="B15" s="252">
        <v>9.6999999999999993</v>
      </c>
      <c r="C15" s="103"/>
      <c r="D15" s="103"/>
      <c r="E15" s="741"/>
      <c r="F15" s="9"/>
      <c r="G15" s="9"/>
      <c r="H15" s="9"/>
      <c r="I15" s="9"/>
      <c r="J15" s="9"/>
      <c r="K15" s="252">
        <v>0</v>
      </c>
      <c r="L15" s="174">
        <f>44/12*K15</f>
        <v>0</v>
      </c>
      <c r="M15" s="151"/>
      <c r="N15" s="379"/>
      <c r="O15" s="1"/>
      <c r="P15" s="174">
        <f>L15</f>
        <v>0</v>
      </c>
      <c r="Q15" s="163">
        <f>O15+P15</f>
        <v>0</v>
      </c>
      <c r="S15" s="1"/>
      <c r="T15" s="1"/>
      <c r="U15" s="1"/>
      <c r="V15" s="9"/>
      <c r="W15" s="79"/>
      <c r="X15" s="59"/>
      <c r="Y15" s="1"/>
      <c r="Z15" s="1"/>
    </row>
    <row r="16" spans="1:29" x14ac:dyDescent="0.25">
      <c r="A16" s="376" t="s">
        <v>619</v>
      </c>
      <c r="B16" s="37"/>
      <c r="C16" s="103">
        <v>0.47899999999999998</v>
      </c>
      <c r="D16" s="103"/>
      <c r="E16" s="55">
        <f>10^3*C16*B15</f>
        <v>4646.2999999999993</v>
      </c>
      <c r="F16" s="9"/>
      <c r="G16" s="43">
        <v>0</v>
      </c>
      <c r="H16" s="43"/>
      <c r="I16" s="9">
        <v>69</v>
      </c>
      <c r="J16" s="9"/>
      <c r="K16" s="115"/>
      <c r="L16" s="174"/>
      <c r="M16" s="163">
        <f>AC16*10^6*X18/(E16*AB16)-V16</f>
        <v>20.975467764955908</v>
      </c>
      <c r="N16" s="364">
        <f>G16+I16-AC16*10^6*L15/(E16*AB16)+M16</f>
        <v>89.975467764955908</v>
      </c>
      <c r="O16" s="174">
        <f>R16*E16*AB16/10^6</f>
        <v>8.4599458695999985</v>
      </c>
      <c r="P16" s="174">
        <f>-I16*E16*AB16/10^6</f>
        <v>-6.7876309883999992</v>
      </c>
      <c r="Q16" s="163">
        <f>O16+P16</f>
        <v>1.6723148811999993</v>
      </c>
      <c r="R16" s="37">
        <f>V16</f>
        <v>86</v>
      </c>
      <c r="S16" s="1"/>
      <c r="T16" s="1"/>
      <c r="U16" s="1"/>
      <c r="V16" s="9">
        <v>86</v>
      </c>
      <c r="W16" s="116"/>
      <c r="AB16" s="484">
        <f>'Crops proc. &amp; prod. DISCOUNTED'!NZ107</f>
        <v>21.172000000000001</v>
      </c>
      <c r="AC16" s="377">
        <v>0.82</v>
      </c>
    </row>
    <row r="17" spans="1:29" x14ac:dyDescent="0.25">
      <c r="A17" s="376" t="s">
        <v>618</v>
      </c>
      <c r="B17" s="9"/>
      <c r="C17" s="103"/>
      <c r="D17" s="103">
        <v>0.27400000000000002</v>
      </c>
      <c r="E17" s="9"/>
      <c r="F17" s="55">
        <f>10^3*D17*B15</f>
        <v>2657.7999999999997</v>
      </c>
      <c r="G17" s="341"/>
      <c r="H17" s="43">
        <v>0</v>
      </c>
      <c r="I17" s="9"/>
      <c r="J17" s="164">
        <f>U17</f>
        <v>0.57384253168610599</v>
      </c>
      <c r="K17" s="252"/>
      <c r="L17" s="7"/>
      <c r="M17" s="51">
        <f>M16+V16</f>
        <v>106.97546776495591</v>
      </c>
      <c r="N17" s="353"/>
      <c r="O17" s="174">
        <f>F17*(S17+T17)/10^3</f>
        <v>7.6807104947640097</v>
      </c>
      <c r="P17" s="174">
        <f>(U17-J17)*F17/10^3</f>
        <v>0</v>
      </c>
      <c r="Q17" s="163">
        <f>O17+P17</f>
        <v>7.6807104947640097</v>
      </c>
      <c r="S17" s="341">
        <f>'Summary DISCOUNTED'!$G$136</f>
        <v>2.7322403347269262</v>
      </c>
      <c r="T17" s="375">
        <f>'Summary DISCOUNTED'!$AM$136</f>
        <v>0.15763493608502738</v>
      </c>
      <c r="U17" s="375">
        <f>'Summary DISCOUNTED'!$AQ$136</f>
        <v>0.57384253168610599</v>
      </c>
      <c r="V17" s="3"/>
      <c r="W17" s="116"/>
      <c r="AC17" s="70"/>
    </row>
    <row r="18" spans="1:29" x14ac:dyDescent="0.25">
      <c r="A18" s="376" t="s">
        <v>611</v>
      </c>
      <c r="B18" s="9"/>
      <c r="C18" s="103"/>
      <c r="D18" s="103"/>
      <c r="E18" s="9"/>
      <c r="F18" s="9"/>
      <c r="G18" s="9"/>
      <c r="H18" s="9"/>
      <c r="I18" s="9"/>
      <c r="J18" s="9"/>
      <c r="K18" s="115"/>
      <c r="O18" s="163"/>
      <c r="Q18" s="342">
        <f>Q15+Q16+Q17</f>
        <v>9.353025375964009</v>
      </c>
      <c r="S18" s="1"/>
      <c r="T18" s="75"/>
      <c r="U18" s="1"/>
      <c r="V18" s="3"/>
      <c r="W18" s="346">
        <v>3.5</v>
      </c>
      <c r="X18" s="163">
        <f>44/12*W18</f>
        <v>12.833333333333332</v>
      </c>
      <c r="Y18" s="339">
        <f>Q18-X18</f>
        <v>-3.4803079573693232</v>
      </c>
      <c r="Z18" s="211">
        <f>10^3*Y18/$E16</f>
        <v>-0.74904934192138339</v>
      </c>
      <c r="AA18" s="338">
        <f>Y18/X18</f>
        <v>-0.27119282784696025</v>
      </c>
      <c r="AB18" s="1"/>
    </row>
    <row r="19" spans="1:29" s="210" customFormat="1" x14ac:dyDescent="0.25">
      <c r="A19" s="742"/>
      <c r="B19" s="66"/>
      <c r="C19" s="164"/>
      <c r="D19" s="164"/>
      <c r="E19" s="66"/>
      <c r="F19" s="66"/>
      <c r="G19" s="66"/>
      <c r="H19" s="66"/>
      <c r="I19" s="66"/>
      <c r="J19" s="66"/>
      <c r="K19" s="115"/>
      <c r="O19" s="163"/>
      <c r="Q19" s="163"/>
      <c r="S19" s="59"/>
      <c r="T19" s="209"/>
      <c r="U19" s="59"/>
      <c r="V19" s="79"/>
      <c r="W19" s="449"/>
      <c r="X19" s="163"/>
      <c r="Y19" s="163"/>
      <c r="Z19" s="163"/>
      <c r="AA19" s="372"/>
      <c r="AB19" s="59"/>
    </row>
    <row r="20" spans="1:29" x14ac:dyDescent="0.25">
      <c r="A20" s="9" t="s">
        <v>998</v>
      </c>
      <c r="B20" s="66"/>
      <c r="C20" s="103"/>
      <c r="D20" s="103"/>
      <c r="E20" s="37"/>
      <c r="F20" s="37"/>
      <c r="G20" s="37"/>
      <c r="H20" s="37"/>
      <c r="I20" s="9"/>
      <c r="J20" s="9"/>
      <c r="K20" s="252"/>
      <c r="L20" s="1"/>
      <c r="T20" s="381"/>
      <c r="W20" s="116"/>
      <c r="Y20" s="1"/>
      <c r="Z20" s="1"/>
    </row>
    <row r="21" spans="1:29" x14ac:dyDescent="0.25">
      <c r="A21" s="376" t="s">
        <v>617</v>
      </c>
      <c r="B21" s="252">
        <v>10</v>
      </c>
      <c r="C21" s="103"/>
      <c r="D21" s="103"/>
      <c r="E21" s="37"/>
      <c r="F21" s="37"/>
      <c r="G21" s="9"/>
      <c r="H21" s="9"/>
      <c r="I21" s="9"/>
      <c r="J21" s="9"/>
      <c r="K21" s="252">
        <v>0</v>
      </c>
      <c r="L21" s="174">
        <f>44/12*K21</f>
        <v>0</v>
      </c>
      <c r="O21" s="1"/>
      <c r="P21" s="174">
        <f>L21</f>
        <v>0</v>
      </c>
      <c r="Q21" s="163">
        <f>O21+P21</f>
        <v>0</v>
      </c>
      <c r="S21" s="1"/>
      <c r="T21" s="75"/>
      <c r="U21" s="1"/>
      <c r="V21" s="3"/>
      <c r="W21" s="79"/>
      <c r="X21" s="59"/>
      <c r="Y21" s="1"/>
      <c r="Z21" s="1"/>
    </row>
    <row r="22" spans="1:29" x14ac:dyDescent="0.25">
      <c r="A22" s="376" t="s">
        <v>616</v>
      </c>
      <c r="B22" s="66"/>
      <c r="C22" s="103">
        <v>0.375</v>
      </c>
      <c r="D22" s="103"/>
      <c r="E22" s="55">
        <f>10^3*C22*B21</f>
        <v>3750</v>
      </c>
      <c r="F22" s="37"/>
      <c r="G22" s="43">
        <v>0</v>
      </c>
      <c r="H22" s="43"/>
      <c r="I22" s="9">
        <v>10</v>
      </c>
      <c r="J22" s="9"/>
      <c r="K22" s="124"/>
      <c r="M22" s="163">
        <f>AC22*10^6*X23/(E22*AB22)-V22</f>
        <v>75.63906207359824</v>
      </c>
      <c r="N22" s="364">
        <f>G22+I22-AC22*10^6*L21/(E22*AB22)+M22</f>
        <v>85.63906207359824</v>
      </c>
      <c r="O22" s="174">
        <f>R22*E22*AB22/10^6</f>
        <v>6.8279699999999997</v>
      </c>
      <c r="P22" s="174">
        <f>-I22*E22*AB22/10^6</f>
        <v>-0.79395000000000004</v>
      </c>
      <c r="Q22" s="163">
        <f>O22+P22</f>
        <v>6.0340199999999999</v>
      </c>
      <c r="R22" s="37">
        <f>V22</f>
        <v>86</v>
      </c>
      <c r="S22" s="1"/>
      <c r="T22" s="75"/>
      <c r="U22" s="1"/>
      <c r="V22" s="9">
        <v>86</v>
      </c>
      <c r="W22" s="116"/>
      <c r="AB22" s="484">
        <f>'Crops proc. &amp; prod. DISCOUNTED'!NZ$122</f>
        <v>21.172000000000001</v>
      </c>
      <c r="AC22" s="382">
        <v>1</v>
      </c>
    </row>
    <row r="23" spans="1:29" x14ac:dyDescent="0.25">
      <c r="A23" s="376" t="s">
        <v>611</v>
      </c>
      <c r="B23" s="74"/>
      <c r="C23" s="335"/>
      <c r="D23" s="335"/>
      <c r="E23" s="55"/>
      <c r="F23" s="37"/>
      <c r="G23" s="9"/>
      <c r="H23" s="9"/>
      <c r="I23" s="37"/>
      <c r="J23" s="37"/>
      <c r="K23" s="124"/>
      <c r="M23" s="51">
        <f>M22+V22</f>
        <v>161.63906207359824</v>
      </c>
      <c r="O23" s="174"/>
      <c r="P23" s="353"/>
      <c r="Q23" s="342">
        <f>Q21+Q22</f>
        <v>6.0340199999999999</v>
      </c>
      <c r="S23" s="1"/>
      <c r="T23" s="75"/>
      <c r="U23" s="1"/>
      <c r="V23" s="9"/>
      <c r="W23" s="346">
        <v>3.5</v>
      </c>
      <c r="X23" s="163">
        <f>44/12*W23</f>
        <v>12.833333333333332</v>
      </c>
      <c r="Y23" s="339">
        <f>Q23-X23</f>
        <v>-6.7993133333333322</v>
      </c>
      <c r="Z23" s="211">
        <f>10^3*Y23/$E22</f>
        <v>-1.813150222222222</v>
      </c>
      <c r="AA23" s="338">
        <f>Y23/X23</f>
        <v>-0.52981662337662339</v>
      </c>
      <c r="AB23" s="1"/>
    </row>
    <row r="24" spans="1:29" x14ac:dyDescent="0.25">
      <c r="A24" s="37"/>
      <c r="B24" s="9"/>
      <c r="C24" s="103"/>
      <c r="D24" s="103"/>
      <c r="E24" s="9"/>
      <c r="F24" s="9"/>
      <c r="G24" s="9"/>
      <c r="H24" s="9"/>
      <c r="I24" s="9"/>
      <c r="J24" s="9"/>
      <c r="K24" s="121"/>
      <c r="L24" s="1"/>
      <c r="O24" s="1"/>
      <c r="P24" s="1"/>
      <c r="Q24" s="1"/>
      <c r="S24" s="1"/>
      <c r="T24" s="75"/>
      <c r="U24" s="1"/>
      <c r="V24" s="3"/>
      <c r="W24" s="79"/>
      <c r="X24" s="59"/>
      <c r="Y24" s="1"/>
      <c r="Z24" s="1"/>
    </row>
    <row r="25" spans="1:29" x14ac:dyDescent="0.25">
      <c r="A25" s="9" t="s">
        <v>999</v>
      </c>
      <c r="B25" s="66"/>
      <c r="C25" s="103"/>
      <c r="D25" s="103"/>
      <c r="E25" s="37"/>
      <c r="F25" s="37"/>
      <c r="G25" s="37"/>
      <c r="H25" s="37"/>
      <c r="I25" s="9"/>
      <c r="J25" s="9"/>
      <c r="K25" s="121"/>
      <c r="L25" s="1"/>
      <c r="T25" s="381"/>
      <c r="W25" s="116"/>
      <c r="Y25" s="1"/>
      <c r="Z25" s="1"/>
    </row>
    <row r="26" spans="1:29" x14ac:dyDescent="0.25">
      <c r="A26" s="376" t="s">
        <v>617</v>
      </c>
      <c r="B26" s="252">
        <v>10</v>
      </c>
      <c r="C26" s="103"/>
      <c r="D26" s="103"/>
      <c r="E26" s="37"/>
      <c r="F26" s="37"/>
      <c r="G26" s="9"/>
      <c r="H26" s="9"/>
      <c r="I26" s="9"/>
      <c r="J26" s="9"/>
      <c r="K26" s="448">
        <v>0.6</v>
      </c>
      <c r="L26" s="174">
        <f>44/12*K26</f>
        <v>2.1999999999999997</v>
      </c>
      <c r="O26" s="1"/>
      <c r="P26" s="174">
        <f>L26</f>
        <v>2.1999999999999997</v>
      </c>
      <c r="Q26" s="163">
        <f>O26+P26</f>
        <v>2.1999999999999997</v>
      </c>
      <c r="S26" s="1"/>
      <c r="T26" s="75"/>
      <c r="U26" s="1"/>
      <c r="V26" s="3"/>
      <c r="W26" s="79"/>
      <c r="X26" s="59"/>
      <c r="Y26" s="1"/>
      <c r="Z26" s="1"/>
    </row>
    <row r="27" spans="1:29" x14ac:dyDescent="0.25">
      <c r="A27" s="376" t="s">
        <v>616</v>
      </c>
      <c r="B27" s="66"/>
      <c r="C27" s="103">
        <v>0.375</v>
      </c>
      <c r="D27" s="103"/>
      <c r="E27" s="55">
        <f>10^3*C27*B26</f>
        <v>3750</v>
      </c>
      <c r="F27" s="37"/>
      <c r="G27" s="43">
        <v>0</v>
      </c>
      <c r="H27" s="43"/>
      <c r="I27" s="9">
        <v>10</v>
      </c>
      <c r="J27" s="9"/>
      <c r="K27" s="124"/>
      <c r="M27" s="163">
        <f>AC27*10^6*X28/(E27*AB27)-V27</f>
        <v>75.63906207359824</v>
      </c>
      <c r="N27" s="364">
        <f>G27+I27-AC27*10^6*L26/(E27*AB27)+M27</f>
        <v>57.929508575267121</v>
      </c>
      <c r="O27" s="174">
        <f>R27*E27*AB27/10^6</f>
        <v>6.8279699999999997</v>
      </c>
      <c r="P27" s="174">
        <f>-I27*E27*AB27/10^6</f>
        <v>-0.79395000000000004</v>
      </c>
      <c r="Q27" s="163">
        <f>O27+P27</f>
        <v>6.0340199999999999</v>
      </c>
      <c r="R27" s="37">
        <f>V27</f>
        <v>86</v>
      </c>
      <c r="S27" s="1"/>
      <c r="T27" s="75"/>
      <c r="U27" s="1"/>
      <c r="V27" s="9">
        <v>86</v>
      </c>
      <c r="W27" s="116"/>
      <c r="AB27" s="484">
        <f>'Crops proc. &amp; prod. DISCOUNTED'!NZ$122</f>
        <v>21.172000000000001</v>
      </c>
      <c r="AC27" s="382">
        <v>1</v>
      </c>
    </row>
    <row r="28" spans="1:29" x14ac:dyDescent="0.25">
      <c r="A28" s="376" t="s">
        <v>611</v>
      </c>
      <c r="B28" s="74"/>
      <c r="C28" s="335"/>
      <c r="D28" s="335"/>
      <c r="E28" s="55"/>
      <c r="F28" s="37"/>
      <c r="G28" s="9"/>
      <c r="H28" s="9"/>
      <c r="I28" s="37"/>
      <c r="J28" s="37"/>
      <c r="K28" s="124"/>
      <c r="M28" s="51">
        <f>M27+V27</f>
        <v>161.63906207359824</v>
      </c>
      <c r="O28" s="174"/>
      <c r="P28" s="353"/>
      <c r="Q28" s="342">
        <f>Q26+Q27</f>
        <v>8.2340199999999992</v>
      </c>
      <c r="S28" s="1"/>
      <c r="T28" s="75"/>
      <c r="U28" s="1"/>
      <c r="V28" s="9"/>
      <c r="W28" s="346">
        <v>3.5</v>
      </c>
      <c r="X28" s="163">
        <f>44/12*W28</f>
        <v>12.833333333333332</v>
      </c>
      <c r="Y28" s="339">
        <f>Q28-X28</f>
        <v>-4.5993133333333329</v>
      </c>
      <c r="Z28" s="211">
        <f>10^3*Y28/$E27</f>
        <v>-1.2264835555555553</v>
      </c>
      <c r="AA28" s="338">
        <f>Y28/X28</f>
        <v>-0.35838805194805196</v>
      </c>
      <c r="AB28" s="1"/>
    </row>
    <row r="29" spans="1:29" x14ac:dyDescent="0.25">
      <c r="A29" s="37"/>
      <c r="B29" s="66"/>
      <c r="C29" s="103"/>
      <c r="D29" s="103"/>
      <c r="E29" s="9"/>
      <c r="F29" s="9"/>
      <c r="G29" s="9"/>
      <c r="H29" s="9"/>
      <c r="I29" s="9"/>
      <c r="J29" s="9"/>
      <c r="K29" s="121"/>
      <c r="L29" s="1"/>
      <c r="O29" s="1"/>
      <c r="Q29" s="1"/>
      <c r="S29" s="1"/>
      <c r="T29" s="75"/>
      <c r="U29" s="1"/>
      <c r="V29" s="3"/>
      <c r="W29" s="79"/>
      <c r="X29" s="59"/>
      <c r="Y29" s="1"/>
      <c r="Z29" s="1"/>
    </row>
    <row r="30" spans="1:29" x14ac:dyDescent="0.25">
      <c r="A30" s="9" t="s">
        <v>1000</v>
      </c>
      <c r="B30" s="66"/>
      <c r="C30" s="103"/>
      <c r="D30" s="103"/>
      <c r="E30" s="37"/>
      <c r="F30" s="37"/>
      <c r="G30" s="37"/>
      <c r="H30" s="37"/>
      <c r="I30" s="9"/>
      <c r="J30" s="9"/>
      <c r="K30" s="252"/>
      <c r="L30" s="1"/>
      <c r="T30" s="381"/>
      <c r="W30" s="116"/>
      <c r="Y30" s="1"/>
      <c r="Z30" s="1"/>
    </row>
    <row r="31" spans="1:29" x14ac:dyDescent="0.25">
      <c r="A31" s="376" t="s">
        <v>617</v>
      </c>
      <c r="B31" s="252">
        <v>17</v>
      </c>
      <c r="C31" s="103"/>
      <c r="D31" s="103"/>
      <c r="E31" s="37"/>
      <c r="F31" s="37"/>
      <c r="G31" s="9"/>
      <c r="H31" s="9"/>
      <c r="I31" s="9"/>
      <c r="J31" s="9"/>
      <c r="K31" s="252">
        <v>0</v>
      </c>
      <c r="L31" s="174">
        <f>44/12*K31</f>
        <v>0</v>
      </c>
      <c r="O31" s="1"/>
      <c r="P31" s="174">
        <f>L31</f>
        <v>0</v>
      </c>
      <c r="Q31" s="163">
        <f>O31+P31</f>
        <v>0</v>
      </c>
      <c r="S31" s="1"/>
      <c r="T31" s="75"/>
      <c r="U31" s="1"/>
      <c r="V31" s="3"/>
      <c r="W31" s="79"/>
      <c r="X31" s="59"/>
      <c r="Y31" s="1"/>
      <c r="Z31" s="1"/>
    </row>
    <row r="32" spans="1:29" x14ac:dyDescent="0.25">
      <c r="A32" s="376" t="s">
        <v>616</v>
      </c>
      <c r="B32" s="66"/>
      <c r="C32" s="103">
        <v>0.375</v>
      </c>
      <c r="D32" s="103"/>
      <c r="E32" s="55">
        <f>10^3*C32*B31</f>
        <v>6375</v>
      </c>
      <c r="F32" s="37"/>
      <c r="G32" s="43">
        <v>0</v>
      </c>
      <c r="H32" s="43"/>
      <c r="I32" s="9">
        <v>10</v>
      </c>
      <c r="J32" s="9"/>
      <c r="K32" s="124"/>
      <c r="M32" s="163">
        <f>AC32*10^6*X33/(E32*AB32)-V32</f>
        <v>9.0818012197636762</v>
      </c>
      <c r="N32" s="343">
        <f>G32+I32-AC32*10^6*L31/(E32*AB32)+M32</f>
        <v>19.081801219763676</v>
      </c>
      <c r="O32" s="174">
        <f>R32*E32*AB32/10^6</f>
        <v>11.607549000000001</v>
      </c>
      <c r="P32" s="174">
        <f>-I32*E32*AB32/10^6</f>
        <v>-1.349715</v>
      </c>
      <c r="Q32" s="163">
        <f>O32+P32</f>
        <v>10.257834000000001</v>
      </c>
      <c r="R32" s="37">
        <f>V32</f>
        <v>86</v>
      </c>
      <c r="S32" s="1"/>
      <c r="T32" s="75"/>
      <c r="U32" s="1"/>
      <c r="V32" s="9">
        <v>86</v>
      </c>
      <c r="W32" s="116"/>
      <c r="AB32" s="484">
        <f>'Crops proc. &amp; prod. DISCOUNTED'!NZ$122</f>
        <v>21.172000000000001</v>
      </c>
      <c r="AC32" s="382">
        <v>1</v>
      </c>
    </row>
    <row r="33" spans="1:29" x14ac:dyDescent="0.25">
      <c r="A33" s="376" t="s">
        <v>611</v>
      </c>
      <c r="B33" s="74"/>
      <c r="C33" s="335"/>
      <c r="D33" s="335"/>
      <c r="E33" s="55"/>
      <c r="F33" s="37"/>
      <c r="G33" s="9"/>
      <c r="H33" s="9"/>
      <c r="I33" s="37"/>
      <c r="J33" s="37"/>
      <c r="K33" s="124"/>
      <c r="M33" s="51">
        <f>M32+V32</f>
        <v>95.081801219763676</v>
      </c>
      <c r="O33" s="174"/>
      <c r="P33" s="353"/>
      <c r="Q33" s="342">
        <f>Q31+Q32</f>
        <v>10.257834000000001</v>
      </c>
      <c r="S33" s="1"/>
      <c r="T33" s="75"/>
      <c r="U33" s="1"/>
      <c r="V33" s="9"/>
      <c r="W33" s="346">
        <v>3.5</v>
      </c>
      <c r="X33" s="163">
        <f>44/12*W33</f>
        <v>12.833333333333332</v>
      </c>
      <c r="Y33" s="339">
        <f>Q33-X33</f>
        <v>-2.5754993333333314</v>
      </c>
      <c r="Z33" s="211">
        <f>10^3*Y33/$E32</f>
        <v>-0.40399989542483628</v>
      </c>
      <c r="AA33" s="338">
        <f>Y33/X33</f>
        <v>-0.20068825974025961</v>
      </c>
      <c r="AB33" s="1"/>
    </row>
    <row r="34" spans="1:29" x14ac:dyDescent="0.25">
      <c r="A34" s="37"/>
      <c r="B34" s="66"/>
      <c r="C34" s="103"/>
      <c r="D34" s="103"/>
      <c r="E34" s="9"/>
      <c r="F34" s="9"/>
      <c r="G34" s="9"/>
      <c r="H34" s="9"/>
      <c r="I34" s="9"/>
      <c r="J34" s="9"/>
      <c r="K34" s="121"/>
      <c r="L34" s="1"/>
      <c r="O34" s="1"/>
      <c r="Q34" s="1"/>
      <c r="S34" s="1"/>
      <c r="T34" s="75"/>
      <c r="U34" s="1"/>
      <c r="V34" s="3"/>
      <c r="W34" s="79"/>
      <c r="X34" s="59"/>
      <c r="Y34" s="1"/>
      <c r="Z34" s="1"/>
    </row>
    <row r="35" spans="1:29" x14ac:dyDescent="0.25">
      <c r="A35" s="9" t="s">
        <v>1001</v>
      </c>
      <c r="B35" s="66"/>
      <c r="C35" s="103"/>
      <c r="D35" s="103"/>
      <c r="E35" s="37"/>
      <c r="F35" s="37"/>
      <c r="G35" s="37"/>
      <c r="H35" s="37"/>
      <c r="I35" s="9"/>
      <c r="J35" s="9"/>
      <c r="K35" s="121"/>
      <c r="L35" s="1"/>
      <c r="T35" s="381"/>
      <c r="W35" s="116"/>
      <c r="Y35" s="1"/>
      <c r="Z35" s="1"/>
    </row>
    <row r="36" spans="1:29" x14ac:dyDescent="0.25">
      <c r="A36" s="376" t="s">
        <v>617</v>
      </c>
      <c r="B36" s="252">
        <v>17</v>
      </c>
      <c r="C36" s="103"/>
      <c r="D36" s="103"/>
      <c r="E36" s="37"/>
      <c r="F36" s="37"/>
      <c r="G36" s="9"/>
      <c r="H36" s="9"/>
      <c r="I36" s="9"/>
      <c r="J36" s="9"/>
      <c r="K36" s="448">
        <v>0.6</v>
      </c>
      <c r="L36" s="174">
        <f>44/12*K36</f>
        <v>2.1999999999999997</v>
      </c>
      <c r="O36" s="1"/>
      <c r="P36" s="174">
        <f>L36</f>
        <v>2.1999999999999997</v>
      </c>
      <c r="Q36" s="163">
        <f>O36+P36</f>
        <v>2.1999999999999997</v>
      </c>
      <c r="S36" s="1"/>
      <c r="T36" s="75"/>
      <c r="U36" s="1"/>
      <c r="V36" s="3"/>
      <c r="W36" s="79"/>
      <c r="X36" s="59"/>
      <c r="Y36" s="1"/>
      <c r="Z36" s="1"/>
    </row>
    <row r="37" spans="1:29" x14ac:dyDescent="0.25">
      <c r="A37" s="376" t="s">
        <v>616</v>
      </c>
      <c r="B37" s="66"/>
      <c r="C37" s="103">
        <v>0.375</v>
      </c>
      <c r="D37" s="103"/>
      <c r="E37" s="55">
        <f>10^3*C37*B36</f>
        <v>6375</v>
      </c>
      <c r="F37" s="37"/>
      <c r="G37" s="43">
        <v>0</v>
      </c>
      <c r="H37" s="43"/>
      <c r="I37" s="9">
        <v>10</v>
      </c>
      <c r="J37" s="9"/>
      <c r="K37" s="124"/>
      <c r="M37" s="163">
        <f>AC37*10^6*X38/(E37*AB37)-V37</f>
        <v>9.0818012197636762</v>
      </c>
      <c r="N37" s="343">
        <f>G37+I37-AC37*10^6*L36/(E37*AB37)+M37</f>
        <v>2.7820638678041902</v>
      </c>
      <c r="O37" s="174">
        <f>R37*E37*AB37/10^6</f>
        <v>11.607549000000001</v>
      </c>
      <c r="P37" s="174">
        <f>-I37*E37*AB37/10^6</f>
        <v>-1.349715</v>
      </c>
      <c r="Q37" s="163">
        <f>O37+P37</f>
        <v>10.257834000000001</v>
      </c>
      <c r="R37" s="37">
        <f>V37</f>
        <v>86</v>
      </c>
      <c r="S37" s="1"/>
      <c r="T37" s="75"/>
      <c r="U37" s="1"/>
      <c r="V37" s="9">
        <v>86</v>
      </c>
      <c r="W37" s="116"/>
      <c r="AB37" s="484">
        <f>'Crops proc. &amp; prod. DISCOUNTED'!NZ$122</f>
        <v>21.172000000000001</v>
      </c>
      <c r="AC37" s="382">
        <v>1</v>
      </c>
    </row>
    <row r="38" spans="1:29" x14ac:dyDescent="0.25">
      <c r="A38" s="376" t="s">
        <v>611</v>
      </c>
      <c r="B38" s="74"/>
      <c r="C38" s="335"/>
      <c r="D38" s="335"/>
      <c r="E38" s="55"/>
      <c r="F38" s="37"/>
      <c r="G38" s="9"/>
      <c r="H38" s="9"/>
      <c r="I38" s="37"/>
      <c r="J38" s="37"/>
      <c r="K38" s="124"/>
      <c r="M38" s="51">
        <f>M37+V37</f>
        <v>95.081801219763676</v>
      </c>
      <c r="O38" s="174"/>
      <c r="P38" s="353"/>
      <c r="Q38" s="342">
        <f>Q36+Q37</f>
        <v>12.457834</v>
      </c>
      <c r="S38" s="1"/>
      <c r="T38" s="75"/>
      <c r="U38" s="1"/>
      <c r="V38" s="9"/>
      <c r="W38" s="346">
        <v>3.5</v>
      </c>
      <c r="X38" s="163">
        <f>44/12*W38</f>
        <v>12.833333333333332</v>
      </c>
      <c r="Y38" s="339">
        <f>Q38-X38</f>
        <v>-0.37549933333333207</v>
      </c>
      <c r="Z38" s="211">
        <f>10^3*Y38/$E37</f>
        <v>-5.890185620915013E-2</v>
      </c>
      <c r="AA38" s="338">
        <f>Y38/X38</f>
        <v>-2.9259688311688216E-2</v>
      </c>
      <c r="AB38" s="1"/>
    </row>
    <row r="39" spans="1:29" x14ac:dyDescent="0.25">
      <c r="A39" s="37"/>
      <c r="B39" s="66"/>
      <c r="C39" s="103"/>
      <c r="D39" s="103"/>
      <c r="E39" s="9"/>
      <c r="F39" s="9"/>
      <c r="G39" s="9"/>
      <c r="H39" s="9"/>
      <c r="I39" s="9"/>
      <c r="J39" s="9"/>
      <c r="K39" s="121"/>
      <c r="L39" s="1"/>
      <c r="O39" s="1"/>
      <c r="Q39" s="1"/>
      <c r="S39" s="1"/>
      <c r="T39" s="75"/>
      <c r="U39" s="1"/>
      <c r="V39" s="3"/>
      <c r="W39" s="79"/>
      <c r="X39" s="59"/>
      <c r="Y39" s="1"/>
      <c r="Z39" s="1"/>
    </row>
    <row r="40" spans="1:29" x14ac:dyDescent="0.25">
      <c r="A40" s="9" t="s">
        <v>1002</v>
      </c>
      <c r="B40" s="66"/>
      <c r="C40" s="103"/>
      <c r="D40" s="103"/>
      <c r="E40" s="37"/>
      <c r="F40" s="37"/>
      <c r="G40" s="37"/>
      <c r="H40" s="37"/>
      <c r="I40" s="9"/>
      <c r="J40" s="9"/>
      <c r="K40" s="121"/>
      <c r="L40" s="1"/>
      <c r="T40" s="381"/>
      <c r="W40" s="116"/>
      <c r="Y40" s="1"/>
      <c r="Z40" s="1"/>
    </row>
    <row r="41" spans="1:29" x14ac:dyDescent="0.25">
      <c r="A41" s="376" t="s">
        <v>617</v>
      </c>
      <c r="B41" s="252">
        <v>32.4</v>
      </c>
      <c r="C41" s="103"/>
      <c r="D41" s="103"/>
      <c r="E41" s="37"/>
      <c r="F41" s="37"/>
      <c r="G41" s="9"/>
      <c r="H41" s="9"/>
      <c r="I41" s="9"/>
      <c r="J41" s="9"/>
      <c r="K41" s="448">
        <v>0.6</v>
      </c>
      <c r="L41" s="174">
        <f>44/12*K41</f>
        <v>2.1999999999999997</v>
      </c>
      <c r="O41" s="1"/>
      <c r="P41" s="174">
        <f>L41</f>
        <v>2.1999999999999997</v>
      </c>
      <c r="Q41" s="163">
        <f>O41+P41</f>
        <v>2.1999999999999997</v>
      </c>
      <c r="S41" s="1"/>
      <c r="T41" s="75"/>
      <c r="U41" s="1"/>
      <c r="V41" s="3"/>
      <c r="W41" s="79"/>
      <c r="X41" s="59"/>
      <c r="Y41" s="1"/>
      <c r="Z41" s="1"/>
    </row>
    <row r="42" spans="1:29" x14ac:dyDescent="0.25">
      <c r="A42" s="376" t="s">
        <v>616</v>
      </c>
      <c r="B42" s="9"/>
      <c r="C42" s="103">
        <v>0.375</v>
      </c>
      <c r="D42" s="103"/>
      <c r="E42" s="55">
        <f>10^3*C42*B41</f>
        <v>12150</v>
      </c>
      <c r="F42" s="37"/>
      <c r="G42" s="43">
        <v>0</v>
      </c>
      <c r="H42" s="43"/>
      <c r="I42" s="9">
        <v>10</v>
      </c>
      <c r="J42" s="9"/>
      <c r="M42" s="163">
        <f>AC42*10^6*X43/(E42*AB42)-V42</f>
        <v>-36.111400594568451</v>
      </c>
      <c r="N42" s="364">
        <f>G42+I42-AC42*10^6*L41/(E42*AB42)+M42</f>
        <v>-34.663731921213859</v>
      </c>
      <c r="O42" s="174">
        <f>R42*E42*AB42/10^6</f>
        <v>22.122622800000002</v>
      </c>
      <c r="P42" s="174">
        <f>-I42*E42*AB42/10^6</f>
        <v>-2.5723980000000002</v>
      </c>
      <c r="Q42" s="163">
        <f>O42+P42</f>
        <v>19.550224800000002</v>
      </c>
      <c r="R42" s="37">
        <f>V42</f>
        <v>86</v>
      </c>
      <c r="S42" s="1"/>
      <c r="T42" s="75"/>
      <c r="U42" s="1"/>
      <c r="V42" s="9">
        <v>86</v>
      </c>
      <c r="W42" s="116"/>
      <c r="AB42" s="484">
        <f>'Crops proc. &amp; prod. DISCOUNTED'!NZ$122</f>
        <v>21.172000000000001</v>
      </c>
      <c r="AC42" s="382">
        <v>1</v>
      </c>
    </row>
    <row r="43" spans="1:29" x14ac:dyDescent="0.25">
      <c r="A43" s="376" t="s">
        <v>611</v>
      </c>
      <c r="B43" s="37"/>
      <c r="C43" s="335"/>
      <c r="D43" s="335"/>
      <c r="E43" s="55"/>
      <c r="F43" s="37"/>
      <c r="G43" s="9"/>
      <c r="H43" s="9"/>
      <c r="I43" s="37"/>
      <c r="J43" s="37"/>
      <c r="M43" s="51">
        <f>M42+V42</f>
        <v>49.888599405431549</v>
      </c>
      <c r="O43" s="174"/>
      <c r="P43" s="353"/>
      <c r="Q43" s="342">
        <f>Q41+Q42</f>
        <v>21.750224800000002</v>
      </c>
      <c r="S43" s="1"/>
      <c r="T43" s="75"/>
      <c r="U43" s="1"/>
      <c r="V43" s="9"/>
      <c r="W43" s="346">
        <v>3.5</v>
      </c>
      <c r="X43" s="163">
        <f>44/12*W43</f>
        <v>12.833333333333332</v>
      </c>
      <c r="Y43" s="339">
        <f>Q43-X43</f>
        <v>8.9168914666666694</v>
      </c>
      <c r="Z43" s="211">
        <f>10^3*Y43/$E42</f>
        <v>0.73390053223593987</v>
      </c>
      <c r="AA43" s="338">
        <f>Y43/X43</f>
        <v>0.694822711688312</v>
      </c>
      <c r="AB43" s="1"/>
    </row>
    <row r="44" spans="1:29" x14ac:dyDescent="0.25">
      <c r="A44" s="37"/>
      <c r="B44" s="9"/>
      <c r="C44" s="103"/>
      <c r="D44" s="103"/>
      <c r="E44" s="9"/>
      <c r="F44" s="9"/>
      <c r="G44" s="9"/>
      <c r="H44" s="9"/>
      <c r="I44" s="9"/>
      <c r="J44" s="9"/>
      <c r="K44" s="1"/>
      <c r="L44" s="1"/>
      <c r="O44" s="1"/>
      <c r="P44" s="1"/>
      <c r="Q44" s="1"/>
      <c r="S44" s="1"/>
      <c r="T44" s="75"/>
      <c r="U44" s="1"/>
      <c r="V44" s="3"/>
      <c r="W44" s="1"/>
      <c r="X44" s="59"/>
      <c r="Y44" s="1"/>
      <c r="Z44" s="1"/>
    </row>
    <row r="45" spans="1:29" x14ac:dyDescent="0.25">
      <c r="A45" s="37"/>
      <c r="B45" s="9"/>
      <c r="C45" s="103"/>
      <c r="D45" s="103"/>
      <c r="E45" s="9"/>
      <c r="F45" s="9"/>
      <c r="G45" s="9"/>
      <c r="H45" s="9"/>
      <c r="I45" s="9"/>
      <c r="J45" s="9"/>
      <c r="K45" s="1"/>
      <c r="L45" s="1"/>
      <c r="O45" s="1"/>
      <c r="P45" s="1"/>
      <c r="Q45" s="1"/>
      <c r="S45" s="1"/>
      <c r="T45" s="75"/>
      <c r="U45" s="1"/>
      <c r="V45" s="3"/>
      <c r="W45" s="1"/>
      <c r="X45" s="59"/>
      <c r="Y45" s="1"/>
      <c r="Z45" s="1"/>
    </row>
    <row r="46" spans="1:29" ht="14.4" x14ac:dyDescent="0.3">
      <c r="A46" s="358" t="s">
        <v>454</v>
      </c>
      <c r="B46" s="37"/>
      <c r="C46" s="335"/>
      <c r="D46" s="335"/>
      <c r="E46" s="37"/>
      <c r="F46" s="37"/>
      <c r="G46" s="37"/>
      <c r="H46" s="37"/>
      <c r="I46" s="37"/>
      <c r="J46" s="37"/>
      <c r="T46" s="381"/>
    </row>
    <row r="47" spans="1:29" x14ac:dyDescent="0.25">
      <c r="A47" s="9"/>
      <c r="B47" s="37"/>
      <c r="C47" s="335"/>
      <c r="D47" s="335"/>
      <c r="E47" s="37"/>
      <c r="F47" s="37"/>
      <c r="G47" s="37"/>
      <c r="H47" s="37"/>
      <c r="I47" s="37"/>
      <c r="J47" s="37"/>
      <c r="T47" s="381"/>
    </row>
    <row r="48" spans="1:29" x14ac:dyDescent="0.25">
      <c r="A48" s="9" t="s">
        <v>615</v>
      </c>
      <c r="B48" s="9"/>
      <c r="C48" s="103"/>
      <c r="D48" s="103"/>
      <c r="E48" s="741"/>
      <c r="F48" s="9"/>
      <c r="G48" s="37"/>
      <c r="H48" s="37"/>
      <c r="I48" s="9"/>
      <c r="J48" s="9"/>
      <c r="K48" s="9"/>
      <c r="L48" s="43"/>
      <c r="N48" s="380"/>
      <c r="T48" s="381"/>
      <c r="V48" s="37"/>
      <c r="Y48" s="1"/>
      <c r="Z48" s="1"/>
      <c r="AB48" s="378"/>
    </row>
    <row r="49" spans="1:29" x14ac:dyDescent="0.25">
      <c r="A49" s="376" t="s">
        <v>614</v>
      </c>
      <c r="B49" s="252">
        <v>3</v>
      </c>
      <c r="C49" s="103"/>
      <c r="D49" s="103"/>
      <c r="E49" s="741"/>
      <c r="F49" s="9"/>
      <c r="G49" s="9"/>
      <c r="H49" s="9"/>
      <c r="I49" s="9"/>
      <c r="J49" s="9"/>
      <c r="K49" s="43">
        <v>0</v>
      </c>
      <c r="L49" s="26">
        <f>44/12*K49</f>
        <v>0</v>
      </c>
      <c r="M49" s="151"/>
      <c r="N49" s="379"/>
      <c r="O49" s="1"/>
      <c r="P49" s="174">
        <f>L49</f>
        <v>0</v>
      </c>
      <c r="Q49" s="163">
        <f>O49+P49</f>
        <v>0</v>
      </c>
      <c r="S49" s="1"/>
      <c r="T49" s="75"/>
      <c r="U49" s="1"/>
      <c r="V49" s="9"/>
      <c r="W49" s="1"/>
      <c r="X49" s="59"/>
      <c r="Y49" s="1"/>
      <c r="Z49" s="1"/>
    </row>
    <row r="50" spans="1:29" x14ac:dyDescent="0.25">
      <c r="A50" s="376" t="s">
        <v>613</v>
      </c>
      <c r="B50" s="37"/>
      <c r="C50" s="103">
        <v>0.49399999999999999</v>
      </c>
      <c r="D50" s="103"/>
      <c r="E50" s="55">
        <f>10^3*C50*B49</f>
        <v>1482</v>
      </c>
      <c r="F50" s="9"/>
      <c r="G50" s="43">
        <v>0</v>
      </c>
      <c r="H50" s="43"/>
      <c r="I50" s="9">
        <v>49</v>
      </c>
      <c r="J50" s="9"/>
      <c r="K50" s="37"/>
      <c r="L50" s="26"/>
      <c r="M50" s="163">
        <f>AC50*10^6*X52/(E50*AB50)-V50</f>
        <v>108.16412617309203</v>
      </c>
      <c r="N50" s="364">
        <f>G50+I50-AC50*10^6*L49/(E50*AB50)+M50</f>
        <v>157.16412617309203</v>
      </c>
      <c r="O50" s="174">
        <f>R50*E50*AB50/10^6</f>
        <v>4.3178129280000004</v>
      </c>
      <c r="P50" s="174">
        <f>-I50*E50*AB50/10^6</f>
        <v>-2.4042367440000003</v>
      </c>
      <c r="Q50" s="163">
        <f>O50+P50</f>
        <v>1.9135761840000001</v>
      </c>
      <c r="R50" s="37">
        <f>V50</f>
        <v>88</v>
      </c>
      <c r="S50" s="1"/>
      <c r="T50" s="75"/>
      <c r="U50" s="1"/>
      <c r="V50" s="9">
        <v>88</v>
      </c>
      <c r="AB50" s="484">
        <f>'Crops proc. &amp; prod. DISCOUNTED'!NZ145</f>
        <v>33.108000000000004</v>
      </c>
      <c r="AC50" s="377">
        <v>0.75</v>
      </c>
    </row>
    <row r="51" spans="1:29" x14ac:dyDescent="0.25">
      <c r="A51" s="376" t="s">
        <v>612</v>
      </c>
      <c r="B51" s="9"/>
      <c r="C51" s="9"/>
      <c r="D51" s="9">
        <v>0.56000000000000005</v>
      </c>
      <c r="E51" s="9"/>
      <c r="F51" s="55">
        <f>10^3*D51*B49</f>
        <v>1680</v>
      </c>
      <c r="G51" s="341"/>
      <c r="H51" s="43">
        <v>0</v>
      </c>
      <c r="I51" s="9"/>
      <c r="J51" s="164">
        <f>U51</f>
        <v>0.81444590043210507</v>
      </c>
      <c r="K51" s="9"/>
      <c r="L51" s="43"/>
      <c r="M51" s="174"/>
      <c r="N51" s="353"/>
      <c r="O51" s="174">
        <f>F51*(S51+T51)/10^3</f>
        <v>7.2298418365088848</v>
      </c>
      <c r="P51" s="174">
        <f>(U51-J51)*F51/10^3</f>
        <v>0</v>
      </c>
      <c r="Q51" s="163">
        <f>O51+P51</f>
        <v>7.2298418365088848</v>
      </c>
      <c r="R51" s="1"/>
      <c r="S51" s="341">
        <f>'Summary DISCOUNTED'!$G$90</f>
        <v>3.8521492337733547</v>
      </c>
      <c r="T51" s="375">
        <f>'Summary DISCOUNTED'!$AM$90</f>
        <v>0.45132804986288605</v>
      </c>
      <c r="U51" s="375">
        <f>'Summary DISCOUNTED'!$AQ$90</f>
        <v>0.81444590043210507</v>
      </c>
      <c r="V51" s="3"/>
      <c r="AC51" s="53"/>
    </row>
    <row r="52" spans="1:29" x14ac:dyDescent="0.25">
      <c r="A52" s="376" t="s">
        <v>611</v>
      </c>
      <c r="B52" s="9"/>
      <c r="C52" s="9"/>
      <c r="D52" s="9"/>
      <c r="E52" s="9"/>
      <c r="F52" s="9"/>
      <c r="G52" s="9"/>
      <c r="H52" s="9"/>
      <c r="I52" s="9"/>
      <c r="J52" s="9"/>
      <c r="O52" s="163"/>
      <c r="Q52" s="342">
        <f>Q49+Q50+Q51</f>
        <v>9.1434180205088857</v>
      </c>
      <c r="R52" s="1"/>
      <c r="S52" s="1"/>
      <c r="T52" s="1"/>
      <c r="U52" s="1"/>
      <c r="V52" s="3"/>
      <c r="W52" s="346">
        <v>3.5</v>
      </c>
      <c r="X52" s="163">
        <f>44/12*W52</f>
        <v>12.833333333333332</v>
      </c>
      <c r="Y52" s="339">
        <f>Q52-X52</f>
        <v>-3.6899153128244464</v>
      </c>
      <c r="Z52" s="211">
        <f>10^3*Y52/$E50</f>
        <v>-2.4898213986669679</v>
      </c>
      <c r="AA52" s="338">
        <f>Y52/X52</f>
        <v>-0.28752586853177509</v>
      </c>
      <c r="AB52" s="1"/>
    </row>
    <row r="53" spans="1:29" s="210" customFormat="1" x14ac:dyDescent="0.25">
      <c r="A53" s="345"/>
      <c r="B53" s="59"/>
      <c r="C53" s="59"/>
      <c r="D53" s="59"/>
      <c r="F53" s="59"/>
      <c r="G53" s="59"/>
      <c r="H53" s="59"/>
      <c r="I53" s="66"/>
      <c r="J53" s="79"/>
      <c r="O53" s="163"/>
      <c r="Q53" s="163"/>
      <c r="R53" s="59"/>
      <c r="S53" s="59"/>
      <c r="T53" s="59"/>
      <c r="U53" s="59"/>
      <c r="V53" s="79"/>
      <c r="W53" s="252"/>
      <c r="X53" s="163"/>
      <c r="Y53" s="163"/>
      <c r="Z53" s="163"/>
      <c r="AA53" s="372"/>
      <c r="AB53" s="59"/>
    </row>
    <row r="54" spans="1:29" s="210" customFormat="1" x14ac:dyDescent="0.25">
      <c r="A54" s="345"/>
      <c r="B54" s="59"/>
      <c r="C54" s="59"/>
      <c r="D54" s="59"/>
      <c r="F54" s="59"/>
      <c r="G54" s="59"/>
      <c r="H54" s="59"/>
      <c r="I54" s="66"/>
      <c r="J54" s="79"/>
      <c r="O54" s="163"/>
      <c r="Q54" s="163"/>
      <c r="R54" s="59"/>
      <c r="S54" s="59"/>
      <c r="T54" s="59"/>
      <c r="U54" s="59"/>
      <c r="V54" s="79"/>
      <c r="W54" s="252"/>
      <c r="X54" s="163"/>
      <c r="Y54" s="163"/>
      <c r="Z54" s="163"/>
      <c r="AA54" s="372"/>
      <c r="AB54" s="59"/>
    </row>
    <row r="55" spans="1:29" x14ac:dyDescent="0.25">
      <c r="A55" s="3"/>
      <c r="I55" s="37"/>
    </row>
    <row r="56" spans="1:29" x14ac:dyDescent="0.25">
      <c r="I56" s="37"/>
    </row>
    <row r="57" spans="1:29" x14ac:dyDescent="0.25">
      <c r="I57" s="37"/>
    </row>
    <row r="58" spans="1:29" x14ac:dyDescent="0.25">
      <c r="I58" s="37"/>
    </row>
    <row r="59" spans="1:29" x14ac:dyDescent="0.25">
      <c r="A59" s="3"/>
      <c r="I59" s="37"/>
      <c r="V59" s="173"/>
    </row>
    <row r="60" spans="1:29" x14ac:dyDescent="0.25">
      <c r="I60" s="37"/>
    </row>
    <row r="61" spans="1:29" x14ac:dyDescent="0.25">
      <c r="I61" s="37"/>
    </row>
    <row r="62" spans="1:29" x14ac:dyDescent="0.25">
      <c r="I62" s="37"/>
    </row>
    <row r="63" spans="1:29" x14ac:dyDescent="0.25">
      <c r="I63" s="37"/>
    </row>
    <row r="64" spans="1:29" x14ac:dyDescent="0.25">
      <c r="I64" s="37"/>
    </row>
    <row r="65" spans="9:9" x14ac:dyDescent="0.25">
      <c r="I65" s="37"/>
    </row>
    <row r="66" spans="9:9" x14ac:dyDescent="0.25">
      <c r="I66" s="37"/>
    </row>
    <row r="67" spans="9:9" x14ac:dyDescent="0.25">
      <c r="I67" s="37"/>
    </row>
    <row r="68" spans="9:9" x14ac:dyDescent="0.25">
      <c r="I68" s="37"/>
    </row>
    <row r="69" spans="9:9" x14ac:dyDescent="0.25">
      <c r="I69" s="37"/>
    </row>
    <row r="70" spans="9:9" x14ac:dyDescent="0.25">
      <c r="I70" s="37"/>
    </row>
    <row r="71" spans="9:9" x14ac:dyDescent="0.25">
      <c r="I71" s="37"/>
    </row>
    <row r="72" spans="9:9" x14ac:dyDescent="0.25">
      <c r="I72" s="37"/>
    </row>
    <row r="73" spans="9:9" x14ac:dyDescent="0.25">
      <c r="I73" s="37"/>
    </row>
    <row r="74" spans="9:9" x14ac:dyDescent="0.25">
      <c r="I74" s="37"/>
    </row>
  </sheetData>
  <mergeCells count="7">
    <mergeCell ref="W4:X4"/>
    <mergeCell ref="C4:D4"/>
    <mergeCell ref="E4:F4"/>
    <mergeCell ref="G4:H4"/>
    <mergeCell ref="I4:J4"/>
    <mergeCell ref="K4:L4"/>
    <mergeCell ref="R4:S4"/>
  </mergeCells>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M51"/>
  <sheetViews>
    <sheetView workbookViewId="0">
      <pane xSplit="1" ySplit="4" topLeftCell="B5" activePane="bottomRight" state="frozen"/>
      <selection activeCell="B10" sqref="B10"/>
      <selection pane="topRight" activeCell="B10" sqref="B10"/>
      <selection pane="bottomLeft" activeCell="B10" sqref="B10"/>
      <selection pane="bottomRight" activeCell="B10" sqref="B10"/>
    </sheetView>
  </sheetViews>
  <sheetFormatPr defaultColWidth="9" defaultRowHeight="12" x14ac:dyDescent="0.25"/>
  <cols>
    <col min="1" max="1" width="30.6640625" style="173" customWidth="1"/>
    <col min="2" max="5" width="6.33203125" style="173" customWidth="1"/>
    <col min="6" max="7" width="6.6640625" style="173" customWidth="1"/>
    <col min="8" max="8" width="8.6640625" style="173" customWidth="1"/>
    <col min="9" max="9" width="8" style="173" customWidth="1"/>
    <col min="10" max="10" width="7.44140625" style="173" customWidth="1"/>
    <col min="11" max="11" width="10.5546875" style="173" customWidth="1"/>
    <col min="12" max="14" width="6.88671875" style="173" customWidth="1"/>
    <col min="15" max="15" width="8.5546875" style="173" customWidth="1"/>
    <col min="16" max="16" width="7.33203125" style="173" customWidth="1"/>
    <col min="17" max="17" width="9.6640625" style="173" customWidth="1"/>
    <col min="18" max="18" width="8.33203125" style="173" customWidth="1"/>
    <col min="19" max="20" width="7.6640625" style="173" customWidth="1"/>
    <col min="21" max="21" width="6.33203125" style="173" customWidth="1"/>
    <col min="22" max="24" width="4.5546875" style="173" customWidth="1"/>
    <col min="25" max="25" width="8.109375" style="173" customWidth="1"/>
    <col min="26" max="29" width="8.6640625" style="173" customWidth="1"/>
    <col min="30" max="30" width="6.5546875" style="173" customWidth="1"/>
    <col min="31" max="32" width="6.6640625" style="385" customWidth="1"/>
    <col min="33" max="35" width="9.6640625" style="37" customWidth="1"/>
    <col min="36" max="37" width="9.6640625" style="210" customWidth="1"/>
    <col min="38" max="16384" width="9" style="173"/>
  </cols>
  <sheetData>
    <row r="1" spans="1:39" s="424" customFormat="1" ht="15.6" x14ac:dyDescent="0.3">
      <c r="A1" s="359" t="s">
        <v>649</v>
      </c>
      <c r="F1" s="361"/>
      <c r="R1" s="479"/>
      <c r="S1" s="384"/>
      <c r="T1" s="384"/>
      <c r="W1" s="384"/>
      <c r="X1" s="384"/>
      <c r="Y1" s="408"/>
      <c r="AD1" s="384"/>
      <c r="AE1" s="426"/>
      <c r="AF1" s="426"/>
      <c r="AG1" s="425"/>
      <c r="AH1" s="425"/>
      <c r="AI1" s="425"/>
      <c r="AJ1" s="427"/>
      <c r="AK1" s="427"/>
    </row>
    <row r="2" spans="1:39" s="2" customFormat="1" ht="14.4" x14ac:dyDescent="0.3">
      <c r="B2" s="358" t="s">
        <v>687</v>
      </c>
      <c r="C2" s="389"/>
      <c r="D2" s="389"/>
      <c r="E2" s="389"/>
      <c r="G2" s="388"/>
      <c r="H2" s="388"/>
      <c r="I2" s="388" t="s">
        <v>826</v>
      </c>
      <c r="J2" s="388"/>
      <c r="K2" s="388"/>
      <c r="L2" s="388" t="s">
        <v>686</v>
      </c>
      <c r="M2" s="388"/>
      <c r="N2" s="388"/>
      <c r="O2" s="388"/>
      <c r="P2" s="388"/>
      <c r="Q2" s="388"/>
      <c r="R2" s="2" t="s">
        <v>685</v>
      </c>
      <c r="V2" s="2" t="s">
        <v>684</v>
      </c>
      <c r="Z2" s="2" t="s">
        <v>683</v>
      </c>
      <c r="AD2" s="358" t="s">
        <v>641</v>
      </c>
      <c r="AE2" s="27"/>
      <c r="AF2" s="27"/>
      <c r="AG2" s="358" t="s">
        <v>682</v>
      </c>
      <c r="AH2" s="358"/>
      <c r="AI2" s="358"/>
      <c r="AJ2" s="357"/>
      <c r="AK2" s="357"/>
    </row>
    <row r="3" spans="1:39" s="1" customFormat="1" x14ac:dyDescent="0.25">
      <c r="B3" s="9" t="s">
        <v>583</v>
      </c>
      <c r="C3" s="9"/>
      <c r="D3" s="9"/>
      <c r="E3" s="9"/>
      <c r="F3" s="9" t="s">
        <v>681</v>
      </c>
      <c r="H3" s="9" t="s">
        <v>680</v>
      </c>
      <c r="I3" s="9"/>
      <c r="J3" s="9"/>
      <c r="K3" s="9"/>
      <c r="L3" s="9" t="s">
        <v>679</v>
      </c>
      <c r="M3" s="9"/>
      <c r="N3" s="9" t="s">
        <v>678</v>
      </c>
      <c r="O3" s="9"/>
      <c r="P3" s="9" t="s">
        <v>813</v>
      </c>
      <c r="Q3" s="9"/>
      <c r="R3" s="9" t="s">
        <v>676</v>
      </c>
      <c r="S3" s="9" t="s">
        <v>742</v>
      </c>
      <c r="T3" s="9" t="s">
        <v>680</v>
      </c>
      <c r="U3" s="9" t="s">
        <v>611</v>
      </c>
      <c r="V3" s="9" t="s">
        <v>677</v>
      </c>
      <c r="W3" s="9"/>
      <c r="X3" s="9"/>
      <c r="Z3" s="9" t="s">
        <v>676</v>
      </c>
      <c r="AA3" s="9" t="s">
        <v>742</v>
      </c>
      <c r="AB3" s="9" t="s">
        <v>680</v>
      </c>
      <c r="AC3" s="1" t="s">
        <v>611</v>
      </c>
      <c r="AD3" s="3"/>
      <c r="AE3" s="4"/>
      <c r="AF3" s="4"/>
      <c r="AG3" s="9" t="s">
        <v>675</v>
      </c>
      <c r="AH3" s="9"/>
      <c r="AI3" s="9"/>
      <c r="AJ3" s="66"/>
      <c r="AK3" s="59"/>
    </row>
    <row r="4" spans="1:39" s="150" customFormat="1" ht="84" customHeight="1" x14ac:dyDescent="0.25">
      <c r="B4" s="150" t="s">
        <v>674</v>
      </c>
      <c r="C4" s="150" t="s">
        <v>673</v>
      </c>
      <c r="D4" s="150" t="s">
        <v>672</v>
      </c>
      <c r="E4" s="150" t="s">
        <v>671</v>
      </c>
      <c r="F4" s="4" t="s">
        <v>670</v>
      </c>
      <c r="G4" s="4" t="s">
        <v>669</v>
      </c>
      <c r="H4" s="4" t="s">
        <v>668</v>
      </c>
      <c r="I4" s="4" t="s">
        <v>827</v>
      </c>
      <c r="J4" s="4" t="s">
        <v>828</v>
      </c>
      <c r="K4" s="4" t="s">
        <v>829</v>
      </c>
      <c r="L4" s="4" t="s">
        <v>667</v>
      </c>
      <c r="M4" s="4" t="s">
        <v>666</v>
      </c>
      <c r="N4" s="4" t="s">
        <v>665</v>
      </c>
      <c r="O4" s="4" t="s">
        <v>664</v>
      </c>
      <c r="P4" s="4" t="s">
        <v>815</v>
      </c>
      <c r="Q4" s="60" t="s">
        <v>814</v>
      </c>
      <c r="R4" s="4" t="s">
        <v>663</v>
      </c>
      <c r="S4" s="4" t="s">
        <v>663</v>
      </c>
      <c r="T4" s="4" t="s">
        <v>663</v>
      </c>
      <c r="U4" s="4" t="s">
        <v>662</v>
      </c>
      <c r="V4" s="4" t="s">
        <v>661</v>
      </c>
      <c r="W4" s="4" t="s">
        <v>660</v>
      </c>
      <c r="X4" s="4" t="s">
        <v>659</v>
      </c>
      <c r="Y4" s="4" t="s">
        <v>658</v>
      </c>
      <c r="Z4" s="4" t="s">
        <v>657</v>
      </c>
      <c r="AA4" s="4" t="s">
        <v>946</v>
      </c>
      <c r="AB4" s="4" t="s">
        <v>947</v>
      </c>
      <c r="AC4" s="4" t="s">
        <v>947</v>
      </c>
      <c r="AD4" s="4" t="s">
        <v>624</v>
      </c>
      <c r="AE4" s="5" t="s">
        <v>825</v>
      </c>
      <c r="AG4" s="4" t="s">
        <v>655</v>
      </c>
      <c r="AH4" s="4" t="s">
        <v>654</v>
      </c>
      <c r="AI4" s="4" t="s">
        <v>653</v>
      </c>
      <c r="AJ4" s="60"/>
      <c r="AK4" s="60"/>
    </row>
    <row r="5" spans="1:39" x14ac:dyDescent="0.25">
      <c r="F5" s="37"/>
      <c r="G5" s="37"/>
      <c r="H5" s="37"/>
      <c r="I5" s="37"/>
      <c r="J5" s="37"/>
      <c r="K5" s="37"/>
      <c r="L5" s="37"/>
      <c r="M5" s="37"/>
      <c r="N5" s="37"/>
      <c r="O5" s="37"/>
      <c r="P5" s="37"/>
      <c r="Q5" s="37"/>
    </row>
    <row r="6" spans="1:39" ht="14.4" x14ac:dyDescent="0.3">
      <c r="A6" s="2" t="s">
        <v>652</v>
      </c>
      <c r="F6" s="37"/>
      <c r="G6" s="37"/>
      <c r="H6" s="37"/>
      <c r="I6" s="37"/>
      <c r="J6" s="37"/>
      <c r="K6" s="37"/>
      <c r="L6" s="37"/>
      <c r="M6" s="37"/>
      <c r="N6" s="37"/>
      <c r="O6" s="37"/>
      <c r="P6" s="37"/>
      <c r="Q6" s="37"/>
    </row>
    <row r="7" spans="1:39" x14ac:dyDescent="0.25">
      <c r="AG7" s="55"/>
      <c r="AH7" s="55"/>
    </row>
    <row r="8" spans="1:39" x14ac:dyDescent="0.25">
      <c r="A8" s="1" t="s">
        <v>651</v>
      </c>
      <c r="AG8" s="55"/>
      <c r="AH8" s="55"/>
    </row>
    <row r="9" spans="1:39" x14ac:dyDescent="0.25">
      <c r="A9" s="173" t="s">
        <v>650</v>
      </c>
      <c r="B9" s="9">
        <v>1300</v>
      </c>
      <c r="C9" s="453">
        <v>0.16</v>
      </c>
      <c r="D9" s="387">
        <v>0.75</v>
      </c>
      <c r="E9" s="353">
        <f>B9*C9*D9</f>
        <v>156</v>
      </c>
      <c r="F9" s="252">
        <v>2.8</v>
      </c>
      <c r="G9" s="174">
        <f>44/12*F9</f>
        <v>10.266666666666666</v>
      </c>
      <c r="H9" s="366">
        <v>30</v>
      </c>
      <c r="I9" s="7">
        <v>4</v>
      </c>
      <c r="J9" s="366">
        <v>0</v>
      </c>
      <c r="K9" s="353">
        <f>I9/12*J9</f>
        <v>0</v>
      </c>
      <c r="L9" s="366">
        <v>60</v>
      </c>
      <c r="M9" s="209">
        <v>0.14000000000000001</v>
      </c>
      <c r="N9" s="366">
        <v>75</v>
      </c>
      <c r="O9" s="381">
        <f>(L9/M9)*N9/3.6/20000</f>
        <v>0.4464285714285714</v>
      </c>
      <c r="P9" s="75">
        <v>0.34</v>
      </c>
      <c r="Q9" s="211">
        <f>10^3*P9*O9/10</f>
        <v>15.178571428571427</v>
      </c>
      <c r="R9" s="174">
        <f>10^2*G9/E9/3.6</f>
        <v>1.8281101614434945</v>
      </c>
      <c r="S9" s="212"/>
      <c r="T9" s="163">
        <f>(H9+K9)/3.6</f>
        <v>8.3333333333333339</v>
      </c>
      <c r="U9" s="353">
        <f>R9+T9</f>
        <v>10.161443494776828</v>
      </c>
      <c r="AG9" s="55"/>
      <c r="AH9" s="55"/>
    </row>
    <row r="10" spans="1:39" x14ac:dyDescent="0.25">
      <c r="E10" s="48"/>
      <c r="M10" s="48"/>
      <c r="N10" s="78"/>
      <c r="O10" s="48"/>
      <c r="P10" s="78"/>
      <c r="S10" s="6"/>
      <c r="T10" s="6"/>
    </row>
    <row r="11" spans="1:39" ht="14.4" x14ac:dyDescent="0.3">
      <c r="A11" s="2" t="s">
        <v>649</v>
      </c>
      <c r="E11" s="470"/>
      <c r="AG11" s="26"/>
      <c r="AH11" s="26"/>
    </row>
    <row r="12" spans="1:39" x14ac:dyDescent="0.25">
      <c r="AA12" s="6"/>
      <c r="AC12" s="447"/>
      <c r="AG12" s="26"/>
      <c r="AH12" s="26"/>
    </row>
    <row r="13" spans="1:39" x14ac:dyDescent="0.25">
      <c r="A13" s="1" t="s">
        <v>648</v>
      </c>
      <c r="W13" s="47">
        <f>W14/W22</f>
        <v>0.33333333333333331</v>
      </c>
      <c r="AA13" s="6"/>
      <c r="AC13" s="446"/>
    </row>
    <row r="14" spans="1:39" ht="24" x14ac:dyDescent="0.25">
      <c r="A14" s="150" t="s">
        <v>769</v>
      </c>
      <c r="V14" s="7">
        <v>2</v>
      </c>
      <c r="W14" s="174">
        <f>3.6*V14</f>
        <v>7.2</v>
      </c>
      <c r="Z14" s="174">
        <f>W14*R9/10</f>
        <v>1.316239316239316</v>
      </c>
      <c r="AB14" s="211">
        <f>W14*T9/10+Q9</f>
        <v>21.178571428571427</v>
      </c>
      <c r="AC14" s="339">
        <f t="shared" ref="AC14" si="0">Z14+AB14+AA14</f>
        <v>22.494810744810742</v>
      </c>
    </row>
    <row r="15" spans="1:39" x14ac:dyDescent="0.25">
      <c r="V15" s="174"/>
    </row>
    <row r="16" spans="1:39" s="385" customFormat="1" x14ac:dyDescent="0.25">
      <c r="A16" s="1" t="s">
        <v>647</v>
      </c>
      <c r="B16" s="1"/>
      <c r="C16" s="1"/>
      <c r="D16" s="1"/>
      <c r="E16" s="1"/>
      <c r="F16" s="1"/>
      <c r="G16" s="1"/>
      <c r="H16" s="1"/>
      <c r="I16" s="1"/>
      <c r="J16" s="1"/>
      <c r="K16" s="1"/>
      <c r="L16" s="1"/>
      <c r="M16" s="1"/>
      <c r="N16" s="1"/>
      <c r="O16" s="1"/>
      <c r="P16" s="1"/>
      <c r="Q16" s="1"/>
      <c r="R16" s="1"/>
      <c r="S16" s="1"/>
      <c r="T16" s="1"/>
      <c r="U16" s="1"/>
      <c r="V16" s="7"/>
      <c r="W16" s="1"/>
      <c r="X16" s="1"/>
      <c r="Y16" s="1"/>
      <c r="Z16" s="1"/>
      <c r="AA16" s="1"/>
      <c r="AB16" s="1"/>
      <c r="AC16" s="1"/>
      <c r="AD16" s="173"/>
      <c r="AG16" s="37"/>
      <c r="AH16" s="37"/>
      <c r="AI16" s="37"/>
      <c r="AJ16" s="210"/>
      <c r="AK16" s="210"/>
      <c r="AL16" s="173"/>
      <c r="AM16" s="173"/>
    </row>
    <row r="17" spans="1:39" s="385" customFormat="1" ht="24" x14ac:dyDescent="0.25">
      <c r="A17" s="150" t="s">
        <v>775</v>
      </c>
      <c r="B17" s="173"/>
      <c r="C17" s="173"/>
      <c r="D17" s="173"/>
      <c r="E17" s="173"/>
      <c r="F17" s="173"/>
      <c r="G17" s="173"/>
      <c r="H17" s="173"/>
      <c r="I17" s="173"/>
      <c r="J17" s="173"/>
      <c r="K17" s="173"/>
      <c r="L17" s="173"/>
      <c r="M17" s="173"/>
      <c r="N17" s="173"/>
      <c r="O17" s="173"/>
      <c r="P17" s="173"/>
      <c r="Q17" s="173"/>
      <c r="R17" s="386">
        <f>'Summary DISCOUNTED'!$BD$140</f>
        <v>286.74503590897939</v>
      </c>
      <c r="S17" s="373">
        <f>'Summary DISCOUNTED'!$BT$140</f>
        <v>8.3646172275241142</v>
      </c>
      <c r="T17" s="386">
        <f>'Summary DISCOUNTED'!$BV$140</f>
        <v>27.488264342860891</v>
      </c>
      <c r="U17" s="353">
        <f>R17+T17</f>
        <v>314.23330025184026</v>
      </c>
      <c r="V17" s="7">
        <v>5.5</v>
      </c>
      <c r="W17" s="174">
        <f t="shared" ref="W17:W22" si="1">3.6*V17</f>
        <v>19.8</v>
      </c>
      <c r="X17" s="208">
        <f t="shared" ref="X17:X22" si="2">W17/AD17</f>
        <v>0.59804276911924603</v>
      </c>
      <c r="Y17" s="208">
        <f>X17/X$26</f>
        <v>1.0662075631267365</v>
      </c>
      <c r="Z17" s="353">
        <f t="shared" ref="Z17:Z22" si="3">W17*R17/10</f>
        <v>567.7551710997792</v>
      </c>
      <c r="AA17" s="353">
        <f t="shared" ref="AA17:AA22" si="4">W17*S17/10</f>
        <v>16.561942110497746</v>
      </c>
      <c r="AB17" s="353">
        <f t="shared" ref="AB17:AB22" si="5">W17*T17/10</f>
        <v>54.426763398864566</v>
      </c>
      <c r="AC17" s="254">
        <f t="shared" ref="AC17:AC22" si="6">Z17+AB17+AA17</f>
        <v>638.74387660914147</v>
      </c>
      <c r="AD17" s="483">
        <f>'Crops proc. &amp; prod. DISCOUNTED'!NZ134</f>
        <v>33.108000000000004</v>
      </c>
      <c r="AE17" s="57">
        <f t="shared" ref="AE17:AE22" si="7">AC17/AC$27-1</f>
        <v>2.290289376238301</v>
      </c>
      <c r="AG17" s="69">
        <f>(AC$26-AB17)/Z17</f>
        <v>0.21626088647206193</v>
      </c>
      <c r="AH17" s="69">
        <f t="shared" ref="AH17:AH22" si="8">1-AG17</f>
        <v>0.78373911352793812</v>
      </c>
      <c r="AI17" s="26">
        <f t="shared" ref="AI17:AI22" si="9">1/AG17</f>
        <v>4.6240446726791111</v>
      </c>
      <c r="AJ17" s="372"/>
      <c r="AK17" s="115"/>
      <c r="AL17" s="173"/>
      <c r="AM17" s="173"/>
    </row>
    <row r="18" spans="1:39" s="385" customFormat="1" ht="24" x14ac:dyDescent="0.25">
      <c r="A18" s="150" t="s">
        <v>773</v>
      </c>
      <c r="B18" s="173"/>
      <c r="C18" s="173"/>
      <c r="D18" s="173"/>
      <c r="E18" s="173"/>
      <c r="F18" s="173"/>
      <c r="G18" s="173"/>
      <c r="H18" s="173"/>
      <c r="I18" s="173"/>
      <c r="J18" s="173"/>
      <c r="K18" s="173"/>
      <c r="L18" s="173"/>
      <c r="M18" s="173"/>
      <c r="N18" s="173"/>
      <c r="O18" s="173"/>
      <c r="P18" s="173"/>
      <c r="Q18" s="173"/>
      <c r="R18" s="386">
        <f>'Summary DISCOUNTED'!$BD$141</f>
        <v>191.53791368354015</v>
      </c>
      <c r="S18" s="386">
        <f>'Summary DISCOUNTED'!$BT$141</f>
        <v>62.606152568380544</v>
      </c>
      <c r="T18" s="386">
        <f>'Summary DISCOUNTED'!$BV$141</f>
        <v>54.506155439170442</v>
      </c>
      <c r="U18" s="353">
        <f>R18+T18+S18</f>
        <v>308.65022169109113</v>
      </c>
      <c r="V18" s="7">
        <v>5.5</v>
      </c>
      <c r="W18" s="174">
        <f t="shared" si="1"/>
        <v>19.8</v>
      </c>
      <c r="X18" s="208">
        <f t="shared" si="2"/>
        <v>0.59804276911924603</v>
      </c>
      <c r="Y18" s="208">
        <f>X18/X$26</f>
        <v>1.0662075631267365</v>
      </c>
      <c r="Z18" s="353">
        <f t="shared" si="3"/>
        <v>379.24506909340954</v>
      </c>
      <c r="AA18" s="353">
        <f t="shared" si="4"/>
        <v>123.96018208539348</v>
      </c>
      <c r="AB18" s="353">
        <f t="shared" si="5"/>
        <v>107.92218776955747</v>
      </c>
      <c r="AC18" s="254">
        <f t="shared" si="6"/>
        <v>611.12743894836046</v>
      </c>
      <c r="AD18" s="483">
        <f>'Crops proc. &amp; prod. DISCOUNTED'!NZ139</f>
        <v>33.108000000000004</v>
      </c>
      <c r="AE18" s="57">
        <f t="shared" si="7"/>
        <v>2.1480319319443693</v>
      </c>
      <c r="AG18" s="69">
        <f>(AC$26-AB18)/Z18</f>
        <v>0.18269930943618065</v>
      </c>
      <c r="AH18" s="69">
        <f t="shared" si="8"/>
        <v>0.81730069056381938</v>
      </c>
      <c r="AI18" s="26">
        <f t="shared" si="9"/>
        <v>5.4734744377855113</v>
      </c>
      <c r="AJ18" s="372"/>
      <c r="AK18" s="115"/>
      <c r="AL18" s="173"/>
      <c r="AM18" s="173"/>
    </row>
    <row r="19" spans="1:39" s="385" customFormat="1" ht="24" x14ac:dyDescent="0.25">
      <c r="A19" s="150" t="s">
        <v>774</v>
      </c>
      <c r="B19" s="173"/>
      <c r="C19" s="173"/>
      <c r="D19" s="173"/>
      <c r="E19" s="173"/>
      <c r="F19" s="173"/>
      <c r="G19" s="173"/>
      <c r="H19" s="173"/>
      <c r="I19" s="173"/>
      <c r="J19" s="173"/>
      <c r="K19" s="173"/>
      <c r="L19" s="173"/>
      <c r="M19" s="173"/>
      <c r="N19" s="173"/>
      <c r="O19" s="173"/>
      <c r="P19" s="173"/>
      <c r="Q19" s="173"/>
      <c r="R19" s="386">
        <f>'Summary DISCOUNTED'!$BD$142</f>
        <v>218.22327328875866</v>
      </c>
      <c r="S19" s="386">
        <f>'Summary DISCOUNTED'!$BT$142</f>
        <v>25.567619111068396</v>
      </c>
      <c r="T19" s="386">
        <f>'Summary DISCOUNTED'!$BV$142</f>
        <v>55.085404480732507</v>
      </c>
      <c r="U19" s="353">
        <f>R19+T19</f>
        <v>273.30867776949117</v>
      </c>
      <c r="V19" s="7">
        <v>5.5</v>
      </c>
      <c r="W19" s="174">
        <f>3.6*V19</f>
        <v>19.8</v>
      </c>
      <c r="X19" s="208">
        <f>W19/AD19</f>
        <v>0.59804276911924603</v>
      </c>
      <c r="Y19" s="208">
        <f>X19/X$26</f>
        <v>1.0662075631267365</v>
      </c>
      <c r="Z19" s="353">
        <f>W19*R19/10</f>
        <v>432.08208111174218</v>
      </c>
      <c r="AA19" s="353">
        <f>W19*S19/10</f>
        <v>50.623885839915424</v>
      </c>
      <c r="AB19" s="353">
        <f>W19*T19/10</f>
        <v>109.06910087185038</v>
      </c>
      <c r="AC19" s="254">
        <f>Z19+AB19+AA19</f>
        <v>591.77506782350792</v>
      </c>
      <c r="AD19" s="483">
        <f>'Crops proc. &amp; prod. DISCOUNTED'!NZ145</f>
        <v>33.108000000000004</v>
      </c>
      <c r="AE19" s="57">
        <f t="shared" si="7"/>
        <v>2.0483442426389935</v>
      </c>
      <c r="AG19" s="69">
        <f>(AC$26-AB19)/Z19</f>
        <v>0.15770359870704168</v>
      </c>
      <c r="AH19" s="69">
        <f>1-AG19</f>
        <v>0.84229640129295835</v>
      </c>
      <c r="AI19" s="26">
        <f>1/AG19</f>
        <v>6.3410093884899323</v>
      </c>
      <c r="AJ19" s="372"/>
      <c r="AK19" s="115"/>
      <c r="AL19" s="173"/>
      <c r="AM19" s="173"/>
    </row>
    <row r="20" spans="1:39" s="385" customFormat="1" ht="24" x14ac:dyDescent="0.25">
      <c r="A20" s="4" t="s">
        <v>771</v>
      </c>
      <c r="B20" s="173"/>
      <c r="C20" s="173"/>
      <c r="D20" s="173"/>
      <c r="E20" s="173"/>
      <c r="F20" s="173"/>
      <c r="G20" s="173"/>
      <c r="H20" s="173"/>
      <c r="I20" s="173"/>
      <c r="J20" s="173"/>
      <c r="K20" s="173"/>
      <c r="L20" s="173"/>
      <c r="M20" s="173"/>
      <c r="N20" s="173"/>
      <c r="O20" s="173"/>
      <c r="P20" s="173"/>
      <c r="Q20" s="173"/>
      <c r="R20" s="386">
        <f>'Summary DISCOUNTED'!$BD$133</f>
        <v>122.97429925135467</v>
      </c>
      <c r="S20" s="373">
        <f>'Summary DISCOUNTED'!$BT$133</f>
        <v>8.2204861512169423</v>
      </c>
      <c r="T20" s="386">
        <f>'Summary DISCOUNTED'!$BV$133</f>
        <v>103.69542533216435</v>
      </c>
      <c r="U20" s="353">
        <f>R20+T20</f>
        <v>226.66972458351901</v>
      </c>
      <c r="V20" s="7">
        <v>6</v>
      </c>
      <c r="W20" s="174">
        <f>3.6*V20</f>
        <v>21.6</v>
      </c>
      <c r="X20" s="208">
        <f>W20/AD20</f>
        <v>1.0202153788021917</v>
      </c>
      <c r="Y20" s="208">
        <f>X20/X$25</f>
        <v>1.3831278145452601</v>
      </c>
      <c r="Z20" s="353">
        <f>W20*R20/10</f>
        <v>265.62448638292608</v>
      </c>
      <c r="AA20" s="353">
        <f>W20*S20/10</f>
        <v>17.756250086628597</v>
      </c>
      <c r="AB20" s="353">
        <f>W20*T20/10</f>
        <v>223.98211871747498</v>
      </c>
      <c r="AC20" s="254">
        <f>Z20+AB20+AA20</f>
        <v>507.36285518702965</v>
      </c>
      <c r="AD20" s="81">
        <f>'Crops proc. &amp; prod. DISCOUNTED'!NZ112</f>
        <v>21.172000000000001</v>
      </c>
      <c r="AE20" s="57">
        <f t="shared" si="7"/>
        <v>1.6135211208315541</v>
      </c>
      <c r="AG20" s="69">
        <f>(AC$25-AB20)/Z20</f>
        <v>-4.8685717546506357E-2</v>
      </c>
      <c r="AH20" s="69">
        <f>1-AG20</f>
        <v>1.0486857175465063</v>
      </c>
      <c r="AI20" s="26">
        <f>1/AG20</f>
        <v>-20.53990472759827</v>
      </c>
      <c r="AJ20" s="372"/>
      <c r="AK20" s="115"/>
      <c r="AL20" s="173"/>
      <c r="AM20" s="173"/>
    </row>
    <row r="21" spans="1:39" s="385" customFormat="1" ht="24" x14ac:dyDescent="0.25">
      <c r="A21" s="4" t="s">
        <v>772</v>
      </c>
      <c r="B21" s="173"/>
      <c r="C21" s="173"/>
      <c r="D21" s="173"/>
      <c r="E21" s="173"/>
      <c r="F21" s="173"/>
      <c r="G21" s="173"/>
      <c r="H21" s="173"/>
      <c r="I21" s="173"/>
      <c r="J21" s="173"/>
      <c r="K21" s="173"/>
      <c r="L21" s="173"/>
      <c r="M21" s="173"/>
      <c r="N21" s="173"/>
      <c r="O21" s="173"/>
      <c r="P21" s="173"/>
      <c r="Q21" s="173"/>
      <c r="R21" s="386">
        <f>'Summary DISCOUNTED'!$BD$132</f>
        <v>150.37260742956255</v>
      </c>
      <c r="S21" s="373">
        <f>'Summary DISCOUNTED'!$BT$132</f>
        <v>8.1761294080006444</v>
      </c>
      <c r="T21" s="386">
        <f>'Summary DISCOUNTED'!$BV$132</f>
        <v>71.927551567523409</v>
      </c>
      <c r="U21" s="353">
        <f>R21+T21</f>
        <v>222.30015899708596</v>
      </c>
      <c r="V21" s="7">
        <v>6</v>
      </c>
      <c r="W21" s="174">
        <f t="shared" si="1"/>
        <v>21.6</v>
      </c>
      <c r="X21" s="208">
        <f t="shared" si="2"/>
        <v>1.0202153788021917</v>
      </c>
      <c r="Y21" s="208">
        <f>X21/X$25</f>
        <v>1.3831278145452601</v>
      </c>
      <c r="Z21" s="353">
        <f t="shared" si="3"/>
        <v>324.80483204785514</v>
      </c>
      <c r="AA21" s="353">
        <f t="shared" si="4"/>
        <v>17.660439521281393</v>
      </c>
      <c r="AB21" s="353">
        <f t="shared" si="5"/>
        <v>155.36351138585059</v>
      </c>
      <c r="AC21" s="254">
        <f t="shared" si="6"/>
        <v>497.8287829549871</v>
      </c>
      <c r="AD21" s="81">
        <f>'Crops proc. &amp; prod. DISCOUNTED'!NZ107</f>
        <v>21.172000000000001</v>
      </c>
      <c r="AE21" s="57">
        <f t="shared" si="7"/>
        <v>1.5644093285684182</v>
      </c>
      <c r="AG21" s="69">
        <f>(AC$25-AB21)/Z21</f>
        <v>0.17144599808769118</v>
      </c>
      <c r="AH21" s="69">
        <f t="shared" si="8"/>
        <v>0.82855400191230877</v>
      </c>
      <c r="AI21" s="26">
        <f t="shared" si="9"/>
        <v>5.8327404031240215</v>
      </c>
      <c r="AJ21" s="372"/>
      <c r="AK21" s="115"/>
      <c r="AL21" s="173"/>
      <c r="AM21" s="173"/>
    </row>
    <row r="22" spans="1:39" s="385" customFormat="1" ht="24" x14ac:dyDescent="0.25">
      <c r="A22" s="150" t="s">
        <v>770</v>
      </c>
      <c r="B22" s="173"/>
      <c r="C22" s="173"/>
      <c r="D22" s="173"/>
      <c r="E22" s="173"/>
      <c r="F22" s="173"/>
      <c r="G22" s="173"/>
      <c r="H22" s="173"/>
      <c r="I22" s="173"/>
      <c r="J22" s="173"/>
      <c r="K22" s="173"/>
      <c r="L22" s="173"/>
      <c r="M22" s="173"/>
      <c r="N22" s="173"/>
      <c r="O22" s="173"/>
      <c r="P22" s="173"/>
      <c r="Q22" s="173"/>
      <c r="R22" s="386">
        <f>'Summary DISCOUNTED'!$BD$134</f>
        <v>92.944949464187047</v>
      </c>
      <c r="S22" s="373">
        <f>'Summary DISCOUNTED'!$BT$134</f>
        <v>8.9872341581386461</v>
      </c>
      <c r="T22" s="386">
        <f>'Summary DISCOUNTED'!$BV$134</f>
        <v>19.092991062597342</v>
      </c>
      <c r="U22" s="353">
        <f>R22+T22</f>
        <v>112.03794052678438</v>
      </c>
      <c r="V22" s="7">
        <v>6</v>
      </c>
      <c r="W22" s="174">
        <f t="shared" si="1"/>
        <v>21.6</v>
      </c>
      <c r="X22" s="208">
        <f t="shared" si="2"/>
        <v>1.0202153788021917</v>
      </c>
      <c r="Y22" s="208">
        <f t="shared" ref="Y22" si="10">X22/X$25</f>
        <v>1.3831278145452601</v>
      </c>
      <c r="Z22" s="353">
        <f t="shared" si="3"/>
        <v>200.76109084264402</v>
      </c>
      <c r="AA22" s="353">
        <f t="shared" si="4"/>
        <v>19.412425781579479</v>
      </c>
      <c r="AB22" s="353">
        <f t="shared" si="5"/>
        <v>41.240860695210259</v>
      </c>
      <c r="AC22" s="254">
        <f t="shared" si="6"/>
        <v>261.41437731943375</v>
      </c>
      <c r="AD22" s="81">
        <f>'Crops proc. &amp; prod. DISCOUNTED'!NZ117</f>
        <v>21.172000000000001</v>
      </c>
      <c r="AE22" s="57">
        <f t="shared" si="7"/>
        <v>0.34659443321193906</v>
      </c>
      <c r="AG22" s="69">
        <f>(AC$25-AB22)/Z22</f>
        <v>0.84582694082831866</v>
      </c>
      <c r="AH22" s="69">
        <f t="shared" si="8"/>
        <v>0.15417305917168134</v>
      </c>
      <c r="AI22" s="26">
        <f t="shared" si="9"/>
        <v>1.1822749450622838</v>
      </c>
      <c r="AJ22" s="372"/>
      <c r="AK22" s="115"/>
      <c r="AL22" s="173"/>
      <c r="AM22" s="173"/>
    </row>
    <row r="23" spans="1:39" x14ac:dyDescent="0.25">
      <c r="V23" s="174"/>
      <c r="W23" s="208">
        <f>10/W22</f>
        <v>0.46296296296296291</v>
      </c>
      <c r="X23" s="210"/>
    </row>
    <row r="24" spans="1:39" s="385" customFormat="1" ht="15.6" x14ac:dyDescent="0.3">
      <c r="A24" s="1" t="s">
        <v>646</v>
      </c>
      <c r="B24" s="173"/>
      <c r="C24" s="173"/>
      <c r="D24" s="173"/>
      <c r="E24" s="173"/>
      <c r="F24" s="173"/>
      <c r="G24" s="173"/>
      <c r="H24" s="173"/>
      <c r="I24" s="173"/>
      <c r="J24" s="173"/>
      <c r="K24" s="173"/>
      <c r="L24" s="173"/>
      <c r="M24" s="173"/>
      <c r="N24" s="173"/>
      <c r="O24" s="173"/>
      <c r="P24" s="173"/>
      <c r="Q24" s="173"/>
      <c r="R24" s="479"/>
      <c r="S24" s="173"/>
      <c r="T24" s="173"/>
      <c r="U24" s="173"/>
      <c r="V24" s="174"/>
      <c r="W24" s="163"/>
      <c r="X24" s="210"/>
      <c r="Y24" s="173"/>
      <c r="Z24" s="173"/>
      <c r="AA24" s="173"/>
      <c r="AB24" s="173"/>
      <c r="AC24" s="173"/>
      <c r="AD24" s="479"/>
      <c r="AG24" s="37"/>
      <c r="AH24" s="37"/>
      <c r="AI24" s="37"/>
      <c r="AJ24" s="210"/>
      <c r="AK24" s="210"/>
      <c r="AL24" s="173"/>
      <c r="AM24" s="173"/>
    </row>
    <row r="25" spans="1:39" s="385" customFormat="1" x14ac:dyDescent="0.25">
      <c r="A25" s="37" t="s">
        <v>645</v>
      </c>
      <c r="B25" s="173"/>
      <c r="C25" s="173"/>
      <c r="D25" s="173"/>
      <c r="E25" s="173"/>
      <c r="F25" s="173"/>
      <c r="G25" s="173"/>
      <c r="H25" s="173"/>
      <c r="I25" s="173"/>
      <c r="J25" s="173"/>
      <c r="K25" s="173"/>
      <c r="L25" s="173"/>
      <c r="M25" s="173"/>
      <c r="N25" s="173"/>
      <c r="O25" s="173"/>
      <c r="P25" s="173"/>
      <c r="Q25" s="173"/>
      <c r="R25" s="481">
        <v>72</v>
      </c>
      <c r="S25" s="24"/>
      <c r="T25" s="481">
        <v>15.8</v>
      </c>
      <c r="U25" s="173"/>
      <c r="V25" s="481">
        <v>6.7</v>
      </c>
      <c r="W25" s="174">
        <f t="shared" ref="W25:W26" si="11">3.6*V25</f>
        <v>24.12</v>
      </c>
      <c r="X25" s="208">
        <f>W25/AD25</f>
        <v>0.7376146788990825</v>
      </c>
      <c r="Y25" s="209"/>
      <c r="Z25" s="353">
        <f t="shared" ref="Z25:Z26" si="12">W25*R25/10</f>
        <v>173.66400000000002</v>
      </c>
      <c r="AA25" s="353"/>
      <c r="AB25" s="353">
        <f>W25*T$26/10</f>
        <v>37.386000000000003</v>
      </c>
      <c r="AC25" s="212">
        <f>Z25+AB25+AA25</f>
        <v>211.05</v>
      </c>
      <c r="AD25" s="480">
        <v>32.700000000000003</v>
      </c>
      <c r="AG25" s="37"/>
      <c r="AH25" s="37"/>
      <c r="AI25" s="37"/>
      <c r="AJ25" s="210"/>
      <c r="AK25" s="210"/>
      <c r="AL25" s="173"/>
      <c r="AM25" s="173"/>
    </row>
    <row r="26" spans="1:39" s="385" customFormat="1" x14ac:dyDescent="0.25">
      <c r="A26" s="173" t="s">
        <v>644</v>
      </c>
      <c r="B26" s="173"/>
      <c r="C26" s="173"/>
      <c r="D26" s="173"/>
      <c r="E26" s="173"/>
      <c r="F26" s="173"/>
      <c r="G26" s="173"/>
      <c r="H26" s="173"/>
      <c r="I26" s="173"/>
      <c r="J26" s="173"/>
      <c r="K26" s="173"/>
      <c r="L26" s="173"/>
      <c r="M26" s="173"/>
      <c r="N26" s="173"/>
      <c r="O26" s="173"/>
      <c r="P26" s="173"/>
      <c r="Q26" s="173"/>
      <c r="R26" s="481">
        <v>74</v>
      </c>
      <c r="S26" s="252"/>
      <c r="T26" s="482">
        <v>15.5</v>
      </c>
      <c r="U26" s="173"/>
      <c r="V26" s="481">
        <v>5.5</v>
      </c>
      <c r="W26" s="174">
        <f t="shared" si="11"/>
        <v>19.8</v>
      </c>
      <c r="X26" s="208">
        <f>W26/AD26</f>
        <v>0.56090651558073656</v>
      </c>
      <c r="Y26" s="1"/>
      <c r="Z26" s="353">
        <f t="shared" si="12"/>
        <v>146.52000000000001</v>
      </c>
      <c r="AA26" s="353"/>
      <c r="AB26" s="353">
        <f>W26*T$26/10</f>
        <v>30.690000000000005</v>
      </c>
      <c r="AC26" s="212">
        <f>Z26+AB26+AA26</f>
        <v>177.21</v>
      </c>
      <c r="AD26" s="480">
        <v>35.299999999999997</v>
      </c>
      <c r="AG26" s="37"/>
      <c r="AH26" s="37"/>
      <c r="AI26" s="37"/>
      <c r="AJ26" s="210"/>
      <c r="AK26" s="210"/>
      <c r="AL26" s="173"/>
      <c r="AM26" s="173"/>
    </row>
    <row r="27" spans="1:39" s="385" customFormat="1" x14ac:dyDescent="0.25">
      <c r="A27" s="173" t="s">
        <v>643</v>
      </c>
      <c r="B27" s="173"/>
      <c r="C27" s="173"/>
      <c r="D27" s="173"/>
      <c r="E27" s="173"/>
      <c r="F27" s="173"/>
      <c r="G27" s="173"/>
      <c r="H27" s="173"/>
      <c r="I27" s="173"/>
      <c r="J27" s="173"/>
      <c r="K27" s="173"/>
      <c r="L27" s="173"/>
      <c r="M27" s="173"/>
      <c r="N27" s="173"/>
      <c r="O27" s="173"/>
      <c r="P27" s="173"/>
      <c r="Q27" s="173"/>
      <c r="R27" s="173"/>
      <c r="S27" s="173"/>
      <c r="T27" s="173"/>
      <c r="U27" s="173"/>
      <c r="V27" s="173"/>
      <c r="W27" s="173"/>
      <c r="X27" s="173"/>
      <c r="Y27" s="173"/>
      <c r="Z27" s="353">
        <f>(Z25+Z26)/2</f>
        <v>160.09200000000001</v>
      </c>
      <c r="AA27" s="353"/>
      <c r="AB27" s="353">
        <f>(AB25+AB26)/2</f>
        <v>34.038000000000004</v>
      </c>
      <c r="AC27" s="254">
        <f>Z27+AB27+AA27</f>
        <v>194.13000000000002</v>
      </c>
      <c r="AD27" s="173"/>
      <c r="AG27" s="37"/>
      <c r="AH27" s="37"/>
      <c r="AI27" s="37"/>
      <c r="AJ27" s="210"/>
      <c r="AK27" s="210"/>
      <c r="AL27" s="173"/>
      <c r="AM27" s="173"/>
    </row>
    <row r="31" spans="1:39" s="385" customFormat="1" x14ac:dyDescent="0.25">
      <c r="A31" s="173"/>
      <c r="B31" s="173"/>
      <c r="C31" s="173"/>
      <c r="D31" s="173"/>
      <c r="E31" s="173"/>
      <c r="F31" s="173"/>
      <c r="G31" s="173"/>
      <c r="H31" s="173"/>
      <c r="I31" s="173"/>
      <c r="J31" s="173"/>
      <c r="K31" s="173"/>
      <c r="L31" s="173"/>
      <c r="M31" s="173"/>
      <c r="N31" s="173"/>
      <c r="O31" s="173"/>
      <c r="P31" s="173"/>
      <c r="Q31" s="173"/>
      <c r="R31" s="173"/>
      <c r="S31" s="173"/>
      <c r="T31" s="173"/>
      <c r="U31" s="173"/>
      <c r="V31" s="173"/>
      <c r="W31" s="173"/>
      <c r="X31" s="173"/>
      <c r="Y31" s="173"/>
      <c r="Z31" s="173"/>
      <c r="AA31" s="173"/>
      <c r="AB31" s="173"/>
      <c r="AC31" s="173"/>
      <c r="AD31" s="381"/>
      <c r="AG31" s="37"/>
      <c r="AH31" s="37"/>
      <c r="AI31" s="37"/>
      <c r="AJ31" s="210"/>
      <c r="AK31" s="210"/>
      <c r="AL31" s="173"/>
      <c r="AM31" s="173"/>
    </row>
    <row r="37" spans="1:39" s="385" customFormat="1" x14ac:dyDescent="0.25">
      <c r="A37" s="173"/>
      <c r="B37" s="173"/>
      <c r="C37" s="173"/>
      <c r="D37" s="173"/>
      <c r="E37" s="173"/>
      <c r="F37" s="173"/>
      <c r="G37" s="173"/>
      <c r="H37" s="173"/>
      <c r="I37" s="173"/>
      <c r="J37" s="173"/>
      <c r="K37" s="173"/>
      <c r="L37" s="173"/>
      <c r="M37" s="173"/>
      <c r="N37" s="173"/>
      <c r="O37" s="173"/>
      <c r="P37" s="173"/>
      <c r="Q37" s="173"/>
      <c r="R37" s="173"/>
      <c r="S37" s="173"/>
      <c r="T37" s="173"/>
      <c r="U37" s="173"/>
      <c r="V37" s="173"/>
      <c r="W37" s="173"/>
      <c r="X37" s="173"/>
      <c r="Y37" s="173"/>
      <c r="Z37" s="173"/>
      <c r="AA37" s="173"/>
      <c r="AB37" s="173"/>
      <c r="AC37" s="173"/>
      <c r="AD37" s="174"/>
      <c r="AG37" s="37"/>
      <c r="AH37" s="37"/>
      <c r="AI37" s="37"/>
      <c r="AJ37" s="210"/>
      <c r="AK37" s="210"/>
      <c r="AL37" s="173"/>
      <c r="AM37" s="173"/>
    </row>
    <row r="38" spans="1:39" s="385" customFormat="1" x14ac:dyDescent="0.25">
      <c r="A38" s="173"/>
      <c r="B38" s="173"/>
      <c r="C38" s="173"/>
      <c r="D38" s="173"/>
      <c r="E38" s="173"/>
      <c r="F38" s="173"/>
      <c r="G38" s="173"/>
      <c r="H38" s="173"/>
      <c r="I38" s="173"/>
      <c r="J38" s="173"/>
      <c r="K38" s="173"/>
      <c r="L38" s="173"/>
      <c r="M38" s="173"/>
      <c r="N38" s="173"/>
      <c r="O38" s="173"/>
      <c r="P38" s="173"/>
      <c r="Q38" s="173"/>
      <c r="R38" s="173"/>
      <c r="S38" s="173"/>
      <c r="T38" s="173"/>
      <c r="U38" s="173"/>
      <c r="V38" s="173"/>
      <c r="W38" s="173"/>
      <c r="X38" s="173"/>
      <c r="Y38" s="173"/>
      <c r="Z38" s="173"/>
      <c r="AA38" s="173"/>
      <c r="AB38" s="173"/>
      <c r="AC38" s="173"/>
      <c r="AD38" s="173"/>
      <c r="AG38" s="37"/>
      <c r="AH38" s="37"/>
      <c r="AI38" s="37"/>
      <c r="AJ38" s="210"/>
      <c r="AK38" s="210"/>
      <c r="AL38" s="173"/>
      <c r="AM38" s="173"/>
    </row>
    <row r="39" spans="1:39" s="385" customFormat="1" x14ac:dyDescent="0.25">
      <c r="A39" s="173"/>
      <c r="B39" s="173"/>
      <c r="C39" s="173"/>
      <c r="D39" s="173"/>
      <c r="E39" s="173"/>
      <c r="F39" s="173"/>
      <c r="G39" s="173"/>
      <c r="H39" s="173"/>
      <c r="I39" s="173"/>
      <c r="J39" s="173"/>
      <c r="K39" s="173"/>
      <c r="L39" s="173"/>
      <c r="M39" s="173"/>
      <c r="N39" s="173"/>
      <c r="O39" s="173"/>
      <c r="P39" s="173"/>
      <c r="Q39" s="173"/>
      <c r="R39" s="173"/>
      <c r="S39" s="173"/>
      <c r="T39" s="173"/>
      <c r="U39" s="173"/>
      <c r="V39" s="173"/>
      <c r="W39" s="173"/>
      <c r="X39" s="173"/>
      <c r="Y39" s="173"/>
      <c r="Z39" s="173"/>
      <c r="AA39" s="173"/>
      <c r="AB39" s="173"/>
      <c r="AC39" s="173"/>
      <c r="AD39" s="173"/>
      <c r="AG39" s="37"/>
      <c r="AH39" s="37"/>
      <c r="AI39" s="37"/>
      <c r="AJ39" s="210"/>
      <c r="AK39" s="210"/>
      <c r="AL39" s="173"/>
      <c r="AM39" s="173"/>
    </row>
    <row r="40" spans="1:39" s="385" customFormat="1" x14ac:dyDescent="0.25">
      <c r="A40" s="173"/>
      <c r="B40" s="173"/>
      <c r="C40" s="173"/>
      <c r="D40" s="173"/>
      <c r="E40" s="173"/>
      <c r="F40" s="173"/>
      <c r="G40" s="173"/>
      <c r="H40" s="173"/>
      <c r="I40" s="173"/>
      <c r="J40" s="173"/>
      <c r="K40" s="173"/>
      <c r="L40" s="173"/>
      <c r="M40" s="173"/>
      <c r="N40" s="173"/>
      <c r="O40" s="173"/>
      <c r="P40" s="173"/>
      <c r="Q40" s="173"/>
      <c r="R40" s="173"/>
      <c r="S40" s="173"/>
      <c r="T40" s="173"/>
      <c r="U40" s="173"/>
      <c r="V40" s="173"/>
      <c r="W40" s="173"/>
      <c r="X40" s="173"/>
      <c r="Y40" s="173"/>
      <c r="Z40" s="173"/>
      <c r="AA40" s="173"/>
      <c r="AB40" s="173"/>
      <c r="AC40" s="173"/>
      <c r="AD40" s="173"/>
      <c r="AG40" s="37"/>
      <c r="AH40" s="37"/>
      <c r="AI40" s="37"/>
      <c r="AJ40" s="210"/>
      <c r="AK40" s="210"/>
      <c r="AL40" s="173"/>
      <c r="AM40" s="173"/>
    </row>
    <row r="41" spans="1:39" s="385" customFormat="1" x14ac:dyDescent="0.25">
      <c r="A41" s="173"/>
      <c r="B41" s="173"/>
      <c r="C41" s="173"/>
      <c r="D41" s="173"/>
      <c r="E41" s="173"/>
      <c r="F41" s="173"/>
      <c r="G41" s="173"/>
      <c r="H41" s="173"/>
      <c r="I41" s="173"/>
      <c r="J41" s="173"/>
      <c r="K41" s="173"/>
      <c r="L41" s="173"/>
      <c r="M41" s="173"/>
      <c r="N41" s="173"/>
      <c r="O41" s="173"/>
      <c r="P41" s="173"/>
      <c r="Q41" s="173"/>
      <c r="R41" s="173"/>
      <c r="S41" s="173"/>
      <c r="T41" s="173"/>
      <c r="U41" s="173"/>
      <c r="V41" s="173"/>
      <c r="W41" s="173"/>
      <c r="X41" s="173"/>
      <c r="Y41" s="173"/>
      <c r="Z41" s="173"/>
      <c r="AA41" s="173"/>
      <c r="AB41" s="173"/>
      <c r="AC41" s="173"/>
      <c r="AD41" s="173"/>
      <c r="AG41" s="37"/>
      <c r="AH41" s="37"/>
      <c r="AI41" s="37"/>
      <c r="AJ41" s="210"/>
      <c r="AK41" s="210"/>
      <c r="AL41" s="173"/>
      <c r="AM41" s="173"/>
    </row>
    <row r="42" spans="1:39" s="385" customFormat="1" x14ac:dyDescent="0.25">
      <c r="A42" s="173"/>
      <c r="B42" s="173"/>
      <c r="C42" s="173"/>
      <c r="D42" s="173"/>
      <c r="E42" s="173"/>
      <c r="F42" s="173"/>
      <c r="G42" s="173"/>
      <c r="H42" s="173"/>
      <c r="I42" s="173"/>
      <c r="J42" s="173"/>
      <c r="K42" s="173"/>
      <c r="L42" s="173"/>
      <c r="M42" s="173"/>
      <c r="N42" s="173"/>
      <c r="O42" s="173"/>
      <c r="P42" s="173"/>
      <c r="Q42" s="173"/>
      <c r="R42" s="173"/>
      <c r="S42" s="173"/>
      <c r="T42" s="173"/>
      <c r="U42" s="173"/>
      <c r="V42" s="173"/>
      <c r="W42" s="173"/>
      <c r="X42" s="173"/>
      <c r="Y42" s="173"/>
      <c r="Z42" s="173"/>
      <c r="AA42" s="173"/>
      <c r="AB42" s="173"/>
      <c r="AC42" s="173"/>
      <c r="AD42" s="173"/>
      <c r="AG42" s="37"/>
      <c r="AH42" s="37"/>
      <c r="AI42" s="37"/>
      <c r="AJ42" s="210"/>
      <c r="AK42" s="210"/>
      <c r="AL42" s="173"/>
      <c r="AM42" s="173"/>
    </row>
    <row r="43" spans="1:39" s="385" customFormat="1" x14ac:dyDescent="0.25">
      <c r="A43" s="173"/>
      <c r="B43" s="173"/>
      <c r="C43" s="173"/>
      <c r="D43" s="173"/>
      <c r="E43" s="173"/>
      <c r="F43" s="173"/>
      <c r="G43" s="173"/>
      <c r="H43" s="173"/>
      <c r="I43" s="173"/>
      <c r="J43" s="173"/>
      <c r="K43" s="173"/>
      <c r="L43" s="173"/>
      <c r="M43" s="173"/>
      <c r="N43" s="173"/>
      <c r="O43" s="173"/>
      <c r="P43" s="173"/>
      <c r="Q43" s="173"/>
      <c r="R43" s="173"/>
      <c r="S43" s="173"/>
      <c r="T43" s="173"/>
      <c r="U43" s="173"/>
      <c r="V43" s="173"/>
      <c r="W43" s="173"/>
      <c r="X43" s="173"/>
      <c r="Y43" s="173"/>
      <c r="Z43" s="173"/>
      <c r="AA43" s="173"/>
      <c r="AB43" s="173"/>
      <c r="AC43" s="173"/>
      <c r="AD43" s="173"/>
      <c r="AG43" s="37"/>
      <c r="AH43" s="37"/>
      <c r="AI43" s="37"/>
      <c r="AJ43" s="210"/>
      <c r="AK43" s="210"/>
      <c r="AL43" s="173"/>
      <c r="AM43" s="173"/>
    </row>
    <row r="44" spans="1:39" s="385" customFormat="1" x14ac:dyDescent="0.25">
      <c r="A44" s="173"/>
      <c r="B44" s="173"/>
      <c r="C44" s="173"/>
      <c r="D44" s="173"/>
      <c r="E44" s="173"/>
      <c r="F44" s="173"/>
      <c r="G44" s="173"/>
      <c r="H44" s="173"/>
      <c r="I44" s="173"/>
      <c r="J44" s="173"/>
      <c r="K44" s="173"/>
      <c r="L44" s="173"/>
      <c r="M44" s="173"/>
      <c r="N44" s="173"/>
      <c r="O44" s="173"/>
      <c r="P44" s="173"/>
      <c r="Q44" s="173"/>
      <c r="R44" s="173"/>
      <c r="S44" s="173"/>
      <c r="T44" s="173"/>
      <c r="U44" s="173"/>
      <c r="V44" s="173"/>
      <c r="W44" s="173"/>
      <c r="X44" s="173"/>
      <c r="Y44" s="173"/>
      <c r="Z44" s="173"/>
      <c r="AA44" s="173"/>
      <c r="AB44" s="173"/>
      <c r="AC44" s="173"/>
      <c r="AD44" s="173"/>
      <c r="AG44" s="37"/>
      <c r="AH44" s="37"/>
      <c r="AI44" s="37"/>
      <c r="AJ44" s="210"/>
      <c r="AK44" s="210"/>
      <c r="AL44" s="173"/>
      <c r="AM44" s="173"/>
    </row>
    <row r="45" spans="1:39" s="385" customFormat="1" x14ac:dyDescent="0.25">
      <c r="A45" s="173"/>
      <c r="B45" s="173"/>
      <c r="C45" s="173"/>
      <c r="D45" s="173"/>
      <c r="E45" s="173"/>
      <c r="F45" s="173"/>
      <c r="G45" s="173"/>
      <c r="H45" s="173"/>
      <c r="I45" s="173"/>
      <c r="J45" s="173"/>
      <c r="K45" s="173"/>
      <c r="L45" s="173"/>
      <c r="M45" s="173"/>
      <c r="N45" s="173"/>
      <c r="O45" s="173"/>
      <c r="P45" s="173"/>
      <c r="Q45" s="173"/>
      <c r="R45" s="173"/>
      <c r="S45" s="173"/>
      <c r="T45" s="173"/>
      <c r="U45" s="173"/>
      <c r="V45" s="173"/>
      <c r="W45" s="173"/>
      <c r="X45" s="173"/>
      <c r="Y45" s="173"/>
      <c r="Z45" s="173"/>
      <c r="AA45" s="173"/>
      <c r="AB45" s="173"/>
      <c r="AC45" s="173"/>
      <c r="AD45" s="173"/>
      <c r="AG45" s="37"/>
      <c r="AH45" s="37"/>
      <c r="AI45" s="37"/>
      <c r="AJ45" s="210"/>
      <c r="AK45" s="210"/>
      <c r="AL45" s="173"/>
      <c r="AM45" s="173"/>
    </row>
    <row r="46" spans="1:39" s="385" customFormat="1" x14ac:dyDescent="0.25">
      <c r="A46" s="173"/>
      <c r="B46" s="173"/>
      <c r="C46" s="173"/>
      <c r="D46" s="173"/>
      <c r="E46" s="173"/>
      <c r="F46" s="173"/>
      <c r="G46" s="173"/>
      <c r="H46" s="173"/>
      <c r="I46" s="173"/>
      <c r="J46" s="173"/>
      <c r="K46" s="173"/>
      <c r="L46" s="173"/>
      <c r="M46" s="173"/>
      <c r="N46" s="173"/>
      <c r="O46" s="173"/>
      <c r="P46" s="173"/>
      <c r="Q46" s="173"/>
      <c r="R46" s="173"/>
      <c r="S46" s="173"/>
      <c r="T46" s="173"/>
      <c r="U46" s="173"/>
      <c r="V46" s="173"/>
      <c r="W46" s="173"/>
      <c r="X46" s="173"/>
      <c r="Y46" s="173"/>
      <c r="Z46" s="173"/>
      <c r="AA46" s="173"/>
      <c r="AB46" s="173"/>
      <c r="AC46" s="173"/>
      <c r="AD46" s="174"/>
      <c r="AG46" s="37"/>
      <c r="AH46" s="37"/>
      <c r="AI46" s="37"/>
      <c r="AJ46" s="210"/>
      <c r="AK46" s="210"/>
      <c r="AL46" s="173"/>
      <c r="AM46" s="173"/>
    </row>
    <row r="47" spans="1:39" s="385" customFormat="1" x14ac:dyDescent="0.25">
      <c r="A47" s="173"/>
      <c r="B47" s="173"/>
      <c r="C47" s="173"/>
      <c r="D47" s="173"/>
      <c r="E47" s="173"/>
      <c r="F47" s="173"/>
      <c r="G47" s="173"/>
      <c r="H47" s="173"/>
      <c r="I47" s="173"/>
      <c r="J47" s="173"/>
      <c r="K47" s="173"/>
      <c r="L47" s="173"/>
      <c r="M47" s="173"/>
      <c r="N47" s="173"/>
      <c r="O47" s="173"/>
      <c r="P47" s="173"/>
      <c r="Q47" s="173"/>
      <c r="R47" s="173"/>
      <c r="S47" s="173"/>
      <c r="T47" s="173"/>
      <c r="U47" s="173"/>
      <c r="V47" s="173"/>
      <c r="W47" s="173"/>
      <c r="X47" s="173"/>
      <c r="Y47" s="173"/>
      <c r="Z47" s="173"/>
      <c r="AA47" s="173"/>
      <c r="AB47" s="173"/>
      <c r="AC47" s="173"/>
      <c r="AD47" s="173"/>
      <c r="AG47" s="37"/>
      <c r="AH47" s="37"/>
      <c r="AI47" s="37"/>
      <c r="AJ47" s="210"/>
      <c r="AK47" s="210"/>
      <c r="AL47" s="173"/>
      <c r="AM47" s="173"/>
    </row>
    <row r="48" spans="1:39" s="385" customFormat="1" x14ac:dyDescent="0.25">
      <c r="A48" s="173"/>
      <c r="B48" s="173"/>
      <c r="C48" s="173"/>
      <c r="D48" s="173"/>
      <c r="E48" s="173"/>
      <c r="F48" s="173"/>
      <c r="G48" s="173"/>
      <c r="H48" s="173"/>
      <c r="I48" s="173"/>
      <c r="J48" s="173"/>
      <c r="K48" s="173"/>
      <c r="L48" s="173"/>
      <c r="M48" s="173"/>
      <c r="N48" s="173"/>
      <c r="O48" s="173"/>
      <c r="P48" s="173"/>
      <c r="Q48" s="173"/>
      <c r="R48" s="173"/>
      <c r="S48" s="173"/>
      <c r="T48" s="173"/>
      <c r="U48" s="173"/>
      <c r="V48" s="173"/>
      <c r="W48" s="173"/>
      <c r="X48" s="173"/>
      <c r="Y48" s="173"/>
      <c r="Z48" s="173"/>
      <c r="AA48" s="173"/>
      <c r="AB48" s="173"/>
      <c r="AC48" s="173"/>
      <c r="AD48" s="173"/>
      <c r="AG48" s="37"/>
      <c r="AH48" s="37"/>
      <c r="AI48" s="37"/>
      <c r="AJ48" s="210"/>
      <c r="AK48" s="210"/>
      <c r="AL48" s="173"/>
      <c r="AM48" s="173"/>
    </row>
    <row r="49" spans="1:39" s="385" customFormat="1" x14ac:dyDescent="0.25">
      <c r="A49" s="173"/>
      <c r="B49" s="173"/>
      <c r="C49" s="173"/>
      <c r="D49" s="173"/>
      <c r="E49" s="173"/>
      <c r="F49" s="173"/>
      <c r="G49" s="173"/>
      <c r="H49" s="173"/>
      <c r="I49" s="173"/>
      <c r="J49" s="173"/>
      <c r="K49" s="173"/>
      <c r="L49" s="173"/>
      <c r="M49" s="173"/>
      <c r="N49" s="173"/>
      <c r="O49" s="173"/>
      <c r="P49" s="173"/>
      <c r="Q49" s="173"/>
      <c r="R49" s="173"/>
      <c r="S49" s="173"/>
      <c r="T49" s="173"/>
      <c r="U49" s="173"/>
      <c r="V49" s="173"/>
      <c r="W49" s="173"/>
      <c r="X49" s="173"/>
      <c r="Y49" s="173"/>
      <c r="Z49" s="173"/>
      <c r="AA49" s="173"/>
      <c r="AB49" s="173"/>
      <c r="AC49" s="173"/>
      <c r="AD49" s="173"/>
      <c r="AG49" s="37"/>
      <c r="AH49" s="37"/>
      <c r="AI49" s="37"/>
      <c r="AJ49" s="210"/>
      <c r="AK49" s="210"/>
      <c r="AL49" s="173"/>
      <c r="AM49" s="173"/>
    </row>
    <row r="50" spans="1:39" s="385" customFormat="1" x14ac:dyDescent="0.25">
      <c r="A50" s="173"/>
      <c r="B50" s="173"/>
      <c r="C50" s="173"/>
      <c r="D50" s="173"/>
      <c r="E50" s="173"/>
      <c r="F50" s="173"/>
      <c r="G50" s="173"/>
      <c r="H50" s="173"/>
      <c r="I50" s="173"/>
      <c r="J50" s="173"/>
      <c r="K50" s="173"/>
      <c r="L50" s="173"/>
      <c r="M50" s="173"/>
      <c r="N50" s="173"/>
      <c r="O50" s="173"/>
      <c r="P50" s="173"/>
      <c r="Q50" s="173"/>
      <c r="R50" s="173"/>
      <c r="S50" s="173"/>
      <c r="T50" s="173"/>
      <c r="U50" s="173"/>
      <c r="V50" s="173"/>
      <c r="W50" s="173"/>
      <c r="X50" s="173"/>
      <c r="Y50" s="173"/>
      <c r="Z50" s="173"/>
      <c r="AA50" s="173"/>
      <c r="AB50" s="173"/>
      <c r="AC50" s="173"/>
      <c r="AD50" s="173"/>
      <c r="AG50" s="37"/>
      <c r="AH50" s="37"/>
      <c r="AI50" s="37"/>
      <c r="AJ50" s="210"/>
      <c r="AK50" s="210"/>
      <c r="AL50" s="173"/>
      <c r="AM50" s="173"/>
    </row>
    <row r="51" spans="1:39" s="385" customFormat="1" x14ac:dyDescent="0.25">
      <c r="A51" s="173"/>
      <c r="B51" s="173"/>
      <c r="C51" s="173"/>
      <c r="D51" s="173"/>
      <c r="E51" s="173"/>
      <c r="F51" s="173"/>
      <c r="G51" s="173"/>
      <c r="H51" s="173"/>
      <c r="I51" s="173"/>
      <c r="J51" s="173"/>
      <c r="K51" s="173"/>
      <c r="L51" s="173"/>
      <c r="M51" s="173"/>
      <c r="N51" s="173"/>
      <c r="O51" s="173"/>
      <c r="P51" s="173"/>
      <c r="Q51" s="173"/>
      <c r="R51" s="173"/>
      <c r="S51" s="173"/>
      <c r="T51" s="173"/>
      <c r="U51" s="173"/>
      <c r="V51" s="173"/>
      <c r="W51" s="173"/>
      <c r="X51" s="173"/>
      <c r="Y51" s="173"/>
      <c r="Z51" s="173"/>
      <c r="AA51" s="173"/>
      <c r="AB51" s="173"/>
      <c r="AC51" s="173"/>
      <c r="AD51" s="173"/>
      <c r="AG51" s="37"/>
      <c r="AH51" s="37"/>
      <c r="AI51" s="37"/>
      <c r="AJ51" s="210"/>
      <c r="AK51" s="210"/>
      <c r="AL51" s="173"/>
      <c r="AM51" s="173"/>
    </row>
  </sheetData>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51"/>
  <sheetViews>
    <sheetView workbookViewId="0">
      <pane xSplit="1" ySplit="4" topLeftCell="B5" activePane="bottomRight" state="frozen"/>
      <selection activeCell="B10" sqref="B10"/>
      <selection pane="topRight" activeCell="B10" sqref="B10"/>
      <selection pane="bottomLeft" activeCell="B10" sqref="B10"/>
      <selection pane="bottomRight" activeCell="B10" sqref="B10"/>
    </sheetView>
  </sheetViews>
  <sheetFormatPr defaultColWidth="9" defaultRowHeight="12" x14ac:dyDescent="0.25"/>
  <cols>
    <col min="1" max="1" width="30.6640625" style="173" customWidth="1"/>
    <col min="2" max="5" width="6.33203125" style="173" customWidth="1"/>
    <col min="6" max="7" width="6.6640625" style="173" customWidth="1"/>
    <col min="8" max="8" width="8.6640625" style="173" customWidth="1"/>
    <col min="9" max="9" width="8" style="173" customWidth="1"/>
    <col min="10" max="10" width="7.44140625" style="173" customWidth="1"/>
    <col min="11" max="11" width="10.5546875" style="173" customWidth="1"/>
    <col min="12" max="14" width="6.88671875" style="173" customWidth="1"/>
    <col min="15" max="15" width="8.5546875" style="173" customWidth="1"/>
    <col min="16" max="16" width="7.33203125" style="173" customWidth="1"/>
    <col min="17" max="17" width="9.6640625" style="173" customWidth="1"/>
    <col min="18" max="18" width="8.33203125" style="173" customWidth="1"/>
    <col min="19" max="20" width="7.6640625" style="173" customWidth="1"/>
    <col min="21" max="21" width="6.33203125" style="173" customWidth="1"/>
    <col min="22" max="24" width="4.5546875" style="173" customWidth="1"/>
    <col min="25" max="25" width="8.109375" style="173" customWidth="1"/>
    <col min="26" max="29" width="8.6640625" style="173" customWidth="1"/>
    <col min="30" max="30" width="6.5546875" style="173" customWidth="1"/>
    <col min="31" max="32" width="6.6640625" style="385" customWidth="1"/>
    <col min="33" max="35" width="9.6640625" style="37" customWidth="1"/>
    <col min="36" max="37" width="9.6640625" style="210" customWidth="1"/>
    <col min="38" max="16384" width="9" style="173"/>
  </cols>
  <sheetData>
    <row r="1" spans="1:39" s="424" customFormat="1" ht="15.6" x14ac:dyDescent="0.3">
      <c r="A1" s="359" t="s">
        <v>649</v>
      </c>
      <c r="F1" s="361"/>
      <c r="R1" s="384"/>
      <c r="S1" s="384"/>
      <c r="T1" s="384"/>
      <c r="W1" s="384"/>
      <c r="X1" s="384"/>
      <c r="Y1" s="408"/>
      <c r="AE1" s="426"/>
      <c r="AF1" s="426"/>
      <c r="AG1" s="425"/>
      <c r="AH1" s="425"/>
      <c r="AI1" s="425"/>
      <c r="AJ1" s="427"/>
      <c r="AK1" s="427"/>
    </row>
    <row r="2" spans="1:39" s="2" customFormat="1" ht="14.4" x14ac:dyDescent="0.3">
      <c r="B2" s="358" t="s">
        <v>687</v>
      </c>
      <c r="C2" s="389"/>
      <c r="D2" s="389"/>
      <c r="E2" s="389"/>
      <c r="G2" s="388"/>
      <c r="H2" s="388"/>
      <c r="I2" s="388" t="s">
        <v>826</v>
      </c>
      <c r="J2" s="388"/>
      <c r="K2" s="388"/>
      <c r="L2" s="388" t="s">
        <v>686</v>
      </c>
      <c r="M2" s="388"/>
      <c r="N2" s="388"/>
      <c r="O2" s="388"/>
      <c r="P2" s="388"/>
      <c r="Q2" s="388"/>
      <c r="R2" s="2" t="s">
        <v>685</v>
      </c>
      <c r="V2" s="2" t="s">
        <v>684</v>
      </c>
      <c r="Z2" s="2" t="s">
        <v>683</v>
      </c>
      <c r="AD2" s="358" t="s">
        <v>641</v>
      </c>
      <c r="AE2" s="27"/>
      <c r="AF2" s="27"/>
      <c r="AG2" s="358" t="s">
        <v>682</v>
      </c>
      <c r="AH2" s="358"/>
      <c r="AI2" s="358"/>
      <c r="AJ2" s="357"/>
      <c r="AK2" s="357"/>
    </row>
    <row r="3" spans="1:39" s="1" customFormat="1" x14ac:dyDescent="0.25">
      <c r="B3" s="9" t="s">
        <v>583</v>
      </c>
      <c r="C3" s="9"/>
      <c r="D3" s="9"/>
      <c r="E3" s="9"/>
      <c r="F3" s="9" t="s">
        <v>681</v>
      </c>
      <c r="H3" s="9" t="s">
        <v>680</v>
      </c>
      <c r="I3" s="9"/>
      <c r="J3" s="9"/>
      <c r="K3" s="9"/>
      <c r="L3" s="9" t="s">
        <v>679</v>
      </c>
      <c r="M3" s="9"/>
      <c r="N3" s="9" t="s">
        <v>678</v>
      </c>
      <c r="O3" s="9"/>
      <c r="P3" s="9" t="s">
        <v>813</v>
      </c>
      <c r="Q3" s="9"/>
      <c r="R3" s="9" t="s">
        <v>676</v>
      </c>
      <c r="S3" s="9" t="s">
        <v>742</v>
      </c>
      <c r="T3" s="9" t="s">
        <v>680</v>
      </c>
      <c r="U3" s="9" t="s">
        <v>611</v>
      </c>
      <c r="V3" s="9" t="s">
        <v>677</v>
      </c>
      <c r="W3" s="9"/>
      <c r="X3" s="9"/>
      <c r="Z3" s="9" t="s">
        <v>676</v>
      </c>
      <c r="AA3" s="9" t="s">
        <v>742</v>
      </c>
      <c r="AB3" s="9" t="s">
        <v>680</v>
      </c>
      <c r="AC3" s="1" t="s">
        <v>611</v>
      </c>
      <c r="AD3" s="3"/>
      <c r="AE3" s="4"/>
      <c r="AF3" s="4"/>
      <c r="AG3" s="9" t="s">
        <v>675</v>
      </c>
      <c r="AH3" s="9"/>
      <c r="AI3" s="9"/>
      <c r="AJ3" s="66"/>
      <c r="AK3" s="59"/>
    </row>
    <row r="4" spans="1:39" s="150" customFormat="1" ht="84" customHeight="1" x14ac:dyDescent="0.25">
      <c r="B4" s="150" t="s">
        <v>674</v>
      </c>
      <c r="C4" s="150" t="s">
        <v>673</v>
      </c>
      <c r="D4" s="150" t="s">
        <v>672</v>
      </c>
      <c r="E4" s="150" t="s">
        <v>671</v>
      </c>
      <c r="F4" s="4" t="s">
        <v>670</v>
      </c>
      <c r="G4" s="4" t="s">
        <v>669</v>
      </c>
      <c r="H4" s="4" t="s">
        <v>668</v>
      </c>
      <c r="I4" s="4" t="s">
        <v>827</v>
      </c>
      <c r="J4" s="4" t="s">
        <v>828</v>
      </c>
      <c r="K4" s="4" t="s">
        <v>829</v>
      </c>
      <c r="L4" s="4" t="s">
        <v>667</v>
      </c>
      <c r="M4" s="4" t="s">
        <v>666</v>
      </c>
      <c r="N4" s="4" t="s">
        <v>665</v>
      </c>
      <c r="O4" s="4" t="s">
        <v>664</v>
      </c>
      <c r="P4" s="4" t="s">
        <v>815</v>
      </c>
      <c r="Q4" s="60" t="s">
        <v>814</v>
      </c>
      <c r="R4" s="4" t="s">
        <v>663</v>
      </c>
      <c r="S4" s="4" t="s">
        <v>663</v>
      </c>
      <c r="T4" s="4" t="s">
        <v>663</v>
      </c>
      <c r="U4" s="4" t="s">
        <v>662</v>
      </c>
      <c r="V4" s="4" t="s">
        <v>661</v>
      </c>
      <c r="W4" s="4" t="s">
        <v>660</v>
      </c>
      <c r="X4" s="4" t="s">
        <v>659</v>
      </c>
      <c r="Y4" s="4" t="s">
        <v>658</v>
      </c>
      <c r="Z4" s="4" t="s">
        <v>657</v>
      </c>
      <c r="AA4" s="4" t="s">
        <v>657</v>
      </c>
      <c r="AB4" s="4" t="s">
        <v>657</v>
      </c>
      <c r="AC4" s="4" t="s">
        <v>656</v>
      </c>
      <c r="AD4" s="4" t="s">
        <v>624</v>
      </c>
      <c r="AE4" s="5" t="s">
        <v>825</v>
      </c>
      <c r="AG4" s="4" t="s">
        <v>655</v>
      </c>
      <c r="AH4" s="4" t="s">
        <v>654</v>
      </c>
      <c r="AI4" s="4" t="s">
        <v>653</v>
      </c>
      <c r="AJ4" s="60"/>
      <c r="AK4" s="60"/>
    </row>
    <row r="5" spans="1:39" x14ac:dyDescent="0.25">
      <c r="F5" s="37"/>
      <c r="G5" s="37"/>
      <c r="H5" s="37"/>
      <c r="I5" s="37"/>
      <c r="J5" s="37"/>
      <c r="K5" s="37"/>
      <c r="L5" s="37"/>
      <c r="M5" s="37"/>
      <c r="N5" s="37"/>
      <c r="O5" s="37"/>
      <c r="P5" s="37"/>
      <c r="Q5" s="37"/>
    </row>
    <row r="6" spans="1:39" ht="14.4" x14ac:dyDescent="0.3">
      <c r="A6" s="2" t="s">
        <v>652</v>
      </c>
      <c r="F6" s="37"/>
      <c r="G6" s="37"/>
      <c r="H6" s="37"/>
      <c r="I6" s="37"/>
      <c r="J6" s="37"/>
      <c r="K6" s="37"/>
      <c r="L6" s="37"/>
      <c r="M6" s="37"/>
      <c r="N6" s="37"/>
      <c r="O6" s="37"/>
      <c r="P6" s="37"/>
      <c r="Q6" s="37"/>
    </row>
    <row r="7" spans="1:39" x14ac:dyDescent="0.25">
      <c r="AG7" s="55"/>
      <c r="AH7" s="55"/>
    </row>
    <row r="8" spans="1:39" x14ac:dyDescent="0.25">
      <c r="A8" s="1" t="s">
        <v>651</v>
      </c>
      <c r="AG8" s="55"/>
      <c r="AH8" s="55"/>
    </row>
    <row r="9" spans="1:39" x14ac:dyDescent="0.25">
      <c r="A9" s="173" t="s">
        <v>650</v>
      </c>
      <c r="B9" s="9">
        <v>1300</v>
      </c>
      <c r="C9" s="453">
        <v>0.16</v>
      </c>
      <c r="D9" s="387">
        <v>0.75</v>
      </c>
      <c r="E9" s="353">
        <f>B9*C9*D9</f>
        <v>156</v>
      </c>
      <c r="F9" s="252">
        <v>2.8</v>
      </c>
      <c r="G9" s="174">
        <f>44/12*F9</f>
        <v>10.266666666666666</v>
      </c>
      <c r="H9" s="366">
        <v>30</v>
      </c>
      <c r="I9" s="7">
        <v>4</v>
      </c>
      <c r="J9" s="366">
        <v>0</v>
      </c>
      <c r="K9" s="353">
        <f>I9/12*J9</f>
        <v>0</v>
      </c>
      <c r="L9" s="366">
        <v>60</v>
      </c>
      <c r="M9" s="209">
        <v>0.14000000000000001</v>
      </c>
      <c r="N9" s="366">
        <v>75</v>
      </c>
      <c r="O9" s="381">
        <f>(L9/M9)*N9/3.6/20000</f>
        <v>0.4464285714285714</v>
      </c>
      <c r="P9" s="381">
        <f>H9/10^3</f>
        <v>0.03</v>
      </c>
      <c r="Q9" s="211">
        <f>10^3*P9*O9/10</f>
        <v>1.3392857142857142</v>
      </c>
      <c r="R9" s="174">
        <f>10^2*G9/E9/3.6</f>
        <v>1.8281101614434945</v>
      </c>
      <c r="S9" s="212"/>
      <c r="T9" s="163">
        <f>(H9+K9)/3.6</f>
        <v>8.3333333333333339</v>
      </c>
      <c r="U9" s="353">
        <f>R9+T9</f>
        <v>10.161443494776828</v>
      </c>
      <c r="AG9" s="55"/>
      <c r="AH9" s="55"/>
    </row>
    <row r="10" spans="1:39" x14ac:dyDescent="0.25">
      <c r="S10" s="6"/>
      <c r="T10" s="6"/>
    </row>
    <row r="11" spans="1:39" ht="14.4" x14ac:dyDescent="0.3">
      <c r="A11" s="2" t="s">
        <v>649</v>
      </c>
      <c r="AG11" s="26"/>
      <c r="AH11" s="26"/>
    </row>
    <row r="12" spans="1:39" x14ac:dyDescent="0.25">
      <c r="AC12" s="447"/>
      <c r="AG12" s="26"/>
      <c r="AH12" s="26"/>
    </row>
    <row r="13" spans="1:39" x14ac:dyDescent="0.25">
      <c r="A13" s="1" t="s">
        <v>648</v>
      </c>
      <c r="AC13" s="446"/>
    </row>
    <row r="14" spans="1:39" ht="24" x14ac:dyDescent="0.25">
      <c r="A14" s="150" t="s">
        <v>769</v>
      </c>
      <c r="V14" s="7">
        <v>2</v>
      </c>
      <c r="W14" s="174">
        <f>3.6*V14</f>
        <v>7.2</v>
      </c>
      <c r="Z14" s="174">
        <f>W14*R9/10</f>
        <v>1.316239316239316</v>
      </c>
      <c r="AB14" s="211">
        <f>W14*T9/10+Q9</f>
        <v>7.3392857142857153</v>
      </c>
      <c r="AC14" s="339">
        <f t="shared" ref="AC14" si="0">Z14+AB14+AA14</f>
        <v>8.6555250305250304</v>
      </c>
    </row>
    <row r="15" spans="1:39" x14ac:dyDescent="0.25">
      <c r="V15" s="174"/>
    </row>
    <row r="16" spans="1:39" s="385" customFormat="1" x14ac:dyDescent="0.25">
      <c r="A16" s="1" t="s">
        <v>647</v>
      </c>
      <c r="B16" s="1"/>
      <c r="C16" s="1"/>
      <c r="D16" s="1"/>
      <c r="E16" s="1"/>
      <c r="F16" s="1"/>
      <c r="G16" s="1"/>
      <c r="H16" s="1"/>
      <c r="I16" s="1"/>
      <c r="J16" s="1"/>
      <c r="K16" s="1"/>
      <c r="L16" s="1"/>
      <c r="M16" s="1"/>
      <c r="N16" s="1"/>
      <c r="O16" s="1"/>
      <c r="P16" s="1"/>
      <c r="Q16" s="1"/>
      <c r="R16" s="1"/>
      <c r="S16" s="1"/>
      <c r="T16" s="1"/>
      <c r="U16" s="1"/>
      <c r="V16" s="7"/>
      <c r="W16" s="1"/>
      <c r="X16" s="1"/>
      <c r="Y16" s="1"/>
      <c r="Z16" s="1"/>
      <c r="AA16" s="1"/>
      <c r="AB16" s="1"/>
      <c r="AC16" s="1"/>
      <c r="AD16" s="173"/>
      <c r="AG16" s="37"/>
      <c r="AH16" s="37"/>
      <c r="AI16" s="37"/>
      <c r="AJ16" s="210"/>
      <c r="AK16" s="210"/>
      <c r="AL16" s="173"/>
      <c r="AM16" s="173"/>
    </row>
    <row r="17" spans="1:39" s="385" customFormat="1" ht="24" x14ac:dyDescent="0.25">
      <c r="A17" s="150" t="s">
        <v>775</v>
      </c>
      <c r="B17" s="173"/>
      <c r="C17" s="173"/>
      <c r="D17" s="173"/>
      <c r="E17" s="173"/>
      <c r="F17" s="173"/>
      <c r="G17" s="173"/>
      <c r="H17" s="173"/>
      <c r="I17" s="173"/>
      <c r="J17" s="173"/>
      <c r="K17" s="173"/>
      <c r="L17" s="173"/>
      <c r="M17" s="173"/>
      <c r="N17" s="173"/>
      <c r="O17" s="173"/>
      <c r="P17" s="173"/>
      <c r="Q17" s="173"/>
      <c r="R17" s="386">
        <f>'Summary DISCOUNTED'!$BD$140</f>
        <v>286.74503590897939</v>
      </c>
      <c r="S17" s="373">
        <f>'Summary DISCOUNTED'!$BT$140</f>
        <v>8.3646172275241142</v>
      </c>
      <c r="T17" s="386">
        <f>'Summary DISCOUNTED'!$BV$140</f>
        <v>27.488264342860891</v>
      </c>
      <c r="U17" s="353">
        <f>R17+T17</f>
        <v>314.23330025184026</v>
      </c>
      <c r="V17" s="7">
        <v>5.5</v>
      </c>
      <c r="W17" s="174">
        <f t="shared" ref="W17:W22" si="1">3.6*V17</f>
        <v>19.8</v>
      </c>
      <c r="X17" s="208">
        <f t="shared" ref="X17:X22" si="2">W17/AD17</f>
        <v>0.59804276911924603</v>
      </c>
      <c r="Y17" s="208">
        <f>X17/X$26</f>
        <v>1.0662075631267365</v>
      </c>
      <c r="Z17" s="353">
        <f t="shared" ref="Z17:Z22" si="3">W17*R17/10</f>
        <v>567.7551710997792</v>
      </c>
      <c r="AA17" s="353">
        <f t="shared" ref="AA17:AA22" si="4">W17*S17/10</f>
        <v>16.561942110497746</v>
      </c>
      <c r="AB17" s="353">
        <f t="shared" ref="AB17:AB22" si="5">W17*T17/10</f>
        <v>54.426763398864566</v>
      </c>
      <c r="AC17" s="254">
        <f t="shared" ref="AC17:AC22" si="6">Z17+AB17+AA17</f>
        <v>638.74387660914147</v>
      </c>
      <c r="AD17" s="483">
        <f>'Crops proc. &amp; prod. DISCOUNTED'!NZ134</f>
        <v>33.108000000000004</v>
      </c>
      <c r="AE17" s="57">
        <f t="shared" ref="AE17:AE21" si="7">AC17/AC$27-1</f>
        <v>2.290289376238301</v>
      </c>
      <c r="AG17" s="69">
        <f>(AC$26-AB17)/Z17</f>
        <v>0.21626088647206193</v>
      </c>
      <c r="AH17" s="69">
        <f t="shared" ref="AH17:AH22" si="8">1-AG17</f>
        <v>0.78373911352793812</v>
      </c>
      <c r="AI17" s="26">
        <f t="shared" ref="AI17:AI22" si="9">1/AG17</f>
        <v>4.6240446726791111</v>
      </c>
      <c r="AJ17" s="372"/>
      <c r="AK17" s="115"/>
      <c r="AL17" s="173"/>
      <c r="AM17" s="173"/>
    </row>
    <row r="18" spans="1:39" s="385" customFormat="1" ht="24" x14ac:dyDescent="0.25">
      <c r="A18" s="150" t="s">
        <v>774</v>
      </c>
      <c r="B18" s="173"/>
      <c r="C18" s="173"/>
      <c r="D18" s="173"/>
      <c r="E18" s="173"/>
      <c r="F18" s="173"/>
      <c r="G18" s="173"/>
      <c r="H18" s="173"/>
      <c r="I18" s="173"/>
      <c r="J18" s="173"/>
      <c r="K18" s="173"/>
      <c r="L18" s="173"/>
      <c r="M18" s="173"/>
      <c r="N18" s="173"/>
      <c r="O18" s="173"/>
      <c r="P18" s="173"/>
      <c r="Q18" s="173"/>
      <c r="R18" s="386">
        <f>'Summary DISCOUNTED'!$BD$142</f>
        <v>218.22327328875866</v>
      </c>
      <c r="S18" s="386">
        <f>'Summary DISCOUNTED'!$BT$142</f>
        <v>25.567619111068396</v>
      </c>
      <c r="T18" s="386">
        <f>'Summary DISCOUNTED'!$BV$142</f>
        <v>55.085404480732507</v>
      </c>
      <c r="U18" s="353">
        <f>R18+T18</f>
        <v>273.30867776949117</v>
      </c>
      <c r="V18" s="7">
        <v>5.5</v>
      </c>
      <c r="W18" s="174">
        <f t="shared" si="1"/>
        <v>19.8</v>
      </c>
      <c r="X18" s="208">
        <f t="shared" si="2"/>
        <v>0.59804276911924603</v>
      </c>
      <c r="Y18" s="208">
        <f t="shared" ref="Y18:Y19" si="10">X18/X$26</f>
        <v>1.0662075631267365</v>
      </c>
      <c r="Z18" s="353">
        <f t="shared" si="3"/>
        <v>432.08208111174218</v>
      </c>
      <c r="AA18" s="353">
        <f t="shared" si="4"/>
        <v>50.623885839915424</v>
      </c>
      <c r="AB18" s="353">
        <f t="shared" si="5"/>
        <v>109.06910087185038</v>
      </c>
      <c r="AC18" s="254">
        <f t="shared" si="6"/>
        <v>591.77506782350792</v>
      </c>
      <c r="AD18" s="483">
        <f>'Crops proc. &amp; prod. DISCOUNTED'!NZ145</f>
        <v>33.108000000000004</v>
      </c>
      <c r="AE18" s="57">
        <f t="shared" si="7"/>
        <v>2.0483442426389935</v>
      </c>
      <c r="AG18" s="69">
        <f t="shared" ref="AG18:AG19" si="11">(AC$26-AB18)/Z18</f>
        <v>0.15770359870704168</v>
      </c>
      <c r="AH18" s="69">
        <f t="shared" si="8"/>
        <v>0.84229640129295835</v>
      </c>
      <c r="AI18" s="26">
        <f t="shared" si="9"/>
        <v>6.3410093884899323</v>
      </c>
      <c r="AJ18" s="372"/>
      <c r="AK18" s="115"/>
      <c r="AL18" s="173"/>
      <c r="AM18" s="173"/>
    </row>
    <row r="19" spans="1:39" s="385" customFormat="1" ht="24" x14ac:dyDescent="0.25">
      <c r="A19" s="150" t="s">
        <v>773</v>
      </c>
      <c r="B19" s="173"/>
      <c r="C19" s="173"/>
      <c r="D19" s="173"/>
      <c r="E19" s="173"/>
      <c r="F19" s="173"/>
      <c r="G19" s="173"/>
      <c r="H19" s="173"/>
      <c r="I19" s="173"/>
      <c r="J19" s="173"/>
      <c r="K19" s="173"/>
      <c r="L19" s="173"/>
      <c r="M19" s="173"/>
      <c r="N19" s="173"/>
      <c r="O19" s="173"/>
      <c r="P19" s="173"/>
      <c r="Q19" s="173"/>
      <c r="R19" s="386">
        <f>'Summary DISCOUNTED'!$BD$141</f>
        <v>191.53791368354015</v>
      </c>
      <c r="S19" s="386">
        <f>'Summary DISCOUNTED'!$BT$141</f>
        <v>62.606152568380544</v>
      </c>
      <c r="T19" s="386">
        <f>'Summary DISCOUNTED'!$BV$141</f>
        <v>54.506155439170442</v>
      </c>
      <c r="U19" s="353">
        <f>R19+T19+S19</f>
        <v>308.65022169109113</v>
      </c>
      <c r="V19" s="7">
        <v>5.5</v>
      </c>
      <c r="W19" s="174">
        <f t="shared" si="1"/>
        <v>19.8</v>
      </c>
      <c r="X19" s="208">
        <f t="shared" si="2"/>
        <v>0.59804276911924603</v>
      </c>
      <c r="Y19" s="208">
        <f t="shared" si="10"/>
        <v>1.0662075631267365</v>
      </c>
      <c r="Z19" s="353">
        <f t="shared" si="3"/>
        <v>379.24506909340954</v>
      </c>
      <c r="AA19" s="353">
        <f t="shared" si="4"/>
        <v>123.96018208539348</v>
      </c>
      <c r="AB19" s="353">
        <f t="shared" si="5"/>
        <v>107.92218776955747</v>
      </c>
      <c r="AC19" s="254">
        <f t="shared" si="6"/>
        <v>611.12743894836046</v>
      </c>
      <c r="AD19" s="483">
        <f>'Crops proc. &amp; prod. DISCOUNTED'!NZ139</f>
        <v>33.108000000000004</v>
      </c>
      <c r="AE19" s="57">
        <f t="shared" si="7"/>
        <v>2.1480319319443693</v>
      </c>
      <c r="AG19" s="69">
        <f t="shared" si="11"/>
        <v>0.18269930943618065</v>
      </c>
      <c r="AH19" s="69">
        <f t="shared" si="8"/>
        <v>0.81730069056381938</v>
      </c>
      <c r="AI19" s="26">
        <f t="shared" si="9"/>
        <v>5.4734744377855113</v>
      </c>
      <c r="AJ19" s="372"/>
      <c r="AK19" s="115"/>
      <c r="AL19" s="173"/>
      <c r="AM19" s="173"/>
    </row>
    <row r="20" spans="1:39" s="385" customFormat="1" ht="24" x14ac:dyDescent="0.25">
      <c r="A20" s="4" t="s">
        <v>772</v>
      </c>
      <c r="B20" s="173"/>
      <c r="C20" s="173"/>
      <c r="D20" s="173"/>
      <c r="E20" s="173"/>
      <c r="F20" s="173"/>
      <c r="G20" s="173"/>
      <c r="H20" s="173"/>
      <c r="I20" s="173"/>
      <c r="J20" s="173"/>
      <c r="K20" s="173"/>
      <c r="L20" s="173"/>
      <c r="M20" s="173"/>
      <c r="N20" s="173"/>
      <c r="O20" s="173"/>
      <c r="P20" s="173"/>
      <c r="Q20" s="173"/>
      <c r="R20" s="386">
        <f>'Summary DISCOUNTED'!$BD$132</f>
        <v>150.37260742956255</v>
      </c>
      <c r="S20" s="373">
        <f>'Summary DISCOUNTED'!$BT$132</f>
        <v>8.1761294080006444</v>
      </c>
      <c r="T20" s="386">
        <f>'Summary DISCOUNTED'!$BV$132</f>
        <v>71.927551567523409</v>
      </c>
      <c r="U20" s="353">
        <f>R20+T20</f>
        <v>222.30015899708596</v>
      </c>
      <c r="V20" s="7">
        <v>6</v>
      </c>
      <c r="W20" s="174">
        <f t="shared" si="1"/>
        <v>21.6</v>
      </c>
      <c r="X20" s="208">
        <f t="shared" si="2"/>
        <v>1.0202153788021917</v>
      </c>
      <c r="Y20" s="208">
        <f>X20/X$25</f>
        <v>1.3831278145452601</v>
      </c>
      <c r="Z20" s="353">
        <f t="shared" si="3"/>
        <v>324.80483204785514</v>
      </c>
      <c r="AA20" s="353">
        <f t="shared" si="4"/>
        <v>17.660439521281393</v>
      </c>
      <c r="AB20" s="353">
        <f t="shared" si="5"/>
        <v>155.36351138585059</v>
      </c>
      <c r="AC20" s="254">
        <f t="shared" si="6"/>
        <v>497.8287829549871</v>
      </c>
      <c r="AD20" s="81">
        <f>'Crops proc. &amp; prod. DISCOUNTED'!NZ107</f>
        <v>21.172000000000001</v>
      </c>
      <c r="AE20" s="57">
        <f t="shared" si="7"/>
        <v>1.5644093285684182</v>
      </c>
      <c r="AG20" s="69">
        <f>(AC$25-AB20)/Z20</f>
        <v>0.17144599808769118</v>
      </c>
      <c r="AH20" s="69">
        <f t="shared" si="8"/>
        <v>0.82855400191230877</v>
      </c>
      <c r="AI20" s="26">
        <f t="shared" si="9"/>
        <v>5.8327404031240215</v>
      </c>
      <c r="AJ20" s="372"/>
      <c r="AK20" s="115"/>
      <c r="AL20" s="173"/>
      <c r="AM20" s="173"/>
    </row>
    <row r="21" spans="1:39" s="385" customFormat="1" ht="24" x14ac:dyDescent="0.25">
      <c r="A21" s="4" t="s">
        <v>771</v>
      </c>
      <c r="B21" s="173"/>
      <c r="C21" s="173"/>
      <c r="D21" s="173"/>
      <c r="E21" s="173"/>
      <c r="F21" s="173"/>
      <c r="G21" s="173"/>
      <c r="H21" s="173"/>
      <c r="I21" s="173"/>
      <c r="J21" s="173"/>
      <c r="K21" s="173"/>
      <c r="L21" s="173"/>
      <c r="M21" s="173"/>
      <c r="N21" s="173"/>
      <c r="O21" s="173"/>
      <c r="P21" s="173"/>
      <c r="Q21" s="173"/>
      <c r="R21" s="386">
        <f>'Summary DISCOUNTED'!$BD$133</f>
        <v>122.97429925135467</v>
      </c>
      <c r="S21" s="373">
        <f>'Summary DISCOUNTED'!$BT$133</f>
        <v>8.2204861512169423</v>
      </c>
      <c r="T21" s="386">
        <f>'Summary DISCOUNTED'!$BV$133</f>
        <v>103.69542533216435</v>
      </c>
      <c r="U21" s="353">
        <f>R21+T21</f>
        <v>226.66972458351901</v>
      </c>
      <c r="V21" s="7">
        <v>6</v>
      </c>
      <c r="W21" s="174">
        <f t="shared" si="1"/>
        <v>21.6</v>
      </c>
      <c r="X21" s="208">
        <f t="shared" si="2"/>
        <v>1.0202153788021917</v>
      </c>
      <c r="Y21" s="208">
        <f t="shared" ref="Y21:Y22" si="12">X21/X$25</f>
        <v>1.3831278145452601</v>
      </c>
      <c r="Z21" s="353">
        <f t="shared" si="3"/>
        <v>265.62448638292608</v>
      </c>
      <c r="AA21" s="353">
        <f t="shared" si="4"/>
        <v>17.756250086628597</v>
      </c>
      <c r="AB21" s="353">
        <f t="shared" si="5"/>
        <v>223.98211871747498</v>
      </c>
      <c r="AC21" s="254">
        <f t="shared" si="6"/>
        <v>507.36285518702965</v>
      </c>
      <c r="AD21" s="81">
        <f>'Crops proc. &amp; prod. DISCOUNTED'!NZ112</f>
        <v>21.172000000000001</v>
      </c>
      <c r="AE21" s="57">
        <f t="shared" si="7"/>
        <v>1.6135211208315541</v>
      </c>
      <c r="AG21" s="69">
        <f>(AC$25-AB21)/Z21</f>
        <v>-4.8685717546506357E-2</v>
      </c>
      <c r="AH21" s="69">
        <f t="shared" si="8"/>
        <v>1.0486857175465063</v>
      </c>
      <c r="AI21" s="26">
        <f t="shared" si="9"/>
        <v>-20.53990472759827</v>
      </c>
      <c r="AJ21" s="372"/>
      <c r="AK21" s="115"/>
      <c r="AL21" s="173"/>
      <c r="AM21" s="173"/>
    </row>
    <row r="22" spans="1:39" s="385" customFormat="1" ht="24" x14ac:dyDescent="0.25">
      <c r="A22" s="150" t="s">
        <v>770</v>
      </c>
      <c r="B22" s="173"/>
      <c r="C22" s="173"/>
      <c r="D22" s="173"/>
      <c r="E22" s="173"/>
      <c r="F22" s="173"/>
      <c r="G22" s="173"/>
      <c r="H22" s="173"/>
      <c r="I22" s="173"/>
      <c r="J22" s="173"/>
      <c r="K22" s="173"/>
      <c r="L22" s="173"/>
      <c r="M22" s="173"/>
      <c r="N22" s="173"/>
      <c r="O22" s="173"/>
      <c r="P22" s="173"/>
      <c r="Q22" s="173"/>
      <c r="R22" s="386">
        <f>'Summary DISCOUNTED'!$BD$134</f>
        <v>92.944949464187047</v>
      </c>
      <c r="S22" s="373">
        <f>'Summary DISCOUNTED'!$BT$134</f>
        <v>8.9872341581386461</v>
      </c>
      <c r="T22" s="386">
        <f>'Summary DISCOUNTED'!$BV$134</f>
        <v>19.092991062597342</v>
      </c>
      <c r="U22" s="353">
        <f>R22+T22</f>
        <v>112.03794052678438</v>
      </c>
      <c r="V22" s="7">
        <v>6</v>
      </c>
      <c r="W22" s="174">
        <f t="shared" si="1"/>
        <v>21.6</v>
      </c>
      <c r="X22" s="208">
        <f t="shared" si="2"/>
        <v>1.0202153788021917</v>
      </c>
      <c r="Y22" s="208">
        <f t="shared" si="12"/>
        <v>1.3831278145452601</v>
      </c>
      <c r="Z22" s="353">
        <f t="shared" si="3"/>
        <v>200.76109084264402</v>
      </c>
      <c r="AA22" s="353">
        <f t="shared" si="4"/>
        <v>19.412425781579479</v>
      </c>
      <c r="AB22" s="353">
        <f t="shared" si="5"/>
        <v>41.240860695210259</v>
      </c>
      <c r="AC22" s="254">
        <f t="shared" si="6"/>
        <v>261.41437731943375</v>
      </c>
      <c r="AD22" s="81">
        <f>'Crops proc. &amp; prod. DISCOUNTED'!NZ117</f>
        <v>21.172000000000001</v>
      </c>
      <c r="AE22" s="57">
        <f>AC22/AC$27-1</f>
        <v>0.34659443321193906</v>
      </c>
      <c r="AG22" s="69">
        <f>(AC$25-AB22)/Z22</f>
        <v>0.84582694082831866</v>
      </c>
      <c r="AH22" s="69">
        <f t="shared" si="8"/>
        <v>0.15417305917168134</v>
      </c>
      <c r="AI22" s="26">
        <f t="shared" si="9"/>
        <v>1.1822749450622838</v>
      </c>
      <c r="AJ22" s="372"/>
      <c r="AK22" s="115"/>
      <c r="AL22" s="173"/>
      <c r="AM22" s="173"/>
    </row>
    <row r="23" spans="1:39" x14ac:dyDescent="0.25">
      <c r="V23" s="174"/>
      <c r="W23" s="208">
        <f>10/W22</f>
        <v>0.46296296296296291</v>
      </c>
      <c r="X23" s="210"/>
    </row>
    <row r="24" spans="1:39" s="385" customFormat="1" x14ac:dyDescent="0.25">
      <c r="A24" s="1" t="s">
        <v>646</v>
      </c>
      <c r="B24" s="173"/>
      <c r="C24" s="173"/>
      <c r="D24" s="173"/>
      <c r="E24" s="173"/>
      <c r="F24" s="173"/>
      <c r="G24" s="173"/>
      <c r="H24" s="173"/>
      <c r="I24" s="173"/>
      <c r="J24" s="173"/>
      <c r="K24" s="173"/>
      <c r="L24" s="173"/>
      <c r="M24" s="173"/>
      <c r="N24" s="173"/>
      <c r="O24" s="173"/>
      <c r="P24" s="173"/>
      <c r="Q24" s="173"/>
      <c r="R24" s="173"/>
      <c r="S24" s="173"/>
      <c r="T24" s="173"/>
      <c r="U24" s="173"/>
      <c r="V24" s="174"/>
      <c r="W24" s="163"/>
      <c r="X24" s="210"/>
      <c r="Y24" s="173"/>
      <c r="Z24" s="173"/>
      <c r="AA24" s="173"/>
      <c r="AB24" s="173"/>
      <c r="AC24" s="173"/>
      <c r="AD24" s="210"/>
      <c r="AG24" s="37"/>
      <c r="AH24" s="37"/>
      <c r="AI24" s="37"/>
      <c r="AJ24" s="210"/>
      <c r="AK24" s="210"/>
      <c r="AL24" s="173"/>
      <c r="AM24" s="173"/>
    </row>
    <row r="25" spans="1:39" s="385" customFormat="1" x14ac:dyDescent="0.25">
      <c r="A25" s="37" t="s">
        <v>645</v>
      </c>
      <c r="B25" s="173"/>
      <c r="C25" s="173"/>
      <c r="D25" s="173"/>
      <c r="E25" s="173"/>
      <c r="F25" s="173"/>
      <c r="G25" s="173"/>
      <c r="H25" s="173"/>
      <c r="I25" s="173"/>
      <c r="J25" s="173"/>
      <c r="K25" s="173"/>
      <c r="L25" s="173"/>
      <c r="M25" s="173"/>
      <c r="N25" s="173"/>
      <c r="O25" s="173"/>
      <c r="P25" s="173"/>
      <c r="Q25" s="173"/>
      <c r="R25" s="481">
        <v>72</v>
      </c>
      <c r="S25" s="24"/>
      <c r="T25" s="481">
        <v>15.8</v>
      </c>
      <c r="U25" s="173"/>
      <c r="V25" s="481">
        <v>6.7</v>
      </c>
      <c r="W25" s="174">
        <f t="shared" ref="W25:W26" si="13">3.6*V25</f>
        <v>24.12</v>
      </c>
      <c r="X25" s="208">
        <f>W25/AD25</f>
        <v>0.7376146788990825</v>
      </c>
      <c r="Y25" s="209"/>
      <c r="Z25" s="353">
        <f t="shared" ref="Z25:Z26" si="14">W25*R25/10</f>
        <v>173.66400000000002</v>
      </c>
      <c r="AA25" s="353"/>
      <c r="AB25" s="353">
        <f>W25*T$26/10</f>
        <v>37.386000000000003</v>
      </c>
      <c r="AC25" s="212">
        <f>Z25+AB25+AA25</f>
        <v>211.05</v>
      </c>
      <c r="AD25" s="480">
        <v>32.700000000000003</v>
      </c>
      <c r="AG25" s="37"/>
      <c r="AH25" s="37"/>
      <c r="AI25" s="37"/>
      <c r="AJ25" s="210"/>
      <c r="AK25" s="210"/>
      <c r="AL25" s="173"/>
      <c r="AM25" s="173"/>
    </row>
    <row r="26" spans="1:39" s="385" customFormat="1" x14ac:dyDescent="0.25">
      <c r="A26" s="173" t="s">
        <v>644</v>
      </c>
      <c r="B26" s="173"/>
      <c r="C26" s="173"/>
      <c r="D26" s="173"/>
      <c r="E26" s="173"/>
      <c r="F26" s="173"/>
      <c r="G26" s="173"/>
      <c r="H26" s="173"/>
      <c r="I26" s="173"/>
      <c r="J26" s="173"/>
      <c r="K26" s="173"/>
      <c r="L26" s="173"/>
      <c r="M26" s="173"/>
      <c r="N26" s="173"/>
      <c r="O26" s="173"/>
      <c r="P26" s="173"/>
      <c r="Q26" s="173"/>
      <c r="R26" s="481">
        <v>74</v>
      </c>
      <c r="S26" s="252"/>
      <c r="T26" s="482">
        <v>15.5</v>
      </c>
      <c r="U26" s="173"/>
      <c r="V26" s="481">
        <v>5.5</v>
      </c>
      <c r="W26" s="174">
        <f t="shared" si="13"/>
        <v>19.8</v>
      </c>
      <c r="X26" s="208">
        <f>W26/AD26</f>
        <v>0.56090651558073656</v>
      </c>
      <c r="Y26" s="1"/>
      <c r="Z26" s="353">
        <f t="shared" si="14"/>
        <v>146.52000000000001</v>
      </c>
      <c r="AA26" s="353"/>
      <c r="AB26" s="353">
        <f>W26*T$26/10</f>
        <v>30.690000000000005</v>
      </c>
      <c r="AC26" s="212">
        <f>Z26+AB26+AA26</f>
        <v>177.21</v>
      </c>
      <c r="AD26" s="480">
        <v>35.299999999999997</v>
      </c>
      <c r="AG26" s="37"/>
      <c r="AH26" s="37"/>
      <c r="AI26" s="37"/>
      <c r="AJ26" s="210"/>
      <c r="AK26" s="210"/>
      <c r="AL26" s="173"/>
      <c r="AM26" s="173"/>
    </row>
    <row r="27" spans="1:39" s="385" customFormat="1" x14ac:dyDescent="0.25">
      <c r="A27" s="173" t="s">
        <v>643</v>
      </c>
      <c r="B27" s="173"/>
      <c r="C27" s="173"/>
      <c r="D27" s="173"/>
      <c r="E27" s="173"/>
      <c r="F27" s="173"/>
      <c r="G27" s="173"/>
      <c r="H27" s="173"/>
      <c r="I27" s="173"/>
      <c r="J27" s="173"/>
      <c r="K27" s="173"/>
      <c r="L27" s="173"/>
      <c r="M27" s="173"/>
      <c r="N27" s="173"/>
      <c r="O27" s="173"/>
      <c r="P27" s="173"/>
      <c r="Q27" s="173"/>
      <c r="R27" s="173"/>
      <c r="S27" s="173"/>
      <c r="T27" s="173"/>
      <c r="U27" s="173"/>
      <c r="V27" s="173"/>
      <c r="W27" s="173"/>
      <c r="X27" s="173"/>
      <c r="Y27" s="173"/>
      <c r="Z27" s="353">
        <f>(Z25+Z26)/2</f>
        <v>160.09200000000001</v>
      </c>
      <c r="AA27" s="353"/>
      <c r="AB27" s="353">
        <f>(AB25+AB26)/2</f>
        <v>34.038000000000004</v>
      </c>
      <c r="AC27" s="254">
        <f>Z27+AB27+AA27</f>
        <v>194.13000000000002</v>
      </c>
      <c r="AD27" s="173"/>
      <c r="AG27" s="37"/>
      <c r="AH27" s="37"/>
      <c r="AI27" s="37"/>
      <c r="AJ27" s="210"/>
      <c r="AK27" s="210"/>
      <c r="AL27" s="173"/>
      <c r="AM27" s="173"/>
    </row>
    <row r="31" spans="1:39" s="385" customFormat="1" x14ac:dyDescent="0.25">
      <c r="A31" s="173"/>
      <c r="B31" s="173"/>
      <c r="C31" s="173"/>
      <c r="D31" s="173"/>
      <c r="E31" s="173"/>
      <c r="F31" s="173"/>
      <c r="G31" s="173"/>
      <c r="H31" s="173"/>
      <c r="I31" s="173"/>
      <c r="J31" s="173"/>
      <c r="K31" s="173"/>
      <c r="L31" s="173"/>
      <c r="M31" s="173"/>
      <c r="N31" s="173"/>
      <c r="O31" s="173"/>
      <c r="P31" s="173"/>
      <c r="Q31" s="173"/>
      <c r="R31" s="173"/>
      <c r="S31" s="173"/>
      <c r="T31" s="173"/>
      <c r="U31" s="173"/>
      <c r="V31" s="173"/>
      <c r="W31" s="173"/>
      <c r="X31" s="173"/>
      <c r="Y31" s="173"/>
      <c r="Z31" s="173"/>
      <c r="AA31" s="173"/>
      <c r="AB31" s="173"/>
      <c r="AC31" s="173"/>
      <c r="AD31" s="381"/>
      <c r="AG31" s="37"/>
      <c r="AH31" s="37"/>
      <c r="AI31" s="37"/>
      <c r="AJ31" s="210"/>
      <c r="AK31" s="210"/>
      <c r="AL31" s="173"/>
      <c r="AM31" s="173"/>
    </row>
    <row r="37" spans="1:39" s="385" customFormat="1" x14ac:dyDescent="0.25">
      <c r="A37" s="173"/>
      <c r="B37" s="173"/>
      <c r="C37" s="173"/>
      <c r="D37" s="173"/>
      <c r="E37" s="173"/>
      <c r="F37" s="173"/>
      <c r="G37" s="173"/>
      <c r="H37" s="173"/>
      <c r="I37" s="173"/>
      <c r="J37" s="173"/>
      <c r="K37" s="173"/>
      <c r="L37" s="173"/>
      <c r="M37" s="173"/>
      <c r="N37" s="173"/>
      <c r="O37" s="173"/>
      <c r="P37" s="173"/>
      <c r="Q37" s="173"/>
      <c r="R37" s="173"/>
      <c r="S37" s="173"/>
      <c r="T37" s="173"/>
      <c r="U37" s="173"/>
      <c r="V37" s="173"/>
      <c r="W37" s="173"/>
      <c r="X37" s="173"/>
      <c r="Y37" s="173"/>
      <c r="Z37" s="173"/>
      <c r="AA37" s="173"/>
      <c r="AB37" s="173"/>
      <c r="AC37" s="173"/>
      <c r="AD37" s="174"/>
      <c r="AG37" s="37"/>
      <c r="AH37" s="37"/>
      <c r="AI37" s="37"/>
      <c r="AJ37" s="210"/>
      <c r="AK37" s="210"/>
      <c r="AL37" s="173"/>
      <c r="AM37" s="173"/>
    </row>
    <row r="38" spans="1:39" s="385" customFormat="1" x14ac:dyDescent="0.25">
      <c r="A38" s="173"/>
      <c r="B38" s="173"/>
      <c r="C38" s="173"/>
      <c r="D38" s="173"/>
      <c r="E38" s="173"/>
      <c r="F38" s="173"/>
      <c r="G38" s="173"/>
      <c r="H38" s="173"/>
      <c r="I38" s="173"/>
      <c r="J38" s="173"/>
      <c r="K38" s="173"/>
      <c r="L38" s="173"/>
      <c r="M38" s="173"/>
      <c r="N38" s="173"/>
      <c r="O38" s="173"/>
      <c r="P38" s="173"/>
      <c r="Q38" s="173"/>
      <c r="R38" s="173"/>
      <c r="S38" s="173"/>
      <c r="T38" s="173"/>
      <c r="U38" s="173"/>
      <c r="V38" s="173"/>
      <c r="W38" s="173"/>
      <c r="X38" s="173"/>
      <c r="Y38" s="173"/>
      <c r="Z38" s="173"/>
      <c r="AA38" s="173"/>
      <c r="AB38" s="173"/>
      <c r="AC38" s="173"/>
      <c r="AD38" s="173"/>
      <c r="AG38" s="37"/>
      <c r="AH38" s="37"/>
      <c r="AI38" s="37"/>
      <c r="AJ38" s="210"/>
      <c r="AK38" s="210"/>
      <c r="AL38" s="173"/>
      <c r="AM38" s="173"/>
    </row>
    <row r="39" spans="1:39" s="385" customFormat="1" x14ac:dyDescent="0.25">
      <c r="A39" s="173"/>
      <c r="B39" s="173"/>
      <c r="C39" s="173"/>
      <c r="D39" s="173"/>
      <c r="E39" s="173"/>
      <c r="F39" s="173"/>
      <c r="G39" s="173"/>
      <c r="H39" s="173"/>
      <c r="I39" s="173"/>
      <c r="J39" s="173"/>
      <c r="K39" s="173"/>
      <c r="L39" s="173"/>
      <c r="M39" s="173"/>
      <c r="N39" s="173"/>
      <c r="O39" s="173"/>
      <c r="P39" s="173"/>
      <c r="Q39" s="173"/>
      <c r="R39" s="173"/>
      <c r="S39" s="173"/>
      <c r="T39" s="173"/>
      <c r="U39" s="173"/>
      <c r="V39" s="173"/>
      <c r="W39" s="173"/>
      <c r="X39" s="173"/>
      <c r="Y39" s="173"/>
      <c r="Z39" s="173"/>
      <c r="AA39" s="173"/>
      <c r="AB39" s="173"/>
      <c r="AC39" s="173"/>
      <c r="AD39" s="173"/>
      <c r="AG39" s="37"/>
      <c r="AH39" s="37"/>
      <c r="AI39" s="37"/>
      <c r="AJ39" s="210"/>
      <c r="AK39" s="210"/>
      <c r="AL39" s="173"/>
      <c r="AM39" s="173"/>
    </row>
    <row r="40" spans="1:39" s="385" customFormat="1" x14ac:dyDescent="0.25">
      <c r="A40" s="173"/>
      <c r="B40" s="173"/>
      <c r="C40" s="173"/>
      <c r="D40" s="173"/>
      <c r="E40" s="173"/>
      <c r="F40" s="173"/>
      <c r="G40" s="173"/>
      <c r="H40" s="173"/>
      <c r="I40" s="173"/>
      <c r="J40" s="173"/>
      <c r="K40" s="173"/>
      <c r="L40" s="173"/>
      <c r="M40" s="173"/>
      <c r="N40" s="173"/>
      <c r="O40" s="173"/>
      <c r="P40" s="173"/>
      <c r="Q40" s="173"/>
      <c r="R40" s="173"/>
      <c r="S40" s="173"/>
      <c r="T40" s="173"/>
      <c r="U40" s="173"/>
      <c r="V40" s="173"/>
      <c r="W40" s="173"/>
      <c r="X40" s="173"/>
      <c r="Y40" s="173"/>
      <c r="Z40" s="173"/>
      <c r="AA40" s="173"/>
      <c r="AB40" s="173"/>
      <c r="AC40" s="173"/>
      <c r="AD40" s="173"/>
      <c r="AG40" s="37"/>
      <c r="AH40" s="37"/>
      <c r="AI40" s="37"/>
      <c r="AJ40" s="210"/>
      <c r="AK40" s="210"/>
      <c r="AL40" s="173"/>
      <c r="AM40" s="173"/>
    </row>
    <row r="41" spans="1:39" s="385" customFormat="1" x14ac:dyDescent="0.25">
      <c r="A41" s="173"/>
      <c r="B41" s="173"/>
      <c r="C41" s="173"/>
      <c r="D41" s="173"/>
      <c r="E41" s="173"/>
      <c r="F41" s="173"/>
      <c r="G41" s="173"/>
      <c r="H41" s="173"/>
      <c r="I41" s="173"/>
      <c r="J41" s="173"/>
      <c r="K41" s="173"/>
      <c r="L41" s="173"/>
      <c r="M41" s="173"/>
      <c r="N41" s="173"/>
      <c r="O41" s="173"/>
      <c r="P41" s="173"/>
      <c r="Q41" s="173"/>
      <c r="R41" s="173"/>
      <c r="S41" s="173"/>
      <c r="T41" s="173"/>
      <c r="U41" s="173"/>
      <c r="V41" s="173"/>
      <c r="W41" s="173"/>
      <c r="X41" s="173"/>
      <c r="Y41" s="173"/>
      <c r="Z41" s="173"/>
      <c r="AA41" s="173"/>
      <c r="AB41" s="173"/>
      <c r="AC41" s="173"/>
      <c r="AD41" s="173"/>
      <c r="AG41" s="37"/>
      <c r="AH41" s="37"/>
      <c r="AI41" s="37"/>
      <c r="AJ41" s="210"/>
      <c r="AK41" s="210"/>
      <c r="AL41" s="173"/>
      <c r="AM41" s="173"/>
    </row>
    <row r="42" spans="1:39" s="385" customFormat="1" x14ac:dyDescent="0.25">
      <c r="A42" s="173"/>
      <c r="B42" s="173"/>
      <c r="C42" s="173"/>
      <c r="D42" s="173"/>
      <c r="E42" s="173"/>
      <c r="F42" s="173"/>
      <c r="G42" s="173"/>
      <c r="H42" s="173"/>
      <c r="I42" s="173"/>
      <c r="J42" s="173"/>
      <c r="K42" s="173"/>
      <c r="L42" s="173"/>
      <c r="M42" s="173"/>
      <c r="N42" s="173"/>
      <c r="O42" s="173"/>
      <c r="P42" s="173"/>
      <c r="Q42" s="173"/>
      <c r="R42" s="173"/>
      <c r="S42" s="173"/>
      <c r="T42" s="173"/>
      <c r="U42" s="173"/>
      <c r="V42" s="173"/>
      <c r="W42" s="173"/>
      <c r="X42" s="173"/>
      <c r="Y42" s="173"/>
      <c r="Z42" s="173"/>
      <c r="AA42" s="173"/>
      <c r="AB42" s="173"/>
      <c r="AC42" s="173"/>
      <c r="AD42" s="173"/>
      <c r="AG42" s="37"/>
      <c r="AH42" s="37"/>
      <c r="AI42" s="37"/>
      <c r="AJ42" s="210"/>
      <c r="AK42" s="210"/>
      <c r="AL42" s="173"/>
      <c r="AM42" s="173"/>
    </row>
    <row r="43" spans="1:39" s="385" customFormat="1" x14ac:dyDescent="0.25">
      <c r="A43" s="173"/>
      <c r="B43" s="173"/>
      <c r="C43" s="173"/>
      <c r="D43" s="173"/>
      <c r="E43" s="173"/>
      <c r="F43" s="173"/>
      <c r="G43" s="173"/>
      <c r="H43" s="173"/>
      <c r="I43" s="173"/>
      <c r="J43" s="173"/>
      <c r="K43" s="173"/>
      <c r="L43" s="173"/>
      <c r="M43" s="173"/>
      <c r="N43" s="173"/>
      <c r="O43" s="173"/>
      <c r="P43" s="173"/>
      <c r="Q43" s="173"/>
      <c r="R43" s="173"/>
      <c r="S43" s="173"/>
      <c r="T43" s="173"/>
      <c r="U43" s="173"/>
      <c r="V43" s="173"/>
      <c r="W43" s="173"/>
      <c r="X43" s="173"/>
      <c r="Y43" s="173"/>
      <c r="Z43" s="173"/>
      <c r="AA43" s="173"/>
      <c r="AB43" s="173"/>
      <c r="AC43" s="173"/>
      <c r="AD43" s="173"/>
      <c r="AG43" s="37"/>
      <c r="AH43" s="37"/>
      <c r="AI43" s="37"/>
      <c r="AJ43" s="210"/>
      <c r="AK43" s="210"/>
      <c r="AL43" s="173"/>
      <c r="AM43" s="173"/>
    </row>
    <row r="44" spans="1:39" s="385" customFormat="1" x14ac:dyDescent="0.25">
      <c r="A44" s="173"/>
      <c r="B44" s="173"/>
      <c r="C44" s="173"/>
      <c r="D44" s="173"/>
      <c r="E44" s="173"/>
      <c r="F44" s="173"/>
      <c r="G44" s="173"/>
      <c r="H44" s="173"/>
      <c r="I44" s="173"/>
      <c r="J44" s="173"/>
      <c r="K44" s="173"/>
      <c r="L44" s="173"/>
      <c r="M44" s="173"/>
      <c r="N44" s="173"/>
      <c r="O44" s="173"/>
      <c r="P44" s="173"/>
      <c r="Q44" s="173"/>
      <c r="R44" s="173"/>
      <c r="S44" s="173"/>
      <c r="T44" s="173"/>
      <c r="U44" s="173"/>
      <c r="V44" s="173"/>
      <c r="W44" s="173"/>
      <c r="X44" s="173"/>
      <c r="Y44" s="173"/>
      <c r="Z44" s="173"/>
      <c r="AA44" s="173"/>
      <c r="AB44" s="173"/>
      <c r="AC44" s="173"/>
      <c r="AD44" s="173"/>
      <c r="AG44" s="37"/>
      <c r="AH44" s="37"/>
      <c r="AI44" s="37"/>
      <c r="AJ44" s="210"/>
      <c r="AK44" s="210"/>
      <c r="AL44" s="173"/>
      <c r="AM44" s="173"/>
    </row>
    <row r="45" spans="1:39" s="385" customFormat="1" x14ac:dyDescent="0.25">
      <c r="A45" s="173"/>
      <c r="B45" s="173"/>
      <c r="C45" s="173"/>
      <c r="D45" s="173"/>
      <c r="E45" s="173"/>
      <c r="F45" s="173"/>
      <c r="G45" s="173"/>
      <c r="H45" s="173"/>
      <c r="I45" s="173"/>
      <c r="J45" s="173"/>
      <c r="K45" s="173"/>
      <c r="L45" s="173"/>
      <c r="M45" s="173"/>
      <c r="N45" s="173"/>
      <c r="O45" s="173"/>
      <c r="P45" s="173"/>
      <c r="Q45" s="173"/>
      <c r="R45" s="173"/>
      <c r="S45" s="173"/>
      <c r="T45" s="173"/>
      <c r="U45" s="173"/>
      <c r="V45" s="173"/>
      <c r="W45" s="173"/>
      <c r="X45" s="173"/>
      <c r="Y45" s="173"/>
      <c r="Z45" s="173"/>
      <c r="AA45" s="173"/>
      <c r="AB45" s="173"/>
      <c r="AC45" s="173"/>
      <c r="AD45" s="173"/>
      <c r="AG45" s="37"/>
      <c r="AH45" s="37"/>
      <c r="AI45" s="37"/>
      <c r="AJ45" s="210"/>
      <c r="AK45" s="210"/>
      <c r="AL45" s="173"/>
      <c r="AM45" s="173"/>
    </row>
    <row r="46" spans="1:39" s="385" customFormat="1" x14ac:dyDescent="0.25">
      <c r="A46" s="173"/>
      <c r="B46" s="173"/>
      <c r="C46" s="173"/>
      <c r="D46" s="173"/>
      <c r="E46" s="173"/>
      <c r="F46" s="173"/>
      <c r="G46" s="173"/>
      <c r="H46" s="173"/>
      <c r="I46" s="173"/>
      <c r="J46" s="173"/>
      <c r="K46" s="173"/>
      <c r="L46" s="173"/>
      <c r="M46" s="173"/>
      <c r="N46" s="173"/>
      <c r="O46" s="173"/>
      <c r="P46" s="173"/>
      <c r="Q46" s="173"/>
      <c r="R46" s="173"/>
      <c r="S46" s="173"/>
      <c r="T46" s="173"/>
      <c r="U46" s="173"/>
      <c r="V46" s="173"/>
      <c r="W46" s="173"/>
      <c r="X46" s="173"/>
      <c r="Y46" s="173"/>
      <c r="Z46" s="173"/>
      <c r="AA46" s="173"/>
      <c r="AB46" s="173"/>
      <c r="AC46" s="173"/>
      <c r="AD46" s="174"/>
      <c r="AG46" s="37"/>
      <c r="AH46" s="37"/>
      <c r="AI46" s="37"/>
      <c r="AJ46" s="210"/>
      <c r="AK46" s="210"/>
      <c r="AL46" s="173"/>
      <c r="AM46" s="173"/>
    </row>
    <row r="47" spans="1:39" s="385" customFormat="1" x14ac:dyDescent="0.25">
      <c r="A47" s="173"/>
      <c r="B47" s="173"/>
      <c r="C47" s="173"/>
      <c r="D47" s="173"/>
      <c r="E47" s="173"/>
      <c r="F47" s="173"/>
      <c r="G47" s="173"/>
      <c r="H47" s="173"/>
      <c r="I47" s="173"/>
      <c r="J47" s="173"/>
      <c r="K47" s="173"/>
      <c r="L47" s="173"/>
      <c r="M47" s="173"/>
      <c r="N47" s="173"/>
      <c r="O47" s="173"/>
      <c r="P47" s="173"/>
      <c r="Q47" s="173"/>
      <c r="R47" s="173"/>
      <c r="S47" s="173"/>
      <c r="T47" s="173"/>
      <c r="U47" s="173"/>
      <c r="V47" s="173"/>
      <c r="W47" s="173"/>
      <c r="X47" s="173"/>
      <c r="Y47" s="173"/>
      <c r="Z47" s="173"/>
      <c r="AA47" s="173"/>
      <c r="AB47" s="173"/>
      <c r="AC47" s="173"/>
      <c r="AD47" s="173"/>
      <c r="AG47" s="37"/>
      <c r="AH47" s="37"/>
      <c r="AI47" s="37"/>
      <c r="AJ47" s="210"/>
      <c r="AK47" s="210"/>
      <c r="AL47" s="173"/>
      <c r="AM47" s="173"/>
    </row>
    <row r="48" spans="1:39" s="385" customFormat="1" x14ac:dyDescent="0.25">
      <c r="A48" s="173"/>
      <c r="B48" s="173"/>
      <c r="C48" s="173"/>
      <c r="D48" s="173"/>
      <c r="E48" s="173"/>
      <c r="F48" s="173"/>
      <c r="G48" s="173"/>
      <c r="H48" s="173"/>
      <c r="I48" s="173"/>
      <c r="J48" s="173"/>
      <c r="K48" s="173"/>
      <c r="L48" s="173"/>
      <c r="M48" s="173"/>
      <c r="N48" s="173"/>
      <c r="O48" s="173"/>
      <c r="P48" s="173"/>
      <c r="Q48" s="173"/>
      <c r="R48" s="173"/>
      <c r="S48" s="173"/>
      <c r="T48" s="173"/>
      <c r="U48" s="173"/>
      <c r="V48" s="173"/>
      <c r="W48" s="173"/>
      <c r="X48" s="173"/>
      <c r="Y48" s="173"/>
      <c r="Z48" s="173"/>
      <c r="AA48" s="173"/>
      <c r="AB48" s="173"/>
      <c r="AC48" s="173"/>
      <c r="AD48" s="173"/>
      <c r="AG48" s="37"/>
      <c r="AH48" s="37"/>
      <c r="AI48" s="37"/>
      <c r="AJ48" s="210"/>
      <c r="AK48" s="210"/>
      <c r="AL48" s="173"/>
      <c r="AM48" s="173"/>
    </row>
    <row r="49" spans="1:39" s="385" customFormat="1" x14ac:dyDescent="0.25">
      <c r="A49" s="173"/>
      <c r="B49" s="173"/>
      <c r="C49" s="173"/>
      <c r="D49" s="173"/>
      <c r="E49" s="173"/>
      <c r="F49" s="173"/>
      <c r="G49" s="173"/>
      <c r="H49" s="173"/>
      <c r="I49" s="173"/>
      <c r="J49" s="173"/>
      <c r="K49" s="173"/>
      <c r="L49" s="173"/>
      <c r="M49" s="173"/>
      <c r="N49" s="173"/>
      <c r="O49" s="173"/>
      <c r="P49" s="173"/>
      <c r="Q49" s="173"/>
      <c r="R49" s="173"/>
      <c r="S49" s="173"/>
      <c r="T49" s="173"/>
      <c r="U49" s="173"/>
      <c r="V49" s="173"/>
      <c r="W49" s="173"/>
      <c r="X49" s="173"/>
      <c r="Y49" s="173"/>
      <c r="Z49" s="173"/>
      <c r="AA49" s="173"/>
      <c r="AB49" s="173"/>
      <c r="AC49" s="173"/>
      <c r="AD49" s="173"/>
      <c r="AG49" s="37"/>
      <c r="AH49" s="37"/>
      <c r="AI49" s="37"/>
      <c r="AJ49" s="210"/>
      <c r="AK49" s="210"/>
      <c r="AL49" s="173"/>
      <c r="AM49" s="173"/>
    </row>
    <row r="50" spans="1:39" s="385" customFormat="1" x14ac:dyDescent="0.25">
      <c r="A50" s="173"/>
      <c r="B50" s="173"/>
      <c r="C50" s="173"/>
      <c r="D50" s="173"/>
      <c r="E50" s="173"/>
      <c r="F50" s="173"/>
      <c r="G50" s="173"/>
      <c r="H50" s="173"/>
      <c r="I50" s="173"/>
      <c r="J50" s="173"/>
      <c r="K50" s="173"/>
      <c r="L50" s="173"/>
      <c r="M50" s="173"/>
      <c r="N50" s="173"/>
      <c r="O50" s="173"/>
      <c r="P50" s="173"/>
      <c r="Q50" s="173"/>
      <c r="R50" s="173"/>
      <c r="S50" s="173"/>
      <c r="T50" s="173"/>
      <c r="U50" s="173"/>
      <c r="V50" s="173"/>
      <c r="W50" s="173"/>
      <c r="X50" s="173"/>
      <c r="Y50" s="173"/>
      <c r="Z50" s="173"/>
      <c r="AA50" s="173"/>
      <c r="AB50" s="173"/>
      <c r="AC50" s="173"/>
      <c r="AD50" s="173"/>
      <c r="AG50" s="37"/>
      <c r="AH50" s="37"/>
      <c r="AI50" s="37"/>
      <c r="AJ50" s="210"/>
      <c r="AK50" s="210"/>
      <c r="AL50" s="173"/>
      <c r="AM50" s="173"/>
    </row>
    <row r="51" spans="1:39" s="385" customFormat="1" x14ac:dyDescent="0.25">
      <c r="A51" s="173"/>
      <c r="B51" s="173"/>
      <c r="C51" s="173"/>
      <c r="D51" s="173"/>
      <c r="E51" s="173"/>
      <c r="F51" s="173"/>
      <c r="G51" s="173"/>
      <c r="H51" s="173"/>
      <c r="I51" s="173"/>
      <c r="J51" s="173"/>
      <c r="K51" s="173"/>
      <c r="L51" s="173"/>
      <c r="M51" s="173"/>
      <c r="N51" s="173"/>
      <c r="O51" s="173"/>
      <c r="P51" s="173"/>
      <c r="Q51" s="173"/>
      <c r="R51" s="173"/>
      <c r="S51" s="173"/>
      <c r="T51" s="173"/>
      <c r="U51" s="173"/>
      <c r="V51" s="173"/>
      <c r="W51" s="173"/>
      <c r="X51" s="173"/>
      <c r="Y51" s="173"/>
      <c r="Z51" s="173"/>
      <c r="AA51" s="173"/>
      <c r="AB51" s="173"/>
      <c r="AC51" s="173"/>
      <c r="AD51" s="173"/>
      <c r="AG51" s="37"/>
      <c r="AH51" s="37"/>
      <c r="AI51" s="37"/>
      <c r="AJ51" s="210"/>
      <c r="AK51" s="210"/>
      <c r="AL51" s="173"/>
      <c r="AM51" s="173"/>
    </row>
  </sheetData>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M51"/>
  <sheetViews>
    <sheetView workbookViewId="0">
      <pane xSplit="1" ySplit="4" topLeftCell="B5" activePane="bottomRight" state="frozen"/>
      <selection activeCell="AA10" sqref="AA10"/>
      <selection pane="topRight" activeCell="AA10" sqref="AA10"/>
      <selection pane="bottomLeft" activeCell="AA10" sqref="AA10"/>
      <selection pane="bottomRight" activeCell="B10" sqref="B10"/>
    </sheetView>
  </sheetViews>
  <sheetFormatPr defaultColWidth="9" defaultRowHeight="12" x14ac:dyDescent="0.25"/>
  <cols>
    <col min="1" max="1" width="30.6640625" style="173" customWidth="1"/>
    <col min="2" max="5" width="6.33203125" style="173" customWidth="1"/>
    <col min="6" max="7" width="6.6640625" style="173" customWidth="1"/>
    <col min="8" max="8" width="8.6640625" style="173" customWidth="1"/>
    <col min="9" max="9" width="8" style="173" customWidth="1"/>
    <col min="10" max="10" width="7.44140625" style="173" customWidth="1"/>
    <col min="11" max="11" width="10.5546875" style="173" customWidth="1"/>
    <col min="12" max="14" width="6.88671875" style="173" customWidth="1"/>
    <col min="15" max="15" width="8.5546875" style="173" customWidth="1"/>
    <col min="16" max="16" width="7.33203125" style="173" customWidth="1"/>
    <col min="17" max="17" width="9.6640625" style="173" customWidth="1"/>
    <col min="18" max="18" width="8.33203125" style="173" customWidth="1"/>
    <col min="19" max="20" width="7.6640625" style="173" customWidth="1"/>
    <col min="21" max="21" width="6.33203125" style="173" customWidth="1"/>
    <col min="22" max="24" width="4.5546875" style="173" customWidth="1"/>
    <col min="25" max="25" width="8.109375" style="173" customWidth="1"/>
    <col min="26" max="29" width="8.6640625" style="173" customWidth="1"/>
    <col min="30" max="30" width="6.5546875" style="173" customWidth="1"/>
    <col min="31" max="32" width="6.6640625" style="385" customWidth="1"/>
    <col min="33" max="35" width="9.6640625" style="37" customWidth="1"/>
    <col min="36" max="37" width="9.6640625" style="210" customWidth="1"/>
    <col min="38" max="16384" width="9" style="173"/>
  </cols>
  <sheetData>
    <row r="1" spans="1:39" s="424" customFormat="1" ht="15.6" x14ac:dyDescent="0.3">
      <c r="A1" s="359" t="s">
        <v>649</v>
      </c>
      <c r="F1" s="361"/>
      <c r="R1" s="384"/>
      <c r="S1" s="384"/>
      <c r="T1" s="384"/>
      <c r="W1" s="384"/>
      <c r="X1" s="384"/>
      <c r="Y1" s="408"/>
      <c r="AE1" s="426"/>
      <c r="AF1" s="426"/>
      <c r="AG1" s="425"/>
      <c r="AH1" s="425"/>
      <c r="AI1" s="425"/>
      <c r="AJ1" s="427"/>
      <c r="AK1" s="427"/>
    </row>
    <row r="2" spans="1:39" s="2" customFormat="1" ht="14.4" x14ac:dyDescent="0.3">
      <c r="B2" s="358" t="s">
        <v>687</v>
      </c>
      <c r="C2" s="389"/>
      <c r="D2" s="389"/>
      <c r="E2" s="389"/>
      <c r="G2" s="388"/>
      <c r="H2" s="388"/>
      <c r="I2" s="388" t="s">
        <v>826</v>
      </c>
      <c r="J2" s="388"/>
      <c r="K2" s="388"/>
      <c r="L2" s="388" t="s">
        <v>686</v>
      </c>
      <c r="M2" s="388"/>
      <c r="N2" s="388"/>
      <c r="O2" s="388"/>
      <c r="P2" s="388"/>
      <c r="Q2" s="388"/>
      <c r="R2" s="2" t="s">
        <v>685</v>
      </c>
      <c r="V2" s="2" t="s">
        <v>684</v>
      </c>
      <c r="Z2" s="2" t="s">
        <v>683</v>
      </c>
      <c r="AD2" s="358" t="s">
        <v>641</v>
      </c>
      <c r="AE2" s="27"/>
      <c r="AF2" s="27"/>
      <c r="AG2" s="358" t="s">
        <v>682</v>
      </c>
      <c r="AH2" s="358"/>
      <c r="AI2" s="358"/>
      <c r="AJ2" s="357"/>
      <c r="AK2" s="357"/>
    </row>
    <row r="3" spans="1:39" s="1" customFormat="1" x14ac:dyDescent="0.25">
      <c r="B3" s="9" t="s">
        <v>583</v>
      </c>
      <c r="C3" s="9"/>
      <c r="D3" s="9"/>
      <c r="E3" s="9"/>
      <c r="F3" s="9" t="s">
        <v>681</v>
      </c>
      <c r="H3" s="9" t="s">
        <v>680</v>
      </c>
      <c r="I3" s="9"/>
      <c r="J3" s="9"/>
      <c r="K3" s="9"/>
      <c r="L3" s="9" t="s">
        <v>679</v>
      </c>
      <c r="M3" s="9"/>
      <c r="N3" s="9" t="s">
        <v>678</v>
      </c>
      <c r="O3" s="9"/>
      <c r="P3" s="9" t="s">
        <v>813</v>
      </c>
      <c r="Q3" s="9"/>
      <c r="R3" s="9" t="s">
        <v>676</v>
      </c>
      <c r="S3" s="9" t="s">
        <v>742</v>
      </c>
      <c r="T3" s="9" t="s">
        <v>680</v>
      </c>
      <c r="U3" s="9" t="s">
        <v>611</v>
      </c>
      <c r="V3" s="9" t="s">
        <v>677</v>
      </c>
      <c r="W3" s="9"/>
      <c r="X3" s="9"/>
      <c r="Z3" s="9" t="s">
        <v>676</v>
      </c>
      <c r="AA3" s="9" t="s">
        <v>742</v>
      </c>
      <c r="AB3" s="9" t="s">
        <v>680</v>
      </c>
      <c r="AC3" s="1" t="s">
        <v>611</v>
      </c>
      <c r="AD3" s="3"/>
      <c r="AE3" s="4"/>
      <c r="AF3" s="4"/>
      <c r="AG3" s="9" t="s">
        <v>675</v>
      </c>
      <c r="AH3" s="9"/>
      <c r="AI3" s="9"/>
      <c r="AJ3" s="66"/>
      <c r="AK3" s="59"/>
    </row>
    <row r="4" spans="1:39" s="150" customFormat="1" ht="84" customHeight="1" x14ac:dyDescent="0.25">
      <c r="B4" s="150" t="s">
        <v>674</v>
      </c>
      <c r="C4" s="150" t="s">
        <v>673</v>
      </c>
      <c r="D4" s="150" t="s">
        <v>672</v>
      </c>
      <c r="E4" s="150" t="s">
        <v>671</v>
      </c>
      <c r="F4" s="4" t="s">
        <v>670</v>
      </c>
      <c r="G4" s="4" t="s">
        <v>669</v>
      </c>
      <c r="H4" s="4" t="s">
        <v>668</v>
      </c>
      <c r="I4" s="4" t="s">
        <v>827</v>
      </c>
      <c r="J4" s="4" t="s">
        <v>828</v>
      </c>
      <c r="K4" s="4" t="s">
        <v>829</v>
      </c>
      <c r="L4" s="4" t="s">
        <v>667</v>
      </c>
      <c r="M4" s="4" t="s">
        <v>666</v>
      </c>
      <c r="N4" s="4" t="s">
        <v>665</v>
      </c>
      <c r="O4" s="4" t="s">
        <v>664</v>
      </c>
      <c r="P4" s="4" t="s">
        <v>815</v>
      </c>
      <c r="Q4" s="60" t="s">
        <v>814</v>
      </c>
      <c r="R4" s="4" t="s">
        <v>663</v>
      </c>
      <c r="S4" s="4" t="s">
        <v>663</v>
      </c>
      <c r="T4" s="4" t="s">
        <v>663</v>
      </c>
      <c r="U4" s="4" t="s">
        <v>662</v>
      </c>
      <c r="V4" s="4" t="s">
        <v>661</v>
      </c>
      <c r="W4" s="4" t="s">
        <v>660</v>
      </c>
      <c r="X4" s="4" t="s">
        <v>659</v>
      </c>
      <c r="Y4" s="4" t="s">
        <v>658</v>
      </c>
      <c r="Z4" s="4" t="s">
        <v>657</v>
      </c>
      <c r="AA4" s="4" t="s">
        <v>657</v>
      </c>
      <c r="AB4" s="4" t="s">
        <v>657</v>
      </c>
      <c r="AC4" s="4" t="s">
        <v>656</v>
      </c>
      <c r="AD4" s="4" t="s">
        <v>624</v>
      </c>
      <c r="AE4" s="5" t="s">
        <v>825</v>
      </c>
      <c r="AG4" s="4" t="s">
        <v>655</v>
      </c>
      <c r="AH4" s="4" t="s">
        <v>654</v>
      </c>
      <c r="AI4" s="4" t="s">
        <v>653</v>
      </c>
      <c r="AJ4" s="60"/>
      <c r="AK4" s="60"/>
    </row>
    <row r="5" spans="1:39" x14ac:dyDescent="0.25">
      <c r="F5" s="37"/>
      <c r="G5" s="37"/>
      <c r="H5" s="37"/>
      <c r="I5" s="37"/>
      <c r="J5" s="37"/>
      <c r="K5" s="37"/>
      <c r="L5" s="37"/>
      <c r="M5" s="37"/>
      <c r="N5" s="37"/>
      <c r="O5" s="37"/>
      <c r="P5" s="37"/>
      <c r="Q5" s="37"/>
    </row>
    <row r="6" spans="1:39" ht="14.4" x14ac:dyDescent="0.3">
      <c r="A6" s="2" t="s">
        <v>652</v>
      </c>
      <c r="F6" s="37"/>
      <c r="G6" s="37"/>
      <c r="H6" s="37"/>
      <c r="I6" s="37"/>
      <c r="J6" s="37"/>
      <c r="K6" s="37"/>
      <c r="L6" s="37"/>
      <c r="M6" s="37"/>
      <c r="N6" s="37"/>
      <c r="O6" s="37"/>
      <c r="P6" s="37"/>
      <c r="Q6" s="37"/>
    </row>
    <row r="7" spans="1:39" x14ac:dyDescent="0.25">
      <c r="AG7" s="55"/>
      <c r="AH7" s="55"/>
    </row>
    <row r="8" spans="1:39" x14ac:dyDescent="0.25">
      <c r="A8" s="1" t="s">
        <v>651</v>
      </c>
      <c r="AG8" s="55"/>
      <c r="AH8" s="55"/>
    </row>
    <row r="9" spans="1:39" x14ac:dyDescent="0.25">
      <c r="A9" s="173" t="s">
        <v>650</v>
      </c>
      <c r="B9" s="9">
        <v>1300</v>
      </c>
      <c r="C9" s="453">
        <v>0.16</v>
      </c>
      <c r="D9" s="387">
        <v>0.75</v>
      </c>
      <c r="E9" s="353">
        <f>B9*C9*D9</f>
        <v>156</v>
      </c>
      <c r="F9" s="252">
        <v>2.8</v>
      </c>
      <c r="G9" s="174">
        <f>44/12*F9</f>
        <v>10.266666666666666</v>
      </c>
      <c r="H9" s="366">
        <v>30</v>
      </c>
      <c r="I9" s="7">
        <v>4</v>
      </c>
      <c r="J9" s="366">
        <v>300</v>
      </c>
      <c r="K9" s="353">
        <f>I9/12*J9</f>
        <v>100</v>
      </c>
      <c r="L9" s="366">
        <v>60</v>
      </c>
      <c r="M9" s="209">
        <v>0.14000000000000001</v>
      </c>
      <c r="N9" s="366">
        <v>75</v>
      </c>
      <c r="O9" s="381">
        <f>(L9/M9)*N9/3.6/20000</f>
        <v>0.4464285714285714</v>
      </c>
      <c r="P9" s="75">
        <v>0.34</v>
      </c>
      <c r="Q9" s="211">
        <f>10^3*P9*O9/10</f>
        <v>15.178571428571427</v>
      </c>
      <c r="R9" s="174">
        <f>10^2*G9/E9/3.6</f>
        <v>1.8281101614434945</v>
      </c>
      <c r="S9" s="212"/>
      <c r="T9" s="163">
        <f>(H9+K9)/3.6</f>
        <v>36.111111111111107</v>
      </c>
      <c r="U9" s="353">
        <f>R9+T9</f>
        <v>37.939221272554605</v>
      </c>
      <c r="AG9" s="55"/>
      <c r="AH9" s="55"/>
    </row>
    <row r="10" spans="1:39" x14ac:dyDescent="0.25">
      <c r="S10" s="6"/>
      <c r="T10" s="6"/>
    </row>
    <row r="11" spans="1:39" ht="14.4" x14ac:dyDescent="0.3">
      <c r="A11" s="2" t="s">
        <v>649</v>
      </c>
      <c r="AG11" s="26"/>
      <c r="AH11" s="26"/>
    </row>
    <row r="12" spans="1:39" x14ac:dyDescent="0.25">
      <c r="AC12" s="447"/>
      <c r="AG12" s="26"/>
      <c r="AH12" s="26"/>
    </row>
    <row r="13" spans="1:39" x14ac:dyDescent="0.25">
      <c r="A13" s="1" t="s">
        <v>648</v>
      </c>
      <c r="AC13" s="446"/>
    </row>
    <row r="14" spans="1:39" ht="24" x14ac:dyDescent="0.25">
      <c r="A14" s="150" t="s">
        <v>769</v>
      </c>
      <c r="V14" s="7">
        <v>2</v>
      </c>
      <c r="W14" s="174">
        <f>3.6*V14</f>
        <v>7.2</v>
      </c>
      <c r="Z14" s="174">
        <f>W14*R9/10</f>
        <v>1.316239316239316</v>
      </c>
      <c r="AB14" s="211">
        <f>W14*T9/10+Q9</f>
        <v>41.178571428571431</v>
      </c>
      <c r="AC14" s="339">
        <f t="shared" ref="AC14" si="0">Z14+AB14+AA14</f>
        <v>42.494810744810749</v>
      </c>
    </row>
    <row r="15" spans="1:39" x14ac:dyDescent="0.25">
      <c r="V15" s="174"/>
    </row>
    <row r="16" spans="1:39" s="385" customFormat="1" x14ac:dyDescent="0.25">
      <c r="A16" s="1" t="s">
        <v>647</v>
      </c>
      <c r="B16" s="1"/>
      <c r="C16" s="1"/>
      <c r="D16" s="1"/>
      <c r="E16" s="1"/>
      <c r="F16" s="1"/>
      <c r="G16" s="1"/>
      <c r="H16" s="1"/>
      <c r="I16" s="1"/>
      <c r="J16" s="1"/>
      <c r="K16" s="1"/>
      <c r="L16" s="1"/>
      <c r="M16" s="1"/>
      <c r="N16" s="1"/>
      <c r="O16" s="1"/>
      <c r="P16" s="1"/>
      <c r="Q16" s="1"/>
      <c r="R16" s="1"/>
      <c r="S16" s="1"/>
      <c r="T16" s="1"/>
      <c r="U16" s="1"/>
      <c r="V16" s="7"/>
      <c r="W16" s="1"/>
      <c r="X16" s="1"/>
      <c r="Y16" s="1"/>
      <c r="Z16" s="1"/>
      <c r="AA16" s="1"/>
      <c r="AB16" s="1"/>
      <c r="AC16" s="1"/>
      <c r="AD16" s="173"/>
      <c r="AG16" s="37"/>
      <c r="AH16" s="37"/>
      <c r="AI16" s="37"/>
      <c r="AJ16" s="210"/>
      <c r="AK16" s="210"/>
      <c r="AL16" s="173"/>
      <c r="AM16" s="173"/>
    </row>
    <row r="17" spans="1:39" s="385" customFormat="1" ht="24" x14ac:dyDescent="0.25">
      <c r="A17" s="150" t="s">
        <v>775</v>
      </c>
      <c r="B17" s="173"/>
      <c r="C17" s="173"/>
      <c r="D17" s="173"/>
      <c r="E17" s="173"/>
      <c r="F17" s="173"/>
      <c r="G17" s="173"/>
      <c r="H17" s="173"/>
      <c r="I17" s="173"/>
      <c r="J17" s="173"/>
      <c r="K17" s="173"/>
      <c r="L17" s="173"/>
      <c r="M17" s="173"/>
      <c r="N17" s="173"/>
      <c r="O17" s="173"/>
      <c r="P17" s="173"/>
      <c r="Q17" s="173"/>
      <c r="R17" s="386">
        <f>'Summary DISCOUNTED'!$BD$140</f>
        <v>286.74503590897939</v>
      </c>
      <c r="S17" s="373">
        <f>'Summary DISCOUNTED'!$BT$140</f>
        <v>8.3646172275241142</v>
      </c>
      <c r="T17" s="386">
        <f>'Summary DISCOUNTED'!$BV$140</f>
        <v>27.488264342860891</v>
      </c>
      <c r="U17" s="353">
        <f>R17+T17</f>
        <v>314.23330025184026</v>
      </c>
      <c r="V17" s="7">
        <v>5.5</v>
      </c>
      <c r="W17" s="174">
        <f t="shared" ref="W17:W22" si="1">3.6*V17</f>
        <v>19.8</v>
      </c>
      <c r="X17" s="208">
        <f t="shared" ref="X17:X22" si="2">W17/AD17</f>
        <v>0.59804276911924603</v>
      </c>
      <c r="Y17" s="208">
        <f>X17/X$26</f>
        <v>1.0662075631267365</v>
      </c>
      <c r="Z17" s="353">
        <f t="shared" ref="Z17:Z22" si="3">W17*R17/10</f>
        <v>567.7551710997792</v>
      </c>
      <c r="AA17" s="353">
        <f t="shared" ref="AA17:AA22" si="4">W17*S17/10</f>
        <v>16.561942110497746</v>
      </c>
      <c r="AB17" s="353">
        <f t="shared" ref="AB17:AB22" si="5">W17*T17/10</f>
        <v>54.426763398864566</v>
      </c>
      <c r="AC17" s="254">
        <f t="shared" ref="AC17:AC22" si="6">Z17+AB17+AA17</f>
        <v>638.74387660914147</v>
      </c>
      <c r="AD17" s="483">
        <f>'Crops proc. &amp; prod. DISCOUNTED'!NZ134</f>
        <v>33.108000000000004</v>
      </c>
      <c r="AE17" s="57">
        <f t="shared" ref="AE17:AE21" si="7">AC17/AC$27-1</f>
        <v>2.290289376238301</v>
      </c>
      <c r="AG17" s="69">
        <f>(AC$26-AB17)/Z17</f>
        <v>0.21626088647206193</v>
      </c>
      <c r="AH17" s="69">
        <f t="shared" ref="AH17:AH22" si="8">1-AG17</f>
        <v>0.78373911352793812</v>
      </c>
      <c r="AI17" s="26">
        <f t="shared" ref="AI17:AI22" si="9">1/AG17</f>
        <v>4.6240446726791111</v>
      </c>
      <c r="AJ17" s="372"/>
      <c r="AK17" s="115"/>
      <c r="AL17" s="173"/>
      <c r="AM17" s="173"/>
    </row>
    <row r="18" spans="1:39" s="385" customFormat="1" ht="24" x14ac:dyDescent="0.25">
      <c r="A18" s="150" t="s">
        <v>774</v>
      </c>
      <c r="B18" s="173"/>
      <c r="C18" s="173"/>
      <c r="D18" s="173"/>
      <c r="E18" s="173"/>
      <c r="F18" s="173"/>
      <c r="G18" s="173"/>
      <c r="H18" s="173"/>
      <c r="I18" s="173"/>
      <c r="J18" s="173"/>
      <c r="K18" s="173"/>
      <c r="L18" s="173"/>
      <c r="M18" s="173"/>
      <c r="N18" s="173"/>
      <c r="O18" s="173"/>
      <c r="P18" s="173"/>
      <c r="Q18" s="173"/>
      <c r="R18" s="386">
        <f>'Summary DISCOUNTED'!$BD$142</f>
        <v>218.22327328875866</v>
      </c>
      <c r="S18" s="386">
        <f>'Summary DISCOUNTED'!$BT$142</f>
        <v>25.567619111068396</v>
      </c>
      <c r="T18" s="386">
        <f>'Summary DISCOUNTED'!$BV$142</f>
        <v>55.085404480732507</v>
      </c>
      <c r="U18" s="353">
        <f>R18+T18</f>
        <v>273.30867776949117</v>
      </c>
      <c r="V18" s="7">
        <v>5.5</v>
      </c>
      <c r="W18" s="174">
        <f t="shared" si="1"/>
        <v>19.8</v>
      </c>
      <c r="X18" s="208">
        <f t="shared" si="2"/>
        <v>0.59804276911924603</v>
      </c>
      <c r="Y18" s="208">
        <f t="shared" ref="Y18:Y19" si="10">X18/X$26</f>
        <v>1.0662075631267365</v>
      </c>
      <c r="Z18" s="353">
        <f t="shared" si="3"/>
        <v>432.08208111174218</v>
      </c>
      <c r="AA18" s="353">
        <f t="shared" si="4"/>
        <v>50.623885839915424</v>
      </c>
      <c r="AB18" s="353">
        <f t="shared" si="5"/>
        <v>109.06910087185038</v>
      </c>
      <c r="AC18" s="254">
        <f t="shared" si="6"/>
        <v>591.77506782350792</v>
      </c>
      <c r="AD18" s="483">
        <f>'Crops proc. &amp; prod. DISCOUNTED'!NZ145</f>
        <v>33.108000000000004</v>
      </c>
      <c r="AE18" s="57">
        <f t="shared" si="7"/>
        <v>2.0483442426389935</v>
      </c>
      <c r="AG18" s="69">
        <f t="shared" ref="AG18:AG19" si="11">(AC$26-AB18)/Z18</f>
        <v>0.15770359870704168</v>
      </c>
      <c r="AH18" s="69">
        <f t="shared" si="8"/>
        <v>0.84229640129295835</v>
      </c>
      <c r="AI18" s="26">
        <f t="shared" si="9"/>
        <v>6.3410093884899323</v>
      </c>
      <c r="AJ18" s="372"/>
      <c r="AK18" s="115"/>
      <c r="AL18" s="173"/>
      <c r="AM18" s="173"/>
    </row>
    <row r="19" spans="1:39" s="385" customFormat="1" ht="24" x14ac:dyDescent="0.25">
      <c r="A19" s="150" t="s">
        <v>773</v>
      </c>
      <c r="B19" s="173"/>
      <c r="C19" s="173"/>
      <c r="D19" s="173"/>
      <c r="E19" s="173"/>
      <c r="F19" s="173"/>
      <c r="G19" s="173"/>
      <c r="H19" s="173"/>
      <c r="I19" s="173"/>
      <c r="J19" s="173"/>
      <c r="K19" s="173"/>
      <c r="L19" s="173"/>
      <c r="M19" s="173"/>
      <c r="N19" s="173"/>
      <c r="O19" s="173"/>
      <c r="P19" s="173"/>
      <c r="Q19" s="173"/>
      <c r="R19" s="386">
        <f>'Summary DISCOUNTED'!$BD$141</f>
        <v>191.53791368354015</v>
      </c>
      <c r="S19" s="386">
        <f>'Summary DISCOUNTED'!$BT$141</f>
        <v>62.606152568380544</v>
      </c>
      <c r="T19" s="386">
        <f>'Summary DISCOUNTED'!$BV$141</f>
        <v>54.506155439170442</v>
      </c>
      <c r="U19" s="353">
        <f>R19+T19+S19</f>
        <v>308.65022169109113</v>
      </c>
      <c r="V19" s="7">
        <v>5.5</v>
      </c>
      <c r="W19" s="174">
        <f t="shared" si="1"/>
        <v>19.8</v>
      </c>
      <c r="X19" s="208">
        <f t="shared" si="2"/>
        <v>0.59804276911924603</v>
      </c>
      <c r="Y19" s="208">
        <f t="shared" si="10"/>
        <v>1.0662075631267365</v>
      </c>
      <c r="Z19" s="353">
        <f t="shared" si="3"/>
        <v>379.24506909340954</v>
      </c>
      <c r="AA19" s="353">
        <f t="shared" si="4"/>
        <v>123.96018208539348</v>
      </c>
      <c r="AB19" s="353">
        <f t="shared" si="5"/>
        <v>107.92218776955747</v>
      </c>
      <c r="AC19" s="254">
        <f t="shared" si="6"/>
        <v>611.12743894836046</v>
      </c>
      <c r="AD19" s="483">
        <f>'Crops proc. &amp; prod. DISCOUNTED'!NZ139</f>
        <v>33.108000000000004</v>
      </c>
      <c r="AE19" s="57">
        <f t="shared" si="7"/>
        <v>2.1480319319443693</v>
      </c>
      <c r="AG19" s="69">
        <f t="shared" si="11"/>
        <v>0.18269930943618065</v>
      </c>
      <c r="AH19" s="69">
        <f t="shared" si="8"/>
        <v>0.81730069056381938</v>
      </c>
      <c r="AI19" s="26">
        <f t="shared" si="9"/>
        <v>5.4734744377855113</v>
      </c>
      <c r="AJ19" s="372"/>
      <c r="AK19" s="115"/>
      <c r="AL19" s="173"/>
      <c r="AM19" s="173"/>
    </row>
    <row r="20" spans="1:39" s="385" customFormat="1" ht="24" x14ac:dyDescent="0.25">
      <c r="A20" s="4" t="s">
        <v>772</v>
      </c>
      <c r="B20" s="173"/>
      <c r="C20" s="173"/>
      <c r="D20" s="173"/>
      <c r="E20" s="173"/>
      <c r="F20" s="173"/>
      <c r="G20" s="173"/>
      <c r="H20" s="173"/>
      <c r="I20" s="173"/>
      <c r="J20" s="173"/>
      <c r="K20" s="173"/>
      <c r="L20" s="173"/>
      <c r="M20" s="173"/>
      <c r="N20" s="173"/>
      <c r="O20" s="173"/>
      <c r="P20" s="173"/>
      <c r="Q20" s="173"/>
      <c r="R20" s="386">
        <f>'Summary DISCOUNTED'!$BD$132</f>
        <v>150.37260742956255</v>
      </c>
      <c r="S20" s="373">
        <f>'Summary DISCOUNTED'!$BT$132</f>
        <v>8.1761294080006444</v>
      </c>
      <c r="T20" s="386">
        <f>'Summary DISCOUNTED'!$BV$132</f>
        <v>71.927551567523409</v>
      </c>
      <c r="U20" s="353">
        <f>R20+T20</f>
        <v>222.30015899708596</v>
      </c>
      <c r="V20" s="7">
        <v>6</v>
      </c>
      <c r="W20" s="174">
        <f t="shared" si="1"/>
        <v>21.6</v>
      </c>
      <c r="X20" s="208">
        <f t="shared" si="2"/>
        <v>1.0202153788021917</v>
      </c>
      <c r="Y20" s="208">
        <f>X20/X$25</f>
        <v>1.3831278145452601</v>
      </c>
      <c r="Z20" s="353">
        <f t="shared" si="3"/>
        <v>324.80483204785514</v>
      </c>
      <c r="AA20" s="353">
        <f t="shared" si="4"/>
        <v>17.660439521281393</v>
      </c>
      <c r="AB20" s="353">
        <f t="shared" si="5"/>
        <v>155.36351138585059</v>
      </c>
      <c r="AC20" s="254">
        <f t="shared" si="6"/>
        <v>497.8287829549871</v>
      </c>
      <c r="AD20" s="81">
        <f>'Crops proc. &amp; prod. DISCOUNTED'!NZ107</f>
        <v>21.172000000000001</v>
      </c>
      <c r="AE20" s="57">
        <f t="shared" si="7"/>
        <v>1.5644093285684182</v>
      </c>
      <c r="AG20" s="69">
        <f>(AC$25-AB20)/Z20</f>
        <v>0.17144599808769118</v>
      </c>
      <c r="AH20" s="69">
        <f t="shared" si="8"/>
        <v>0.82855400191230877</v>
      </c>
      <c r="AI20" s="26">
        <f t="shared" si="9"/>
        <v>5.8327404031240215</v>
      </c>
      <c r="AJ20" s="372"/>
      <c r="AK20" s="115"/>
      <c r="AL20" s="173"/>
      <c r="AM20" s="173"/>
    </row>
    <row r="21" spans="1:39" s="385" customFormat="1" ht="24" x14ac:dyDescent="0.25">
      <c r="A21" s="4" t="s">
        <v>771</v>
      </c>
      <c r="B21" s="173"/>
      <c r="C21" s="173"/>
      <c r="D21" s="173"/>
      <c r="E21" s="173"/>
      <c r="F21" s="173"/>
      <c r="G21" s="173"/>
      <c r="H21" s="173"/>
      <c r="I21" s="173"/>
      <c r="J21" s="173"/>
      <c r="K21" s="173"/>
      <c r="L21" s="173"/>
      <c r="M21" s="173"/>
      <c r="N21" s="173"/>
      <c r="O21" s="173"/>
      <c r="P21" s="173"/>
      <c r="Q21" s="173"/>
      <c r="R21" s="386">
        <f>'Summary DISCOUNTED'!$BD$133</f>
        <v>122.97429925135467</v>
      </c>
      <c r="S21" s="373">
        <f>'Summary DISCOUNTED'!$BT$133</f>
        <v>8.2204861512169423</v>
      </c>
      <c r="T21" s="386">
        <f>'Summary DISCOUNTED'!$BV$133</f>
        <v>103.69542533216435</v>
      </c>
      <c r="U21" s="353">
        <f>R21+T21</f>
        <v>226.66972458351901</v>
      </c>
      <c r="V21" s="7">
        <v>6</v>
      </c>
      <c r="W21" s="174">
        <f t="shared" si="1"/>
        <v>21.6</v>
      </c>
      <c r="X21" s="208">
        <f t="shared" si="2"/>
        <v>1.0202153788021917</v>
      </c>
      <c r="Y21" s="208">
        <f t="shared" ref="Y21:Y22" si="12">X21/X$25</f>
        <v>1.3831278145452601</v>
      </c>
      <c r="Z21" s="353">
        <f t="shared" si="3"/>
        <v>265.62448638292608</v>
      </c>
      <c r="AA21" s="353">
        <f t="shared" si="4"/>
        <v>17.756250086628597</v>
      </c>
      <c r="AB21" s="353">
        <f t="shared" si="5"/>
        <v>223.98211871747498</v>
      </c>
      <c r="AC21" s="254">
        <f t="shared" si="6"/>
        <v>507.36285518702965</v>
      </c>
      <c r="AD21" s="81">
        <f>'Crops proc. &amp; prod. DISCOUNTED'!NZ112</f>
        <v>21.172000000000001</v>
      </c>
      <c r="AE21" s="57">
        <f t="shared" si="7"/>
        <v>1.6135211208315541</v>
      </c>
      <c r="AG21" s="69">
        <f>(AC$25-AB21)/Z21</f>
        <v>-4.8685717546506357E-2</v>
      </c>
      <c r="AH21" s="69">
        <f t="shared" si="8"/>
        <v>1.0486857175465063</v>
      </c>
      <c r="AI21" s="26">
        <f t="shared" si="9"/>
        <v>-20.53990472759827</v>
      </c>
      <c r="AJ21" s="372"/>
      <c r="AK21" s="115"/>
      <c r="AL21" s="173"/>
      <c r="AM21" s="173"/>
    </row>
    <row r="22" spans="1:39" s="385" customFormat="1" ht="24" x14ac:dyDescent="0.25">
      <c r="A22" s="150" t="s">
        <v>770</v>
      </c>
      <c r="B22" s="173"/>
      <c r="C22" s="173"/>
      <c r="D22" s="173"/>
      <c r="E22" s="173"/>
      <c r="F22" s="173"/>
      <c r="G22" s="173"/>
      <c r="H22" s="173"/>
      <c r="I22" s="173"/>
      <c r="J22" s="173"/>
      <c r="K22" s="173"/>
      <c r="L22" s="173"/>
      <c r="M22" s="173"/>
      <c r="N22" s="173"/>
      <c r="O22" s="173"/>
      <c r="P22" s="173"/>
      <c r="Q22" s="173"/>
      <c r="R22" s="386">
        <f>'Summary DISCOUNTED'!$BD$134</f>
        <v>92.944949464187047</v>
      </c>
      <c r="S22" s="373">
        <f>'Summary DISCOUNTED'!$BT$134</f>
        <v>8.9872341581386461</v>
      </c>
      <c r="T22" s="386">
        <f>'Summary DISCOUNTED'!$BV$134</f>
        <v>19.092991062597342</v>
      </c>
      <c r="U22" s="353">
        <f>R22+T22</f>
        <v>112.03794052678438</v>
      </c>
      <c r="V22" s="7">
        <v>6</v>
      </c>
      <c r="W22" s="174">
        <f t="shared" si="1"/>
        <v>21.6</v>
      </c>
      <c r="X22" s="208">
        <f t="shared" si="2"/>
        <v>1.0202153788021917</v>
      </c>
      <c r="Y22" s="208">
        <f t="shared" si="12"/>
        <v>1.3831278145452601</v>
      </c>
      <c r="Z22" s="353">
        <f t="shared" si="3"/>
        <v>200.76109084264402</v>
      </c>
      <c r="AA22" s="353">
        <f t="shared" si="4"/>
        <v>19.412425781579479</v>
      </c>
      <c r="AB22" s="353">
        <f t="shared" si="5"/>
        <v>41.240860695210259</v>
      </c>
      <c r="AC22" s="254">
        <f t="shared" si="6"/>
        <v>261.41437731943375</v>
      </c>
      <c r="AD22" s="81">
        <f>'Crops proc. &amp; prod. DISCOUNTED'!NZ117</f>
        <v>21.172000000000001</v>
      </c>
      <c r="AE22" s="57">
        <f>AC22/AC$27-1</f>
        <v>0.34659443321193906</v>
      </c>
      <c r="AG22" s="69">
        <f>(AC$25-AB22)/Z22</f>
        <v>0.84582694082831866</v>
      </c>
      <c r="AH22" s="69">
        <f t="shared" si="8"/>
        <v>0.15417305917168134</v>
      </c>
      <c r="AI22" s="26">
        <f t="shared" si="9"/>
        <v>1.1822749450622838</v>
      </c>
      <c r="AJ22" s="372"/>
      <c r="AK22" s="115"/>
      <c r="AL22" s="173"/>
      <c r="AM22" s="173"/>
    </row>
    <row r="23" spans="1:39" x14ac:dyDescent="0.25">
      <c r="V23" s="174"/>
      <c r="W23" s="208">
        <f>10/W22</f>
        <v>0.46296296296296291</v>
      </c>
      <c r="X23" s="210"/>
    </row>
    <row r="24" spans="1:39" s="385" customFormat="1" x14ac:dyDescent="0.25">
      <c r="A24" s="1" t="s">
        <v>646</v>
      </c>
      <c r="B24" s="173"/>
      <c r="C24" s="173"/>
      <c r="D24" s="173"/>
      <c r="E24" s="173"/>
      <c r="F24" s="173"/>
      <c r="G24" s="173"/>
      <c r="H24" s="173"/>
      <c r="I24" s="173"/>
      <c r="J24" s="173"/>
      <c r="K24" s="173"/>
      <c r="L24" s="173"/>
      <c r="M24" s="173"/>
      <c r="N24" s="173"/>
      <c r="O24" s="173"/>
      <c r="P24" s="173"/>
      <c r="Q24" s="173"/>
      <c r="R24" s="173"/>
      <c r="S24" s="173"/>
      <c r="T24" s="173"/>
      <c r="U24" s="173"/>
      <c r="V24" s="174"/>
      <c r="W24" s="163"/>
      <c r="X24" s="210"/>
      <c r="Y24" s="173"/>
      <c r="Z24" s="173"/>
      <c r="AA24" s="173"/>
      <c r="AB24" s="173"/>
      <c r="AC24" s="173"/>
      <c r="AD24" s="210"/>
      <c r="AG24" s="37"/>
      <c r="AH24" s="37"/>
      <c r="AI24" s="37"/>
      <c r="AJ24" s="210"/>
      <c r="AK24" s="210"/>
      <c r="AL24" s="173"/>
      <c r="AM24" s="173"/>
    </row>
    <row r="25" spans="1:39" s="385" customFormat="1" x14ac:dyDescent="0.25">
      <c r="A25" s="37" t="s">
        <v>645</v>
      </c>
      <c r="B25" s="173"/>
      <c r="C25" s="173"/>
      <c r="D25" s="173"/>
      <c r="E25" s="173"/>
      <c r="F25" s="173"/>
      <c r="G25" s="173"/>
      <c r="H25" s="173"/>
      <c r="I25" s="173"/>
      <c r="J25" s="173"/>
      <c r="K25" s="173"/>
      <c r="L25" s="173"/>
      <c r="M25" s="173"/>
      <c r="N25" s="173"/>
      <c r="O25" s="173"/>
      <c r="P25" s="173"/>
      <c r="Q25" s="173"/>
      <c r="R25" s="481">
        <v>72</v>
      </c>
      <c r="S25" s="24"/>
      <c r="T25" s="481">
        <v>15.8</v>
      </c>
      <c r="U25" s="173"/>
      <c r="V25" s="481">
        <v>6.7</v>
      </c>
      <c r="W25" s="174">
        <f t="shared" ref="W25:W26" si="13">3.6*V25</f>
        <v>24.12</v>
      </c>
      <c r="X25" s="208">
        <f>W25/AD25</f>
        <v>0.7376146788990825</v>
      </c>
      <c r="Y25" s="209"/>
      <c r="Z25" s="353">
        <f t="shared" ref="Z25:Z26" si="14">W25*R25/10</f>
        <v>173.66400000000002</v>
      </c>
      <c r="AA25" s="353"/>
      <c r="AB25" s="353">
        <f>W25*T$26/10</f>
        <v>37.386000000000003</v>
      </c>
      <c r="AC25" s="212">
        <f>Z25+AB25+AA25</f>
        <v>211.05</v>
      </c>
      <c r="AD25" s="480">
        <v>32.700000000000003</v>
      </c>
      <c r="AG25" s="37"/>
      <c r="AH25" s="37"/>
      <c r="AI25" s="37"/>
      <c r="AJ25" s="210"/>
      <c r="AK25" s="210"/>
      <c r="AL25" s="173"/>
      <c r="AM25" s="173"/>
    </row>
    <row r="26" spans="1:39" s="385" customFormat="1" x14ac:dyDescent="0.25">
      <c r="A26" s="173" t="s">
        <v>644</v>
      </c>
      <c r="B26" s="173"/>
      <c r="C26" s="173"/>
      <c r="D26" s="173"/>
      <c r="E26" s="173"/>
      <c r="F26" s="173"/>
      <c r="G26" s="173"/>
      <c r="H26" s="173"/>
      <c r="I26" s="173"/>
      <c r="J26" s="173"/>
      <c r="K26" s="173"/>
      <c r="L26" s="173"/>
      <c r="M26" s="173"/>
      <c r="N26" s="173"/>
      <c r="O26" s="173"/>
      <c r="P26" s="173"/>
      <c r="Q26" s="173"/>
      <c r="R26" s="481">
        <v>74</v>
      </c>
      <c r="S26" s="252"/>
      <c r="T26" s="482">
        <v>15.5</v>
      </c>
      <c r="U26" s="173"/>
      <c r="V26" s="481">
        <v>5.5</v>
      </c>
      <c r="W26" s="174">
        <f t="shared" si="13"/>
        <v>19.8</v>
      </c>
      <c r="X26" s="208">
        <f>W26/AD26</f>
        <v>0.56090651558073656</v>
      </c>
      <c r="Y26" s="1"/>
      <c r="Z26" s="353">
        <f t="shared" si="14"/>
        <v>146.52000000000001</v>
      </c>
      <c r="AA26" s="353"/>
      <c r="AB26" s="353">
        <f>W26*T$26/10</f>
        <v>30.690000000000005</v>
      </c>
      <c r="AC26" s="212">
        <f>Z26+AB26+AA26</f>
        <v>177.21</v>
      </c>
      <c r="AD26" s="480">
        <v>35.299999999999997</v>
      </c>
      <c r="AG26" s="37"/>
      <c r="AH26" s="37"/>
      <c r="AI26" s="37"/>
      <c r="AJ26" s="210"/>
      <c r="AK26" s="210"/>
      <c r="AL26" s="173"/>
      <c r="AM26" s="173"/>
    </row>
    <row r="27" spans="1:39" s="385" customFormat="1" x14ac:dyDescent="0.25">
      <c r="A27" s="173" t="s">
        <v>643</v>
      </c>
      <c r="B27" s="173"/>
      <c r="C27" s="173"/>
      <c r="D27" s="173"/>
      <c r="E27" s="173"/>
      <c r="F27" s="173"/>
      <c r="G27" s="173"/>
      <c r="H27" s="173"/>
      <c r="I27" s="173"/>
      <c r="J27" s="173"/>
      <c r="K27" s="173"/>
      <c r="L27" s="173"/>
      <c r="M27" s="173"/>
      <c r="N27" s="173"/>
      <c r="O27" s="173"/>
      <c r="P27" s="173"/>
      <c r="Q27" s="173"/>
      <c r="R27" s="173"/>
      <c r="S27" s="173"/>
      <c r="T27" s="173"/>
      <c r="U27" s="173"/>
      <c r="V27" s="173"/>
      <c r="W27" s="173"/>
      <c r="X27" s="173"/>
      <c r="Y27" s="173"/>
      <c r="Z27" s="353">
        <f>(Z25+Z26)/2</f>
        <v>160.09200000000001</v>
      </c>
      <c r="AA27" s="353"/>
      <c r="AB27" s="353">
        <f>(AB25+AB26)/2</f>
        <v>34.038000000000004</v>
      </c>
      <c r="AC27" s="254">
        <f>Z27+AB27+AA27</f>
        <v>194.13000000000002</v>
      </c>
      <c r="AD27" s="173"/>
      <c r="AG27" s="37"/>
      <c r="AH27" s="37"/>
      <c r="AI27" s="37"/>
      <c r="AJ27" s="210"/>
      <c r="AK27" s="210"/>
      <c r="AL27" s="173"/>
      <c r="AM27" s="173"/>
    </row>
    <row r="31" spans="1:39" s="385" customFormat="1" x14ac:dyDescent="0.25">
      <c r="A31" s="173"/>
      <c r="B31" s="173"/>
      <c r="C31" s="173"/>
      <c r="D31" s="173"/>
      <c r="E31" s="173"/>
      <c r="F31" s="173"/>
      <c r="G31" s="173"/>
      <c r="H31" s="173"/>
      <c r="I31" s="173"/>
      <c r="J31" s="173"/>
      <c r="K31" s="173"/>
      <c r="L31" s="173"/>
      <c r="M31" s="173"/>
      <c r="N31" s="173"/>
      <c r="O31" s="173"/>
      <c r="P31" s="173"/>
      <c r="Q31" s="173"/>
      <c r="R31" s="173"/>
      <c r="S31" s="173"/>
      <c r="T31" s="173"/>
      <c r="U31" s="173"/>
      <c r="V31" s="173"/>
      <c r="W31" s="173"/>
      <c r="X31" s="173"/>
      <c r="Y31" s="173"/>
      <c r="Z31" s="173"/>
      <c r="AA31" s="173"/>
      <c r="AB31" s="173"/>
      <c r="AC31" s="173"/>
      <c r="AD31" s="381"/>
      <c r="AG31" s="37"/>
      <c r="AH31" s="37"/>
      <c r="AI31" s="37"/>
      <c r="AJ31" s="210"/>
      <c r="AK31" s="210"/>
      <c r="AL31" s="173"/>
      <c r="AM31" s="173"/>
    </row>
    <row r="37" spans="1:39" s="385" customFormat="1" x14ac:dyDescent="0.25">
      <c r="A37" s="173"/>
      <c r="B37" s="173"/>
      <c r="C37" s="173"/>
      <c r="D37" s="173"/>
      <c r="E37" s="173"/>
      <c r="F37" s="173"/>
      <c r="G37" s="173"/>
      <c r="H37" s="173"/>
      <c r="I37" s="173"/>
      <c r="J37" s="173"/>
      <c r="K37" s="173"/>
      <c r="L37" s="173"/>
      <c r="M37" s="173"/>
      <c r="N37" s="173"/>
      <c r="O37" s="173"/>
      <c r="P37" s="173"/>
      <c r="Q37" s="173"/>
      <c r="R37" s="173"/>
      <c r="S37" s="173"/>
      <c r="T37" s="173"/>
      <c r="U37" s="173"/>
      <c r="V37" s="173"/>
      <c r="W37" s="173"/>
      <c r="X37" s="173"/>
      <c r="Y37" s="173"/>
      <c r="Z37" s="173"/>
      <c r="AA37" s="173"/>
      <c r="AB37" s="173"/>
      <c r="AC37" s="173"/>
      <c r="AD37" s="174"/>
      <c r="AG37" s="37"/>
      <c r="AH37" s="37"/>
      <c r="AI37" s="37"/>
      <c r="AJ37" s="210"/>
      <c r="AK37" s="210"/>
      <c r="AL37" s="173"/>
      <c r="AM37" s="173"/>
    </row>
    <row r="38" spans="1:39" s="385" customFormat="1" x14ac:dyDescent="0.25">
      <c r="A38" s="173"/>
      <c r="B38" s="173"/>
      <c r="C38" s="173"/>
      <c r="D38" s="173"/>
      <c r="E38" s="173"/>
      <c r="F38" s="173"/>
      <c r="G38" s="173"/>
      <c r="H38" s="173"/>
      <c r="I38" s="173"/>
      <c r="J38" s="173"/>
      <c r="K38" s="173"/>
      <c r="L38" s="173"/>
      <c r="M38" s="173"/>
      <c r="N38" s="173"/>
      <c r="O38" s="173"/>
      <c r="P38" s="173"/>
      <c r="Q38" s="173"/>
      <c r="R38" s="173"/>
      <c r="S38" s="173"/>
      <c r="T38" s="173"/>
      <c r="U38" s="173"/>
      <c r="V38" s="173"/>
      <c r="W38" s="173"/>
      <c r="X38" s="173"/>
      <c r="Y38" s="173"/>
      <c r="Z38" s="173"/>
      <c r="AA38" s="173"/>
      <c r="AB38" s="173"/>
      <c r="AC38" s="173"/>
      <c r="AD38" s="173"/>
      <c r="AG38" s="37"/>
      <c r="AH38" s="37"/>
      <c r="AI38" s="37"/>
      <c r="AJ38" s="210"/>
      <c r="AK38" s="210"/>
      <c r="AL38" s="173"/>
      <c r="AM38" s="173"/>
    </row>
    <row r="39" spans="1:39" s="385" customFormat="1" x14ac:dyDescent="0.25">
      <c r="A39" s="173"/>
      <c r="B39" s="173"/>
      <c r="C39" s="173"/>
      <c r="D39" s="173"/>
      <c r="E39" s="173"/>
      <c r="F39" s="173"/>
      <c r="G39" s="173"/>
      <c r="H39" s="173"/>
      <c r="I39" s="173"/>
      <c r="J39" s="173"/>
      <c r="K39" s="173"/>
      <c r="L39" s="173"/>
      <c r="M39" s="173"/>
      <c r="N39" s="173"/>
      <c r="O39" s="173"/>
      <c r="P39" s="173"/>
      <c r="Q39" s="173"/>
      <c r="R39" s="173"/>
      <c r="S39" s="173"/>
      <c r="T39" s="173"/>
      <c r="U39" s="173"/>
      <c r="V39" s="173"/>
      <c r="W39" s="173"/>
      <c r="X39" s="173"/>
      <c r="Y39" s="173"/>
      <c r="Z39" s="173"/>
      <c r="AA39" s="173"/>
      <c r="AB39" s="173"/>
      <c r="AC39" s="173"/>
      <c r="AD39" s="173"/>
      <c r="AG39" s="37"/>
      <c r="AH39" s="37"/>
      <c r="AI39" s="37"/>
      <c r="AJ39" s="210"/>
      <c r="AK39" s="210"/>
      <c r="AL39" s="173"/>
      <c r="AM39" s="173"/>
    </row>
    <row r="40" spans="1:39" s="385" customFormat="1" x14ac:dyDescent="0.25">
      <c r="A40" s="173"/>
      <c r="B40" s="173"/>
      <c r="C40" s="173"/>
      <c r="D40" s="173"/>
      <c r="E40" s="173"/>
      <c r="F40" s="173"/>
      <c r="G40" s="173"/>
      <c r="H40" s="173"/>
      <c r="I40" s="173"/>
      <c r="J40" s="173"/>
      <c r="K40" s="173"/>
      <c r="L40" s="173"/>
      <c r="M40" s="173"/>
      <c r="N40" s="173"/>
      <c r="O40" s="173"/>
      <c r="P40" s="173"/>
      <c r="Q40" s="173"/>
      <c r="R40" s="173"/>
      <c r="S40" s="173"/>
      <c r="T40" s="173"/>
      <c r="U40" s="173"/>
      <c r="V40" s="173"/>
      <c r="W40" s="173"/>
      <c r="X40" s="173"/>
      <c r="Y40" s="173"/>
      <c r="Z40" s="173"/>
      <c r="AA40" s="173"/>
      <c r="AB40" s="173"/>
      <c r="AC40" s="173"/>
      <c r="AD40" s="173"/>
      <c r="AG40" s="37"/>
      <c r="AH40" s="37"/>
      <c r="AI40" s="37"/>
      <c r="AJ40" s="210"/>
      <c r="AK40" s="210"/>
      <c r="AL40" s="173"/>
      <c r="AM40" s="173"/>
    </row>
    <row r="41" spans="1:39" s="385" customFormat="1" x14ac:dyDescent="0.25">
      <c r="A41" s="173"/>
      <c r="B41" s="173"/>
      <c r="C41" s="173"/>
      <c r="D41" s="173"/>
      <c r="E41" s="173"/>
      <c r="F41" s="173"/>
      <c r="G41" s="173"/>
      <c r="H41" s="173"/>
      <c r="I41" s="173"/>
      <c r="J41" s="173"/>
      <c r="K41" s="173"/>
      <c r="L41" s="173"/>
      <c r="M41" s="173"/>
      <c r="N41" s="173"/>
      <c r="O41" s="173"/>
      <c r="P41" s="173"/>
      <c r="Q41" s="173"/>
      <c r="R41" s="173"/>
      <c r="S41" s="173"/>
      <c r="T41" s="173"/>
      <c r="U41" s="173"/>
      <c r="V41" s="173"/>
      <c r="W41" s="173"/>
      <c r="X41" s="173"/>
      <c r="Y41" s="173"/>
      <c r="Z41" s="173"/>
      <c r="AA41" s="173"/>
      <c r="AB41" s="173"/>
      <c r="AC41" s="173"/>
      <c r="AD41" s="173"/>
      <c r="AG41" s="37"/>
      <c r="AH41" s="37"/>
      <c r="AI41" s="37"/>
      <c r="AJ41" s="210"/>
      <c r="AK41" s="210"/>
      <c r="AL41" s="173"/>
      <c r="AM41" s="173"/>
    </row>
    <row r="42" spans="1:39" s="385" customFormat="1" x14ac:dyDescent="0.25">
      <c r="A42" s="173"/>
      <c r="B42" s="173"/>
      <c r="C42" s="173"/>
      <c r="D42" s="173"/>
      <c r="E42" s="173"/>
      <c r="F42" s="173"/>
      <c r="G42" s="173"/>
      <c r="H42" s="173"/>
      <c r="I42" s="173"/>
      <c r="J42" s="173"/>
      <c r="K42" s="173"/>
      <c r="L42" s="173"/>
      <c r="M42" s="173"/>
      <c r="N42" s="173"/>
      <c r="O42" s="173"/>
      <c r="P42" s="173"/>
      <c r="Q42" s="173"/>
      <c r="R42" s="173"/>
      <c r="S42" s="173"/>
      <c r="T42" s="173"/>
      <c r="U42" s="173"/>
      <c r="V42" s="173"/>
      <c r="W42" s="173"/>
      <c r="X42" s="173"/>
      <c r="Y42" s="173"/>
      <c r="Z42" s="173"/>
      <c r="AA42" s="173"/>
      <c r="AB42" s="173"/>
      <c r="AC42" s="173"/>
      <c r="AD42" s="173"/>
      <c r="AG42" s="37"/>
      <c r="AH42" s="37"/>
      <c r="AI42" s="37"/>
      <c r="AJ42" s="210"/>
      <c r="AK42" s="210"/>
      <c r="AL42" s="173"/>
      <c r="AM42" s="173"/>
    </row>
    <row r="43" spans="1:39" s="385" customFormat="1" x14ac:dyDescent="0.25">
      <c r="A43" s="173"/>
      <c r="B43" s="173"/>
      <c r="C43" s="173"/>
      <c r="D43" s="173"/>
      <c r="E43" s="173"/>
      <c r="F43" s="173"/>
      <c r="G43" s="173"/>
      <c r="H43" s="173"/>
      <c r="I43" s="173"/>
      <c r="J43" s="173"/>
      <c r="K43" s="173"/>
      <c r="L43" s="173"/>
      <c r="M43" s="173"/>
      <c r="N43" s="173"/>
      <c r="O43" s="173"/>
      <c r="P43" s="173"/>
      <c r="Q43" s="173"/>
      <c r="R43" s="173"/>
      <c r="S43" s="173"/>
      <c r="T43" s="173"/>
      <c r="U43" s="173"/>
      <c r="V43" s="173"/>
      <c r="W43" s="173"/>
      <c r="X43" s="173"/>
      <c r="Y43" s="173"/>
      <c r="Z43" s="173"/>
      <c r="AA43" s="173"/>
      <c r="AB43" s="173"/>
      <c r="AC43" s="173"/>
      <c r="AD43" s="173"/>
      <c r="AG43" s="37"/>
      <c r="AH43" s="37"/>
      <c r="AI43" s="37"/>
      <c r="AJ43" s="210"/>
      <c r="AK43" s="210"/>
      <c r="AL43" s="173"/>
      <c r="AM43" s="173"/>
    </row>
    <row r="44" spans="1:39" s="385" customFormat="1" x14ac:dyDescent="0.25">
      <c r="A44" s="173"/>
      <c r="B44" s="173"/>
      <c r="C44" s="173"/>
      <c r="D44" s="173"/>
      <c r="E44" s="173"/>
      <c r="F44" s="173"/>
      <c r="G44" s="173"/>
      <c r="H44" s="173"/>
      <c r="I44" s="173"/>
      <c r="J44" s="173"/>
      <c r="K44" s="173"/>
      <c r="L44" s="173"/>
      <c r="M44" s="173"/>
      <c r="N44" s="173"/>
      <c r="O44" s="173"/>
      <c r="P44" s="173"/>
      <c r="Q44" s="173"/>
      <c r="R44" s="173"/>
      <c r="S44" s="173"/>
      <c r="T44" s="173"/>
      <c r="U44" s="173"/>
      <c r="V44" s="173"/>
      <c r="W44" s="173"/>
      <c r="X44" s="173"/>
      <c r="Y44" s="173"/>
      <c r="Z44" s="173"/>
      <c r="AA44" s="173"/>
      <c r="AB44" s="173"/>
      <c r="AC44" s="173"/>
      <c r="AD44" s="173"/>
      <c r="AG44" s="37"/>
      <c r="AH44" s="37"/>
      <c r="AI44" s="37"/>
      <c r="AJ44" s="210"/>
      <c r="AK44" s="210"/>
      <c r="AL44" s="173"/>
      <c r="AM44" s="173"/>
    </row>
    <row r="45" spans="1:39" s="385" customFormat="1" x14ac:dyDescent="0.25">
      <c r="A45" s="173"/>
      <c r="B45" s="173"/>
      <c r="C45" s="173"/>
      <c r="D45" s="173"/>
      <c r="E45" s="173"/>
      <c r="F45" s="173"/>
      <c r="G45" s="173"/>
      <c r="H45" s="173"/>
      <c r="I45" s="173"/>
      <c r="J45" s="173"/>
      <c r="K45" s="173"/>
      <c r="L45" s="173"/>
      <c r="M45" s="173"/>
      <c r="N45" s="173"/>
      <c r="O45" s="173"/>
      <c r="P45" s="173"/>
      <c r="Q45" s="173"/>
      <c r="R45" s="173"/>
      <c r="S45" s="173"/>
      <c r="T45" s="173"/>
      <c r="U45" s="173"/>
      <c r="V45" s="173"/>
      <c r="W45" s="173"/>
      <c r="X45" s="173"/>
      <c r="Y45" s="173"/>
      <c r="Z45" s="173"/>
      <c r="AA45" s="173"/>
      <c r="AB45" s="173"/>
      <c r="AC45" s="173"/>
      <c r="AD45" s="173"/>
      <c r="AG45" s="37"/>
      <c r="AH45" s="37"/>
      <c r="AI45" s="37"/>
      <c r="AJ45" s="210"/>
      <c r="AK45" s="210"/>
      <c r="AL45" s="173"/>
      <c r="AM45" s="173"/>
    </row>
    <row r="46" spans="1:39" s="385" customFormat="1" x14ac:dyDescent="0.25">
      <c r="A46" s="173"/>
      <c r="B46" s="173"/>
      <c r="C46" s="173"/>
      <c r="D46" s="173"/>
      <c r="E46" s="173"/>
      <c r="F46" s="173"/>
      <c r="G46" s="173"/>
      <c r="H46" s="173"/>
      <c r="I46" s="173"/>
      <c r="J46" s="173"/>
      <c r="K46" s="173"/>
      <c r="L46" s="173"/>
      <c r="M46" s="173"/>
      <c r="N46" s="173"/>
      <c r="O46" s="173"/>
      <c r="P46" s="173"/>
      <c r="Q46" s="173"/>
      <c r="R46" s="173"/>
      <c r="S46" s="173"/>
      <c r="T46" s="173"/>
      <c r="U46" s="173"/>
      <c r="V46" s="173"/>
      <c r="W46" s="173"/>
      <c r="X46" s="173"/>
      <c r="Y46" s="173"/>
      <c r="Z46" s="173"/>
      <c r="AA46" s="173"/>
      <c r="AB46" s="173"/>
      <c r="AC46" s="173"/>
      <c r="AD46" s="174"/>
      <c r="AG46" s="37"/>
      <c r="AH46" s="37"/>
      <c r="AI46" s="37"/>
      <c r="AJ46" s="210"/>
      <c r="AK46" s="210"/>
      <c r="AL46" s="173"/>
      <c r="AM46" s="173"/>
    </row>
    <row r="47" spans="1:39" s="385" customFormat="1" x14ac:dyDescent="0.25">
      <c r="A47" s="173"/>
      <c r="B47" s="173"/>
      <c r="C47" s="173"/>
      <c r="D47" s="173"/>
      <c r="E47" s="173"/>
      <c r="F47" s="173"/>
      <c r="G47" s="173"/>
      <c r="H47" s="173"/>
      <c r="I47" s="173"/>
      <c r="J47" s="173"/>
      <c r="K47" s="173"/>
      <c r="L47" s="173"/>
      <c r="M47" s="173"/>
      <c r="N47" s="173"/>
      <c r="O47" s="173"/>
      <c r="P47" s="173"/>
      <c r="Q47" s="173"/>
      <c r="R47" s="173"/>
      <c r="S47" s="173"/>
      <c r="T47" s="173"/>
      <c r="U47" s="173"/>
      <c r="V47" s="173"/>
      <c r="W47" s="173"/>
      <c r="X47" s="173"/>
      <c r="Y47" s="173"/>
      <c r="Z47" s="173"/>
      <c r="AA47" s="173"/>
      <c r="AB47" s="173"/>
      <c r="AC47" s="173"/>
      <c r="AD47" s="173"/>
      <c r="AG47" s="37"/>
      <c r="AH47" s="37"/>
      <c r="AI47" s="37"/>
      <c r="AJ47" s="210"/>
      <c r="AK47" s="210"/>
      <c r="AL47" s="173"/>
      <c r="AM47" s="173"/>
    </row>
    <row r="48" spans="1:39" s="385" customFormat="1" x14ac:dyDescent="0.25">
      <c r="A48" s="173"/>
      <c r="B48" s="173"/>
      <c r="C48" s="173"/>
      <c r="D48" s="173"/>
      <c r="E48" s="173"/>
      <c r="F48" s="173"/>
      <c r="G48" s="173"/>
      <c r="H48" s="173"/>
      <c r="I48" s="173"/>
      <c r="J48" s="173"/>
      <c r="K48" s="173"/>
      <c r="L48" s="173"/>
      <c r="M48" s="173"/>
      <c r="N48" s="173"/>
      <c r="O48" s="173"/>
      <c r="P48" s="173"/>
      <c r="Q48" s="173"/>
      <c r="R48" s="173"/>
      <c r="S48" s="173"/>
      <c r="T48" s="173"/>
      <c r="U48" s="173"/>
      <c r="V48" s="173"/>
      <c r="W48" s="173"/>
      <c r="X48" s="173"/>
      <c r="Y48" s="173"/>
      <c r="Z48" s="173"/>
      <c r="AA48" s="173"/>
      <c r="AB48" s="173"/>
      <c r="AC48" s="173"/>
      <c r="AD48" s="173"/>
      <c r="AG48" s="37"/>
      <c r="AH48" s="37"/>
      <c r="AI48" s="37"/>
      <c r="AJ48" s="210"/>
      <c r="AK48" s="210"/>
      <c r="AL48" s="173"/>
      <c r="AM48" s="173"/>
    </row>
    <row r="49" spans="1:39" s="385" customFormat="1" x14ac:dyDescent="0.25">
      <c r="A49" s="173"/>
      <c r="B49" s="173"/>
      <c r="C49" s="173"/>
      <c r="D49" s="173"/>
      <c r="E49" s="173"/>
      <c r="F49" s="173"/>
      <c r="G49" s="173"/>
      <c r="H49" s="173"/>
      <c r="I49" s="173"/>
      <c r="J49" s="173"/>
      <c r="K49" s="173"/>
      <c r="L49" s="173"/>
      <c r="M49" s="173"/>
      <c r="N49" s="173"/>
      <c r="O49" s="173"/>
      <c r="P49" s="173"/>
      <c r="Q49" s="173"/>
      <c r="R49" s="173"/>
      <c r="S49" s="173"/>
      <c r="T49" s="173"/>
      <c r="U49" s="173"/>
      <c r="V49" s="173"/>
      <c r="W49" s="173"/>
      <c r="X49" s="173"/>
      <c r="Y49" s="173"/>
      <c r="Z49" s="173"/>
      <c r="AA49" s="173"/>
      <c r="AB49" s="173"/>
      <c r="AC49" s="173"/>
      <c r="AD49" s="173"/>
      <c r="AG49" s="37"/>
      <c r="AH49" s="37"/>
      <c r="AI49" s="37"/>
      <c r="AJ49" s="210"/>
      <c r="AK49" s="210"/>
      <c r="AL49" s="173"/>
      <c r="AM49" s="173"/>
    </row>
    <row r="50" spans="1:39" s="385" customFormat="1" x14ac:dyDescent="0.25">
      <c r="A50" s="173"/>
      <c r="B50" s="173"/>
      <c r="C50" s="173"/>
      <c r="D50" s="173"/>
      <c r="E50" s="173"/>
      <c r="F50" s="173"/>
      <c r="G50" s="173"/>
      <c r="H50" s="173"/>
      <c r="I50" s="173"/>
      <c r="J50" s="173"/>
      <c r="K50" s="173"/>
      <c r="L50" s="173"/>
      <c r="M50" s="173"/>
      <c r="N50" s="173"/>
      <c r="O50" s="173"/>
      <c r="P50" s="173"/>
      <c r="Q50" s="173"/>
      <c r="R50" s="173"/>
      <c r="S50" s="173"/>
      <c r="T50" s="173"/>
      <c r="U50" s="173"/>
      <c r="V50" s="173"/>
      <c r="W50" s="173"/>
      <c r="X50" s="173"/>
      <c r="Y50" s="173"/>
      <c r="Z50" s="173"/>
      <c r="AA50" s="173"/>
      <c r="AB50" s="173"/>
      <c r="AC50" s="173"/>
      <c r="AD50" s="173"/>
      <c r="AG50" s="37"/>
      <c r="AH50" s="37"/>
      <c r="AI50" s="37"/>
      <c r="AJ50" s="210"/>
      <c r="AK50" s="210"/>
      <c r="AL50" s="173"/>
      <c r="AM50" s="173"/>
    </row>
    <row r="51" spans="1:39" s="385" customFormat="1" x14ac:dyDescent="0.25">
      <c r="A51" s="173"/>
      <c r="B51" s="173"/>
      <c r="C51" s="173"/>
      <c r="D51" s="173"/>
      <c r="E51" s="173"/>
      <c r="F51" s="173"/>
      <c r="G51" s="173"/>
      <c r="H51" s="173"/>
      <c r="I51" s="173"/>
      <c r="J51" s="173"/>
      <c r="K51" s="173"/>
      <c r="L51" s="173"/>
      <c r="M51" s="173"/>
      <c r="N51" s="173"/>
      <c r="O51" s="173"/>
      <c r="P51" s="173"/>
      <c r="Q51" s="173"/>
      <c r="R51" s="173"/>
      <c r="S51" s="173"/>
      <c r="T51" s="173"/>
      <c r="U51" s="173"/>
      <c r="V51" s="173"/>
      <c r="W51" s="173"/>
      <c r="X51" s="173"/>
      <c r="Y51" s="173"/>
      <c r="Z51" s="173"/>
      <c r="AA51" s="173"/>
      <c r="AB51" s="173"/>
      <c r="AC51" s="173"/>
      <c r="AD51" s="173"/>
      <c r="AG51" s="37"/>
      <c r="AH51" s="37"/>
      <c r="AI51" s="37"/>
      <c r="AJ51" s="210"/>
      <c r="AK51" s="210"/>
      <c r="AL51" s="173"/>
      <c r="AM51" s="173"/>
    </row>
  </sheetData>
  <pageMargins left="0.7" right="0.7" top="0.75" bottom="0.75" header="0.3" footer="0.3"/>
  <pageSetup paperSize="9"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M51"/>
  <sheetViews>
    <sheetView workbookViewId="0">
      <pane xSplit="1" ySplit="4" topLeftCell="B5" activePane="bottomRight" state="frozen"/>
      <selection activeCell="AA10" sqref="AA10"/>
      <selection pane="topRight" activeCell="AA10" sqref="AA10"/>
      <selection pane="bottomLeft" activeCell="AA10" sqref="AA10"/>
      <selection pane="bottomRight" activeCell="B10" sqref="B10"/>
    </sheetView>
  </sheetViews>
  <sheetFormatPr defaultColWidth="9" defaultRowHeight="12" x14ac:dyDescent="0.25"/>
  <cols>
    <col min="1" max="1" width="30.6640625" style="173" customWidth="1"/>
    <col min="2" max="5" width="6.33203125" style="173" customWidth="1"/>
    <col min="6" max="7" width="6.6640625" style="173" customWidth="1"/>
    <col min="8" max="8" width="8.6640625" style="173" customWidth="1"/>
    <col min="9" max="9" width="8" style="173" customWidth="1"/>
    <col min="10" max="10" width="7.44140625" style="173" customWidth="1"/>
    <col min="11" max="11" width="10.5546875" style="173" customWidth="1"/>
    <col min="12" max="14" width="6.88671875" style="173" customWidth="1"/>
    <col min="15" max="15" width="8.5546875" style="173" customWidth="1"/>
    <col min="16" max="16" width="7.33203125" style="173" customWidth="1"/>
    <col min="17" max="17" width="9.6640625" style="173" customWidth="1"/>
    <col min="18" max="18" width="8.33203125" style="173" customWidth="1"/>
    <col min="19" max="20" width="7.6640625" style="173" customWidth="1"/>
    <col min="21" max="21" width="6.33203125" style="173" customWidth="1"/>
    <col min="22" max="24" width="4.5546875" style="173" customWidth="1"/>
    <col min="25" max="25" width="8.109375" style="173" customWidth="1"/>
    <col min="26" max="29" width="8.6640625" style="173" customWidth="1"/>
    <col min="30" max="30" width="6.5546875" style="173" customWidth="1"/>
    <col min="31" max="32" width="6.6640625" style="385" customWidth="1"/>
    <col min="33" max="35" width="9.6640625" style="37" customWidth="1"/>
    <col min="36" max="37" width="9.6640625" style="210" customWidth="1"/>
    <col min="38" max="16384" width="9" style="173"/>
  </cols>
  <sheetData>
    <row r="1" spans="1:39" s="424" customFormat="1" ht="15.6" x14ac:dyDescent="0.3">
      <c r="A1" s="359" t="s">
        <v>649</v>
      </c>
      <c r="F1" s="361"/>
      <c r="R1" s="384"/>
      <c r="S1" s="384"/>
      <c r="T1" s="384"/>
      <c r="W1" s="384"/>
      <c r="X1" s="384"/>
      <c r="Y1" s="408"/>
      <c r="AE1" s="426"/>
      <c r="AF1" s="426"/>
      <c r="AG1" s="425"/>
      <c r="AH1" s="425"/>
      <c r="AI1" s="425"/>
      <c r="AJ1" s="427"/>
      <c r="AK1" s="427"/>
    </row>
    <row r="2" spans="1:39" s="2" customFormat="1" ht="14.4" x14ac:dyDescent="0.3">
      <c r="B2" s="358" t="s">
        <v>687</v>
      </c>
      <c r="C2" s="389"/>
      <c r="D2" s="389"/>
      <c r="E2" s="389"/>
      <c r="G2" s="388"/>
      <c r="H2" s="388"/>
      <c r="I2" s="388" t="s">
        <v>826</v>
      </c>
      <c r="J2" s="388"/>
      <c r="K2" s="388"/>
      <c r="L2" s="388" t="s">
        <v>686</v>
      </c>
      <c r="M2" s="388"/>
      <c r="N2" s="388"/>
      <c r="O2" s="388"/>
      <c r="P2" s="388"/>
      <c r="Q2" s="388"/>
      <c r="R2" s="2" t="s">
        <v>685</v>
      </c>
      <c r="V2" s="2" t="s">
        <v>684</v>
      </c>
      <c r="Z2" s="2" t="s">
        <v>683</v>
      </c>
      <c r="AD2" s="358" t="s">
        <v>641</v>
      </c>
      <c r="AE2" s="27"/>
      <c r="AF2" s="27"/>
      <c r="AG2" s="358" t="s">
        <v>682</v>
      </c>
      <c r="AH2" s="358"/>
      <c r="AI2" s="358"/>
      <c r="AJ2" s="357"/>
      <c r="AK2" s="357"/>
    </row>
    <row r="3" spans="1:39" s="1" customFormat="1" x14ac:dyDescent="0.25">
      <c r="B3" s="9" t="s">
        <v>583</v>
      </c>
      <c r="C3" s="9"/>
      <c r="D3" s="9"/>
      <c r="E3" s="9"/>
      <c r="F3" s="9" t="s">
        <v>681</v>
      </c>
      <c r="H3" s="9" t="s">
        <v>680</v>
      </c>
      <c r="I3" s="9"/>
      <c r="J3" s="9"/>
      <c r="K3" s="9"/>
      <c r="L3" s="9" t="s">
        <v>679</v>
      </c>
      <c r="M3" s="9"/>
      <c r="N3" s="9" t="s">
        <v>678</v>
      </c>
      <c r="O3" s="9"/>
      <c r="P3" s="9" t="s">
        <v>813</v>
      </c>
      <c r="Q3" s="9"/>
      <c r="R3" s="9" t="s">
        <v>676</v>
      </c>
      <c r="S3" s="9" t="s">
        <v>742</v>
      </c>
      <c r="T3" s="9" t="s">
        <v>680</v>
      </c>
      <c r="U3" s="9" t="s">
        <v>611</v>
      </c>
      <c r="V3" s="9" t="s">
        <v>677</v>
      </c>
      <c r="W3" s="9"/>
      <c r="X3" s="9"/>
      <c r="Z3" s="9" t="s">
        <v>676</v>
      </c>
      <c r="AA3" s="9" t="s">
        <v>742</v>
      </c>
      <c r="AB3" s="9" t="s">
        <v>680</v>
      </c>
      <c r="AC3" s="1" t="s">
        <v>611</v>
      </c>
      <c r="AD3" s="3"/>
      <c r="AE3" s="4"/>
      <c r="AF3" s="4"/>
      <c r="AG3" s="9" t="s">
        <v>675</v>
      </c>
      <c r="AH3" s="9"/>
      <c r="AI3" s="9"/>
      <c r="AJ3" s="66"/>
      <c r="AK3" s="59"/>
    </row>
    <row r="4" spans="1:39" s="150" customFormat="1" ht="84" customHeight="1" x14ac:dyDescent="0.25">
      <c r="B4" s="150" t="s">
        <v>674</v>
      </c>
      <c r="C4" s="150" t="s">
        <v>673</v>
      </c>
      <c r="D4" s="150" t="s">
        <v>672</v>
      </c>
      <c r="E4" s="150" t="s">
        <v>671</v>
      </c>
      <c r="F4" s="4" t="s">
        <v>670</v>
      </c>
      <c r="G4" s="4" t="s">
        <v>669</v>
      </c>
      <c r="H4" s="4" t="s">
        <v>668</v>
      </c>
      <c r="I4" s="4" t="s">
        <v>827</v>
      </c>
      <c r="J4" s="4" t="s">
        <v>828</v>
      </c>
      <c r="K4" s="4" t="s">
        <v>829</v>
      </c>
      <c r="L4" s="4" t="s">
        <v>667</v>
      </c>
      <c r="M4" s="4" t="s">
        <v>666</v>
      </c>
      <c r="N4" s="4" t="s">
        <v>665</v>
      </c>
      <c r="O4" s="4" t="s">
        <v>664</v>
      </c>
      <c r="P4" s="4" t="s">
        <v>815</v>
      </c>
      <c r="Q4" s="60" t="s">
        <v>814</v>
      </c>
      <c r="R4" s="4" t="s">
        <v>663</v>
      </c>
      <c r="S4" s="4" t="s">
        <v>663</v>
      </c>
      <c r="T4" s="4" t="s">
        <v>663</v>
      </c>
      <c r="U4" s="4" t="s">
        <v>662</v>
      </c>
      <c r="V4" s="4" t="s">
        <v>661</v>
      </c>
      <c r="W4" s="4" t="s">
        <v>660</v>
      </c>
      <c r="X4" s="4" t="s">
        <v>659</v>
      </c>
      <c r="Y4" s="4" t="s">
        <v>658</v>
      </c>
      <c r="Z4" s="4" t="s">
        <v>657</v>
      </c>
      <c r="AA4" s="4" t="s">
        <v>657</v>
      </c>
      <c r="AB4" s="4" t="s">
        <v>657</v>
      </c>
      <c r="AC4" s="4" t="s">
        <v>656</v>
      </c>
      <c r="AD4" s="4" t="s">
        <v>624</v>
      </c>
      <c r="AE4" s="5" t="s">
        <v>825</v>
      </c>
      <c r="AG4" s="4" t="s">
        <v>655</v>
      </c>
      <c r="AH4" s="4" t="s">
        <v>654</v>
      </c>
      <c r="AI4" s="4" t="s">
        <v>653</v>
      </c>
      <c r="AJ4" s="60"/>
      <c r="AK4" s="60"/>
    </row>
    <row r="5" spans="1:39" x14ac:dyDescent="0.25">
      <c r="F5" s="37"/>
      <c r="G5" s="37"/>
      <c r="H5" s="37"/>
      <c r="I5" s="37"/>
      <c r="J5" s="37"/>
      <c r="K5" s="37"/>
      <c r="L5" s="37"/>
      <c r="M5" s="37"/>
      <c r="N5" s="37"/>
      <c r="O5" s="37"/>
      <c r="P5" s="37"/>
      <c r="Q5" s="37"/>
    </row>
    <row r="6" spans="1:39" ht="14.4" x14ac:dyDescent="0.3">
      <c r="A6" s="2" t="s">
        <v>652</v>
      </c>
      <c r="F6" s="37"/>
      <c r="G6" s="37"/>
      <c r="H6" s="37"/>
      <c r="I6" s="37"/>
      <c r="J6" s="37"/>
      <c r="K6" s="37"/>
      <c r="L6" s="37"/>
      <c r="M6" s="37"/>
      <c r="N6" s="37"/>
      <c r="O6" s="37"/>
      <c r="P6" s="37"/>
      <c r="Q6" s="37"/>
    </row>
    <row r="7" spans="1:39" x14ac:dyDescent="0.25">
      <c r="AG7" s="55"/>
      <c r="AH7" s="55"/>
    </row>
    <row r="8" spans="1:39" x14ac:dyDescent="0.25">
      <c r="A8" s="1" t="s">
        <v>651</v>
      </c>
      <c r="AG8" s="55"/>
      <c r="AH8" s="55"/>
    </row>
    <row r="9" spans="1:39" x14ac:dyDescent="0.25">
      <c r="A9" s="173" t="s">
        <v>650</v>
      </c>
      <c r="B9" s="9">
        <v>1300</v>
      </c>
      <c r="C9" s="453">
        <v>0.16</v>
      </c>
      <c r="D9" s="387">
        <v>0.75</v>
      </c>
      <c r="E9" s="353">
        <f>B9*C9*D9</f>
        <v>156</v>
      </c>
      <c r="F9" s="252">
        <v>2.8</v>
      </c>
      <c r="G9" s="174">
        <f>44/12*F9</f>
        <v>10.266666666666666</v>
      </c>
      <c r="H9" s="366">
        <v>30</v>
      </c>
      <c r="I9" s="7">
        <v>4</v>
      </c>
      <c r="J9" s="366">
        <v>300</v>
      </c>
      <c r="K9" s="353">
        <f>I9/12*J9</f>
        <v>100</v>
      </c>
      <c r="L9" s="366">
        <v>60</v>
      </c>
      <c r="M9" s="209">
        <v>0.14000000000000001</v>
      </c>
      <c r="N9" s="366">
        <v>75</v>
      </c>
      <c r="O9" s="381">
        <f>(L9/M9)*N9/3.6/20000</f>
        <v>0.4464285714285714</v>
      </c>
      <c r="P9" s="381">
        <f>H9/10^3</f>
        <v>0.03</v>
      </c>
      <c r="Q9" s="211">
        <f>10^3*P9*O9/10</f>
        <v>1.3392857142857142</v>
      </c>
      <c r="R9" s="174">
        <f>10^2*G9/E9/3.6</f>
        <v>1.8281101614434945</v>
      </c>
      <c r="S9" s="212"/>
      <c r="T9" s="163">
        <f>(H9+K9)/3.6</f>
        <v>36.111111111111107</v>
      </c>
      <c r="U9" s="353">
        <f>R9+T9</f>
        <v>37.939221272554605</v>
      </c>
      <c r="AG9" s="55"/>
      <c r="AH9" s="55"/>
    </row>
    <row r="10" spans="1:39" x14ac:dyDescent="0.25">
      <c r="S10" s="6"/>
      <c r="T10" s="6"/>
    </row>
    <row r="11" spans="1:39" ht="14.4" x14ac:dyDescent="0.3">
      <c r="A11" s="2" t="s">
        <v>649</v>
      </c>
      <c r="AG11" s="26"/>
      <c r="AH11" s="26"/>
    </row>
    <row r="12" spans="1:39" x14ac:dyDescent="0.25">
      <c r="AC12" s="447"/>
      <c r="AG12" s="26"/>
      <c r="AH12" s="26"/>
    </row>
    <row r="13" spans="1:39" x14ac:dyDescent="0.25">
      <c r="A13" s="1" t="s">
        <v>648</v>
      </c>
      <c r="AC13" s="446"/>
    </row>
    <row r="14" spans="1:39" ht="24" x14ac:dyDescent="0.25">
      <c r="A14" s="150" t="s">
        <v>769</v>
      </c>
      <c r="V14" s="7">
        <v>2</v>
      </c>
      <c r="W14" s="174">
        <f>3.6*V14</f>
        <v>7.2</v>
      </c>
      <c r="Z14" s="174">
        <f>W14*R9/10</f>
        <v>1.316239316239316</v>
      </c>
      <c r="AB14" s="211">
        <f>W14*T9/10+Q9</f>
        <v>27.339285714285715</v>
      </c>
      <c r="AC14" s="339">
        <f t="shared" ref="AC14" si="0">Z14+AB14+AA14</f>
        <v>28.65552503052503</v>
      </c>
    </row>
    <row r="15" spans="1:39" x14ac:dyDescent="0.25">
      <c r="V15" s="174"/>
    </row>
    <row r="16" spans="1:39" s="385" customFormat="1" x14ac:dyDescent="0.25">
      <c r="A16" s="1" t="s">
        <v>647</v>
      </c>
      <c r="B16" s="1"/>
      <c r="C16" s="1"/>
      <c r="D16" s="1"/>
      <c r="E16" s="1"/>
      <c r="F16" s="1"/>
      <c r="G16" s="1"/>
      <c r="H16" s="1"/>
      <c r="I16" s="1"/>
      <c r="J16" s="1"/>
      <c r="K16" s="1"/>
      <c r="L16" s="1"/>
      <c r="M16" s="1"/>
      <c r="N16" s="1"/>
      <c r="O16" s="1"/>
      <c r="P16" s="1"/>
      <c r="Q16" s="1"/>
      <c r="R16" s="1"/>
      <c r="S16" s="1"/>
      <c r="T16" s="1"/>
      <c r="U16" s="1"/>
      <c r="V16" s="7"/>
      <c r="W16" s="1"/>
      <c r="X16" s="1"/>
      <c r="Y16" s="1"/>
      <c r="Z16" s="1"/>
      <c r="AA16" s="1"/>
      <c r="AB16" s="1"/>
      <c r="AC16" s="1"/>
      <c r="AD16" s="173"/>
      <c r="AG16" s="37"/>
      <c r="AH16" s="37"/>
      <c r="AI16" s="37"/>
      <c r="AJ16" s="210"/>
      <c r="AK16" s="210"/>
      <c r="AL16" s="173"/>
      <c r="AM16" s="173"/>
    </row>
    <row r="17" spans="1:39" s="385" customFormat="1" ht="24" x14ac:dyDescent="0.25">
      <c r="A17" s="150" t="s">
        <v>775</v>
      </c>
      <c r="B17" s="173"/>
      <c r="C17" s="173"/>
      <c r="D17" s="173"/>
      <c r="E17" s="173"/>
      <c r="F17" s="173"/>
      <c r="G17" s="173"/>
      <c r="H17" s="173"/>
      <c r="I17" s="173"/>
      <c r="J17" s="173"/>
      <c r="K17" s="173"/>
      <c r="L17" s="173"/>
      <c r="M17" s="173"/>
      <c r="N17" s="173"/>
      <c r="O17" s="173"/>
      <c r="P17" s="173"/>
      <c r="Q17" s="173"/>
      <c r="R17" s="386">
        <f>'Summary DISCOUNTED'!$BD$140</f>
        <v>286.74503590897939</v>
      </c>
      <c r="S17" s="373">
        <f>'Summary DISCOUNTED'!$BT$140</f>
        <v>8.3646172275241142</v>
      </c>
      <c r="T17" s="386">
        <f>'Summary DISCOUNTED'!$BV$140</f>
        <v>27.488264342860891</v>
      </c>
      <c r="U17" s="353">
        <f>R17+T17</f>
        <v>314.23330025184026</v>
      </c>
      <c r="V17" s="7">
        <v>5.5</v>
      </c>
      <c r="W17" s="174">
        <f t="shared" ref="W17:W22" si="1">3.6*V17</f>
        <v>19.8</v>
      </c>
      <c r="X17" s="208">
        <f t="shared" ref="X17:X22" si="2">W17/AD17</f>
        <v>0.59804276911924603</v>
      </c>
      <c r="Y17" s="208">
        <f>X17/X$26</f>
        <v>1.0662075631267365</v>
      </c>
      <c r="Z17" s="353">
        <f t="shared" ref="Z17:Z22" si="3">W17*R17/10</f>
        <v>567.7551710997792</v>
      </c>
      <c r="AA17" s="353">
        <f t="shared" ref="AA17:AA22" si="4">W17*S17/10</f>
        <v>16.561942110497746</v>
      </c>
      <c r="AB17" s="353">
        <f t="shared" ref="AB17:AB22" si="5">W17*T17/10</f>
        <v>54.426763398864566</v>
      </c>
      <c r="AC17" s="254">
        <f t="shared" ref="AC17:AC22" si="6">Z17+AB17+AA17</f>
        <v>638.74387660914147</v>
      </c>
      <c r="AD17" s="483">
        <f>'Crops proc. &amp; prod. DISCOUNTED'!NZ134</f>
        <v>33.108000000000004</v>
      </c>
      <c r="AE17" s="57">
        <f t="shared" ref="AE17:AE21" si="7">AC17/AC$27-1</f>
        <v>2.290289376238301</v>
      </c>
      <c r="AG17" s="69">
        <f>(AC$26-AB17)/Z17</f>
        <v>0.21626088647206193</v>
      </c>
      <c r="AH17" s="69">
        <f t="shared" ref="AH17:AH22" si="8">1-AG17</f>
        <v>0.78373911352793812</v>
      </c>
      <c r="AI17" s="26">
        <f t="shared" ref="AI17:AI22" si="9">1/AG17</f>
        <v>4.6240446726791111</v>
      </c>
      <c r="AJ17" s="372"/>
      <c r="AK17" s="115"/>
      <c r="AL17" s="173"/>
      <c r="AM17" s="173"/>
    </row>
    <row r="18" spans="1:39" s="385" customFormat="1" ht="24" x14ac:dyDescent="0.25">
      <c r="A18" s="150" t="s">
        <v>774</v>
      </c>
      <c r="B18" s="173"/>
      <c r="C18" s="173"/>
      <c r="D18" s="173"/>
      <c r="E18" s="173"/>
      <c r="F18" s="173"/>
      <c r="G18" s="173"/>
      <c r="H18" s="173"/>
      <c r="I18" s="173"/>
      <c r="J18" s="173"/>
      <c r="K18" s="173"/>
      <c r="L18" s="173"/>
      <c r="M18" s="173"/>
      <c r="N18" s="173"/>
      <c r="O18" s="173"/>
      <c r="P18" s="173"/>
      <c r="Q18" s="173"/>
      <c r="R18" s="386">
        <f>'Summary DISCOUNTED'!$BD$142</f>
        <v>218.22327328875866</v>
      </c>
      <c r="S18" s="386">
        <f>'Summary DISCOUNTED'!$BT$142</f>
        <v>25.567619111068396</v>
      </c>
      <c r="T18" s="386">
        <f>'Summary DISCOUNTED'!$BV$142</f>
        <v>55.085404480732507</v>
      </c>
      <c r="U18" s="353">
        <f>R18+T18</f>
        <v>273.30867776949117</v>
      </c>
      <c r="V18" s="7">
        <v>5.5</v>
      </c>
      <c r="W18" s="174">
        <f t="shared" si="1"/>
        <v>19.8</v>
      </c>
      <c r="X18" s="208">
        <f t="shared" si="2"/>
        <v>0.59804276911924603</v>
      </c>
      <c r="Y18" s="208">
        <f t="shared" ref="Y18:Y19" si="10">X18/X$26</f>
        <v>1.0662075631267365</v>
      </c>
      <c r="Z18" s="353">
        <f t="shared" si="3"/>
        <v>432.08208111174218</v>
      </c>
      <c r="AA18" s="353">
        <f t="shared" si="4"/>
        <v>50.623885839915424</v>
      </c>
      <c r="AB18" s="353">
        <f t="shared" si="5"/>
        <v>109.06910087185038</v>
      </c>
      <c r="AC18" s="254">
        <f t="shared" si="6"/>
        <v>591.77506782350792</v>
      </c>
      <c r="AD18" s="483">
        <f>'Crops proc. &amp; prod. DISCOUNTED'!NZ145</f>
        <v>33.108000000000004</v>
      </c>
      <c r="AE18" s="57">
        <f t="shared" si="7"/>
        <v>2.0483442426389935</v>
      </c>
      <c r="AG18" s="69">
        <f t="shared" ref="AG18:AG19" si="11">(AC$26-AB18)/Z18</f>
        <v>0.15770359870704168</v>
      </c>
      <c r="AH18" s="69">
        <f t="shared" si="8"/>
        <v>0.84229640129295835</v>
      </c>
      <c r="AI18" s="26">
        <f t="shared" si="9"/>
        <v>6.3410093884899323</v>
      </c>
      <c r="AJ18" s="372"/>
      <c r="AK18" s="115"/>
      <c r="AL18" s="173"/>
      <c r="AM18" s="173"/>
    </row>
    <row r="19" spans="1:39" s="385" customFormat="1" ht="24" x14ac:dyDescent="0.25">
      <c r="A19" s="150" t="s">
        <v>773</v>
      </c>
      <c r="B19" s="173"/>
      <c r="C19" s="173"/>
      <c r="D19" s="173"/>
      <c r="E19" s="173"/>
      <c r="F19" s="173"/>
      <c r="G19" s="173"/>
      <c r="H19" s="173"/>
      <c r="I19" s="173"/>
      <c r="J19" s="173"/>
      <c r="K19" s="173"/>
      <c r="L19" s="173"/>
      <c r="M19" s="173"/>
      <c r="N19" s="173"/>
      <c r="O19" s="173"/>
      <c r="P19" s="173"/>
      <c r="Q19" s="173"/>
      <c r="R19" s="386">
        <f>'Summary DISCOUNTED'!$BD$141</f>
        <v>191.53791368354015</v>
      </c>
      <c r="S19" s="386">
        <f>'Summary DISCOUNTED'!$BT$141</f>
        <v>62.606152568380544</v>
      </c>
      <c r="T19" s="386">
        <f>'Summary DISCOUNTED'!$BV$141</f>
        <v>54.506155439170442</v>
      </c>
      <c r="U19" s="353">
        <f>R19+T19+S19</f>
        <v>308.65022169109113</v>
      </c>
      <c r="V19" s="7">
        <v>5.5</v>
      </c>
      <c r="W19" s="174">
        <f t="shared" si="1"/>
        <v>19.8</v>
      </c>
      <c r="X19" s="208">
        <f t="shared" si="2"/>
        <v>0.59804276911924603</v>
      </c>
      <c r="Y19" s="208">
        <f t="shared" si="10"/>
        <v>1.0662075631267365</v>
      </c>
      <c r="Z19" s="353">
        <f t="shared" si="3"/>
        <v>379.24506909340954</v>
      </c>
      <c r="AA19" s="353">
        <f t="shared" si="4"/>
        <v>123.96018208539348</v>
      </c>
      <c r="AB19" s="353">
        <f t="shared" si="5"/>
        <v>107.92218776955747</v>
      </c>
      <c r="AC19" s="254">
        <f t="shared" si="6"/>
        <v>611.12743894836046</v>
      </c>
      <c r="AD19" s="483">
        <f>'Crops proc. &amp; prod. DISCOUNTED'!NZ139</f>
        <v>33.108000000000004</v>
      </c>
      <c r="AE19" s="57">
        <f t="shared" si="7"/>
        <v>2.1480319319443693</v>
      </c>
      <c r="AG19" s="69">
        <f t="shared" si="11"/>
        <v>0.18269930943618065</v>
      </c>
      <c r="AH19" s="69">
        <f t="shared" si="8"/>
        <v>0.81730069056381938</v>
      </c>
      <c r="AI19" s="26">
        <f t="shared" si="9"/>
        <v>5.4734744377855113</v>
      </c>
      <c r="AJ19" s="372"/>
      <c r="AK19" s="115"/>
      <c r="AL19" s="173"/>
      <c r="AM19" s="173"/>
    </row>
    <row r="20" spans="1:39" s="385" customFormat="1" ht="24" x14ac:dyDescent="0.25">
      <c r="A20" s="4" t="s">
        <v>772</v>
      </c>
      <c r="B20" s="173"/>
      <c r="C20" s="173"/>
      <c r="D20" s="173"/>
      <c r="E20" s="173"/>
      <c r="F20" s="173"/>
      <c r="G20" s="173"/>
      <c r="H20" s="173"/>
      <c r="I20" s="173"/>
      <c r="J20" s="173"/>
      <c r="K20" s="173"/>
      <c r="L20" s="173"/>
      <c r="M20" s="173"/>
      <c r="N20" s="173"/>
      <c r="O20" s="173"/>
      <c r="P20" s="173"/>
      <c r="Q20" s="173"/>
      <c r="R20" s="386">
        <f>'Summary DISCOUNTED'!$BD$132</f>
        <v>150.37260742956255</v>
      </c>
      <c r="S20" s="373">
        <f>'Summary DISCOUNTED'!$BT$132</f>
        <v>8.1761294080006444</v>
      </c>
      <c r="T20" s="386">
        <f>'Summary DISCOUNTED'!$BV$132</f>
        <v>71.927551567523409</v>
      </c>
      <c r="U20" s="353">
        <f>R20+T20</f>
        <v>222.30015899708596</v>
      </c>
      <c r="V20" s="7">
        <v>6</v>
      </c>
      <c r="W20" s="174">
        <f t="shared" si="1"/>
        <v>21.6</v>
      </c>
      <c r="X20" s="208">
        <f t="shared" si="2"/>
        <v>1.0202153788021917</v>
      </c>
      <c r="Y20" s="208">
        <f>X20/X$25</f>
        <v>1.3831278145452601</v>
      </c>
      <c r="Z20" s="353">
        <f t="shared" si="3"/>
        <v>324.80483204785514</v>
      </c>
      <c r="AA20" s="353">
        <f t="shared" si="4"/>
        <v>17.660439521281393</v>
      </c>
      <c r="AB20" s="353">
        <f t="shared" si="5"/>
        <v>155.36351138585059</v>
      </c>
      <c r="AC20" s="254">
        <f t="shared" si="6"/>
        <v>497.8287829549871</v>
      </c>
      <c r="AD20" s="81">
        <f>'Crops proc. &amp; prod. DISCOUNTED'!NZ107</f>
        <v>21.172000000000001</v>
      </c>
      <c r="AE20" s="57">
        <f t="shared" si="7"/>
        <v>1.5644093285684182</v>
      </c>
      <c r="AG20" s="69">
        <f>(AC$25-AB20)/Z20</f>
        <v>0.17144599808769118</v>
      </c>
      <c r="AH20" s="69">
        <f t="shared" si="8"/>
        <v>0.82855400191230877</v>
      </c>
      <c r="AI20" s="26">
        <f t="shared" si="9"/>
        <v>5.8327404031240215</v>
      </c>
      <c r="AJ20" s="372"/>
      <c r="AK20" s="115"/>
      <c r="AL20" s="173"/>
      <c r="AM20" s="173"/>
    </row>
    <row r="21" spans="1:39" s="385" customFormat="1" ht="24" x14ac:dyDescent="0.25">
      <c r="A21" s="4" t="s">
        <v>771</v>
      </c>
      <c r="B21" s="173"/>
      <c r="C21" s="173"/>
      <c r="D21" s="173"/>
      <c r="E21" s="173"/>
      <c r="F21" s="173"/>
      <c r="G21" s="173"/>
      <c r="H21" s="173"/>
      <c r="I21" s="173"/>
      <c r="J21" s="173"/>
      <c r="K21" s="173"/>
      <c r="L21" s="173"/>
      <c r="M21" s="173"/>
      <c r="N21" s="173"/>
      <c r="O21" s="173"/>
      <c r="P21" s="173"/>
      <c r="Q21" s="173"/>
      <c r="R21" s="386">
        <f>'Summary DISCOUNTED'!$BD$133</f>
        <v>122.97429925135467</v>
      </c>
      <c r="S21" s="373">
        <f>'Summary DISCOUNTED'!$BT$133</f>
        <v>8.2204861512169423</v>
      </c>
      <c r="T21" s="386">
        <f>'Summary DISCOUNTED'!$BV$133</f>
        <v>103.69542533216435</v>
      </c>
      <c r="U21" s="353">
        <f>R21+T21</f>
        <v>226.66972458351901</v>
      </c>
      <c r="V21" s="7">
        <v>6</v>
      </c>
      <c r="W21" s="174">
        <f t="shared" si="1"/>
        <v>21.6</v>
      </c>
      <c r="X21" s="208">
        <f t="shared" si="2"/>
        <v>1.0202153788021917</v>
      </c>
      <c r="Y21" s="208">
        <f t="shared" ref="Y21:Y22" si="12">X21/X$25</f>
        <v>1.3831278145452601</v>
      </c>
      <c r="Z21" s="353">
        <f t="shared" si="3"/>
        <v>265.62448638292608</v>
      </c>
      <c r="AA21" s="353">
        <f t="shared" si="4"/>
        <v>17.756250086628597</v>
      </c>
      <c r="AB21" s="353">
        <f t="shared" si="5"/>
        <v>223.98211871747498</v>
      </c>
      <c r="AC21" s="254">
        <f t="shared" si="6"/>
        <v>507.36285518702965</v>
      </c>
      <c r="AD21" s="81">
        <f>'Crops proc. &amp; prod. DISCOUNTED'!NZ112</f>
        <v>21.172000000000001</v>
      </c>
      <c r="AE21" s="57">
        <f t="shared" si="7"/>
        <v>1.6135211208315541</v>
      </c>
      <c r="AG21" s="69">
        <f>(AC$25-AB21)/Z21</f>
        <v>-4.8685717546506357E-2</v>
      </c>
      <c r="AH21" s="69">
        <f t="shared" si="8"/>
        <v>1.0486857175465063</v>
      </c>
      <c r="AI21" s="26">
        <f t="shared" si="9"/>
        <v>-20.53990472759827</v>
      </c>
      <c r="AJ21" s="372"/>
      <c r="AK21" s="115"/>
      <c r="AL21" s="173"/>
      <c r="AM21" s="173"/>
    </row>
    <row r="22" spans="1:39" s="385" customFormat="1" ht="24" x14ac:dyDescent="0.25">
      <c r="A22" s="150" t="s">
        <v>770</v>
      </c>
      <c r="B22" s="173"/>
      <c r="C22" s="173"/>
      <c r="D22" s="173"/>
      <c r="E22" s="173"/>
      <c r="F22" s="173"/>
      <c r="G22" s="173"/>
      <c r="H22" s="173"/>
      <c r="I22" s="173"/>
      <c r="J22" s="173"/>
      <c r="K22" s="173"/>
      <c r="L22" s="173"/>
      <c r="M22" s="173"/>
      <c r="N22" s="173"/>
      <c r="O22" s="173"/>
      <c r="P22" s="173"/>
      <c r="Q22" s="173"/>
      <c r="R22" s="386">
        <f>'Summary DISCOUNTED'!$BD$134</f>
        <v>92.944949464187047</v>
      </c>
      <c r="S22" s="373">
        <f>'Summary DISCOUNTED'!$BT$134</f>
        <v>8.9872341581386461</v>
      </c>
      <c r="T22" s="386">
        <f>'Summary DISCOUNTED'!$BV$134</f>
        <v>19.092991062597342</v>
      </c>
      <c r="U22" s="353">
        <f>R22+T22</f>
        <v>112.03794052678438</v>
      </c>
      <c r="V22" s="7">
        <v>6</v>
      </c>
      <c r="W22" s="174">
        <f t="shared" si="1"/>
        <v>21.6</v>
      </c>
      <c r="X22" s="208">
        <f t="shared" si="2"/>
        <v>1.0202153788021917</v>
      </c>
      <c r="Y22" s="208">
        <f t="shared" si="12"/>
        <v>1.3831278145452601</v>
      </c>
      <c r="Z22" s="353">
        <f t="shared" si="3"/>
        <v>200.76109084264402</v>
      </c>
      <c r="AA22" s="353">
        <f t="shared" si="4"/>
        <v>19.412425781579479</v>
      </c>
      <c r="AB22" s="353">
        <f t="shared" si="5"/>
        <v>41.240860695210259</v>
      </c>
      <c r="AC22" s="254">
        <f t="shared" si="6"/>
        <v>261.41437731943375</v>
      </c>
      <c r="AD22" s="81">
        <f>'Crops proc. &amp; prod. DISCOUNTED'!NZ117</f>
        <v>21.172000000000001</v>
      </c>
      <c r="AE22" s="57">
        <f>AC22/AC$27-1</f>
        <v>0.34659443321193906</v>
      </c>
      <c r="AG22" s="69">
        <f>(AC$25-AB22)/Z22</f>
        <v>0.84582694082831866</v>
      </c>
      <c r="AH22" s="69">
        <f t="shared" si="8"/>
        <v>0.15417305917168134</v>
      </c>
      <c r="AI22" s="26">
        <f t="shared" si="9"/>
        <v>1.1822749450622838</v>
      </c>
      <c r="AJ22" s="372"/>
      <c r="AK22" s="115"/>
      <c r="AL22" s="173"/>
      <c r="AM22" s="173"/>
    </row>
    <row r="23" spans="1:39" x14ac:dyDescent="0.25">
      <c r="V23" s="174"/>
      <c r="W23" s="208">
        <f>10/W22</f>
        <v>0.46296296296296291</v>
      </c>
      <c r="X23" s="210"/>
    </row>
    <row r="24" spans="1:39" s="385" customFormat="1" x14ac:dyDescent="0.25">
      <c r="A24" s="1" t="s">
        <v>646</v>
      </c>
      <c r="B24" s="173"/>
      <c r="C24" s="173"/>
      <c r="D24" s="173"/>
      <c r="E24" s="173"/>
      <c r="F24" s="173"/>
      <c r="G24" s="173"/>
      <c r="H24" s="173"/>
      <c r="I24" s="173"/>
      <c r="J24" s="173"/>
      <c r="K24" s="173"/>
      <c r="L24" s="173"/>
      <c r="M24" s="173"/>
      <c r="N24" s="173"/>
      <c r="O24" s="173"/>
      <c r="P24" s="173"/>
      <c r="Q24" s="173"/>
      <c r="R24" s="173"/>
      <c r="S24" s="173"/>
      <c r="T24" s="173"/>
      <c r="U24" s="173"/>
      <c r="V24" s="174"/>
      <c r="W24" s="163"/>
      <c r="X24" s="210"/>
      <c r="Y24" s="173"/>
      <c r="Z24" s="173"/>
      <c r="AA24" s="173"/>
      <c r="AB24" s="173"/>
      <c r="AC24" s="173"/>
      <c r="AD24" s="210"/>
      <c r="AG24" s="37"/>
      <c r="AH24" s="37"/>
      <c r="AI24" s="37"/>
      <c r="AJ24" s="210"/>
      <c r="AK24" s="210"/>
      <c r="AL24" s="173"/>
      <c r="AM24" s="173"/>
    </row>
    <row r="25" spans="1:39" s="385" customFormat="1" x14ac:dyDescent="0.25">
      <c r="A25" s="37" t="s">
        <v>645</v>
      </c>
      <c r="B25" s="173"/>
      <c r="C25" s="173"/>
      <c r="D25" s="173"/>
      <c r="E25" s="173"/>
      <c r="F25" s="173"/>
      <c r="G25" s="173"/>
      <c r="H25" s="173"/>
      <c r="I25" s="173"/>
      <c r="J25" s="173"/>
      <c r="K25" s="173"/>
      <c r="L25" s="173"/>
      <c r="M25" s="173"/>
      <c r="N25" s="173"/>
      <c r="O25" s="173"/>
      <c r="P25" s="173"/>
      <c r="Q25" s="173"/>
      <c r="R25" s="481">
        <v>72</v>
      </c>
      <c r="S25" s="24"/>
      <c r="T25" s="481">
        <v>15.8</v>
      </c>
      <c r="U25" s="173"/>
      <c r="V25" s="481">
        <v>6.7</v>
      </c>
      <c r="W25" s="174">
        <f t="shared" ref="W25:W26" si="13">3.6*V25</f>
        <v>24.12</v>
      </c>
      <c r="X25" s="208">
        <f>W25/AD25</f>
        <v>0.7376146788990825</v>
      </c>
      <c r="Y25" s="209"/>
      <c r="Z25" s="353">
        <f t="shared" ref="Z25:Z26" si="14">W25*R25/10</f>
        <v>173.66400000000002</v>
      </c>
      <c r="AA25" s="353"/>
      <c r="AB25" s="353">
        <f>W25*T$26/10</f>
        <v>37.386000000000003</v>
      </c>
      <c r="AC25" s="212">
        <f>Z25+AB25+AA25</f>
        <v>211.05</v>
      </c>
      <c r="AD25" s="480">
        <v>32.700000000000003</v>
      </c>
      <c r="AG25" s="37"/>
      <c r="AH25" s="37"/>
      <c r="AI25" s="37"/>
      <c r="AJ25" s="210"/>
      <c r="AK25" s="210"/>
      <c r="AL25" s="173"/>
      <c r="AM25" s="173"/>
    </row>
    <row r="26" spans="1:39" s="385" customFormat="1" x14ac:dyDescent="0.25">
      <c r="A26" s="173" t="s">
        <v>644</v>
      </c>
      <c r="B26" s="173"/>
      <c r="C26" s="173"/>
      <c r="D26" s="173"/>
      <c r="E26" s="173"/>
      <c r="F26" s="173"/>
      <c r="G26" s="173"/>
      <c r="H26" s="173"/>
      <c r="I26" s="173"/>
      <c r="J26" s="173"/>
      <c r="K26" s="173"/>
      <c r="L26" s="173"/>
      <c r="M26" s="173"/>
      <c r="N26" s="173"/>
      <c r="O26" s="173"/>
      <c r="P26" s="173"/>
      <c r="Q26" s="173"/>
      <c r="R26" s="481">
        <v>74</v>
      </c>
      <c r="S26" s="252"/>
      <c r="T26" s="482">
        <v>15.5</v>
      </c>
      <c r="U26" s="173"/>
      <c r="V26" s="481">
        <v>5.5</v>
      </c>
      <c r="W26" s="174">
        <f t="shared" si="13"/>
        <v>19.8</v>
      </c>
      <c r="X26" s="208">
        <f>W26/AD26</f>
        <v>0.56090651558073656</v>
      </c>
      <c r="Y26" s="1"/>
      <c r="Z26" s="353">
        <f t="shared" si="14"/>
        <v>146.52000000000001</v>
      </c>
      <c r="AA26" s="353"/>
      <c r="AB26" s="353">
        <f>W26*T$26/10</f>
        <v>30.690000000000005</v>
      </c>
      <c r="AC26" s="212">
        <f>Z26+AB26+AA26</f>
        <v>177.21</v>
      </c>
      <c r="AD26" s="480">
        <v>35.299999999999997</v>
      </c>
      <c r="AG26" s="37"/>
      <c r="AH26" s="37"/>
      <c r="AI26" s="37"/>
      <c r="AJ26" s="210"/>
      <c r="AK26" s="210"/>
      <c r="AL26" s="173"/>
      <c r="AM26" s="173"/>
    </row>
    <row r="27" spans="1:39" s="385" customFormat="1" x14ac:dyDescent="0.25">
      <c r="A27" s="173" t="s">
        <v>643</v>
      </c>
      <c r="B27" s="173"/>
      <c r="C27" s="173"/>
      <c r="D27" s="173"/>
      <c r="E27" s="173"/>
      <c r="F27" s="173"/>
      <c r="G27" s="173"/>
      <c r="H27" s="173"/>
      <c r="I27" s="173"/>
      <c r="J27" s="173"/>
      <c r="K27" s="173"/>
      <c r="L27" s="173"/>
      <c r="M27" s="173"/>
      <c r="N27" s="173"/>
      <c r="O27" s="173"/>
      <c r="P27" s="173"/>
      <c r="Q27" s="173"/>
      <c r="R27" s="173"/>
      <c r="S27" s="173"/>
      <c r="T27" s="173"/>
      <c r="U27" s="173"/>
      <c r="V27" s="173"/>
      <c r="W27" s="173"/>
      <c r="X27" s="173"/>
      <c r="Y27" s="173"/>
      <c r="Z27" s="353">
        <f>(Z25+Z26)/2</f>
        <v>160.09200000000001</v>
      </c>
      <c r="AA27" s="353"/>
      <c r="AB27" s="353">
        <f>(AB25+AB26)/2</f>
        <v>34.038000000000004</v>
      </c>
      <c r="AC27" s="254">
        <f>Z27+AB27+AA27</f>
        <v>194.13000000000002</v>
      </c>
      <c r="AD27" s="173"/>
      <c r="AG27" s="37"/>
      <c r="AH27" s="37"/>
      <c r="AI27" s="37"/>
      <c r="AJ27" s="210"/>
      <c r="AK27" s="210"/>
      <c r="AL27" s="173"/>
      <c r="AM27" s="173"/>
    </row>
    <row r="31" spans="1:39" s="385" customFormat="1" x14ac:dyDescent="0.25">
      <c r="A31" s="173"/>
      <c r="B31" s="173"/>
      <c r="C31" s="173"/>
      <c r="D31" s="173"/>
      <c r="E31" s="173"/>
      <c r="F31" s="173"/>
      <c r="G31" s="173"/>
      <c r="H31" s="173"/>
      <c r="I31" s="173"/>
      <c r="J31" s="173"/>
      <c r="K31" s="173"/>
      <c r="L31" s="173"/>
      <c r="M31" s="173"/>
      <c r="N31" s="173"/>
      <c r="O31" s="173"/>
      <c r="P31" s="173"/>
      <c r="Q31" s="173"/>
      <c r="R31" s="173"/>
      <c r="S31" s="173"/>
      <c r="T31" s="173"/>
      <c r="U31" s="173"/>
      <c r="V31" s="173"/>
      <c r="W31" s="173"/>
      <c r="X31" s="173"/>
      <c r="Y31" s="173"/>
      <c r="Z31" s="173"/>
      <c r="AA31" s="173"/>
      <c r="AB31" s="173"/>
      <c r="AC31" s="173"/>
      <c r="AD31" s="381"/>
      <c r="AG31" s="37"/>
      <c r="AH31" s="37"/>
      <c r="AI31" s="37"/>
      <c r="AJ31" s="210"/>
      <c r="AK31" s="210"/>
      <c r="AL31" s="173"/>
      <c r="AM31" s="173"/>
    </row>
    <row r="37" spans="1:39" s="385" customFormat="1" x14ac:dyDescent="0.25">
      <c r="A37" s="173"/>
      <c r="B37" s="173"/>
      <c r="C37" s="173"/>
      <c r="D37" s="173"/>
      <c r="E37" s="173"/>
      <c r="F37" s="173"/>
      <c r="G37" s="173"/>
      <c r="H37" s="173"/>
      <c r="I37" s="173"/>
      <c r="J37" s="173"/>
      <c r="K37" s="173"/>
      <c r="L37" s="173"/>
      <c r="M37" s="173"/>
      <c r="N37" s="173"/>
      <c r="O37" s="173"/>
      <c r="P37" s="173"/>
      <c r="Q37" s="173"/>
      <c r="R37" s="173"/>
      <c r="S37" s="173"/>
      <c r="T37" s="173"/>
      <c r="U37" s="173"/>
      <c r="V37" s="173"/>
      <c r="W37" s="173"/>
      <c r="X37" s="173"/>
      <c r="Y37" s="173"/>
      <c r="Z37" s="173"/>
      <c r="AA37" s="173"/>
      <c r="AB37" s="173"/>
      <c r="AC37" s="173"/>
      <c r="AD37" s="174"/>
      <c r="AG37" s="37"/>
      <c r="AH37" s="37"/>
      <c r="AI37" s="37"/>
      <c r="AJ37" s="210"/>
      <c r="AK37" s="210"/>
      <c r="AL37" s="173"/>
      <c r="AM37" s="173"/>
    </row>
    <row r="38" spans="1:39" s="385" customFormat="1" x14ac:dyDescent="0.25">
      <c r="A38" s="173"/>
      <c r="B38" s="173"/>
      <c r="C38" s="173"/>
      <c r="D38" s="173"/>
      <c r="E38" s="173"/>
      <c r="F38" s="173"/>
      <c r="G38" s="173"/>
      <c r="H38" s="173"/>
      <c r="I38" s="173"/>
      <c r="J38" s="173"/>
      <c r="K38" s="173"/>
      <c r="L38" s="173"/>
      <c r="M38" s="173"/>
      <c r="N38" s="173"/>
      <c r="O38" s="173"/>
      <c r="P38" s="173"/>
      <c r="Q38" s="173"/>
      <c r="R38" s="173"/>
      <c r="S38" s="173"/>
      <c r="T38" s="173"/>
      <c r="U38" s="173"/>
      <c r="V38" s="173"/>
      <c r="W38" s="173"/>
      <c r="X38" s="173"/>
      <c r="Y38" s="173"/>
      <c r="Z38" s="173"/>
      <c r="AA38" s="173"/>
      <c r="AB38" s="173"/>
      <c r="AC38" s="173"/>
      <c r="AD38" s="173"/>
      <c r="AG38" s="37"/>
      <c r="AH38" s="37"/>
      <c r="AI38" s="37"/>
      <c r="AJ38" s="210"/>
      <c r="AK38" s="210"/>
      <c r="AL38" s="173"/>
      <c r="AM38" s="173"/>
    </row>
    <row r="39" spans="1:39" s="385" customFormat="1" x14ac:dyDescent="0.25">
      <c r="A39" s="173"/>
      <c r="B39" s="173"/>
      <c r="C39" s="173"/>
      <c r="D39" s="173"/>
      <c r="E39" s="173"/>
      <c r="F39" s="173"/>
      <c r="G39" s="173"/>
      <c r="H39" s="173"/>
      <c r="I39" s="173"/>
      <c r="J39" s="173"/>
      <c r="K39" s="173"/>
      <c r="L39" s="173"/>
      <c r="M39" s="173"/>
      <c r="N39" s="173"/>
      <c r="O39" s="173"/>
      <c r="P39" s="173"/>
      <c r="Q39" s="173"/>
      <c r="R39" s="173"/>
      <c r="S39" s="173"/>
      <c r="T39" s="173"/>
      <c r="U39" s="173"/>
      <c r="V39" s="173"/>
      <c r="W39" s="173"/>
      <c r="X39" s="173"/>
      <c r="Y39" s="173"/>
      <c r="Z39" s="173"/>
      <c r="AA39" s="173"/>
      <c r="AB39" s="173"/>
      <c r="AC39" s="173"/>
      <c r="AD39" s="173"/>
      <c r="AG39" s="37"/>
      <c r="AH39" s="37"/>
      <c r="AI39" s="37"/>
      <c r="AJ39" s="210"/>
      <c r="AK39" s="210"/>
      <c r="AL39" s="173"/>
      <c r="AM39" s="173"/>
    </row>
    <row r="40" spans="1:39" s="385" customFormat="1" x14ac:dyDescent="0.25">
      <c r="A40" s="173"/>
      <c r="B40" s="173"/>
      <c r="C40" s="173"/>
      <c r="D40" s="173"/>
      <c r="E40" s="173"/>
      <c r="F40" s="173"/>
      <c r="G40" s="173"/>
      <c r="H40" s="173"/>
      <c r="I40" s="173"/>
      <c r="J40" s="173"/>
      <c r="K40" s="173"/>
      <c r="L40" s="173"/>
      <c r="M40" s="173"/>
      <c r="N40" s="173"/>
      <c r="O40" s="173"/>
      <c r="P40" s="173"/>
      <c r="Q40" s="173"/>
      <c r="R40" s="173"/>
      <c r="S40" s="173"/>
      <c r="T40" s="173"/>
      <c r="U40" s="173"/>
      <c r="V40" s="173"/>
      <c r="W40" s="173"/>
      <c r="X40" s="173"/>
      <c r="Y40" s="173"/>
      <c r="Z40" s="173"/>
      <c r="AA40" s="173"/>
      <c r="AB40" s="173"/>
      <c r="AC40" s="173"/>
      <c r="AD40" s="173"/>
      <c r="AG40" s="37"/>
      <c r="AH40" s="37"/>
      <c r="AI40" s="37"/>
      <c r="AJ40" s="210"/>
      <c r="AK40" s="210"/>
      <c r="AL40" s="173"/>
      <c r="AM40" s="173"/>
    </row>
    <row r="41" spans="1:39" s="385" customFormat="1" x14ac:dyDescent="0.25">
      <c r="A41" s="173"/>
      <c r="B41" s="173"/>
      <c r="C41" s="173"/>
      <c r="D41" s="173"/>
      <c r="E41" s="173"/>
      <c r="F41" s="173"/>
      <c r="G41" s="173"/>
      <c r="H41" s="173"/>
      <c r="I41" s="173"/>
      <c r="J41" s="173"/>
      <c r="K41" s="173"/>
      <c r="L41" s="173"/>
      <c r="M41" s="173"/>
      <c r="N41" s="173"/>
      <c r="O41" s="173"/>
      <c r="P41" s="173"/>
      <c r="Q41" s="173"/>
      <c r="R41" s="173"/>
      <c r="S41" s="173"/>
      <c r="T41" s="173"/>
      <c r="U41" s="173"/>
      <c r="V41" s="173"/>
      <c r="W41" s="173"/>
      <c r="X41" s="173"/>
      <c r="Y41" s="173"/>
      <c r="Z41" s="173"/>
      <c r="AA41" s="173"/>
      <c r="AB41" s="173"/>
      <c r="AC41" s="173"/>
      <c r="AD41" s="173"/>
      <c r="AG41" s="37"/>
      <c r="AH41" s="37"/>
      <c r="AI41" s="37"/>
      <c r="AJ41" s="210"/>
      <c r="AK41" s="210"/>
      <c r="AL41" s="173"/>
      <c r="AM41" s="173"/>
    </row>
    <row r="42" spans="1:39" s="385" customFormat="1" x14ac:dyDescent="0.25">
      <c r="A42" s="173"/>
      <c r="B42" s="173"/>
      <c r="C42" s="173"/>
      <c r="D42" s="173"/>
      <c r="E42" s="173"/>
      <c r="F42" s="173"/>
      <c r="G42" s="173"/>
      <c r="H42" s="173"/>
      <c r="I42" s="173"/>
      <c r="J42" s="173"/>
      <c r="K42" s="173"/>
      <c r="L42" s="173"/>
      <c r="M42" s="173"/>
      <c r="N42" s="173"/>
      <c r="O42" s="173"/>
      <c r="P42" s="173"/>
      <c r="Q42" s="173"/>
      <c r="R42" s="173"/>
      <c r="S42" s="173"/>
      <c r="T42" s="173"/>
      <c r="U42" s="173"/>
      <c r="V42" s="173"/>
      <c r="W42" s="173"/>
      <c r="X42" s="173"/>
      <c r="Y42" s="173"/>
      <c r="Z42" s="173"/>
      <c r="AA42" s="173"/>
      <c r="AB42" s="173"/>
      <c r="AC42" s="173"/>
      <c r="AD42" s="173"/>
      <c r="AG42" s="37"/>
      <c r="AH42" s="37"/>
      <c r="AI42" s="37"/>
      <c r="AJ42" s="210"/>
      <c r="AK42" s="210"/>
      <c r="AL42" s="173"/>
      <c r="AM42" s="173"/>
    </row>
    <row r="43" spans="1:39" s="385" customFormat="1" x14ac:dyDescent="0.25">
      <c r="A43" s="173"/>
      <c r="B43" s="173"/>
      <c r="C43" s="173"/>
      <c r="D43" s="173"/>
      <c r="E43" s="173"/>
      <c r="F43" s="173"/>
      <c r="G43" s="173"/>
      <c r="H43" s="173"/>
      <c r="I43" s="173"/>
      <c r="J43" s="173"/>
      <c r="K43" s="173"/>
      <c r="L43" s="173"/>
      <c r="M43" s="173"/>
      <c r="N43" s="173"/>
      <c r="O43" s="173"/>
      <c r="P43" s="173"/>
      <c r="Q43" s="173"/>
      <c r="R43" s="173"/>
      <c r="S43" s="173"/>
      <c r="T43" s="173"/>
      <c r="U43" s="173"/>
      <c r="V43" s="173"/>
      <c r="W43" s="173"/>
      <c r="X43" s="173"/>
      <c r="Y43" s="173"/>
      <c r="Z43" s="173"/>
      <c r="AA43" s="173"/>
      <c r="AB43" s="173"/>
      <c r="AC43" s="173"/>
      <c r="AD43" s="173"/>
      <c r="AG43" s="37"/>
      <c r="AH43" s="37"/>
      <c r="AI43" s="37"/>
      <c r="AJ43" s="210"/>
      <c r="AK43" s="210"/>
      <c r="AL43" s="173"/>
      <c r="AM43" s="173"/>
    </row>
    <row r="44" spans="1:39" s="385" customFormat="1" x14ac:dyDescent="0.25">
      <c r="A44" s="173"/>
      <c r="B44" s="173"/>
      <c r="C44" s="173"/>
      <c r="D44" s="173"/>
      <c r="E44" s="173"/>
      <c r="F44" s="173"/>
      <c r="G44" s="173"/>
      <c r="H44" s="173"/>
      <c r="I44" s="173"/>
      <c r="J44" s="173"/>
      <c r="K44" s="173"/>
      <c r="L44" s="173"/>
      <c r="M44" s="173"/>
      <c r="N44" s="173"/>
      <c r="O44" s="173"/>
      <c r="P44" s="173"/>
      <c r="Q44" s="173"/>
      <c r="R44" s="173"/>
      <c r="S44" s="173"/>
      <c r="T44" s="173"/>
      <c r="U44" s="173"/>
      <c r="V44" s="173"/>
      <c r="W44" s="173"/>
      <c r="X44" s="173"/>
      <c r="Y44" s="173"/>
      <c r="Z44" s="173"/>
      <c r="AA44" s="173"/>
      <c r="AB44" s="173"/>
      <c r="AC44" s="173"/>
      <c r="AD44" s="173"/>
      <c r="AG44" s="37"/>
      <c r="AH44" s="37"/>
      <c r="AI44" s="37"/>
      <c r="AJ44" s="210"/>
      <c r="AK44" s="210"/>
      <c r="AL44" s="173"/>
      <c r="AM44" s="173"/>
    </row>
    <row r="45" spans="1:39" s="385" customFormat="1" x14ac:dyDescent="0.25">
      <c r="A45" s="173"/>
      <c r="B45" s="173"/>
      <c r="C45" s="173"/>
      <c r="D45" s="173"/>
      <c r="E45" s="173"/>
      <c r="F45" s="173"/>
      <c r="G45" s="173"/>
      <c r="H45" s="173"/>
      <c r="I45" s="173"/>
      <c r="J45" s="173"/>
      <c r="K45" s="173"/>
      <c r="L45" s="173"/>
      <c r="M45" s="173"/>
      <c r="N45" s="173"/>
      <c r="O45" s="173"/>
      <c r="P45" s="173"/>
      <c r="Q45" s="173"/>
      <c r="R45" s="173"/>
      <c r="S45" s="173"/>
      <c r="T45" s="173"/>
      <c r="U45" s="173"/>
      <c r="V45" s="173"/>
      <c r="W45" s="173"/>
      <c r="X45" s="173"/>
      <c r="Y45" s="173"/>
      <c r="Z45" s="173"/>
      <c r="AA45" s="173"/>
      <c r="AB45" s="173"/>
      <c r="AC45" s="173"/>
      <c r="AD45" s="173"/>
      <c r="AG45" s="37"/>
      <c r="AH45" s="37"/>
      <c r="AI45" s="37"/>
      <c r="AJ45" s="210"/>
      <c r="AK45" s="210"/>
      <c r="AL45" s="173"/>
      <c r="AM45" s="173"/>
    </row>
    <row r="46" spans="1:39" s="385" customFormat="1" x14ac:dyDescent="0.25">
      <c r="A46" s="173"/>
      <c r="B46" s="173"/>
      <c r="C46" s="173"/>
      <c r="D46" s="173"/>
      <c r="E46" s="173"/>
      <c r="F46" s="173"/>
      <c r="G46" s="173"/>
      <c r="H46" s="173"/>
      <c r="I46" s="173"/>
      <c r="J46" s="173"/>
      <c r="K46" s="173"/>
      <c r="L46" s="173"/>
      <c r="M46" s="173"/>
      <c r="N46" s="173"/>
      <c r="O46" s="173"/>
      <c r="P46" s="173"/>
      <c r="Q46" s="173"/>
      <c r="R46" s="173"/>
      <c r="S46" s="173"/>
      <c r="T46" s="173"/>
      <c r="U46" s="173"/>
      <c r="V46" s="173"/>
      <c r="W46" s="173"/>
      <c r="X46" s="173"/>
      <c r="Y46" s="173"/>
      <c r="Z46" s="173"/>
      <c r="AA46" s="173"/>
      <c r="AB46" s="173"/>
      <c r="AC46" s="173"/>
      <c r="AD46" s="174"/>
      <c r="AG46" s="37"/>
      <c r="AH46" s="37"/>
      <c r="AI46" s="37"/>
      <c r="AJ46" s="210"/>
      <c r="AK46" s="210"/>
      <c r="AL46" s="173"/>
      <c r="AM46" s="173"/>
    </row>
    <row r="47" spans="1:39" s="385" customFormat="1" x14ac:dyDescent="0.25">
      <c r="A47" s="173"/>
      <c r="B47" s="173"/>
      <c r="C47" s="173"/>
      <c r="D47" s="173"/>
      <c r="E47" s="173"/>
      <c r="F47" s="173"/>
      <c r="G47" s="173"/>
      <c r="H47" s="173"/>
      <c r="I47" s="173"/>
      <c r="J47" s="173"/>
      <c r="K47" s="173"/>
      <c r="L47" s="173"/>
      <c r="M47" s="173"/>
      <c r="N47" s="173"/>
      <c r="O47" s="173"/>
      <c r="P47" s="173"/>
      <c r="Q47" s="173"/>
      <c r="R47" s="173"/>
      <c r="S47" s="173"/>
      <c r="T47" s="173"/>
      <c r="U47" s="173"/>
      <c r="V47" s="173"/>
      <c r="W47" s="173"/>
      <c r="X47" s="173"/>
      <c r="Y47" s="173"/>
      <c r="Z47" s="173"/>
      <c r="AA47" s="173"/>
      <c r="AB47" s="173"/>
      <c r="AC47" s="173"/>
      <c r="AD47" s="173"/>
      <c r="AG47" s="37"/>
      <c r="AH47" s="37"/>
      <c r="AI47" s="37"/>
      <c r="AJ47" s="210"/>
      <c r="AK47" s="210"/>
      <c r="AL47" s="173"/>
      <c r="AM47" s="173"/>
    </row>
    <row r="48" spans="1:39" s="385" customFormat="1" x14ac:dyDescent="0.25">
      <c r="A48" s="173"/>
      <c r="B48" s="173"/>
      <c r="C48" s="173"/>
      <c r="D48" s="173"/>
      <c r="E48" s="173"/>
      <c r="F48" s="173"/>
      <c r="G48" s="173"/>
      <c r="H48" s="173"/>
      <c r="I48" s="173"/>
      <c r="J48" s="173"/>
      <c r="K48" s="173"/>
      <c r="L48" s="173"/>
      <c r="M48" s="173"/>
      <c r="N48" s="173"/>
      <c r="O48" s="173"/>
      <c r="P48" s="173"/>
      <c r="Q48" s="173"/>
      <c r="R48" s="173"/>
      <c r="S48" s="173"/>
      <c r="T48" s="173"/>
      <c r="U48" s="173"/>
      <c r="V48" s="173"/>
      <c r="W48" s="173"/>
      <c r="X48" s="173"/>
      <c r="Y48" s="173"/>
      <c r="Z48" s="173"/>
      <c r="AA48" s="173"/>
      <c r="AB48" s="173"/>
      <c r="AC48" s="173"/>
      <c r="AD48" s="173"/>
      <c r="AG48" s="37"/>
      <c r="AH48" s="37"/>
      <c r="AI48" s="37"/>
      <c r="AJ48" s="210"/>
      <c r="AK48" s="210"/>
      <c r="AL48" s="173"/>
      <c r="AM48" s="173"/>
    </row>
    <row r="49" spans="1:39" s="385" customFormat="1" x14ac:dyDescent="0.25">
      <c r="A49" s="173"/>
      <c r="B49" s="173"/>
      <c r="C49" s="173"/>
      <c r="D49" s="173"/>
      <c r="E49" s="173"/>
      <c r="F49" s="173"/>
      <c r="G49" s="173"/>
      <c r="H49" s="173"/>
      <c r="I49" s="173"/>
      <c r="J49" s="173"/>
      <c r="K49" s="173"/>
      <c r="L49" s="173"/>
      <c r="M49" s="173"/>
      <c r="N49" s="173"/>
      <c r="O49" s="173"/>
      <c r="P49" s="173"/>
      <c r="Q49" s="173"/>
      <c r="R49" s="173"/>
      <c r="S49" s="173"/>
      <c r="T49" s="173"/>
      <c r="U49" s="173"/>
      <c r="V49" s="173"/>
      <c r="W49" s="173"/>
      <c r="X49" s="173"/>
      <c r="Y49" s="173"/>
      <c r="Z49" s="173"/>
      <c r="AA49" s="173"/>
      <c r="AB49" s="173"/>
      <c r="AC49" s="173"/>
      <c r="AD49" s="173"/>
      <c r="AG49" s="37"/>
      <c r="AH49" s="37"/>
      <c r="AI49" s="37"/>
      <c r="AJ49" s="210"/>
      <c r="AK49" s="210"/>
      <c r="AL49" s="173"/>
      <c r="AM49" s="173"/>
    </row>
    <row r="50" spans="1:39" s="385" customFormat="1" x14ac:dyDescent="0.25">
      <c r="A50" s="173"/>
      <c r="B50" s="173"/>
      <c r="C50" s="173"/>
      <c r="D50" s="173"/>
      <c r="E50" s="173"/>
      <c r="F50" s="173"/>
      <c r="G50" s="173"/>
      <c r="H50" s="173"/>
      <c r="I50" s="173"/>
      <c r="J50" s="173"/>
      <c r="K50" s="173"/>
      <c r="L50" s="173"/>
      <c r="M50" s="173"/>
      <c r="N50" s="173"/>
      <c r="O50" s="173"/>
      <c r="P50" s="173"/>
      <c r="Q50" s="173"/>
      <c r="R50" s="173"/>
      <c r="S50" s="173"/>
      <c r="T50" s="173"/>
      <c r="U50" s="173"/>
      <c r="V50" s="173"/>
      <c r="W50" s="173"/>
      <c r="X50" s="173"/>
      <c r="Y50" s="173"/>
      <c r="Z50" s="173"/>
      <c r="AA50" s="173"/>
      <c r="AB50" s="173"/>
      <c r="AC50" s="173"/>
      <c r="AD50" s="173"/>
      <c r="AG50" s="37"/>
      <c r="AH50" s="37"/>
      <c r="AI50" s="37"/>
      <c r="AJ50" s="210"/>
      <c r="AK50" s="210"/>
      <c r="AL50" s="173"/>
      <c r="AM50" s="173"/>
    </row>
    <row r="51" spans="1:39" s="385" customFormat="1" x14ac:dyDescent="0.25">
      <c r="A51" s="173"/>
      <c r="B51" s="173"/>
      <c r="C51" s="173"/>
      <c r="D51" s="173"/>
      <c r="E51" s="173"/>
      <c r="F51" s="173"/>
      <c r="G51" s="173"/>
      <c r="H51" s="173"/>
      <c r="I51" s="173"/>
      <c r="J51" s="173"/>
      <c r="K51" s="173"/>
      <c r="L51" s="173"/>
      <c r="M51" s="173"/>
      <c r="N51" s="173"/>
      <c r="O51" s="173"/>
      <c r="P51" s="173"/>
      <c r="Q51" s="173"/>
      <c r="R51" s="173"/>
      <c r="S51" s="173"/>
      <c r="T51" s="173"/>
      <c r="U51" s="173"/>
      <c r="V51" s="173"/>
      <c r="W51" s="173"/>
      <c r="X51" s="173"/>
      <c r="Y51" s="173"/>
      <c r="Z51" s="173"/>
      <c r="AA51" s="173"/>
      <c r="AB51" s="173"/>
      <c r="AC51" s="173"/>
      <c r="AD51" s="173"/>
      <c r="AG51" s="37"/>
      <c r="AH51" s="37"/>
      <c r="AI51" s="37"/>
      <c r="AJ51" s="210"/>
      <c r="AK51" s="210"/>
      <c r="AL51" s="173"/>
      <c r="AM51" s="173"/>
    </row>
  </sheetData>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V60"/>
  <sheetViews>
    <sheetView workbookViewId="0">
      <pane xSplit="1" ySplit="5" topLeftCell="B6" activePane="bottomRight" state="frozen"/>
      <selection activeCell="J24" sqref="J24"/>
      <selection pane="topRight" activeCell="J24" sqref="J24"/>
      <selection pane="bottomLeft" activeCell="J24" sqref="J24"/>
      <selection pane="bottomRight" activeCell="I60" sqref="I60"/>
    </sheetView>
  </sheetViews>
  <sheetFormatPr defaultColWidth="9" defaultRowHeight="12" x14ac:dyDescent="0.25"/>
  <cols>
    <col min="1" max="1" width="19.33203125" style="353" customWidth="1"/>
    <col min="2" max="7" width="6.6640625" style="55" customWidth="1"/>
    <col min="8" max="8" width="6.6640625" style="173" customWidth="1"/>
    <col min="9" max="11" width="8.109375" style="173" customWidth="1"/>
    <col min="12" max="13" width="6.6640625" style="173" customWidth="1"/>
    <col min="14" max="14" width="5.6640625" style="173" customWidth="1"/>
    <col min="15" max="15" width="3.5546875" style="173" customWidth="1"/>
    <col min="16" max="16" width="6.6640625" style="173" customWidth="1"/>
    <col min="17" max="17" width="5.6640625" style="173" customWidth="1"/>
    <col min="18" max="18" width="3.5546875" style="173" customWidth="1"/>
    <col min="19" max="19" width="6.6640625" style="173" customWidth="1"/>
    <col min="20" max="20" width="5.6640625" style="173" customWidth="1"/>
    <col min="21" max="21" width="3.5546875" style="173" customWidth="1"/>
    <col min="22" max="22" width="6.6640625" style="173" customWidth="1"/>
    <col min="23" max="23" width="5.6640625" style="173" customWidth="1"/>
    <col min="24" max="24" width="3.5546875" style="173" customWidth="1"/>
    <col min="25" max="25" width="6.6640625" style="173" customWidth="1"/>
    <col min="26" max="26" width="5.6640625" style="173" customWidth="1"/>
    <col min="27" max="43" width="6.6640625" style="173" customWidth="1"/>
    <col min="44" max="44" width="5.6640625" style="173" customWidth="1"/>
    <col min="45" max="45" width="3.5546875" style="173" customWidth="1"/>
    <col min="46" max="46" width="6.6640625" style="173" customWidth="1"/>
    <col min="47" max="47" width="5.6640625" style="173" customWidth="1"/>
    <col min="48" max="48" width="3.5546875" style="173" customWidth="1"/>
    <col min="49" max="49" width="6.6640625" style="173" customWidth="1"/>
    <col min="50" max="50" width="5.6640625" style="173" customWidth="1"/>
    <col min="51" max="51" width="3.5546875" style="173" customWidth="1"/>
    <col min="52" max="52" width="6.6640625" style="173" customWidth="1"/>
    <col min="53" max="53" width="5.6640625" style="173" customWidth="1"/>
    <col min="54" max="54" width="3.5546875" style="173" customWidth="1"/>
    <col min="55" max="55" width="6.6640625" style="173" customWidth="1"/>
    <col min="56" max="56" width="5.6640625" style="173" customWidth="1"/>
    <col min="57" max="58" width="6.6640625" style="173" customWidth="1"/>
    <col min="59" max="59" width="5.6640625" style="173" customWidth="1"/>
    <col min="60" max="60" width="3.5546875" style="173" customWidth="1"/>
    <col min="61" max="61" width="6.6640625" style="173" customWidth="1"/>
    <col min="62" max="62" width="5.6640625" style="173" customWidth="1"/>
    <col min="63" max="63" width="3.5546875" style="173" customWidth="1"/>
    <col min="64" max="64" width="6.6640625" style="173" customWidth="1"/>
    <col min="65" max="65" width="5.6640625" style="173" customWidth="1"/>
    <col min="66" max="66" width="3.5546875" style="173" customWidth="1"/>
    <col min="67" max="67" width="6.6640625" style="173" customWidth="1"/>
    <col min="68" max="68" width="5.6640625" style="173" customWidth="1"/>
    <col min="69" max="69" width="3.5546875" style="173" customWidth="1"/>
    <col min="70" max="70" width="6.6640625" style="173" customWidth="1"/>
    <col min="71" max="71" width="5.6640625" style="173" customWidth="1"/>
    <col min="72" max="16384" width="9" style="173"/>
  </cols>
  <sheetData>
    <row r="1" spans="1:74" s="424" customFormat="1" ht="15.6" x14ac:dyDescent="0.3">
      <c r="A1" s="359" t="s">
        <v>741</v>
      </c>
      <c r="B1" s="559"/>
      <c r="C1" s="559"/>
      <c r="D1" s="425"/>
      <c r="E1" s="425"/>
      <c r="F1" s="425"/>
      <c r="G1" s="425"/>
      <c r="J1" s="361"/>
      <c r="K1" s="361"/>
      <c r="AB1" s="361"/>
      <c r="BF1" s="361"/>
      <c r="BV1" s="361"/>
    </row>
    <row r="2" spans="1:74" x14ac:dyDescent="0.25">
      <c r="A2" s="1"/>
      <c r="B2" s="9"/>
      <c r="C2" s="9"/>
      <c r="D2" s="37"/>
      <c r="E2" s="37"/>
      <c r="F2" s="37"/>
      <c r="G2" s="37"/>
      <c r="BV2" s="3"/>
    </row>
    <row r="3" spans="1:74" s="403" customFormat="1" ht="14.4" x14ac:dyDescent="0.3">
      <c r="A3" s="404"/>
      <c r="B3" s="560" t="s">
        <v>740</v>
      </c>
      <c r="C3" s="560"/>
      <c r="D3" s="561"/>
      <c r="E3" s="561"/>
      <c r="F3" s="561"/>
      <c r="G3" s="561"/>
      <c r="I3" s="2" t="s">
        <v>739</v>
      </c>
      <c r="J3" s="2"/>
      <c r="K3" s="2"/>
      <c r="M3" s="2" t="s">
        <v>738</v>
      </c>
      <c r="N3" s="2"/>
      <c r="O3" s="2"/>
      <c r="Q3" s="2"/>
      <c r="R3" s="2"/>
      <c r="T3" s="2"/>
      <c r="U3" s="2"/>
      <c r="W3" s="2"/>
      <c r="X3" s="2"/>
      <c r="Z3" s="2"/>
      <c r="AB3" s="2" t="s">
        <v>776</v>
      </c>
      <c r="AC3" s="2"/>
      <c r="AD3" s="2"/>
      <c r="AF3" s="2"/>
      <c r="AG3" s="2"/>
      <c r="AI3" s="2"/>
      <c r="AJ3" s="2"/>
      <c r="AL3" s="2"/>
      <c r="AM3" s="2"/>
      <c r="AO3" s="2"/>
      <c r="AQ3" s="2" t="s">
        <v>737</v>
      </c>
      <c r="AR3" s="2"/>
      <c r="AS3" s="2"/>
      <c r="AU3" s="2"/>
      <c r="AV3" s="2"/>
      <c r="AX3" s="2"/>
      <c r="AY3" s="2"/>
      <c r="BA3" s="2"/>
      <c r="BB3" s="2"/>
      <c r="BD3" s="2"/>
      <c r="BF3" s="2" t="s">
        <v>777</v>
      </c>
      <c r="BG3" s="2"/>
      <c r="BH3" s="2"/>
      <c r="BJ3" s="2"/>
      <c r="BK3" s="2"/>
      <c r="BM3" s="2"/>
      <c r="BN3" s="2"/>
      <c r="BP3" s="2"/>
      <c r="BQ3" s="2"/>
      <c r="BS3" s="2"/>
    </row>
    <row r="4" spans="1:74" s="88" customFormat="1" ht="48" x14ac:dyDescent="0.25">
      <c r="A4" s="401" t="s">
        <v>736</v>
      </c>
      <c r="B4" s="105">
        <v>2013</v>
      </c>
      <c r="C4" s="105" t="s">
        <v>735</v>
      </c>
      <c r="D4" s="105" t="s">
        <v>731</v>
      </c>
      <c r="E4" s="105" t="s">
        <v>734</v>
      </c>
      <c r="F4" s="105" t="s">
        <v>729</v>
      </c>
      <c r="G4" s="105" t="s">
        <v>728</v>
      </c>
      <c r="I4" s="88" t="s">
        <v>821</v>
      </c>
      <c r="J4" s="88" t="s">
        <v>534</v>
      </c>
      <c r="K4" s="88" t="s">
        <v>570</v>
      </c>
      <c r="M4" s="105" t="s">
        <v>786</v>
      </c>
      <c r="N4" s="105"/>
      <c r="O4" s="105"/>
      <c r="P4" s="105" t="s">
        <v>788</v>
      </c>
      <c r="Q4" s="105"/>
      <c r="R4" s="105"/>
      <c r="S4" s="105" t="s">
        <v>785</v>
      </c>
      <c r="T4" s="105"/>
      <c r="U4" s="105"/>
      <c r="V4" s="749" t="s">
        <v>787</v>
      </c>
      <c r="W4" s="749"/>
      <c r="X4" s="105"/>
      <c r="Y4" s="105" t="s">
        <v>728</v>
      </c>
      <c r="Z4" s="105"/>
      <c r="AA4" s="27"/>
      <c r="AB4" s="105" t="s">
        <v>732</v>
      </c>
      <c r="AC4" s="105"/>
      <c r="AD4" s="105"/>
      <c r="AE4" s="105" t="s">
        <v>733</v>
      </c>
      <c r="AF4" s="105"/>
      <c r="AG4" s="105"/>
      <c r="AH4" s="405" t="s">
        <v>730</v>
      </c>
      <c r="AI4" s="105"/>
      <c r="AJ4" s="105"/>
      <c r="AK4" s="749" t="s">
        <v>729</v>
      </c>
      <c r="AL4" s="749"/>
      <c r="AM4" s="105"/>
      <c r="AN4" s="105" t="s">
        <v>728</v>
      </c>
      <c r="AO4" s="105"/>
      <c r="AP4" s="27"/>
      <c r="AQ4" s="105" t="s">
        <v>732</v>
      </c>
      <c r="AR4" s="105"/>
      <c r="AS4" s="105"/>
      <c r="AT4" s="405" t="s">
        <v>731</v>
      </c>
      <c r="AU4" s="105"/>
      <c r="AV4" s="105"/>
      <c r="AW4" s="405" t="s">
        <v>730</v>
      </c>
      <c r="AX4" s="105"/>
      <c r="AY4" s="105"/>
      <c r="AZ4" s="749" t="s">
        <v>729</v>
      </c>
      <c r="BA4" s="749"/>
      <c r="BB4" s="105"/>
      <c r="BC4" s="105" t="s">
        <v>728</v>
      </c>
      <c r="BD4" s="105"/>
      <c r="BE4" s="27"/>
      <c r="BF4" s="105" t="s">
        <v>732</v>
      </c>
      <c r="BG4" s="401"/>
      <c r="BH4" s="401"/>
      <c r="BI4" s="402" t="s">
        <v>731</v>
      </c>
      <c r="BJ4" s="401"/>
      <c r="BK4" s="401"/>
      <c r="BL4" s="402" t="s">
        <v>730</v>
      </c>
      <c r="BM4" s="401"/>
      <c r="BN4" s="401"/>
      <c r="BO4" s="750" t="s">
        <v>729</v>
      </c>
      <c r="BP4" s="750"/>
      <c r="BQ4" s="401"/>
      <c r="BR4" s="401" t="s">
        <v>728</v>
      </c>
      <c r="BS4" s="401"/>
    </row>
    <row r="5" spans="1:74" s="150" customFormat="1" ht="36" x14ac:dyDescent="0.25">
      <c r="A5" s="157"/>
      <c r="B5" s="67" t="s">
        <v>727</v>
      </c>
      <c r="C5" s="67" t="s">
        <v>727</v>
      </c>
      <c r="D5" s="67" t="s">
        <v>727</v>
      </c>
      <c r="E5" s="67" t="s">
        <v>727</v>
      </c>
      <c r="F5" s="67" t="s">
        <v>727</v>
      </c>
      <c r="G5" s="67" t="s">
        <v>727</v>
      </c>
      <c r="I5" s="217" t="s">
        <v>432</v>
      </c>
      <c r="J5" s="217" t="s">
        <v>444</v>
      </c>
      <c r="K5" s="217" t="s">
        <v>444</v>
      </c>
      <c r="M5" s="157" t="s">
        <v>726</v>
      </c>
      <c r="N5" s="157" t="s">
        <v>724</v>
      </c>
      <c r="O5" s="157"/>
      <c r="P5" s="157" t="s">
        <v>726</v>
      </c>
      <c r="Q5" s="157" t="s">
        <v>724</v>
      </c>
      <c r="R5" s="157"/>
      <c r="S5" s="157" t="s">
        <v>726</v>
      </c>
      <c r="T5" s="157" t="s">
        <v>724</v>
      </c>
      <c r="U5" s="157"/>
      <c r="V5" s="157" t="s">
        <v>726</v>
      </c>
      <c r="W5" s="157" t="s">
        <v>724</v>
      </c>
      <c r="X5" s="157"/>
      <c r="Y5" s="157" t="s">
        <v>726</v>
      </c>
      <c r="Z5" s="157" t="s">
        <v>724</v>
      </c>
      <c r="AB5" s="157" t="s">
        <v>726</v>
      </c>
      <c r="AC5" s="157" t="s">
        <v>724</v>
      </c>
      <c r="AD5" s="157"/>
      <c r="AE5" s="157" t="s">
        <v>726</v>
      </c>
      <c r="AF5" s="157" t="s">
        <v>724</v>
      </c>
      <c r="AG5" s="157"/>
      <c r="AH5" s="157" t="s">
        <v>726</v>
      </c>
      <c r="AI5" s="157" t="s">
        <v>724</v>
      </c>
      <c r="AJ5" s="157"/>
      <c r="AK5" s="157" t="s">
        <v>726</v>
      </c>
      <c r="AL5" s="157" t="s">
        <v>724</v>
      </c>
      <c r="AM5" s="157"/>
      <c r="AN5" s="157" t="s">
        <v>726</v>
      </c>
      <c r="AO5" s="157" t="s">
        <v>724</v>
      </c>
      <c r="AQ5" s="157" t="s">
        <v>725</v>
      </c>
      <c r="AR5" s="157" t="s">
        <v>724</v>
      </c>
      <c r="AS5" s="157"/>
      <c r="AT5" s="157" t="s">
        <v>725</v>
      </c>
      <c r="AU5" s="157" t="s">
        <v>724</v>
      </c>
      <c r="AV5" s="157"/>
      <c r="AW5" s="157" t="s">
        <v>725</v>
      </c>
      <c r="AX5" s="157" t="s">
        <v>724</v>
      </c>
      <c r="AY5" s="157"/>
      <c r="AZ5" s="157" t="s">
        <v>725</v>
      </c>
      <c r="BA5" s="157" t="s">
        <v>724</v>
      </c>
      <c r="BB5" s="157"/>
      <c r="BC5" s="157" t="s">
        <v>725</v>
      </c>
      <c r="BD5" s="157" t="s">
        <v>724</v>
      </c>
      <c r="BF5" s="157" t="s">
        <v>725</v>
      </c>
      <c r="BG5" s="157" t="s">
        <v>724</v>
      </c>
      <c r="BH5" s="157"/>
      <c r="BI5" s="157" t="s">
        <v>725</v>
      </c>
      <c r="BJ5" s="157" t="s">
        <v>724</v>
      </c>
      <c r="BK5" s="157"/>
      <c r="BL5" s="157" t="s">
        <v>725</v>
      </c>
      <c r="BM5" s="157" t="s">
        <v>724</v>
      </c>
      <c r="BN5" s="157"/>
      <c r="BO5" s="157" t="s">
        <v>725</v>
      </c>
      <c r="BP5" s="157" t="s">
        <v>724</v>
      </c>
      <c r="BQ5" s="157"/>
      <c r="BR5" s="157" t="s">
        <v>725</v>
      </c>
      <c r="BS5" s="157" t="s">
        <v>724</v>
      </c>
    </row>
    <row r="7" spans="1:74" x14ac:dyDescent="0.25">
      <c r="A7" s="366" t="s">
        <v>450</v>
      </c>
    </row>
    <row r="8" spans="1:74" x14ac:dyDescent="0.25">
      <c r="A8" s="353" t="s">
        <v>524</v>
      </c>
      <c r="B8" s="562">
        <f>SUM(B9:B11)</f>
        <v>100.48499999999999</v>
      </c>
      <c r="C8" s="562">
        <v>162.08499999999998</v>
      </c>
      <c r="D8" s="562">
        <f>SUM(D9:D11)</f>
        <v>81.04249999999999</v>
      </c>
      <c r="E8" s="562">
        <f>SUM(E9:E11)</f>
        <v>0</v>
      </c>
      <c r="F8" s="562">
        <f>SUM(F9:F11)</f>
        <v>0</v>
      </c>
      <c r="G8" s="562">
        <f>SUM(G9:G11)</f>
        <v>0</v>
      </c>
      <c r="I8" s="394">
        <f>'Summary DISCOUNTED'!$H$103</f>
        <v>17514.754297501659</v>
      </c>
      <c r="J8" s="394">
        <f>'Summary DISCOUNTED'!$AN$103</f>
        <v>1175.644959613735</v>
      </c>
      <c r="K8" s="394">
        <f>'Summary DISCOUNTED'!$AR$103</f>
        <v>5744.8361450163566</v>
      </c>
      <c r="M8" s="381">
        <f>$I8*$C8/10^6</f>
        <v>2.8388789503105558</v>
      </c>
      <c r="N8" s="400">
        <f>M8/M$59</f>
        <v>0.4719475447979824</v>
      </c>
      <c r="O8" s="338"/>
      <c r="P8" s="381">
        <f>$I8*$D8/10^6</f>
        <v>1.4194394751552779</v>
      </c>
      <c r="Q8" s="338">
        <f>P8/P$59</f>
        <v>0.33135363853032568</v>
      </c>
      <c r="R8" s="338"/>
      <c r="S8" s="381">
        <f>$I8*$E8/10^6</f>
        <v>0</v>
      </c>
      <c r="T8" s="338">
        <f>S8/S$59</f>
        <v>0</v>
      </c>
      <c r="U8" s="338"/>
      <c r="V8" s="381">
        <f>$I8*$F8/10^6</f>
        <v>0</v>
      </c>
      <c r="W8" s="338">
        <f>V8/V$59</f>
        <v>0</v>
      </c>
      <c r="X8" s="338"/>
      <c r="Y8" s="381">
        <f>$I8*$G8/10^6</f>
        <v>0</v>
      </c>
      <c r="Z8" s="338">
        <f>Y8/Y$59</f>
        <v>0</v>
      </c>
      <c r="AB8" s="381">
        <f>$J8*$C8/10^6</f>
        <v>0.1905544132789922</v>
      </c>
      <c r="AC8" s="400">
        <f>AB8/AB$59</f>
        <v>0.49003299256065574</v>
      </c>
      <c r="AD8" s="338"/>
      <c r="AE8" s="381">
        <f>$J8*$D8/10^6</f>
        <v>9.5277206639496098E-2</v>
      </c>
      <c r="AF8" s="338">
        <f>AE8/AE$59</f>
        <v>0.34823242289814882</v>
      </c>
      <c r="AG8" s="338"/>
      <c r="AH8" s="381">
        <f>$J8*$E8/10^6</f>
        <v>0</v>
      </c>
      <c r="AI8" s="338">
        <f>AH8/AH$59</f>
        <v>0</v>
      </c>
      <c r="AJ8" s="338"/>
      <c r="AK8" s="381">
        <f>$J8*$F8/10^6</f>
        <v>0</v>
      </c>
      <c r="AL8" s="338">
        <f>AK8/AK$59</f>
        <v>0</v>
      </c>
      <c r="AM8" s="338"/>
      <c r="AN8" s="381">
        <f>$J8*$G8/10^6</f>
        <v>0</v>
      </c>
      <c r="AO8" s="338">
        <f>AN8/AN$59</f>
        <v>0</v>
      </c>
      <c r="AQ8" s="381">
        <f>$K8*C8/10^6</f>
        <v>0.93115176656497611</v>
      </c>
      <c r="AR8" s="400">
        <f>AQ8/AQ$59</f>
        <v>0.40489690568880649</v>
      </c>
      <c r="AS8" s="338"/>
      <c r="AT8" s="381">
        <f>$K8*D8/10^6</f>
        <v>0.46557588328248806</v>
      </c>
      <c r="AU8" s="338">
        <f>AT8/AT$59</f>
        <v>0.27264443737205785</v>
      </c>
      <c r="AV8" s="338"/>
      <c r="AW8" s="381">
        <f>$K8*E8/10^6</f>
        <v>0</v>
      </c>
      <c r="AX8" s="338">
        <f>AW8/AW$59</f>
        <v>0</v>
      </c>
      <c r="AY8" s="338"/>
      <c r="AZ8" s="381">
        <f>$K8*F8/10^6</f>
        <v>0</v>
      </c>
      <c r="BA8" s="338">
        <f>AZ8/AZ$59</f>
        <v>0</v>
      </c>
      <c r="BB8" s="338"/>
      <c r="BC8" s="381">
        <f>$K8*G8/10^6</f>
        <v>0</v>
      </c>
      <c r="BD8" s="338">
        <f>BC8/BC$59</f>
        <v>0</v>
      </c>
      <c r="BF8" s="381">
        <f>M8+AB8+AQ8</f>
        <v>3.9605851301545241</v>
      </c>
      <c r="BG8" s="400">
        <f>BF8/BF$59</f>
        <v>0.45503942725680996</v>
      </c>
      <c r="BH8" s="338"/>
      <c r="BI8" s="381">
        <f>P8+AE8+AT8</f>
        <v>1.980292565077262</v>
      </c>
      <c r="BJ8" s="338">
        <f>BI8/BI$59</f>
        <v>0.31608857156537623</v>
      </c>
      <c r="BK8" s="338"/>
      <c r="BL8" s="381">
        <f>S8+AH8+AW8</f>
        <v>0</v>
      </c>
      <c r="BM8" s="338">
        <f>BL8/BL$59</f>
        <v>0</v>
      </c>
      <c r="BN8" s="338"/>
      <c r="BO8" s="381">
        <f>V8+AK8+AZ8</f>
        <v>0</v>
      </c>
      <c r="BP8" s="338">
        <f>BO8/BO$59</f>
        <v>0</v>
      </c>
      <c r="BQ8" s="338"/>
      <c r="BR8" s="381">
        <f>Y8+AN8+BC8</f>
        <v>0</v>
      </c>
      <c r="BS8" s="338">
        <f>BR8/BR$59</f>
        <v>0</v>
      </c>
    </row>
    <row r="9" spans="1:74" x14ac:dyDescent="0.25">
      <c r="A9" s="399" t="s">
        <v>723</v>
      </c>
      <c r="B9" s="55">
        <v>65.753661683346593</v>
      </c>
      <c r="C9" s="55">
        <v>128.43555797230459</v>
      </c>
      <c r="D9" s="55">
        <v>47.393057972304589</v>
      </c>
      <c r="E9" s="55">
        <v>0</v>
      </c>
      <c r="F9" s="55">
        <v>0</v>
      </c>
      <c r="G9" s="55">
        <v>0</v>
      </c>
    </row>
    <row r="10" spans="1:74" x14ac:dyDescent="0.25">
      <c r="A10" s="399" t="s">
        <v>722</v>
      </c>
      <c r="B10" s="55">
        <v>20.823743732299921</v>
      </c>
      <c r="C10" s="55">
        <v>20.175075061349659</v>
      </c>
      <c r="D10" s="55">
        <v>20.175075061349659</v>
      </c>
      <c r="E10" s="55">
        <v>0</v>
      </c>
      <c r="F10" s="55">
        <v>0</v>
      </c>
      <c r="G10" s="55">
        <v>0</v>
      </c>
    </row>
    <row r="11" spans="1:74" x14ac:dyDescent="0.25">
      <c r="A11" s="399" t="s">
        <v>721</v>
      </c>
      <c r="B11" s="55">
        <v>13.907594584353475</v>
      </c>
      <c r="C11" s="55">
        <v>13.474366966345748</v>
      </c>
      <c r="D11" s="55">
        <v>13.474366966345748</v>
      </c>
      <c r="E11" s="55">
        <v>0</v>
      </c>
      <c r="F11" s="55">
        <v>0</v>
      </c>
      <c r="G11" s="55">
        <v>0</v>
      </c>
    </row>
    <row r="12" spans="1:74" x14ac:dyDescent="0.25">
      <c r="A12" s="353" t="s">
        <v>720</v>
      </c>
      <c r="B12" s="562">
        <v>6.6880000000000006</v>
      </c>
      <c r="C12" s="562">
        <v>9.8648000000000025</v>
      </c>
      <c r="D12" s="562">
        <v>4.9324000000000012</v>
      </c>
      <c r="E12" s="562">
        <v>0</v>
      </c>
      <c r="F12" s="562">
        <v>0</v>
      </c>
      <c r="G12" s="562">
        <v>0</v>
      </c>
      <c r="I12" s="394">
        <f>'Summary DISCOUNTED'!$H$106</f>
        <v>20903.414479421921</v>
      </c>
      <c r="J12" s="394">
        <f>'Summary DISCOUNTED'!$AN$106</f>
        <v>1353.6278509451411</v>
      </c>
      <c r="K12" s="394">
        <f>'Summary DISCOUNTED'!$AR$106</f>
        <v>4975.2969141105059</v>
      </c>
      <c r="M12" s="381">
        <f>$I12*$C12/10^6</f>
        <v>0.20620800315660143</v>
      </c>
      <c r="N12" s="393">
        <f>M12/M$59</f>
        <v>3.4280912469623448E-2</v>
      </c>
      <c r="O12" s="392"/>
      <c r="P12" s="381">
        <f>$I12*$D12/10^6</f>
        <v>0.10310400157830071</v>
      </c>
      <c r="Q12" s="392">
        <f>P12/P$59</f>
        <v>2.4068575425710958E-2</v>
      </c>
      <c r="R12" s="392"/>
      <c r="S12" s="381">
        <f>$I12*$E12/10^6</f>
        <v>0</v>
      </c>
      <c r="T12" s="392">
        <f>S12/S$59</f>
        <v>0</v>
      </c>
      <c r="U12" s="392"/>
      <c r="V12" s="381">
        <f>$I12*$F12/10^6</f>
        <v>0</v>
      </c>
      <c r="W12" s="392">
        <f>V12/V$59</f>
        <v>0</v>
      </c>
      <c r="X12" s="392"/>
      <c r="Y12" s="381">
        <f>$I12*$G12/10^6</f>
        <v>0</v>
      </c>
      <c r="Z12" s="392">
        <f>Y12/Y$59</f>
        <v>0</v>
      </c>
      <c r="AB12" s="381">
        <f>$J12*$C12/10^6</f>
        <v>1.3353268024003632E-2</v>
      </c>
      <c r="AC12" s="393">
        <f>AB12/AB$59</f>
        <v>3.4339492734217408E-2</v>
      </c>
      <c r="AD12" s="392"/>
      <c r="AE12" s="381">
        <f>$J12*$D12/10^6</f>
        <v>6.6766340120018161E-3</v>
      </c>
      <c r="AF12" s="392">
        <f>AE12/AE$59</f>
        <v>2.4402693160399284E-2</v>
      </c>
      <c r="AG12" s="392"/>
      <c r="AH12" s="381">
        <f>$J12*$E12/10^6</f>
        <v>0</v>
      </c>
      <c r="AI12" s="392">
        <f>AH12/AH$59</f>
        <v>0</v>
      </c>
      <c r="AJ12" s="392"/>
      <c r="AK12" s="381">
        <f>$J12*$F12/10^6</f>
        <v>0</v>
      </c>
      <c r="AL12" s="392">
        <f>AK12/AK$59</f>
        <v>0</v>
      </c>
      <c r="AM12" s="392"/>
      <c r="AN12" s="381">
        <f>$J12*$G12/10^6</f>
        <v>0</v>
      </c>
      <c r="AO12" s="392">
        <f>AN12/AN$59</f>
        <v>0</v>
      </c>
      <c r="AQ12" s="381">
        <f>$K12*C12/10^6</f>
        <v>4.9080308998317335E-2</v>
      </c>
      <c r="AR12" s="393">
        <f>AQ12/AQ$59</f>
        <v>2.1341811246279225E-2</v>
      </c>
      <c r="AS12" s="392"/>
      <c r="AT12" s="381">
        <f>$K12*D12/10^6</f>
        <v>2.4540154499158667E-2</v>
      </c>
      <c r="AU12" s="392">
        <f>AT12/AT$59</f>
        <v>1.4370883150721287E-2</v>
      </c>
      <c r="AV12" s="392"/>
      <c r="AW12" s="381">
        <f>$K12*E12/10^6</f>
        <v>0</v>
      </c>
      <c r="AX12" s="392">
        <f>AW12/AW$59</f>
        <v>0</v>
      </c>
      <c r="AY12" s="392"/>
      <c r="AZ12" s="381">
        <f>$K12*F12/10^6</f>
        <v>0</v>
      </c>
      <c r="BA12" s="392">
        <f>AZ12/AZ$59</f>
        <v>0</v>
      </c>
      <c r="BB12" s="392"/>
      <c r="BC12" s="381">
        <f>$K12*G12/10^6</f>
        <v>0</v>
      </c>
      <c r="BD12" s="392">
        <f>BC12/BC$59</f>
        <v>0</v>
      </c>
      <c r="BF12" s="381">
        <f>M12+AB12+AQ12</f>
        <v>0.26864158017892237</v>
      </c>
      <c r="BG12" s="393">
        <f>BF12/BF$59</f>
        <v>3.086476032323332E-2</v>
      </c>
      <c r="BH12" s="392"/>
      <c r="BI12" s="381">
        <f>P12+AE12+AT12</f>
        <v>0.13432079008946118</v>
      </c>
      <c r="BJ12" s="392">
        <f>BI12/BI$59</f>
        <v>2.1439896013170177E-2</v>
      </c>
      <c r="BK12" s="392"/>
      <c r="BL12" s="381">
        <f>S12+AH12+AW12</f>
        <v>0</v>
      </c>
      <c r="BM12" s="392">
        <f>BL12/BL$59</f>
        <v>0</v>
      </c>
      <c r="BN12" s="392"/>
      <c r="BO12" s="381">
        <f>V12+AK12+AZ12</f>
        <v>0</v>
      </c>
      <c r="BP12" s="392">
        <f>BO12/BO$59</f>
        <v>0</v>
      </c>
      <c r="BQ12" s="392"/>
      <c r="BR12" s="381">
        <f>Y12+AN12+BC12</f>
        <v>0</v>
      </c>
      <c r="BS12" s="392">
        <f>BR12/BR$59</f>
        <v>0</v>
      </c>
    </row>
    <row r="14" spans="1:74" x14ac:dyDescent="0.25">
      <c r="A14" s="366" t="s">
        <v>719</v>
      </c>
    </row>
    <row r="15" spans="1:74" x14ac:dyDescent="0.25">
      <c r="A15" s="353" t="s">
        <v>114</v>
      </c>
      <c r="B15" s="562">
        <v>118.76700000000001</v>
      </c>
      <c r="C15" s="562">
        <v>147.32299999999998</v>
      </c>
      <c r="D15" s="562">
        <v>73.66149999999999</v>
      </c>
      <c r="E15" s="562">
        <v>0</v>
      </c>
      <c r="F15" s="562">
        <v>118.76700000000001</v>
      </c>
      <c r="G15" s="562">
        <v>0</v>
      </c>
      <c r="I15" s="394">
        <f>'Summary DISCOUNTED'!$H$115</f>
        <v>1538.6655430218802</v>
      </c>
      <c r="J15" s="394">
        <f>'Summary DISCOUNTED'!$AN$115</f>
        <v>90.655316514989181</v>
      </c>
      <c r="K15" s="394">
        <f>'Summary DISCOUNTED'!$AR$115</f>
        <v>620.24231856649953</v>
      </c>
      <c r="M15" s="381">
        <f>$I15*$C15/10^6</f>
        <v>0.22668082379461243</v>
      </c>
      <c r="N15" s="393">
        <f>M15/M$59</f>
        <v>3.7684402933400279E-2</v>
      </c>
      <c r="O15" s="392"/>
      <c r="P15" s="381">
        <f>$I15*$D15/10^6</f>
        <v>0.11334041189730622</v>
      </c>
      <c r="Q15" s="392">
        <f>P15/P$59</f>
        <v>2.6458160796598854E-2</v>
      </c>
      <c r="R15" s="392"/>
      <c r="S15" s="381">
        <f>$I15*$E15/10^6</f>
        <v>0</v>
      </c>
      <c r="T15" s="392">
        <f>S15/S$59</f>
        <v>0</v>
      </c>
      <c r="U15" s="392"/>
      <c r="V15" s="381">
        <f>$I15*$F15/10^6</f>
        <v>0.18274269054807968</v>
      </c>
      <c r="W15" s="392">
        <f>V15/V$59</f>
        <v>0.10743185043945233</v>
      </c>
      <c r="X15" s="392"/>
      <c r="Y15" s="381">
        <f>$I15*$G15/10^6</f>
        <v>0</v>
      </c>
      <c r="Z15" s="392">
        <f>Y15/Y$59</f>
        <v>0</v>
      </c>
      <c r="AB15" s="381">
        <f>$J15*$C15/10^6</f>
        <v>1.3355613194937749E-2</v>
      </c>
      <c r="AC15" s="393">
        <f>AB15/AB$59</f>
        <v>3.4345523615954214E-2</v>
      </c>
      <c r="AD15" s="392"/>
      <c r="AE15" s="381">
        <f>$J15*$D15/10^6</f>
        <v>6.6778065974688744E-3</v>
      </c>
      <c r="AF15" s="392">
        <f>AE15/AE$59</f>
        <v>2.4406978889301829E-2</v>
      </c>
      <c r="AG15" s="392"/>
      <c r="AH15" s="381">
        <f>$J15*$E15/10^6</f>
        <v>0</v>
      </c>
      <c r="AI15" s="392">
        <f>AH15/AH$59</f>
        <v>0</v>
      </c>
      <c r="AJ15" s="392"/>
      <c r="AK15" s="381">
        <f>$J15*$F15/10^6</f>
        <v>1.076685997653572E-2</v>
      </c>
      <c r="AL15" s="392">
        <f>AK15/AK$59</f>
        <v>0.11931797224752176</v>
      </c>
      <c r="AM15" s="392"/>
      <c r="AN15" s="381">
        <f>$J15*$G15/10^6</f>
        <v>0</v>
      </c>
      <c r="AO15" s="392">
        <f>AN15/AN$59</f>
        <v>0</v>
      </c>
      <c r="AQ15" s="381">
        <f>$K15*C15/10^6</f>
        <v>9.1375959098172407E-2</v>
      </c>
      <c r="AR15" s="393">
        <f>AQ15/AQ$59</f>
        <v>3.973341878486919E-2</v>
      </c>
      <c r="AS15" s="392"/>
      <c r="AT15" s="381">
        <f>$K15*D15/10^6</f>
        <v>4.5687979549086204E-2</v>
      </c>
      <c r="AU15" s="392">
        <f>AT15/AT$59</f>
        <v>2.6755194858898372E-2</v>
      </c>
      <c r="AV15" s="392"/>
      <c r="AW15" s="381">
        <f>$K15*E15/10^6</f>
        <v>0</v>
      </c>
      <c r="AX15" s="392">
        <f>AW15/AW$59</f>
        <v>0</v>
      </c>
      <c r="AY15" s="392"/>
      <c r="AZ15" s="381">
        <f>$K15*F15/10^6</f>
        <v>7.3664319449187457E-2</v>
      </c>
      <c r="BA15" s="392">
        <f>AZ15/AZ$59</f>
        <v>9.6315604953318146E-2</v>
      </c>
      <c r="BB15" s="392"/>
      <c r="BC15" s="381">
        <f>$K15*G15/10^6</f>
        <v>0</v>
      </c>
      <c r="BD15" s="392">
        <f>BC15/BC$59</f>
        <v>0</v>
      </c>
      <c r="BF15" s="381">
        <f t="shared" ref="BF15:BF17" si="0">M15+AB15+AQ15</f>
        <v>0.3314123960877226</v>
      </c>
      <c r="BG15" s="393">
        <f>BF15/BF$59</f>
        <v>3.8076623010418816E-2</v>
      </c>
      <c r="BH15" s="392"/>
      <c r="BI15" s="381">
        <f t="shared" ref="BI15:BI17" si="1">P15+AE15+AT15</f>
        <v>0.1657061980438613</v>
      </c>
      <c r="BJ15" s="392">
        <f>BI15/BI$59</f>
        <v>2.6449544053693864E-2</v>
      </c>
      <c r="BK15" s="392"/>
      <c r="BL15" s="381">
        <f t="shared" ref="BL15:BL17" si="2">S15+AH15+AW15</f>
        <v>0</v>
      </c>
      <c r="BM15" s="392">
        <f>BL15/BL$59</f>
        <v>0</v>
      </c>
      <c r="BN15" s="392"/>
      <c r="BO15" s="381">
        <f t="shared" ref="BO15:BO17" si="3">V15+AK15+AZ15</f>
        <v>0.26717386997380288</v>
      </c>
      <c r="BP15" s="392">
        <f>BO15/BO$59</f>
        <v>0.10452528307461506</v>
      </c>
      <c r="BQ15" s="392"/>
      <c r="BR15" s="381">
        <f t="shared" ref="BR15:BR17" si="4">Y15+AN15+BC15</f>
        <v>0</v>
      </c>
      <c r="BS15" s="392">
        <f>BR15/BR$59</f>
        <v>0</v>
      </c>
    </row>
    <row r="16" spans="1:74" x14ac:dyDescent="0.25">
      <c r="A16" s="353" t="s">
        <v>4</v>
      </c>
      <c r="B16" s="562">
        <v>111.65</v>
      </c>
      <c r="C16" s="562">
        <v>169.21299999999999</v>
      </c>
      <c r="D16" s="562">
        <v>84.606499999999997</v>
      </c>
      <c r="E16" s="562">
        <v>0</v>
      </c>
      <c r="F16" s="562">
        <v>369.71879999999999</v>
      </c>
      <c r="G16" s="562">
        <v>0</v>
      </c>
      <c r="I16" s="394">
        <f>'Summary DISCOUNTED'!$H$116</f>
        <v>1410.7900883759571</v>
      </c>
      <c r="J16" s="394">
        <f>'Summary DISCOUNTED'!$AN$116</f>
        <v>73.410584337380413</v>
      </c>
      <c r="K16" s="394">
        <f>'Summary DISCOUNTED'!$AR$116</f>
        <v>517.04264174997229</v>
      </c>
      <c r="M16" s="381">
        <f>$I16*$C16/10^6</f>
        <v>0.23872402322436084</v>
      </c>
      <c r="N16" s="393">
        <f>M16/M$59</f>
        <v>3.9686516620481033E-2</v>
      </c>
      <c r="O16" s="392"/>
      <c r="P16" s="381">
        <f>$I16*$D16/10^6</f>
        <v>0.11936201161218042</v>
      </c>
      <c r="Q16" s="392">
        <f>P16/P$59</f>
        <v>2.7863841708128011E-2</v>
      </c>
      <c r="R16" s="392"/>
      <c r="S16" s="381">
        <f>$I16*$E16/10^6</f>
        <v>0</v>
      </c>
      <c r="T16" s="392">
        <f>S16/S$59</f>
        <v>0</v>
      </c>
      <c r="U16" s="392"/>
      <c r="V16" s="381">
        <f>$I16*$F16/10^6</f>
        <v>0.5215956185262528</v>
      </c>
      <c r="W16" s="392">
        <f>V16/V$59</f>
        <v>0.30663870774433483</v>
      </c>
      <c r="X16" s="392"/>
      <c r="Y16" s="381">
        <f>$I16*$G16/10^6</f>
        <v>0</v>
      </c>
      <c r="Z16" s="392">
        <f>Y16/Y$59</f>
        <v>0</v>
      </c>
      <c r="AB16" s="381">
        <f>$J16*$C16/10^6</f>
        <v>1.242202520748115E-2</v>
      </c>
      <c r="AC16" s="393">
        <f>AB16/AB$59</f>
        <v>3.1944692759089073E-2</v>
      </c>
      <c r="AD16" s="392"/>
      <c r="AE16" s="381">
        <f>$J16*$D16/10^6</f>
        <v>6.211012603740575E-3</v>
      </c>
      <c r="AF16" s="392">
        <f>AE16/AE$59</f>
        <v>2.2700875098440643E-2</v>
      </c>
      <c r="AG16" s="392"/>
      <c r="AH16" s="381">
        <f>$J16*$E16/10^6</f>
        <v>0</v>
      </c>
      <c r="AI16" s="392">
        <f>AH16/AH$59</f>
        <v>0</v>
      </c>
      <c r="AJ16" s="392"/>
      <c r="AK16" s="381">
        <f>$J16*$F16/10^6</f>
        <v>2.7141273148515079E-2</v>
      </c>
      <c r="AL16" s="392">
        <f>AK16/AK$59</f>
        <v>0.30077865629853867</v>
      </c>
      <c r="AM16" s="392"/>
      <c r="AN16" s="381">
        <f>$J16*$G16/10^6</f>
        <v>0</v>
      </c>
      <c r="AO16" s="392">
        <f>AN16/AN$59</f>
        <v>0</v>
      </c>
      <c r="AQ16" s="381">
        <f>$K16*C16/10^6</f>
        <v>8.749033653843806E-2</v>
      </c>
      <c r="AR16" s="393">
        <f>AQ16/AQ$59</f>
        <v>3.8043816071753063E-2</v>
      </c>
      <c r="AS16" s="392"/>
      <c r="AT16" s="381">
        <f>$K16*D16/10^6</f>
        <v>4.374516826921903E-2</v>
      </c>
      <c r="AU16" s="392">
        <f>AT16/AT$59</f>
        <v>2.5617471219553246E-2</v>
      </c>
      <c r="AV16" s="392"/>
      <c r="AW16" s="381">
        <f>$K16*E16/10^6</f>
        <v>0</v>
      </c>
      <c r="AX16" s="392">
        <f>AW16/AW$59</f>
        <v>0</v>
      </c>
      <c r="AY16" s="392"/>
      <c r="AZ16" s="381">
        <f>$K16*F16/10^6</f>
        <v>0.19116038505662966</v>
      </c>
      <c r="BA16" s="392">
        <f>AZ16/AZ$59</f>
        <v>0.24994092482641692</v>
      </c>
      <c r="BB16" s="392"/>
      <c r="BC16" s="381">
        <f>$K16*G16/10^6</f>
        <v>0</v>
      </c>
      <c r="BD16" s="392">
        <f>BC16/BC$59</f>
        <v>0</v>
      </c>
      <c r="BF16" s="381">
        <f t="shared" si="0"/>
        <v>0.33863638497028009</v>
      </c>
      <c r="BG16" s="393">
        <f>BF16/BF$59</f>
        <v>3.8906601323118351E-2</v>
      </c>
      <c r="BH16" s="392"/>
      <c r="BI16" s="381">
        <f t="shared" si="1"/>
        <v>0.16931819248514005</v>
      </c>
      <c r="BJ16" s="392">
        <f>BI16/BI$59</f>
        <v>2.7026080159307797E-2</v>
      </c>
      <c r="BK16" s="392"/>
      <c r="BL16" s="381">
        <f t="shared" si="2"/>
        <v>0</v>
      </c>
      <c r="BM16" s="392">
        <f>BL16/BL$59</f>
        <v>0</v>
      </c>
      <c r="BN16" s="392"/>
      <c r="BO16" s="381">
        <f t="shared" si="3"/>
        <v>0.7398972767313976</v>
      </c>
      <c r="BP16" s="392">
        <f>BO16/BO$59</f>
        <v>0.28946682661769779</v>
      </c>
      <c r="BQ16" s="392"/>
      <c r="BR16" s="381">
        <f t="shared" si="4"/>
        <v>0</v>
      </c>
      <c r="BS16" s="392">
        <f>BR16/BR$59</f>
        <v>0</v>
      </c>
    </row>
    <row r="17" spans="1:71" x14ac:dyDescent="0.25">
      <c r="A17" s="353" t="s">
        <v>718</v>
      </c>
      <c r="B17" s="562">
        <v>82.8</v>
      </c>
      <c r="C17" s="562">
        <v>82.8</v>
      </c>
      <c r="D17" s="562">
        <v>41.4</v>
      </c>
      <c r="E17" s="562">
        <v>149.04000000000002</v>
      </c>
      <c r="F17" s="562">
        <v>82.8</v>
      </c>
      <c r="G17" s="562">
        <v>0</v>
      </c>
      <c r="I17" s="394">
        <f>'Summary DISCOUNTED'!$H$117</f>
        <v>1809.7598801324223</v>
      </c>
      <c r="J17" s="394">
        <f>'Summary DISCOUNTED'!$AN$117</f>
        <v>94.171011977980712</v>
      </c>
      <c r="K17" s="394">
        <f>'Summary DISCOUNTED'!$AR$117</f>
        <v>646.66459712662493</v>
      </c>
      <c r="M17" s="381">
        <f>$I17*$C17/10^6</f>
        <v>0.14984811807496456</v>
      </c>
      <c r="N17" s="393">
        <f>M17/M$59</f>
        <v>2.4911400822617433E-2</v>
      </c>
      <c r="O17" s="392"/>
      <c r="P17" s="381">
        <f>$I17*$D17/10^6</f>
        <v>7.4924059037482282E-2</v>
      </c>
      <c r="Q17" s="392">
        <f>P17/P$59</f>
        <v>1.7490255843994218E-2</v>
      </c>
      <c r="R17" s="392"/>
      <c r="S17" s="381">
        <f>$I17*$E17/10^6</f>
        <v>0.26972661253493624</v>
      </c>
      <c r="T17" s="392">
        <f>S17/S$59</f>
        <v>7.3933562386854917E-2</v>
      </c>
      <c r="U17" s="392"/>
      <c r="V17" s="381">
        <f>$I17*$F17/10^6</f>
        <v>0.14984811807496456</v>
      </c>
      <c r="W17" s="392">
        <f>V17/V$59</f>
        <v>8.8093595215111897E-2</v>
      </c>
      <c r="X17" s="392"/>
      <c r="Y17" s="381">
        <f>$I17*$G17/10^6</f>
        <v>0</v>
      </c>
      <c r="Z17" s="392">
        <f>Y17/Y$59</f>
        <v>0</v>
      </c>
      <c r="AB17" s="381">
        <f>$J17*$C17/10^6</f>
        <v>7.7973597917768032E-3</v>
      </c>
      <c r="AC17" s="393">
        <f>AB17/AB$59</f>
        <v>2.0051823975560282E-2</v>
      </c>
      <c r="AD17" s="392"/>
      <c r="AE17" s="381">
        <f>$J17*$D17/10^6</f>
        <v>3.8986798958884016E-3</v>
      </c>
      <c r="AF17" s="392">
        <f>AE17/AE$59</f>
        <v>1.4249439022561809E-2</v>
      </c>
      <c r="AG17" s="392"/>
      <c r="AH17" s="381">
        <f>$J17*$E17/10^6</f>
        <v>1.4035247625198248E-2</v>
      </c>
      <c r="AI17" s="392">
        <f>AH17/AH$59</f>
        <v>6.2981907803523585E-2</v>
      </c>
      <c r="AJ17" s="392"/>
      <c r="AK17" s="381">
        <f>$J17*$F17/10^6</f>
        <v>7.7973597917768032E-3</v>
      </c>
      <c r="AL17" s="392">
        <f>AK17/AK$59</f>
        <v>8.6410073249463329E-2</v>
      </c>
      <c r="AM17" s="392"/>
      <c r="AN17" s="381">
        <f>$J17*$G17/10^6</f>
        <v>0</v>
      </c>
      <c r="AO17" s="392">
        <f>AN17/AN$59</f>
        <v>0</v>
      </c>
      <c r="AQ17" s="381">
        <f>$K17*C17/10^6</f>
        <v>5.354382864208454E-2</v>
      </c>
      <c r="AR17" s="393">
        <f>AQ17/AQ$59</f>
        <v>2.3282703544545015E-2</v>
      </c>
      <c r="AS17" s="392"/>
      <c r="AT17" s="381">
        <f>$K17*D17/10^6</f>
        <v>2.677191432104227E-2</v>
      </c>
      <c r="AU17" s="392">
        <f>AT17/AT$59</f>
        <v>1.5677817042350346E-2</v>
      </c>
      <c r="AV17" s="392"/>
      <c r="AW17" s="381">
        <f>$K17*E17/10^6</f>
        <v>9.6378891555752202E-2</v>
      </c>
      <c r="AX17" s="392">
        <f>AW17/AW$59</f>
        <v>6.3810022335703348E-2</v>
      </c>
      <c r="AY17" s="392"/>
      <c r="AZ17" s="381">
        <f>$K17*F17/10^6</f>
        <v>5.354382864208454E-2</v>
      </c>
      <c r="BA17" s="392">
        <f>AZ17/AZ$59</f>
        <v>7.0008197805132372E-2</v>
      </c>
      <c r="BB17" s="392"/>
      <c r="BC17" s="381">
        <f>$K17*G17/10^6</f>
        <v>0</v>
      </c>
      <c r="BD17" s="392">
        <f>BC17/BC$59</f>
        <v>0</v>
      </c>
      <c r="BF17" s="381">
        <f t="shared" si="0"/>
        <v>0.21118930650882592</v>
      </c>
      <c r="BG17" s="393">
        <f>BF17/BF$59</f>
        <v>2.4263955430441582E-2</v>
      </c>
      <c r="BH17" s="392"/>
      <c r="BI17" s="381">
        <f t="shared" si="1"/>
        <v>0.10559465325441296</v>
      </c>
      <c r="BJ17" s="392">
        <f>BI17/BI$59</f>
        <v>1.6854713137210799E-2</v>
      </c>
      <c r="BK17" s="392"/>
      <c r="BL17" s="381">
        <f t="shared" si="2"/>
        <v>0.38014075171588668</v>
      </c>
      <c r="BM17" s="392">
        <f>BL17/BL$59</f>
        <v>7.063871329540336E-2</v>
      </c>
      <c r="BN17" s="392"/>
      <c r="BO17" s="381">
        <f t="shared" si="3"/>
        <v>0.21118930650882592</v>
      </c>
      <c r="BP17" s="392">
        <f>BO17/BO$59</f>
        <v>8.2622683301069644E-2</v>
      </c>
      <c r="BQ17" s="392"/>
      <c r="BR17" s="381">
        <f t="shared" si="4"/>
        <v>0</v>
      </c>
      <c r="BS17" s="392">
        <f>BR17/BR$59</f>
        <v>0</v>
      </c>
    </row>
    <row r="18" spans="1:71" x14ac:dyDescent="0.25">
      <c r="A18" s="353" t="s">
        <v>717</v>
      </c>
      <c r="B18" s="55">
        <v>36.142425000000003</v>
      </c>
      <c r="C18" s="55">
        <v>36.142425000000003</v>
      </c>
      <c r="D18" s="55">
        <v>18.071212500000001</v>
      </c>
      <c r="E18" s="55">
        <v>0</v>
      </c>
      <c r="F18" s="55">
        <v>36.142425000000003</v>
      </c>
      <c r="G18" s="55">
        <v>0</v>
      </c>
    </row>
    <row r="19" spans="1:71" x14ac:dyDescent="0.25">
      <c r="A19" s="353" t="s">
        <v>716</v>
      </c>
      <c r="B19" s="55">
        <v>57.895200000000003</v>
      </c>
      <c r="C19" s="55">
        <v>57.895200000000003</v>
      </c>
      <c r="D19" s="55">
        <v>28.947600000000001</v>
      </c>
      <c r="E19" s="55">
        <v>0</v>
      </c>
      <c r="F19" s="55">
        <v>57.895200000000003</v>
      </c>
      <c r="G19" s="55">
        <v>0</v>
      </c>
    </row>
    <row r="21" spans="1:71" x14ac:dyDescent="0.25">
      <c r="A21" s="366" t="s">
        <v>715</v>
      </c>
      <c r="B21" s="562">
        <f t="shared" ref="B21:G21" si="5">SUM(B22:B24)</f>
        <v>133.18745000000001</v>
      </c>
      <c r="C21" s="562">
        <f t="shared" si="5"/>
        <v>66.09096000000001</v>
      </c>
      <c r="D21" s="562">
        <f t="shared" si="5"/>
        <v>188.6416266666667</v>
      </c>
      <c r="E21" s="562">
        <f t="shared" si="5"/>
        <v>504.64954666666671</v>
      </c>
      <c r="F21" s="562">
        <f t="shared" si="5"/>
        <v>321.80912666666632</v>
      </c>
      <c r="G21" s="562">
        <f t="shared" si="5"/>
        <v>1265.0172599999999</v>
      </c>
      <c r="I21" s="386">
        <f>('Summary DISCOUNTED'!$H$28+'Summary DISCOUNTED'!$H$35)/2</f>
        <v>518.05231318120354</v>
      </c>
      <c r="J21" s="386">
        <f>('Summary DISCOUNTED'!$AN$28+'Summary DISCOUNTED'!$AN$35)/2</f>
        <v>4.7977644263402359</v>
      </c>
      <c r="K21" s="386">
        <f>('Summary DISCOUNTED'!$AR$28+'Summary DISCOUNTED'!$AR$35)/2</f>
        <v>27.213237041744801</v>
      </c>
      <c r="M21" s="381">
        <f>$I21*$C21/10^6</f>
        <v>3.4238574708366401E-2</v>
      </c>
      <c r="N21" s="393">
        <f>M21/M$59</f>
        <v>5.6919691025318795E-3</v>
      </c>
      <c r="O21" s="392"/>
      <c r="P21" s="381">
        <f>$I21*$D21/10^6</f>
        <v>9.7726231056931692E-2</v>
      </c>
      <c r="Q21" s="392">
        <f>P21/P$59</f>
        <v>2.2813189859347296E-2</v>
      </c>
      <c r="R21" s="392"/>
      <c r="S21" s="381">
        <f>$I21*$E21/10^6</f>
        <v>0.26143486499651242</v>
      </c>
      <c r="T21" s="392">
        <f>S21/S$59</f>
        <v>7.166074833945088E-2</v>
      </c>
      <c r="U21" s="392"/>
      <c r="V21" s="381">
        <f>$I21*$F21/10^6</f>
        <v>0.16671396247248943</v>
      </c>
      <c r="W21" s="392">
        <f>V21/V$59</f>
        <v>9.8008787266928868E-2</v>
      </c>
      <c r="X21" s="392"/>
      <c r="Y21" s="381">
        <f>$I21*$G21/10^6</f>
        <v>0.65534511775714788</v>
      </c>
      <c r="Z21" s="392">
        <f>Y21/Y$59</f>
        <v>0.50956689730008087</v>
      </c>
      <c r="AB21" s="381">
        <f>$J21*$C21/10^6</f>
        <v>3.1708885679067555E-4</v>
      </c>
      <c r="AC21" s="393">
        <f>AB21/AB$59</f>
        <v>8.1543113448268988E-4</v>
      </c>
      <c r="AD21" s="392"/>
      <c r="AE21" s="381">
        <f>$J21*$D21/10^6</f>
        <v>9.0505808574828904E-4</v>
      </c>
      <c r="AF21" s="392">
        <f>AE21/AE$59</f>
        <v>3.3079325179652865E-3</v>
      </c>
      <c r="AG21" s="392"/>
      <c r="AH21" s="381">
        <f>$J21*$E21/10^6</f>
        <v>2.4211896427660602E-3</v>
      </c>
      <c r="AI21" s="392">
        <f>AH21/AH$59</f>
        <v>1.0864870141782361E-2</v>
      </c>
      <c r="AJ21" s="392"/>
      <c r="AK21" s="381">
        <f>$J21*$F21/10^6</f>
        <v>1.5439643799929506E-3</v>
      </c>
      <c r="AL21" s="392">
        <f>AK21/AK$59</f>
        <v>1.7110160199411768E-2</v>
      </c>
      <c r="AM21" s="392"/>
      <c r="AN21" s="381">
        <f>$J21*$G21/10^6</f>
        <v>6.0692548087343968E-3</v>
      </c>
      <c r="AO21" s="392">
        <f>AN21/AN$59</f>
        <v>0.12913070642706223</v>
      </c>
      <c r="AQ21" s="381">
        <f>$K21*C21/10^6</f>
        <v>1.7985489607964741E-3</v>
      </c>
      <c r="AR21" s="393">
        <f>AQ21/AQ$59</f>
        <v>7.8207112428379307E-4</v>
      </c>
      <c r="AS21" s="392"/>
      <c r="AT21" s="381">
        <f>$K21*D21/10^6</f>
        <v>5.1335493024203278E-3</v>
      </c>
      <c r="AU21" s="392">
        <f>AT21/AT$59</f>
        <v>3.0062417567940968E-3</v>
      </c>
      <c r="AV21" s="392"/>
      <c r="AW21" s="381">
        <f>$K21*E21/10^6</f>
        <v>1.3733147736449057E-2</v>
      </c>
      <c r="AX21" s="392">
        <f>AW21/AW$59</f>
        <v>9.0923691864147303E-3</v>
      </c>
      <c r="AY21" s="392"/>
      <c r="AZ21" s="381">
        <f>$K21*F21/10^6</f>
        <v>8.757468046176867E-3</v>
      </c>
      <c r="BA21" s="392">
        <f>AZ21/AZ$59</f>
        <v>1.1450330893353306E-2</v>
      </c>
      <c r="BB21" s="392"/>
      <c r="BC21" s="381">
        <f>$K21*G21/10^6</f>
        <v>3.4425214558278509E-2</v>
      </c>
      <c r="BD21" s="392">
        <f>BC21/BC$59</f>
        <v>7.5102517237825947E-2</v>
      </c>
      <c r="BF21" s="381">
        <f>M21+AB21+AQ21</f>
        <v>3.6354212525953548E-2</v>
      </c>
      <c r="BG21" s="393">
        <f>BF21/BF$59</f>
        <v>4.1768070884861484E-3</v>
      </c>
      <c r="BH21" s="392"/>
      <c r="BI21" s="381">
        <f>P21+AE21+AT21</f>
        <v>0.1037648384451003</v>
      </c>
      <c r="BJ21" s="392">
        <f>BI21/BI$59</f>
        <v>1.656264338978828E-2</v>
      </c>
      <c r="BK21" s="392"/>
      <c r="BL21" s="381">
        <f>S21+AH21+AW21</f>
        <v>0.27758920237572754</v>
      </c>
      <c r="BM21" s="392">
        <f>BL21/BL$59</f>
        <v>5.1582325735952519E-2</v>
      </c>
      <c r="BN21" s="392"/>
      <c r="BO21" s="381">
        <f>V21+AK21+AZ21</f>
        <v>0.17701539489865925</v>
      </c>
      <c r="BP21" s="392">
        <f>BO21/BO$59</f>
        <v>6.9252970966664357E-2</v>
      </c>
      <c r="BQ21" s="392"/>
      <c r="BR21" s="381">
        <f>Y21+AN21+BC21</f>
        <v>0.69583958712416083</v>
      </c>
      <c r="BS21" s="392">
        <f>BR21/BR$59</f>
        <v>0.38842043778442686</v>
      </c>
    </row>
    <row r="22" spans="1:71" x14ac:dyDescent="0.25">
      <c r="A22" s="353" t="s">
        <v>714</v>
      </c>
      <c r="B22" s="55">
        <v>67.096490000000003</v>
      </c>
      <c r="C22" s="55">
        <v>0</v>
      </c>
      <c r="D22" s="55">
        <v>122.55066666666667</v>
      </c>
      <c r="E22" s="55">
        <v>306.37666666666667</v>
      </c>
      <c r="F22" s="55">
        <v>76.594166666666666</v>
      </c>
      <c r="G22" s="55">
        <v>689.34750000000008</v>
      </c>
    </row>
    <row r="23" spans="1:71" x14ac:dyDescent="0.25">
      <c r="A23" s="353" t="s">
        <v>713</v>
      </c>
      <c r="B23" s="55">
        <v>66.09096000000001</v>
      </c>
      <c r="C23" s="55">
        <v>66.09096000000001</v>
      </c>
      <c r="D23" s="55">
        <v>66.09096000000001</v>
      </c>
      <c r="E23" s="55">
        <v>198.27288000000004</v>
      </c>
      <c r="F23" s="55">
        <v>66.09096000000001</v>
      </c>
      <c r="G23" s="55">
        <v>396.54576000000009</v>
      </c>
    </row>
    <row r="24" spans="1:71" x14ac:dyDescent="0.25">
      <c r="A24" s="353" t="s">
        <v>712</v>
      </c>
      <c r="B24" s="55">
        <v>0</v>
      </c>
      <c r="C24" s="55">
        <v>0</v>
      </c>
      <c r="D24" s="55">
        <v>0</v>
      </c>
      <c r="E24" s="55">
        <v>0</v>
      </c>
      <c r="F24" s="55">
        <v>179.12399999999965</v>
      </c>
      <c r="G24" s="55">
        <v>179.12399999999965</v>
      </c>
    </row>
    <row r="26" spans="1:71" x14ac:dyDescent="0.25">
      <c r="A26" s="366" t="s">
        <v>451</v>
      </c>
      <c r="B26" s="562">
        <f>SUM(B27:B29)</f>
        <v>739.06529999999987</v>
      </c>
      <c r="C26" s="562">
        <f>SUM(C27:C29)</f>
        <v>696.8999999999985</v>
      </c>
      <c r="D26" s="562">
        <f>SUM(D27:D29)</f>
        <v>696.8999999999985</v>
      </c>
      <c r="E26" s="562">
        <f>SUM(E27:E29)+22</f>
        <v>1046.7999999999975</v>
      </c>
      <c r="F26" s="562">
        <f>SUM(F27:F29)</f>
        <v>0</v>
      </c>
      <c r="G26" s="562">
        <f>SUM(G27:G29)</f>
        <v>0</v>
      </c>
      <c r="I26" s="394">
        <f>'Summary DISCOUNTED'!$H$111</f>
        <v>2458.094599029791</v>
      </c>
      <c r="J26" s="394">
        <f>'Summary DISCOUNTED'!$AN$111</f>
        <v>165.54585490871662</v>
      </c>
      <c r="K26" s="394">
        <f>'Summary DISCOUNTED'!$AR$111</f>
        <v>953.95389247328751</v>
      </c>
      <c r="M26" s="381">
        <f>$I26*$C26/10^6</f>
        <v>1.7130461260638576</v>
      </c>
      <c r="N26" s="398">
        <f>M26/M$59</f>
        <v>0.2847842149920099</v>
      </c>
      <c r="O26" s="397"/>
      <c r="P26" s="381">
        <f>$I26*$D26/10^6</f>
        <v>1.7130461260638576</v>
      </c>
      <c r="Q26" s="397">
        <f>P26/P$59</f>
        <v>0.39989311046844295</v>
      </c>
      <c r="R26" s="397"/>
      <c r="S26" s="381">
        <f>$I26*$E26/10^6</f>
        <v>2.5731334262643788</v>
      </c>
      <c r="T26" s="397">
        <f>S26/S$59</f>
        <v>0.70531016169484695</v>
      </c>
      <c r="U26" s="397"/>
      <c r="V26" s="381">
        <f>$I26*$F26/10^6</f>
        <v>0</v>
      </c>
      <c r="W26" s="397">
        <f>V26/V$59</f>
        <v>0</v>
      </c>
      <c r="X26" s="397"/>
      <c r="Y26" s="381">
        <f>$I26*$G26/10^6</f>
        <v>0</v>
      </c>
      <c r="Z26" s="397">
        <f>Y26/Y$59</f>
        <v>0</v>
      </c>
      <c r="AB26" s="381">
        <f>$J26*$C26/10^6</f>
        <v>0.11536890628588437</v>
      </c>
      <c r="AC26" s="398">
        <f>AB26/AB$59</f>
        <v>0.29668465517484005</v>
      </c>
      <c r="AD26" s="397"/>
      <c r="AE26" s="381">
        <f>$J26*$D26/10^6</f>
        <v>0.11536890628588437</v>
      </c>
      <c r="AF26" s="397">
        <f>AE26/AE$59</f>
        <v>0.42166636890453091</v>
      </c>
      <c r="AG26" s="397"/>
      <c r="AH26" s="381">
        <f>$J26*$E26/10^6</f>
        <v>0.17329340091844411</v>
      </c>
      <c r="AI26" s="397">
        <f>AH26/AH$59</f>
        <v>0.77763850635662246</v>
      </c>
      <c r="AJ26" s="397"/>
      <c r="AK26" s="381">
        <f>$J26*$F26/10^6</f>
        <v>0</v>
      </c>
      <c r="AL26" s="397">
        <f>AK26/AK$59</f>
        <v>0</v>
      </c>
      <c r="AM26" s="397"/>
      <c r="AN26" s="381">
        <f>$J26*$G26/10^6</f>
        <v>0</v>
      </c>
      <c r="AO26" s="397">
        <f>AN26/AN$59</f>
        <v>0</v>
      </c>
      <c r="AQ26" s="381">
        <f>$K26*C26/10^6</f>
        <v>0.66481046766463259</v>
      </c>
      <c r="AR26" s="398">
        <f>AQ26/AQ$59</f>
        <v>0.28908252219715314</v>
      </c>
      <c r="AS26" s="397"/>
      <c r="AT26" s="381">
        <f>$K26*D26/10^6</f>
        <v>0.66481046766463259</v>
      </c>
      <c r="AU26" s="397">
        <f>AT26/AT$59</f>
        <v>0.389317579419166</v>
      </c>
      <c r="AV26" s="397"/>
      <c r="AW26" s="381">
        <f>$K26*E26/10^6</f>
        <v>0.99859893464103489</v>
      </c>
      <c r="AX26" s="397">
        <f>AW26/AW$59</f>
        <v>0.66114705507889759</v>
      </c>
      <c r="AY26" s="397"/>
      <c r="AZ26" s="381">
        <f>$K26*F26/10^6</f>
        <v>0</v>
      </c>
      <c r="BA26" s="397">
        <f>AZ26/AZ$59</f>
        <v>0</v>
      </c>
      <c r="BB26" s="397"/>
      <c r="BC26" s="381">
        <f>$K26*G26/10^6</f>
        <v>0</v>
      </c>
      <c r="BD26" s="397">
        <f>BC26/BC$59</f>
        <v>0</v>
      </c>
      <c r="BF26" s="381">
        <f>M26+AB26+AQ26</f>
        <v>2.4932255000143746</v>
      </c>
      <c r="BG26" s="398">
        <f>BF26/BF$59</f>
        <v>0.28645158891063932</v>
      </c>
      <c r="BH26" s="397"/>
      <c r="BI26" s="381">
        <f>P26+AE26+AT26</f>
        <v>2.4932255000143746</v>
      </c>
      <c r="BJ26" s="397">
        <f>BI26/BI$59</f>
        <v>0.39796144306544284</v>
      </c>
      <c r="BK26" s="397"/>
      <c r="BL26" s="381">
        <f>S26+AH26+AW26</f>
        <v>3.7450257618238574</v>
      </c>
      <c r="BM26" s="397">
        <f>BL26/BL$59</f>
        <v>0.69591013296857041</v>
      </c>
      <c r="BN26" s="397"/>
      <c r="BO26" s="381">
        <f>V26+AK26+AZ26</f>
        <v>0</v>
      </c>
      <c r="BP26" s="397">
        <f>BO26/BO$59</f>
        <v>0</v>
      </c>
      <c r="BQ26" s="397"/>
      <c r="BR26" s="381">
        <f>Y26+AN26+BC26</f>
        <v>0</v>
      </c>
      <c r="BS26" s="397">
        <f>BR26/BR$59</f>
        <v>0</v>
      </c>
    </row>
    <row r="27" spans="1:71" x14ac:dyDescent="0.25">
      <c r="A27" s="353" t="s">
        <v>711</v>
      </c>
      <c r="B27" s="55">
        <v>384.1391999999999</v>
      </c>
      <c r="C27" s="55">
        <v>305.07389999999947</v>
      </c>
      <c r="D27" s="55">
        <v>305.07389999999947</v>
      </c>
      <c r="E27" s="55">
        <v>305.07389999999947</v>
      </c>
      <c r="F27" s="55">
        <v>0</v>
      </c>
      <c r="G27" s="55">
        <v>0</v>
      </c>
    </row>
    <row r="28" spans="1:71" x14ac:dyDescent="0.25">
      <c r="A28" s="353" t="s">
        <v>710</v>
      </c>
      <c r="B28" s="55">
        <v>291</v>
      </c>
      <c r="C28" s="55">
        <v>327.89999999999901</v>
      </c>
      <c r="D28" s="55">
        <v>327.89999999999901</v>
      </c>
      <c r="E28" s="55">
        <v>655.79999999999802</v>
      </c>
      <c r="F28" s="55">
        <v>0</v>
      </c>
      <c r="G28" s="55">
        <v>0</v>
      </c>
    </row>
    <row r="29" spans="1:71" x14ac:dyDescent="0.25">
      <c r="A29" s="353" t="s">
        <v>709</v>
      </c>
      <c r="B29" s="55">
        <v>63.926099999999998</v>
      </c>
      <c r="C29" s="55">
        <v>63.926099999999998</v>
      </c>
      <c r="D29" s="55">
        <v>63.926099999999998</v>
      </c>
      <c r="E29" s="55">
        <v>63.926099999999998</v>
      </c>
      <c r="F29" s="55">
        <v>0</v>
      </c>
      <c r="G29" s="55">
        <v>0</v>
      </c>
    </row>
    <row r="31" spans="1:71" x14ac:dyDescent="0.25">
      <c r="A31" s="366" t="s">
        <v>708</v>
      </c>
      <c r="B31" s="562">
        <v>484.7</v>
      </c>
      <c r="C31" s="562">
        <v>484.7</v>
      </c>
      <c r="D31" s="562">
        <v>533.16999999999996</v>
      </c>
      <c r="E31" s="562">
        <v>484.7</v>
      </c>
      <c r="F31" s="562">
        <v>678.58</v>
      </c>
      <c r="G31" s="562">
        <v>678.58</v>
      </c>
      <c r="I31" s="386">
        <f>'Summary DISCOUNTED'!$H$71</f>
        <v>234.39386725327333</v>
      </c>
      <c r="J31" s="394">
        <f>'Summary DISCOUNTED'!$AN$71</f>
        <v>28.875993996741492</v>
      </c>
      <c r="K31" s="394">
        <f>'Summary DISCOUNTED'!$AR$71</f>
        <v>35.029644181840354</v>
      </c>
      <c r="M31" s="381">
        <f>$I31*$C31/10^6</f>
        <v>0.11361070745766158</v>
      </c>
      <c r="N31" s="393">
        <f>M31/M$59</f>
        <v>1.8887136572533218E-2</v>
      </c>
      <c r="O31" s="392"/>
      <c r="P31" s="381">
        <f>$I31*$D31/10^6</f>
        <v>0.12497177820342774</v>
      </c>
      <c r="Q31" s="392">
        <f>P31/P$59</f>
        <v>2.9173384385960274E-2</v>
      </c>
      <c r="R31" s="392"/>
      <c r="S31" s="381">
        <f>$I31*$E31/10^6</f>
        <v>0.11361070745766158</v>
      </c>
      <c r="T31" s="392">
        <f>S31/S$59</f>
        <v>3.1141325836165999E-2</v>
      </c>
      <c r="U31" s="392"/>
      <c r="V31" s="381">
        <f>$I31*$F31/10^6</f>
        <v>0.15905499044072621</v>
      </c>
      <c r="W31" s="392">
        <f>V31/V$59</f>
        <v>9.3506185628698904E-2</v>
      </c>
      <c r="X31" s="392"/>
      <c r="Y31" s="381">
        <f>$I31*$G31/10^6</f>
        <v>0.15905499044072621</v>
      </c>
      <c r="Z31" s="392">
        <f>Y31/Y$59</f>
        <v>0.12367400898072972</v>
      </c>
      <c r="AB31" s="381">
        <f>$J31*$C31/10^6</f>
        <v>1.3996194290220601E-2</v>
      </c>
      <c r="AC31" s="393">
        <f>AB31/AB$59</f>
        <v>3.5992852930965387E-2</v>
      </c>
      <c r="AD31" s="392"/>
      <c r="AE31" s="381">
        <f>$J31*$D31/10^6</f>
        <v>1.539581371924266E-2</v>
      </c>
      <c r="AF31" s="392">
        <f>AE31/AE$59</f>
        <v>5.6270767196463498E-2</v>
      </c>
      <c r="AG31" s="392"/>
      <c r="AH31" s="381">
        <f>$J31*$E31/10^6</f>
        <v>1.3996194290220601E-2</v>
      </c>
      <c r="AI31" s="392">
        <f>AH31/AH$59</f>
        <v>6.2806659485241959E-2</v>
      </c>
      <c r="AJ31" s="392"/>
      <c r="AK31" s="381">
        <f>$J31*$F31/10^6</f>
        <v>1.9594672006308843E-2</v>
      </c>
      <c r="AL31" s="392">
        <f>AK31/AK$59</f>
        <v>0.21714748178607868</v>
      </c>
      <c r="AM31" s="392"/>
      <c r="AN31" s="381">
        <f>$J31*$G31/10^6</f>
        <v>1.9594672006308843E-2</v>
      </c>
      <c r="AO31" s="392">
        <f>AN31/AN$59</f>
        <v>0.41690024856756214</v>
      </c>
      <c r="AQ31" s="381">
        <f>$K31*C31/10^6</f>
        <v>1.6978868534938019E-2</v>
      </c>
      <c r="AR31" s="393">
        <f>AQ31/AQ$59</f>
        <v>7.3829976795879541E-3</v>
      </c>
      <c r="AS31" s="392"/>
      <c r="AT31" s="381">
        <f>$K31*D31/10^6</f>
        <v>1.8676755388431818E-2</v>
      </c>
      <c r="AU31" s="392">
        <f>AT31/AT$59</f>
        <v>1.0937236329582182E-2</v>
      </c>
      <c r="AV31" s="392"/>
      <c r="AW31" s="381">
        <f>$K31*E31/10^6</f>
        <v>1.6978868534938019E-2</v>
      </c>
      <c r="AX31" s="392">
        <f>AW31/AW$59</f>
        <v>1.1241278696618331E-2</v>
      </c>
      <c r="AY31" s="392"/>
      <c r="AZ31" s="381">
        <f>$K31*F31/10^6</f>
        <v>2.3770415948913229E-2</v>
      </c>
      <c r="BA31" s="392">
        <f>AZ31/AZ$59</f>
        <v>3.1079659857454003E-2</v>
      </c>
      <c r="BB31" s="392"/>
      <c r="BC31" s="381">
        <f>$K31*G31/10^6</f>
        <v>2.3770415948913229E-2</v>
      </c>
      <c r="BD31" s="392">
        <f>BC31/BC$59</f>
        <v>5.185786338473939E-2</v>
      </c>
      <c r="BF31" s="381">
        <f>M31+AB31+AQ31</f>
        <v>0.14458577028282021</v>
      </c>
      <c r="BG31" s="393">
        <f>BF31/BF$59</f>
        <v>1.6611743956230097E-2</v>
      </c>
      <c r="BH31" s="392"/>
      <c r="BI31" s="381">
        <f>P31+AE31+AT31</f>
        <v>0.15904434731110223</v>
      </c>
      <c r="BJ31" s="392">
        <f>BI31/BI$59</f>
        <v>2.5386198708044184E-2</v>
      </c>
      <c r="BK31" s="392"/>
      <c r="BL31" s="381">
        <f>S31+AH31+AW31</f>
        <v>0.14458577028282021</v>
      </c>
      <c r="BM31" s="392">
        <f>BL31/BL$59</f>
        <v>2.6867292516000871E-2</v>
      </c>
      <c r="BN31" s="392"/>
      <c r="BO31" s="381">
        <f>V31+AK31+AZ31</f>
        <v>0.20242007839594828</v>
      </c>
      <c r="BP31" s="392">
        <f>BO31/BO$59</f>
        <v>7.9191935934441751E-2</v>
      </c>
      <c r="BQ31" s="392"/>
      <c r="BR31" s="381">
        <f>Y31+AN31+BC31</f>
        <v>0.20242007839594828</v>
      </c>
      <c r="BS31" s="392">
        <f>BR31/BR$59</f>
        <v>0.11299169653721224</v>
      </c>
    </row>
    <row r="33" spans="1:71" x14ac:dyDescent="0.25">
      <c r="A33" s="366" t="s">
        <v>74</v>
      </c>
    </row>
    <row r="34" spans="1:71" s="6" customFormat="1" x14ac:dyDescent="0.25">
      <c r="A34" s="135" t="s">
        <v>707</v>
      </c>
      <c r="B34" s="563">
        <f t="shared" ref="B34:G34" si="6">SUM(B36:B38)</f>
        <v>1138.6491000000001</v>
      </c>
      <c r="C34" s="563">
        <f t="shared" si="6"/>
        <v>1097.2852890000001</v>
      </c>
      <c r="D34" s="563">
        <f t="shared" si="6"/>
        <v>1285.68283524</v>
      </c>
      <c r="E34" s="563">
        <f t="shared" si="6"/>
        <v>822.96396675000005</v>
      </c>
      <c r="F34" s="563">
        <f t="shared" si="6"/>
        <v>1311.0438618000001</v>
      </c>
      <c r="G34" s="563">
        <f t="shared" si="6"/>
        <v>1052.1207390000002</v>
      </c>
      <c r="I34" s="396">
        <f>'Summary DISCOUNTED'!$H$65</f>
        <v>126.53416105433706</v>
      </c>
      <c r="J34" s="394">
        <f>'Summary DISCOUNTED'!$AN$65</f>
        <v>7.9391614202128924</v>
      </c>
      <c r="K34" s="394">
        <f>'Summary DISCOUNTED'!$AR$65</f>
        <v>48.795085108935076</v>
      </c>
      <c r="M34" s="381">
        <f>$I34*$C34/10^6</f>
        <v>0.13884407348088082</v>
      </c>
      <c r="N34" s="393">
        <f>M34/M$59</f>
        <v>2.3082040740724116E-2</v>
      </c>
      <c r="O34" s="392"/>
      <c r="P34" s="381">
        <f>$I34*$D34/10^6</f>
        <v>0.16268279893905485</v>
      </c>
      <c r="Q34" s="392">
        <f>P34/P$59</f>
        <v>3.7976636762801247E-2</v>
      </c>
      <c r="R34" s="392"/>
      <c r="S34" s="381">
        <f>$I34*$E34/10^6</f>
        <v>0.10413305511066059</v>
      </c>
      <c r="T34" s="392">
        <f>S34/S$59</f>
        <v>2.8543448694965633E-2</v>
      </c>
      <c r="U34" s="392"/>
      <c r="V34" s="381">
        <f>$I34*$F34/10^6</f>
        <v>0.16589183515830122</v>
      </c>
      <c r="W34" s="392">
        <f>V34/V$59</f>
        <v>9.7525470213890186E-2</v>
      </c>
      <c r="X34" s="392"/>
      <c r="Y34" s="381">
        <f>$I34*$G34/10^6</f>
        <v>0.13312921503723416</v>
      </c>
      <c r="Z34" s="392">
        <f>Y34/Y$59</f>
        <v>0.10351529172703411</v>
      </c>
      <c r="AB34" s="381">
        <f>$J34*$C34/10^6</f>
        <v>8.7115250333959556E-3</v>
      </c>
      <c r="AC34" s="393">
        <f>AB34/AB$59</f>
        <v>2.2402706966602272E-2</v>
      </c>
      <c r="AD34" s="392"/>
      <c r="AE34" s="381">
        <f>$J34*$D34/10^6</f>
        <v>1.0207243564167336E-2</v>
      </c>
      <c r="AF34" s="392">
        <f>AE34/AE$59</f>
        <v>3.7306857356878602E-2</v>
      </c>
      <c r="AG34" s="392"/>
      <c r="AH34" s="381">
        <f>$J34*$E34/10^6</f>
        <v>6.5336437750469663E-3</v>
      </c>
      <c r="AI34" s="392">
        <f>AH34/AH$59</f>
        <v>2.9319137136011978E-2</v>
      </c>
      <c r="AJ34" s="392"/>
      <c r="AK34" s="381">
        <f>$J34*$F34/10^6</f>
        <v>1.0408588847809484E-2</v>
      </c>
      <c r="AL34" s="392">
        <f>AK34/AK$59</f>
        <v>0.11534762391127454</v>
      </c>
      <c r="AM34" s="392"/>
      <c r="AN34" s="381">
        <f>$J34*$G34/10^6</f>
        <v>8.3529563804746795E-3</v>
      </c>
      <c r="AO34" s="392">
        <f>AN34/AN$59</f>
        <v>0.17771920806700392</v>
      </c>
      <c r="AQ34" s="381">
        <f>$K34*C34/10^6</f>
        <v>5.354212906553743E-2</v>
      </c>
      <c r="AR34" s="393">
        <f>AQ34/AQ$59</f>
        <v>2.3281964510039988E-2</v>
      </c>
      <c r="AS34" s="392"/>
      <c r="AT34" s="381">
        <f>$K34*D34/10^6</f>
        <v>6.2735003368632747E-2</v>
      </c>
      <c r="AU34" s="392">
        <f>AT34/AT$59</f>
        <v>3.6738049179830409E-2</v>
      </c>
      <c r="AV34" s="392"/>
      <c r="AW34" s="381">
        <f>$K34*E34/10^6</f>
        <v>4.0156596799153073E-2</v>
      </c>
      <c r="AX34" s="392">
        <f>AW34/AW$59</f>
        <v>2.6586665371613305E-2</v>
      </c>
      <c r="AY34" s="392"/>
      <c r="AZ34" s="381">
        <f>$K34*F34/10^6</f>
        <v>6.3972496818077915E-2</v>
      </c>
      <c r="BA34" s="392">
        <f>AZ34/AZ$59</f>
        <v>8.3643611689883851E-2</v>
      </c>
      <c r="BB34" s="392"/>
      <c r="BC34" s="381">
        <f>$K34*G34/10^6</f>
        <v>5.1338321004380676E-2</v>
      </c>
      <c r="BD34" s="392">
        <f>BC34/BC$59</f>
        <v>0.11200038075769508</v>
      </c>
      <c r="BF34" s="381">
        <f t="shared" ref="BF34:BF35" si="7">M34+AB34+AQ34</f>
        <v>0.2010977275798142</v>
      </c>
      <c r="BG34" s="393">
        <f>BF34/BF$59</f>
        <v>2.3104514048658879E-2</v>
      </c>
      <c r="BH34" s="392"/>
      <c r="BI34" s="381">
        <f t="shared" ref="BI34:BI35" si="8">P34+AE34+AT34</f>
        <v>0.23562504587185493</v>
      </c>
      <c r="BJ34" s="392">
        <f>BI34/BI$59</f>
        <v>3.760978831517002E-2</v>
      </c>
      <c r="BK34" s="392"/>
      <c r="BL34" s="381">
        <f t="shared" ref="BL34:BL35" si="9">S34+AH34+AW34</f>
        <v>0.15082329568486064</v>
      </c>
      <c r="BM34" s="392">
        <f>BL34/BL$59</f>
        <v>2.8026365218831843E-2</v>
      </c>
      <c r="BN34" s="392"/>
      <c r="BO34" s="381">
        <f t="shared" ref="BO34:BO35" si="10">V34+AK34+AZ34</f>
        <v>0.24027292082418861</v>
      </c>
      <c r="BP34" s="392">
        <f>BO34/BO$59</f>
        <v>9.4000940536495728E-2</v>
      </c>
      <c r="BQ34" s="392"/>
      <c r="BR34" s="381">
        <f t="shared" ref="BR34:BR35" si="11">Y34+AN34+BC34</f>
        <v>0.19282049242208951</v>
      </c>
      <c r="BS34" s="392">
        <f>BR34/BR$59</f>
        <v>0.10763316929111845</v>
      </c>
    </row>
    <row r="35" spans="1:71" x14ac:dyDescent="0.25">
      <c r="A35" s="353" t="s">
        <v>706</v>
      </c>
      <c r="B35" s="562">
        <v>79.568899999999999</v>
      </c>
      <c r="C35" s="562">
        <v>79.568899999999999</v>
      </c>
      <c r="D35" s="562">
        <v>79.568899999999999</v>
      </c>
      <c r="E35" s="562">
        <v>59.676674999999996</v>
      </c>
      <c r="F35" s="562">
        <v>79.568899999999999</v>
      </c>
      <c r="G35" s="562">
        <v>79.568899999999999</v>
      </c>
      <c r="I35" s="394">
        <f>'Summary DISCOUNTED'!$H$64</f>
        <v>203.96802767798127</v>
      </c>
      <c r="J35" s="394">
        <f>'Summary DISCOUNTED'!$AN$64</f>
        <v>21.010856758940445</v>
      </c>
      <c r="K35" s="394">
        <f>'Summary DISCOUNTED'!$AR$64</f>
        <v>187.49195949170598</v>
      </c>
      <c r="M35" s="381">
        <f>$I35*$C35/10^6</f>
        <v>1.6229511597506522E-2</v>
      </c>
      <c r="N35" s="393">
        <f>M35/M$59</f>
        <v>2.698064371809754E-3</v>
      </c>
      <c r="O35" s="392"/>
      <c r="P35" s="381">
        <f>$I35*$D35/10^6</f>
        <v>1.6229511597506522E-2</v>
      </c>
      <c r="Q35" s="392">
        <f>P35/P$59</f>
        <v>3.7886136137052387E-3</v>
      </c>
      <c r="R35" s="392"/>
      <c r="S35" s="381">
        <f>$I35*$E35/10^6</f>
        <v>1.2172133698129892E-2</v>
      </c>
      <c r="T35" s="392">
        <f>S35/S$59</f>
        <v>3.3364494429902148E-3</v>
      </c>
      <c r="U35" s="392"/>
      <c r="V35" s="381">
        <f>$I35*$F35/10^6</f>
        <v>1.6229511597506522E-2</v>
      </c>
      <c r="W35" s="392">
        <f>V35/V$59</f>
        <v>9.5411009732832234E-3</v>
      </c>
      <c r="X35" s="392"/>
      <c r="Y35" s="381">
        <f>$I35*$G35/10^6</f>
        <v>1.6229511597506522E-2</v>
      </c>
      <c r="Z35" s="392">
        <f>Y35/Y$59</f>
        <v>1.2619338491053978E-2</v>
      </c>
      <c r="AB35" s="381">
        <f>$J35*$C35/10^6</f>
        <v>1.6718107603664563E-3</v>
      </c>
      <c r="AC35" s="393">
        <f>AB35/AB$59</f>
        <v>4.2992571822412775E-3</v>
      </c>
      <c r="AD35" s="392"/>
      <c r="AE35" s="381">
        <f>$J35*$D35/10^6</f>
        <v>1.6718107603664563E-3</v>
      </c>
      <c r="AF35" s="392">
        <f>AE35/AE$59</f>
        <v>6.1103671302247427E-3</v>
      </c>
      <c r="AG35" s="392"/>
      <c r="AH35" s="381">
        <f>$J35*$E35/10^6</f>
        <v>1.2538580702748422E-3</v>
      </c>
      <c r="AI35" s="392">
        <f>AH35/AH$59</f>
        <v>5.6265749981478262E-3</v>
      </c>
      <c r="AJ35" s="392"/>
      <c r="AK35" s="381">
        <f>$J35*$F35/10^6</f>
        <v>1.6718107603664563E-3</v>
      </c>
      <c r="AL35" s="392">
        <f>AK35/AK$59</f>
        <v>1.852694939315962E-2</v>
      </c>
      <c r="AM35" s="392"/>
      <c r="AN35" s="381">
        <f>$J35*$G35/10^6</f>
        <v>1.6718107603664563E-3</v>
      </c>
      <c r="AO35" s="392">
        <f>AN35/AN$59</f>
        <v>3.5569787610136905E-2</v>
      </c>
      <c r="AQ35" s="381">
        <f>$K35*C35/10^6</f>
        <v>1.4918528975599603E-2</v>
      </c>
      <c r="AR35" s="393">
        <f>AQ35/AQ$59</f>
        <v>6.487090973292562E-3</v>
      </c>
      <c r="AS35" s="392"/>
      <c r="AT35" s="381">
        <f>$K35*D35/10^6</f>
        <v>1.4918528975599603E-2</v>
      </c>
      <c r="AU35" s="392">
        <f>AT35/AT$59</f>
        <v>8.736393110171407E-3</v>
      </c>
      <c r="AV35" s="392"/>
      <c r="AW35" s="381">
        <f>$K35*E35/10^6</f>
        <v>1.1188896731699703E-2</v>
      </c>
      <c r="AX35" s="392">
        <f>AW35/AW$59</f>
        <v>7.4078850548787468E-3</v>
      </c>
      <c r="AY35" s="392"/>
      <c r="AZ35" s="381">
        <f>$K35*F35/10^6</f>
        <v>1.4918528975599603E-2</v>
      </c>
      <c r="BA35" s="392">
        <f>AZ35/AZ$59</f>
        <v>1.9505876848419465E-2</v>
      </c>
      <c r="BB35" s="392"/>
      <c r="BC35" s="381">
        <f>$K35*G35/10^6</f>
        <v>1.4918528975599603E-2</v>
      </c>
      <c r="BD35" s="392">
        <f>BC35/BC$59</f>
        <v>3.2546466127501263E-2</v>
      </c>
      <c r="BF35" s="381">
        <f t="shared" si="7"/>
        <v>3.281985133347258E-2</v>
      </c>
      <c r="BG35" s="393">
        <f>BF35/BF$59</f>
        <v>3.7707373690145487E-3</v>
      </c>
      <c r="BH35" s="392"/>
      <c r="BI35" s="381">
        <f t="shared" si="8"/>
        <v>3.281985133347258E-2</v>
      </c>
      <c r="BJ35" s="392">
        <f>BI35/BI$59</f>
        <v>5.2386097437984429E-3</v>
      </c>
      <c r="BK35" s="392"/>
      <c r="BL35" s="381">
        <f t="shared" si="9"/>
        <v>2.4614888500104438E-2</v>
      </c>
      <c r="BM35" s="392">
        <f>BL35/BL$59</f>
        <v>4.5740006660920512E-3</v>
      </c>
      <c r="BN35" s="392"/>
      <c r="BO35" s="381">
        <f t="shared" si="10"/>
        <v>3.281985133347258E-2</v>
      </c>
      <c r="BP35" s="392">
        <f>BO35/BO$59</f>
        <v>1.2839969161035001E-2</v>
      </c>
      <c r="BQ35" s="392"/>
      <c r="BR35" s="381">
        <f t="shared" si="11"/>
        <v>3.281985133347258E-2</v>
      </c>
      <c r="BS35" s="392">
        <f>BR35/BR$59</f>
        <v>1.8320172147223032E-2</v>
      </c>
    </row>
    <row r="36" spans="1:71" x14ac:dyDescent="0.25">
      <c r="A36" s="212" t="s">
        <v>705</v>
      </c>
      <c r="B36" s="55">
        <v>223.46999999999997</v>
      </c>
      <c r="C36" s="55">
        <v>189.9495</v>
      </c>
      <c r="D36" s="55">
        <v>227.93939999999998</v>
      </c>
      <c r="E36" s="55">
        <v>142.46212499999999</v>
      </c>
      <c r="F36" s="55">
        <v>222.24091499999997</v>
      </c>
      <c r="G36" s="55">
        <v>170.95454999999998</v>
      </c>
    </row>
    <row r="37" spans="1:71" x14ac:dyDescent="0.25">
      <c r="A37" s="353" t="s">
        <v>704</v>
      </c>
      <c r="B37" s="55">
        <v>784.33110000000011</v>
      </c>
      <c r="C37" s="55">
        <v>776.48778900000013</v>
      </c>
      <c r="D37" s="55">
        <v>900.72583524000004</v>
      </c>
      <c r="E37" s="55">
        <v>582.36584175000007</v>
      </c>
      <c r="F37" s="55">
        <v>931.78534680000018</v>
      </c>
      <c r="G37" s="55">
        <v>776.48778900000013</v>
      </c>
    </row>
    <row r="38" spans="1:71" x14ac:dyDescent="0.25">
      <c r="A38" s="353" t="s">
        <v>703</v>
      </c>
      <c r="B38" s="55">
        <v>130.84799999999998</v>
      </c>
      <c r="C38" s="55">
        <v>130.84799999999998</v>
      </c>
      <c r="D38" s="55">
        <v>157.01759999999999</v>
      </c>
      <c r="E38" s="55">
        <v>98.135999999999981</v>
      </c>
      <c r="F38" s="55">
        <v>157.01759999999999</v>
      </c>
      <c r="G38" s="55">
        <v>104.6784</v>
      </c>
    </row>
    <row r="40" spans="1:71" x14ac:dyDescent="0.25">
      <c r="A40" s="366" t="s">
        <v>83</v>
      </c>
      <c r="B40" s="73"/>
      <c r="C40" s="73"/>
      <c r="D40" s="73"/>
      <c r="E40" s="73"/>
      <c r="F40" s="73"/>
      <c r="G40" s="73"/>
    </row>
    <row r="41" spans="1:71" s="6" customFormat="1" x14ac:dyDescent="0.25">
      <c r="A41" s="135" t="s">
        <v>702</v>
      </c>
      <c r="B41" s="563">
        <f t="shared" ref="B41:G41" si="12">B42+B43</f>
        <v>45.846488000000008</v>
      </c>
      <c r="C41" s="563">
        <f t="shared" si="12"/>
        <v>45.846488000000008</v>
      </c>
      <c r="D41" s="563">
        <f t="shared" si="12"/>
        <v>45.846488000000008</v>
      </c>
      <c r="E41" s="563">
        <f t="shared" si="12"/>
        <v>45.846488000000008</v>
      </c>
      <c r="F41" s="563">
        <f t="shared" si="12"/>
        <v>45.846488000000008</v>
      </c>
      <c r="G41" s="563">
        <f t="shared" si="12"/>
        <v>45.846488000000008</v>
      </c>
      <c r="I41" s="396">
        <f>'Summary DISCOUNTED'!$H$49</f>
        <v>649.6661125531291</v>
      </c>
      <c r="J41" s="396">
        <f>'Summary DISCOUNTED'!$AN$49</f>
        <v>30.119078184168096</v>
      </c>
      <c r="K41" s="396">
        <f>'Summary DISCOUNTED'!$AR$49</f>
        <v>196.14126553846154</v>
      </c>
      <c r="M41" s="381">
        <f>$I41*$C41/10^6</f>
        <v>2.9784909633173689E-2</v>
      </c>
      <c r="N41" s="393">
        <f>M41/M$59</f>
        <v>4.9515725113493678E-3</v>
      </c>
      <c r="O41" s="392"/>
      <c r="P41" s="381">
        <f>$I41*$D41/10^6</f>
        <v>2.9784909633173689E-2</v>
      </c>
      <c r="Q41" s="392">
        <f>P41/P$59</f>
        <v>6.9529827463544408E-3</v>
      </c>
      <c r="R41" s="392"/>
      <c r="S41" s="381">
        <f>$I41*$E41/10^6</f>
        <v>2.9784909633173689E-2</v>
      </c>
      <c r="T41" s="392">
        <f>S41/S$59</f>
        <v>8.1642091370048124E-3</v>
      </c>
      <c r="U41" s="392"/>
      <c r="V41" s="381">
        <f>$I41*$F41/10^6</f>
        <v>2.9784909633173689E-2</v>
      </c>
      <c r="W41" s="392">
        <f>V41/V$59</f>
        <v>1.7510128298246969E-2</v>
      </c>
      <c r="X41" s="392"/>
      <c r="Y41" s="381">
        <f>$I41*$G41/10^6</f>
        <v>2.9784909633173689E-2</v>
      </c>
      <c r="Z41" s="392">
        <f>Y41/Y$59</f>
        <v>2.3159406512529967E-2</v>
      </c>
      <c r="AB41" s="381">
        <f>$J41*$C41/10^6</f>
        <v>1.3808539565415246E-3</v>
      </c>
      <c r="AC41" s="393">
        <f>AB41/AB$59</f>
        <v>3.5510276826942653E-3</v>
      </c>
      <c r="AD41" s="392"/>
      <c r="AE41" s="381">
        <f>$J41*$D41/10^6</f>
        <v>1.3808539565415246E-3</v>
      </c>
      <c r="AF41" s="392">
        <f>AE41/AE$59</f>
        <v>5.0469376245925318E-3</v>
      </c>
      <c r="AG41" s="392"/>
      <c r="AH41" s="381">
        <f>$J41*$E41/10^6</f>
        <v>1.3808539565415246E-3</v>
      </c>
      <c r="AI41" s="392">
        <f>AH41/AH$59</f>
        <v>6.1964575833267947E-3</v>
      </c>
      <c r="AJ41" s="392"/>
      <c r="AK41" s="381">
        <f>$J41*$F41/10^6</f>
        <v>1.3808539565415246E-3</v>
      </c>
      <c r="AL41" s="392">
        <f>AK41/AK$59</f>
        <v>1.5302576092153717E-2</v>
      </c>
      <c r="AM41" s="392"/>
      <c r="AN41" s="381">
        <f>$J41*$G41/10^6</f>
        <v>1.3808539565415246E-3</v>
      </c>
      <c r="AO41" s="392">
        <f>AN41/AN$59</f>
        <v>2.9379331153505082E-2</v>
      </c>
      <c r="AQ41" s="381">
        <f>$K41*C41/10^6</f>
        <v>8.9923881768138921E-3</v>
      </c>
      <c r="AR41" s="393">
        <f>AQ41/AQ$59</f>
        <v>3.9102005476252116E-3</v>
      </c>
      <c r="AS41" s="392"/>
      <c r="AT41" s="381">
        <f>$K41*D41/10^6</f>
        <v>8.9923881768138921E-3</v>
      </c>
      <c r="AU41" s="392">
        <f>AT41/AT$59</f>
        <v>5.2660043252519273E-3</v>
      </c>
      <c r="AV41" s="392"/>
      <c r="AW41" s="381">
        <f>$K41*E41/10^6</f>
        <v>8.9923881768138921E-3</v>
      </c>
      <c r="AX41" s="392">
        <f>AW41/AW$59</f>
        <v>5.9536323893275012E-3</v>
      </c>
      <c r="AY41" s="392"/>
      <c r="AZ41" s="381">
        <f>$K41*F41/10^6</f>
        <v>8.9923881768138921E-3</v>
      </c>
      <c r="BA41" s="392">
        <f>AZ41/AZ$59</f>
        <v>1.1757487392825552E-2</v>
      </c>
      <c r="BB41" s="392"/>
      <c r="BC41" s="381">
        <f>$K41*G41/10^6</f>
        <v>8.9923881768138921E-3</v>
      </c>
      <c r="BD41" s="392">
        <f>BC41/BC$59</f>
        <v>1.9617916597588218E-2</v>
      </c>
      <c r="BF41" s="381">
        <f>M41+AB41+AQ41</f>
        <v>4.0158151766529107E-2</v>
      </c>
      <c r="BG41" s="393">
        <f>BF41/BF$59</f>
        <v>4.6138491609244887E-3</v>
      </c>
      <c r="BH41" s="392"/>
      <c r="BI41" s="381">
        <f>P41+AE41+AT41</f>
        <v>4.0158151766529107E-2</v>
      </c>
      <c r="BJ41" s="392">
        <f>BI41/BI$59</f>
        <v>6.4099280340895147E-3</v>
      </c>
      <c r="BK41" s="392"/>
      <c r="BL41" s="381">
        <f>S41+AH41+AW41</f>
        <v>4.0158151766529107E-2</v>
      </c>
      <c r="BM41" s="392">
        <f>BL41/BL$59</f>
        <v>7.4622890503180817E-3</v>
      </c>
      <c r="BN41" s="392"/>
      <c r="BO41" s="381">
        <f>V41+AK41+AZ41</f>
        <v>4.0158151766529107E-2</v>
      </c>
      <c r="BP41" s="392">
        <f>BO41/BO$59</f>
        <v>1.5710900851050248E-2</v>
      </c>
      <c r="BQ41" s="392"/>
      <c r="BR41" s="381">
        <f>Y41+AN41+BC41</f>
        <v>4.0158151766529107E-2</v>
      </c>
      <c r="BS41" s="392">
        <f>BR41/BR$59</f>
        <v>2.2416440769394523E-2</v>
      </c>
    </row>
    <row r="42" spans="1:71" x14ac:dyDescent="0.25">
      <c r="A42" s="353" t="s">
        <v>701</v>
      </c>
      <c r="B42" s="55">
        <v>23.175840000000008</v>
      </c>
      <c r="C42" s="55">
        <v>23.175840000000008</v>
      </c>
      <c r="D42" s="55">
        <v>23.175840000000008</v>
      </c>
      <c r="E42" s="55">
        <v>23.175840000000008</v>
      </c>
      <c r="F42" s="55">
        <v>23.175840000000008</v>
      </c>
      <c r="G42" s="55">
        <v>23.175840000000008</v>
      </c>
    </row>
    <row r="43" spans="1:71" x14ac:dyDescent="0.25">
      <c r="A43" s="353" t="s">
        <v>700</v>
      </c>
      <c r="B43" s="55">
        <v>22.670648000000003</v>
      </c>
      <c r="C43" s="55">
        <v>22.670648000000003</v>
      </c>
      <c r="D43" s="55">
        <v>22.670648000000003</v>
      </c>
      <c r="E43" s="55">
        <v>22.670648000000003</v>
      </c>
      <c r="F43" s="55">
        <v>22.670648000000003</v>
      </c>
      <c r="G43" s="55">
        <v>22.670648000000003</v>
      </c>
    </row>
    <row r="44" spans="1:71" x14ac:dyDescent="0.25">
      <c r="A44" s="353" t="s">
        <v>699</v>
      </c>
      <c r="B44" s="562">
        <v>297.08159999999998</v>
      </c>
      <c r="C44" s="562">
        <v>297.08159999999998</v>
      </c>
      <c r="D44" s="562">
        <v>297.08159999999998</v>
      </c>
      <c r="E44" s="562">
        <v>207.95711999999995</v>
      </c>
      <c r="F44" s="562">
        <v>297.08159999999998</v>
      </c>
      <c r="G44" s="562">
        <v>237.66528000000002</v>
      </c>
      <c r="I44" s="386">
        <f>'Summary DISCOUNTED'!$H$17</f>
        <v>279.55067417983088</v>
      </c>
      <c r="J44" s="386">
        <f>'Summary DISCOUNTED'!$AN$17</f>
        <v>0</v>
      </c>
      <c r="K44" s="386">
        <f>'Summary DISCOUNTED'!$AR$17</f>
        <v>18.698532756955835</v>
      </c>
      <c r="M44" s="381">
        <f>$I44*$C44/10^6</f>
        <v>8.3049361566422841E-2</v>
      </c>
      <c r="N44" s="393">
        <f>M44/M$59</f>
        <v>1.3806485931365794E-2</v>
      </c>
      <c r="O44" s="392"/>
      <c r="P44" s="381">
        <f>$I44*$D44/10^6</f>
        <v>8.3049361566422841E-2</v>
      </c>
      <c r="Q44" s="392">
        <f>P44/P$59</f>
        <v>1.938702467721945E-2</v>
      </c>
      <c r="R44" s="392"/>
      <c r="S44" s="381">
        <f>$I44*$E44/10^6</f>
        <v>5.8134553096495976E-2</v>
      </c>
      <c r="T44" s="392">
        <f>S44/S$59</f>
        <v>1.593500384629272E-2</v>
      </c>
      <c r="U44" s="392"/>
      <c r="V44" s="381">
        <f>$I44*$F44/10^6</f>
        <v>8.3049361566422841E-2</v>
      </c>
      <c r="W44" s="392">
        <f>V44/V$59</f>
        <v>4.8823548368127585E-2</v>
      </c>
      <c r="X44" s="392"/>
      <c r="Y44" s="381">
        <f>$I44*$G44/10^6</f>
        <v>6.6439489253138279E-2</v>
      </c>
      <c r="Z44" s="392">
        <f>Y44/Y$59</f>
        <v>5.1660359525970513E-2</v>
      </c>
      <c r="AB44" s="381">
        <f>$J44*$C44/10^6</f>
        <v>0</v>
      </c>
      <c r="AC44" s="393">
        <f>AB44/AB$59</f>
        <v>0</v>
      </c>
      <c r="AD44" s="392"/>
      <c r="AE44" s="381">
        <f>$J44*$D44/10^6</f>
        <v>0</v>
      </c>
      <c r="AF44" s="392">
        <f>AE44/AE$59</f>
        <v>0</v>
      </c>
      <c r="AG44" s="392"/>
      <c r="AH44" s="381">
        <f>$J44*$E44/10^6</f>
        <v>0</v>
      </c>
      <c r="AI44" s="392">
        <f>AH44/AH$59</f>
        <v>0</v>
      </c>
      <c r="AJ44" s="392"/>
      <c r="AK44" s="381">
        <f>$J44*$F44/10^6</f>
        <v>0</v>
      </c>
      <c r="AL44" s="392">
        <f>AK44/AK$59</f>
        <v>0</v>
      </c>
      <c r="AM44" s="392"/>
      <c r="AN44" s="381">
        <f>$J44*$G44/10^6</f>
        <v>0</v>
      </c>
      <c r="AO44" s="392">
        <f>AN44/AN$59</f>
        <v>0</v>
      </c>
      <c r="AQ44" s="381">
        <f>$K44*C44/10^6</f>
        <v>5.5549900290888504E-3</v>
      </c>
      <c r="AR44" s="393">
        <f>AQ44/AQ$59</f>
        <v>2.4155012691513792E-3</v>
      </c>
      <c r="AS44" s="392"/>
      <c r="AT44" s="381">
        <f>$K44*D44/10^6</f>
        <v>5.5549900290888504E-3</v>
      </c>
      <c r="AU44" s="392">
        <f>AT44/AT$59</f>
        <v>3.2530403430913444E-3</v>
      </c>
      <c r="AV44" s="392"/>
      <c r="AW44" s="381">
        <f>$K44*E44/10^6</f>
        <v>3.8884930203621944E-3</v>
      </c>
      <c r="AX44" s="392">
        <f>AW44/AW$59</f>
        <v>2.5744727136440002E-3</v>
      </c>
      <c r="AY44" s="392"/>
      <c r="AZ44" s="381">
        <f>$K44*F44/10^6</f>
        <v>5.5549900290888504E-3</v>
      </c>
      <c r="BA44" s="392">
        <f>AZ44/AZ$59</f>
        <v>7.2631123067715322E-3</v>
      </c>
      <c r="BB44" s="392"/>
      <c r="BC44" s="381">
        <f>$K44*G44/10^6</f>
        <v>4.4439920232710812E-3</v>
      </c>
      <c r="BD44" s="392">
        <f>BC44/BC$59</f>
        <v>9.6950735620677953E-3</v>
      </c>
      <c r="BF44" s="381">
        <f>M44+AB44+AQ44</f>
        <v>8.8604351595511693E-2</v>
      </c>
      <c r="BG44" s="393">
        <f>BF44/BF$59</f>
        <v>1.0179928489735458E-2</v>
      </c>
      <c r="BH44" s="392"/>
      <c r="BI44" s="381">
        <f>P44+AE44+AT44</f>
        <v>8.8604351595511693E-2</v>
      </c>
      <c r="BJ44" s="392">
        <f>BI44/BI$59</f>
        <v>1.4142770328084808E-2</v>
      </c>
      <c r="BK44" s="392"/>
      <c r="BL44" s="381">
        <f>S44+AH44+AW44</f>
        <v>6.2023046116858174E-2</v>
      </c>
      <c r="BM44" s="392">
        <f>BL44/BL$59</f>
        <v>1.1525278867314942E-2</v>
      </c>
      <c r="BN44" s="392"/>
      <c r="BO44" s="381">
        <f>V44+AK44+AZ44</f>
        <v>8.8604351595511693E-2</v>
      </c>
      <c r="BP44" s="392">
        <f>BO44/BO$59</f>
        <v>3.4664299068886059E-2</v>
      </c>
      <c r="BQ44" s="392"/>
      <c r="BR44" s="381">
        <f>Y44+AN44+BC44</f>
        <v>7.0883481276409366E-2</v>
      </c>
      <c r="BS44" s="392">
        <f>BR44/BR$59</f>
        <v>3.9567442465952174E-2</v>
      </c>
    </row>
    <row r="46" spans="1:71" x14ac:dyDescent="0.25">
      <c r="A46" s="366" t="s">
        <v>81</v>
      </c>
      <c r="B46" s="562">
        <f t="shared" ref="B46:G46" si="13">B47+B48</f>
        <v>224.55435</v>
      </c>
      <c r="C46" s="562">
        <f t="shared" si="13"/>
        <v>224.55435</v>
      </c>
      <c r="D46" s="562">
        <f t="shared" si="13"/>
        <v>224.55435</v>
      </c>
      <c r="E46" s="562">
        <f t="shared" si="13"/>
        <v>224.55435</v>
      </c>
      <c r="F46" s="562">
        <f t="shared" si="13"/>
        <v>224.55435</v>
      </c>
      <c r="G46" s="562">
        <f t="shared" si="13"/>
        <v>224.55435</v>
      </c>
      <c r="I46" s="386">
        <f>'Summary DISCOUNTED'!$H$42</f>
        <v>524.48050494495988</v>
      </c>
      <c r="J46" s="394">
        <f>'Summary DISCOUNTED'!$AN$42</f>
        <v>0</v>
      </c>
      <c r="K46" s="394">
        <f>'Summary DISCOUNTED'!$AR$42</f>
        <v>64.247476207774312</v>
      </c>
      <c r="M46" s="381">
        <f>$I46*$C46/10^6</f>
        <v>0.11777437887558725</v>
      </c>
      <c r="N46" s="393">
        <f>M46/M$59</f>
        <v>1.9579323360849991E-2</v>
      </c>
      <c r="O46" s="392"/>
      <c r="P46" s="381">
        <f>$I46*$D46/10^6</f>
        <v>0.11777437887558725</v>
      </c>
      <c r="Q46" s="392">
        <f>P46/P$59</f>
        <v>2.7493225071682521E-2</v>
      </c>
      <c r="R46" s="392"/>
      <c r="S46" s="381">
        <f>$I46*$E46/10^6</f>
        <v>0.11777437887558725</v>
      </c>
      <c r="T46" s="392">
        <f>S46/S$59</f>
        <v>3.2282611294217348E-2</v>
      </c>
      <c r="U46" s="392"/>
      <c r="V46" s="381">
        <f>$I46*$F46/10^6</f>
        <v>0.11777437887558725</v>
      </c>
      <c r="W46" s="392">
        <f>V46/V$59</f>
        <v>6.9237896295680015E-2</v>
      </c>
      <c r="X46" s="392"/>
      <c r="Y46" s="381">
        <f>$I46*$G46/10^6</f>
        <v>0.11777437887558725</v>
      </c>
      <c r="Z46" s="392">
        <f>Y46/Y$59</f>
        <v>9.1576061526892502E-2</v>
      </c>
      <c r="AB46" s="381">
        <f>$J46*$C46/10^6</f>
        <v>0</v>
      </c>
      <c r="AC46" s="393">
        <f>AB46/AB$59</f>
        <v>0</v>
      </c>
      <c r="AD46" s="392"/>
      <c r="AE46" s="381">
        <f>$J46*$D46/10^6</f>
        <v>0</v>
      </c>
      <c r="AF46" s="392">
        <f>AE46/AE$59</f>
        <v>0</v>
      </c>
      <c r="AG46" s="392"/>
      <c r="AH46" s="381">
        <f>$J46*$E46/10^6</f>
        <v>0</v>
      </c>
      <c r="AI46" s="392">
        <f>AH46/AH$59</f>
        <v>0</v>
      </c>
      <c r="AJ46" s="392"/>
      <c r="AK46" s="381">
        <f>$J46*$F46/10^6</f>
        <v>0</v>
      </c>
      <c r="AL46" s="392">
        <f>AK46/AK$59</f>
        <v>0</v>
      </c>
      <c r="AM46" s="392"/>
      <c r="AN46" s="381">
        <f>$J46*$G46/10^6</f>
        <v>0</v>
      </c>
      <c r="AO46" s="392">
        <f>AN46/AN$59</f>
        <v>0</v>
      </c>
      <c r="AQ46" s="381">
        <f>$K46*C46/10^6</f>
        <v>1.4427050258977225E-2</v>
      </c>
      <c r="AR46" s="393">
        <f>AQ46/AQ$59</f>
        <v>6.2733790750631128E-3</v>
      </c>
      <c r="AS46" s="392"/>
      <c r="AT46" s="381">
        <f>$K46*D46/10^6</f>
        <v>1.4427050258977225E-2</v>
      </c>
      <c r="AU46" s="392">
        <f>AT46/AT$59</f>
        <v>8.4485797955531645E-3</v>
      </c>
      <c r="AV46" s="392"/>
      <c r="AW46" s="381">
        <f>$K46*E46/10^6</f>
        <v>1.4427050258977225E-2</v>
      </c>
      <c r="AX46" s="392">
        <f>AW46/AW$59</f>
        <v>9.5517844665303966E-3</v>
      </c>
      <c r="AY46" s="392"/>
      <c r="AZ46" s="381">
        <f>$K46*F46/10^6</f>
        <v>1.4427050258977225E-2</v>
      </c>
      <c r="BA46" s="392">
        <f>AZ46/AZ$59</f>
        <v>1.8863271713842514E-2</v>
      </c>
      <c r="BB46" s="392"/>
      <c r="BC46" s="381">
        <f>$K46*G46/10^6</f>
        <v>1.4427050258977225E-2</v>
      </c>
      <c r="BD46" s="392">
        <f>BC46/BC$59</f>
        <v>3.1474249461293728E-2</v>
      </c>
      <c r="BF46" s="381">
        <f>M46+AB46+AQ46</f>
        <v>0.13220142913456448</v>
      </c>
      <c r="BG46" s="393">
        <f>BF46/BF$59</f>
        <v>1.5188882606741727E-2</v>
      </c>
      <c r="BH46" s="392"/>
      <c r="BI46" s="381">
        <f>P46+AE46+AT46</f>
        <v>0.13220142913456448</v>
      </c>
      <c r="BJ46" s="392">
        <f>BI46/BI$59</f>
        <v>2.1101609747454387E-2</v>
      </c>
      <c r="BK46" s="392"/>
      <c r="BL46" s="381">
        <f>S46+AH46+AW46</f>
        <v>0.13220142913456448</v>
      </c>
      <c r="BM46" s="392">
        <f>BL46/BL$59</f>
        <v>2.4566003007377157E-2</v>
      </c>
      <c r="BN46" s="392"/>
      <c r="BO46" s="381">
        <f>V46+AK46+AZ46</f>
        <v>0.13220142913456448</v>
      </c>
      <c r="BP46" s="392">
        <f>BO46/BO$59</f>
        <v>5.1720596046738954E-2</v>
      </c>
      <c r="BQ46" s="392"/>
      <c r="BR46" s="381">
        <f>Y46+AN46+BC46</f>
        <v>0.13220142913456448</v>
      </c>
      <c r="BS46" s="392">
        <f>BR46/BR$59</f>
        <v>7.3795365958407202E-2</v>
      </c>
    </row>
    <row r="47" spans="1:71" x14ac:dyDescent="0.25">
      <c r="A47" s="353" t="s">
        <v>698</v>
      </c>
      <c r="B47" s="55">
        <v>151.44284999999999</v>
      </c>
      <c r="C47" s="55">
        <v>151.44284999999999</v>
      </c>
      <c r="D47" s="55">
        <v>151.44284999999999</v>
      </c>
      <c r="E47" s="55">
        <v>151.44284999999999</v>
      </c>
      <c r="F47" s="55">
        <v>151.44284999999999</v>
      </c>
      <c r="G47" s="55">
        <v>151.44284999999999</v>
      </c>
    </row>
    <row r="48" spans="1:71" x14ac:dyDescent="0.25">
      <c r="A48" s="353" t="s">
        <v>697</v>
      </c>
      <c r="B48" s="55">
        <v>73.111500000000007</v>
      </c>
      <c r="C48" s="55">
        <v>73.111500000000007</v>
      </c>
      <c r="D48" s="55">
        <v>73.111500000000007</v>
      </c>
      <c r="E48" s="55">
        <v>73.111500000000007</v>
      </c>
      <c r="F48" s="55">
        <v>73.111500000000007</v>
      </c>
      <c r="G48" s="55">
        <v>73.111500000000007</v>
      </c>
    </row>
    <row r="50" spans="1:71" x14ac:dyDescent="0.25">
      <c r="A50" s="366" t="s">
        <v>696</v>
      </c>
    </row>
    <row r="51" spans="1:71" s="6" customFormat="1" x14ac:dyDescent="0.25">
      <c r="A51" s="135" t="s">
        <v>695</v>
      </c>
      <c r="B51" s="563">
        <f t="shared" ref="B51:G51" si="14">B52+B55+B56</f>
        <v>706.88266199999998</v>
      </c>
      <c r="C51" s="563">
        <f t="shared" si="14"/>
        <v>706.88266199999998</v>
      </c>
      <c r="D51" s="563">
        <f t="shared" si="14"/>
        <v>706.88266199999998</v>
      </c>
      <c r="E51" s="563">
        <f t="shared" si="14"/>
        <v>706.88266199999998</v>
      </c>
      <c r="F51" s="563">
        <f t="shared" si="14"/>
        <v>706.88266199999998</v>
      </c>
      <c r="G51" s="563">
        <f t="shared" si="14"/>
        <v>706.88266199999998</v>
      </c>
      <c r="I51" s="395">
        <f>'Summary DISCOUNTED'!$H$67</f>
        <v>91.621554660833894</v>
      </c>
      <c r="J51" s="368">
        <f>'Summary DISCOUNTED'!$AN$67</f>
        <v>8.5390768271189614</v>
      </c>
      <c r="K51" s="175">
        <v>240</v>
      </c>
      <c r="M51" s="381">
        <f>$I51*$C51/10^6</f>
        <v>6.4765688455228773E-2</v>
      </c>
      <c r="N51" s="393">
        <f>M51/M$59</f>
        <v>1.0766928843603044E-2</v>
      </c>
      <c r="O51" s="392"/>
      <c r="P51" s="381">
        <f>$I51*$D51/10^6</f>
        <v>6.4765688455228773E-2</v>
      </c>
      <c r="Q51" s="392">
        <f>P51/P$59</f>
        <v>1.5118888052069943E-2</v>
      </c>
      <c r="R51" s="392"/>
      <c r="S51" s="381">
        <f>$I51*$E51/10^6</f>
        <v>6.4765688455228773E-2</v>
      </c>
      <c r="T51" s="392">
        <f>S51/S$59</f>
        <v>1.7752634873253584E-2</v>
      </c>
      <c r="U51" s="392"/>
      <c r="V51" s="381">
        <f>$I51*$F51/10^6</f>
        <v>6.4765688455228773E-2</v>
      </c>
      <c r="W51" s="392">
        <f>V51/V$59</f>
        <v>3.8074834812064216E-2</v>
      </c>
      <c r="X51" s="392"/>
      <c r="Y51" s="381">
        <f>$I51*$G51/10^6</f>
        <v>6.4765688455228773E-2</v>
      </c>
      <c r="Z51" s="392">
        <f>Y51/Y$59</f>
        <v>5.0358887284583938E-2</v>
      </c>
      <c r="AB51" s="381">
        <f>$J51*$C51/10^6</f>
        <v>6.0361253585763655E-3</v>
      </c>
      <c r="AC51" s="393">
        <f>AB51/AB$59</f>
        <v>1.552260334481864E-2</v>
      </c>
      <c r="AD51" s="392"/>
      <c r="AE51" s="381">
        <f>$J51*$D51/10^6</f>
        <v>6.0361253585763655E-3</v>
      </c>
      <c r="AF51" s="392">
        <f>AE51/AE$59</f>
        <v>2.2061672803730743E-2</v>
      </c>
      <c r="AG51" s="392"/>
      <c r="AH51" s="381">
        <f>$J51*$E51/10^6</f>
        <v>6.0361253585763655E-3</v>
      </c>
      <c r="AI51" s="392">
        <f>AH51/AH$59</f>
        <v>2.7086568115964934E-2</v>
      </c>
      <c r="AJ51" s="392"/>
      <c r="AK51" s="381">
        <f>$J51*$F51/10^6</f>
        <v>6.0361253585763655E-3</v>
      </c>
      <c r="AL51" s="392">
        <f>AK51/AK$59</f>
        <v>6.6892133787079311E-2</v>
      </c>
      <c r="AM51" s="392"/>
      <c r="AN51" s="381">
        <f>$J51*$G51/10^6</f>
        <v>6.0361253585763655E-3</v>
      </c>
      <c r="AO51" s="392">
        <f>AN51/AN$59</f>
        <v>0.12842583747077949</v>
      </c>
      <c r="AQ51" s="381">
        <f>$K51*C51/10^6</f>
        <v>0.16965183887999999</v>
      </c>
      <c r="AR51" s="393">
        <f>AQ51/AQ$59</f>
        <v>7.3770471230840573E-2</v>
      </c>
      <c r="AS51" s="392"/>
      <c r="AT51" s="381">
        <f>$K51*D51/10^6</f>
        <v>0.16965183887999999</v>
      </c>
      <c r="AU51" s="392">
        <f>AT51/AT$59</f>
        <v>9.934928294494072E-2</v>
      </c>
      <c r="AV51" s="392"/>
      <c r="AW51" s="381">
        <f>$K51*E51/10^6</f>
        <v>0.16965183887999999</v>
      </c>
      <c r="AX51" s="392">
        <f>AW51/AW$59</f>
        <v>0.11232218438581787</v>
      </c>
      <c r="AY51" s="392"/>
      <c r="AZ51" s="381">
        <f>$K51*F51/10^6</f>
        <v>0.16965183887999999</v>
      </c>
      <c r="BA51" s="392">
        <f>AZ51/AZ$59</f>
        <v>0.22181864456701086</v>
      </c>
      <c r="BB51" s="392"/>
      <c r="BC51" s="381">
        <f>$K51*G51/10^6</f>
        <v>0.16965183887999999</v>
      </c>
      <c r="BD51" s="392">
        <f>BC51/BC$59</f>
        <v>0.37011476376840968</v>
      </c>
      <c r="BF51" s="381">
        <f>M51+AB51+AQ51</f>
        <v>0.24045365269380514</v>
      </c>
      <c r="BG51" s="393">
        <f>BF51/BF$59</f>
        <v>2.7626193809228407E-2</v>
      </c>
      <c r="BH51" s="392"/>
      <c r="BI51" s="381">
        <f>P51+AE51+AT51</f>
        <v>0.24045365269380514</v>
      </c>
      <c r="BJ51" s="392">
        <f>BI51/BI$59</f>
        <v>3.8380516570134471E-2</v>
      </c>
      <c r="BK51" s="392"/>
      <c r="BL51" s="381">
        <f>S51+AH51+AW51</f>
        <v>0.24045365269380514</v>
      </c>
      <c r="BM51" s="392">
        <f>BL51/BL$59</f>
        <v>4.468170422876646E-2</v>
      </c>
      <c r="BN51" s="392"/>
      <c r="BO51" s="381">
        <f>V51+AK51+AZ51</f>
        <v>0.24045365269380514</v>
      </c>
      <c r="BP51" s="392">
        <f>BO51/BO$59</f>
        <v>9.4071647487868351E-2</v>
      </c>
      <c r="BQ51" s="392"/>
      <c r="BR51" s="381">
        <f>Y51+AN51+BC51</f>
        <v>0.24045365269380514</v>
      </c>
      <c r="BS51" s="392">
        <f>BR51/BR$59</f>
        <v>0.13422218967476937</v>
      </c>
    </row>
    <row r="52" spans="1:71" x14ac:dyDescent="0.25">
      <c r="A52" s="353" t="s">
        <v>694</v>
      </c>
      <c r="B52" s="55">
        <v>116.81699999999999</v>
      </c>
      <c r="C52" s="55">
        <v>116.81699999999999</v>
      </c>
      <c r="D52" s="55">
        <v>116.81699999999999</v>
      </c>
      <c r="E52" s="55">
        <v>116.81699999999999</v>
      </c>
      <c r="F52" s="55">
        <v>116.81699999999999</v>
      </c>
      <c r="G52" s="55">
        <v>116.81699999999999</v>
      </c>
    </row>
    <row r="53" spans="1:71" x14ac:dyDescent="0.25">
      <c r="A53" s="353" t="s">
        <v>693</v>
      </c>
      <c r="B53" s="562">
        <v>124.00777998</v>
      </c>
      <c r="C53" s="562">
        <v>124.00777998</v>
      </c>
      <c r="D53" s="562">
        <v>124.00777998</v>
      </c>
      <c r="E53" s="562">
        <v>124.00777998</v>
      </c>
      <c r="F53" s="562">
        <v>124.00777998</v>
      </c>
      <c r="G53" s="562">
        <v>124.00777998</v>
      </c>
      <c r="I53" s="394">
        <f>'Summary DISCOUNTED'!$H$123</f>
        <v>351.26259218834247</v>
      </c>
      <c r="J53" s="394">
        <f>'Summary DISCOUNTED'!$AN$123</f>
        <v>31.410860043030546</v>
      </c>
      <c r="K53" s="175">
        <v>1100</v>
      </c>
      <c r="M53" s="381">
        <f>$I53*$C53/10^6</f>
        <v>4.3559294247296432E-2</v>
      </c>
      <c r="N53" s="393">
        <f>M53/M$59</f>
        <v>7.2414859291184443E-3</v>
      </c>
      <c r="O53" s="392"/>
      <c r="P53" s="381">
        <f>$I53*$D53/10^6</f>
        <v>4.3559294247296432E-2</v>
      </c>
      <c r="Q53" s="392">
        <f>P53/P$59</f>
        <v>1.0168472057659111E-2</v>
      </c>
      <c r="R53" s="392"/>
      <c r="S53" s="381">
        <f>$I53*$E53/10^6</f>
        <v>4.3559294247296432E-2</v>
      </c>
      <c r="T53" s="392">
        <f>S53/S$59</f>
        <v>1.1939844453956979E-2</v>
      </c>
      <c r="U53" s="392"/>
      <c r="V53" s="381">
        <f>$I53*$F53/10^6</f>
        <v>4.3559294247296432E-2</v>
      </c>
      <c r="W53" s="392">
        <f>V53/V$59</f>
        <v>2.5607894744180904E-2</v>
      </c>
      <c r="X53" s="392"/>
      <c r="Y53" s="381">
        <f>$I53*$G53/10^6</f>
        <v>4.3559294247296432E-2</v>
      </c>
      <c r="Z53" s="392">
        <f>Y53/Y$59</f>
        <v>3.3869748651124375E-2</v>
      </c>
      <c r="AB53" s="381">
        <f>$J53*$C53/10^6</f>
        <v>3.8951910211987052E-3</v>
      </c>
      <c r="AC53" s="393">
        <f>AB53/AB$59</f>
        <v>1.0016939937878794E-2</v>
      </c>
      <c r="AD53" s="392"/>
      <c r="AE53" s="381">
        <f>$J53*$D53/10^6</f>
        <v>3.8951910211987052E-3</v>
      </c>
      <c r="AF53" s="392">
        <f>AE53/AE$59</f>
        <v>1.4236687396761337E-2</v>
      </c>
      <c r="AG53" s="392"/>
      <c r="AH53" s="381">
        <f>$J53*$E53/10^6</f>
        <v>3.8951910211987052E-3</v>
      </c>
      <c r="AI53" s="392">
        <f>AH53/AH$59</f>
        <v>1.7479318379378044E-2</v>
      </c>
      <c r="AJ53" s="392"/>
      <c r="AK53" s="381">
        <f>$J53*$F53/10^6</f>
        <v>3.8951910211987052E-3</v>
      </c>
      <c r="AL53" s="392">
        <f>AK53/AK$59</f>
        <v>4.3166373035318645E-2</v>
      </c>
      <c r="AM53" s="392"/>
      <c r="AN53" s="381">
        <f>$J53*$G53/10^6</f>
        <v>3.8951910211987052E-3</v>
      </c>
      <c r="AO53" s="392">
        <f>AN53/AN$59</f>
        <v>8.2874880703950132E-2</v>
      </c>
      <c r="AQ53" s="381">
        <f>$K53*C53/10^6</f>
        <v>0.136408557978</v>
      </c>
      <c r="AR53" s="393">
        <f>AQ53/AQ$59</f>
        <v>5.9315146056709213E-2</v>
      </c>
      <c r="AS53" s="392"/>
      <c r="AT53" s="381">
        <f>$K53*D53/10^6</f>
        <v>0.136408557978</v>
      </c>
      <c r="AU53" s="392">
        <f>AT53/AT$59</f>
        <v>7.9881789152037946E-2</v>
      </c>
      <c r="AV53" s="392"/>
      <c r="AW53" s="381">
        <f>$K53*E53/10^6</f>
        <v>0.136408557978</v>
      </c>
      <c r="AX53" s="392">
        <f>AW53/AW$59</f>
        <v>9.0312650320554216E-2</v>
      </c>
      <c r="AY53" s="392"/>
      <c r="AZ53" s="381">
        <f>$K53*F53/10^6</f>
        <v>0.136408557978</v>
      </c>
      <c r="BA53" s="392">
        <f>AZ53/AZ$59</f>
        <v>0.17835327714557148</v>
      </c>
      <c r="BB53" s="392"/>
      <c r="BC53" s="381">
        <f>$K53*G53/10^6</f>
        <v>0.136408557978</v>
      </c>
      <c r="BD53" s="392">
        <f>BC53/BC$59</f>
        <v>0.29759076910287885</v>
      </c>
      <c r="BF53" s="381">
        <f>M53+AB53+AQ53</f>
        <v>0.18386304324649513</v>
      </c>
      <c r="BG53" s="393">
        <f>BF53/BF$59</f>
        <v>2.1124387216318968E-2</v>
      </c>
      <c r="BH53" s="392"/>
      <c r="BI53" s="381">
        <f>P53+AE53+AT53</f>
        <v>0.18386304324649513</v>
      </c>
      <c r="BJ53" s="392">
        <f>BI53/BI$59</f>
        <v>2.93476871692341E-2</v>
      </c>
      <c r="BK53" s="392"/>
      <c r="BL53" s="381">
        <f>S53+AH53+AW53</f>
        <v>0.18386304324649513</v>
      </c>
      <c r="BM53" s="392">
        <f>BL53/BL$59</f>
        <v>3.4165894445372443E-2</v>
      </c>
      <c r="BN53" s="392"/>
      <c r="BO53" s="381">
        <f>V53+AK53+AZ53</f>
        <v>0.18386304324649513</v>
      </c>
      <c r="BP53" s="392">
        <f>BO53/BO$59</f>
        <v>7.1931946953437118E-2</v>
      </c>
      <c r="BQ53" s="392"/>
      <c r="BR53" s="381">
        <f>Y53+AN53+BC53</f>
        <v>0.18386304324649513</v>
      </c>
      <c r="BS53" s="392">
        <f>BR53/BR$59</f>
        <v>0.10263308537149617</v>
      </c>
    </row>
    <row r="54" spans="1:71" x14ac:dyDescent="0.25">
      <c r="A54" s="353" t="s">
        <v>692</v>
      </c>
      <c r="B54" s="55">
        <v>39.343299999999999</v>
      </c>
      <c r="C54" s="55">
        <v>39.343299999999999</v>
      </c>
      <c r="D54" s="55">
        <v>39.343299999999999</v>
      </c>
      <c r="E54" s="55">
        <v>39.343299999999999</v>
      </c>
      <c r="F54" s="55">
        <v>39.343299999999999</v>
      </c>
      <c r="G54" s="55">
        <v>39.343299999999999</v>
      </c>
    </row>
    <row r="55" spans="1:71" x14ac:dyDescent="0.25">
      <c r="A55" s="353" t="s">
        <v>691</v>
      </c>
      <c r="B55" s="55">
        <v>434.59216200000009</v>
      </c>
      <c r="C55" s="55">
        <v>434.59216200000009</v>
      </c>
      <c r="D55" s="55">
        <v>434.59216200000009</v>
      </c>
      <c r="E55" s="55">
        <v>434.59216200000009</v>
      </c>
      <c r="F55" s="55">
        <v>434.59216200000009</v>
      </c>
      <c r="G55" s="55">
        <v>434.59216200000009</v>
      </c>
    </row>
    <row r="56" spans="1:71" x14ac:dyDescent="0.25">
      <c r="A56" s="353" t="s">
        <v>690</v>
      </c>
      <c r="B56" s="55">
        <v>155.47349999999997</v>
      </c>
      <c r="C56" s="55">
        <v>155.47349999999997</v>
      </c>
      <c r="D56" s="55">
        <v>155.47349999999997</v>
      </c>
      <c r="E56" s="55">
        <v>155.47349999999997</v>
      </c>
      <c r="F56" s="55">
        <v>155.47349999999997</v>
      </c>
      <c r="G56" s="55">
        <v>155.47349999999997</v>
      </c>
    </row>
    <row r="57" spans="1:71" x14ac:dyDescent="0.25">
      <c r="A57" s="366"/>
    </row>
    <row r="58" spans="1:71" s="74" customFormat="1" x14ac:dyDescent="0.25">
      <c r="A58" s="295" t="s">
        <v>611</v>
      </c>
      <c r="B58" s="73"/>
      <c r="C58" s="73"/>
      <c r="D58" s="73"/>
      <c r="E58" s="73"/>
      <c r="F58" s="73"/>
      <c r="G58" s="73"/>
    </row>
    <row r="59" spans="1:71" s="74" customFormat="1" x14ac:dyDescent="0.25">
      <c r="A59" s="73" t="s">
        <v>689</v>
      </c>
      <c r="B59" s="73">
        <f t="shared" ref="B59:G59" si="15">B8+B12+B15+B16+B17+B21+B26+B31+B34+B35+B41+B44+B46+B51+B53</f>
        <v>4393.9336299800007</v>
      </c>
      <c r="C59" s="73">
        <f t="shared" si="15"/>
        <v>4394.2038289799984</v>
      </c>
      <c r="D59" s="73">
        <f t="shared" si="15"/>
        <v>4467.9791418866653</v>
      </c>
      <c r="E59" s="73">
        <f t="shared" si="15"/>
        <v>4377.0785883966646</v>
      </c>
      <c r="F59" s="73">
        <f t="shared" si="15"/>
        <v>4360.6605684466667</v>
      </c>
      <c r="G59" s="73">
        <f t="shared" si="15"/>
        <v>4414.2434589800014</v>
      </c>
      <c r="M59" s="110">
        <f>M8+M12+M15+M16+M17+M21+M26+M31+M34+M35+M41+M44+M46+M51+M53</f>
        <v>6.0152425446470765</v>
      </c>
      <c r="N59" s="115"/>
      <c r="O59" s="115"/>
      <c r="P59" s="110">
        <f>P8+P12+P15+P16+P17+P21+P26+P31+P34+P35+P41+P44+P46+P51+P53</f>
        <v>4.2837600379190341</v>
      </c>
      <c r="Q59" s="115"/>
      <c r="R59" s="115"/>
      <c r="S59" s="110">
        <f>S8+S12+S15+S16+S17+S21+S26+S31+S34+S35+S41+S44+S46+S51+S53</f>
        <v>3.6482296243700616</v>
      </c>
      <c r="T59" s="115"/>
      <c r="U59" s="115"/>
      <c r="V59" s="110">
        <f>V8+V12+V15+V16+V17+V21+V26+V31+V34+V35+V41+V44+V46+V51+V53</f>
        <v>1.7010103595960295</v>
      </c>
      <c r="W59" s="115"/>
      <c r="X59" s="115"/>
      <c r="Y59" s="110">
        <f>Y8+Y12+Y15+Y16+Y17+Y21+Y26+Y31+Y34+Y35+Y41+Y44+Y46+Y51+Y53</f>
        <v>1.2860825952970392</v>
      </c>
      <c r="Z59" s="115"/>
      <c r="AB59" s="391">
        <f>AB8+AB12+AB15+AB16+AB17+AB21+AB26+AB31+AB34+AB35+AB41+AB44+AB46+AB51+AB53</f>
        <v>0.38886037506016613</v>
      </c>
      <c r="AC59" s="127"/>
      <c r="AD59" s="127"/>
      <c r="AE59" s="391">
        <f>AE8+AE12+AE15+AE16+AE17+AE21+AE26+AE31+AE34+AE35+AE41+AE44+AE46+AE51+AE53</f>
        <v>0.27360234250032145</v>
      </c>
      <c r="AF59" s="127"/>
      <c r="AG59" s="127"/>
      <c r="AH59" s="391">
        <f>AH8+AH12+AH15+AH16+AH17+AH21+AH26+AH31+AH34+AH35+AH41+AH44+AH46+AH51+AH53</f>
        <v>0.22284570465826745</v>
      </c>
      <c r="AI59" s="127"/>
      <c r="AJ59" s="127"/>
      <c r="AK59" s="391">
        <f>AK8+AK12+AK15+AK16+AK17+AK21+AK26+AK31+AK34+AK35+AK41+AK44+AK46+AK51+AK53</f>
        <v>9.0236699247621927E-2</v>
      </c>
      <c r="AL59" s="127"/>
      <c r="AM59" s="127"/>
      <c r="AN59" s="391">
        <f>AN8+AN12+AN15+AN16+AN17+AN21+AN26+AN31+AN34+AN35+AN41+AN44+AN46+AN51+AN53</f>
        <v>4.7000864292200975E-2</v>
      </c>
      <c r="AO59" s="115"/>
      <c r="AQ59" s="110">
        <f>AQ8+AQ12+AQ15+AQ16+AQ17+AQ21+AQ26+AQ31+AQ34+AQ35+AQ41+AQ44+AQ46+AQ51+AQ53</f>
        <v>2.2997255683663727</v>
      </c>
      <c r="AR59" s="115"/>
      <c r="AS59" s="115"/>
      <c r="AT59" s="110">
        <f>AT8+AT12+AT15+AT16+AT17+AT21+AT26+AT31+AT34+AT35+AT41+AT44+AT46+AT51+AT53</f>
        <v>1.7076302299435908</v>
      </c>
      <c r="AU59" s="115"/>
      <c r="AV59" s="115"/>
      <c r="AW59" s="110">
        <f>AW8+AW12+AW15+AW16+AW17+AW21+AW26+AW31+AW34+AW35+AW41+AW44+AW46+AW51+AW53</f>
        <v>1.5104036643131802</v>
      </c>
      <c r="AX59" s="115"/>
      <c r="AY59" s="115"/>
      <c r="AZ59" s="391">
        <f>AZ8+AZ12+AZ15+AZ16+AZ17+AZ21+AZ26+AZ31+AZ34+AZ35+AZ41+AZ44+AZ46+AZ51+AZ53</f>
        <v>0.76482226825954924</v>
      </c>
      <c r="BA59" s="115"/>
      <c r="BB59" s="115"/>
      <c r="BC59" s="391">
        <f>BC8+BC12+BC15+BC16+BC17+BC21+BC26+BC31+BC34+BC35+BC41+BC44+BC46+BC51+BC53</f>
        <v>0.45837630780423422</v>
      </c>
      <c r="BD59" s="115"/>
      <c r="BF59" s="390">
        <f>BF8+BF12+BF15+BF16+BF17+BF21+BF26+BF31+BF34+BF35+BF41+BF44+BF46+BF51+BF53</f>
        <v>8.703828488073615</v>
      </c>
      <c r="BG59" s="115"/>
      <c r="BH59" s="115"/>
      <c r="BI59" s="390">
        <f>BI8+BI12+BI15+BI16+BI17+BI21+BI26+BI31+BI34+BI35+BI41+BI44+BI46+BI51+BI53</f>
        <v>6.2649926103629481</v>
      </c>
      <c r="BJ59" s="115"/>
      <c r="BK59" s="115"/>
      <c r="BL59" s="390">
        <f>BL8+BL12+BL15+BL16+BL17+BL21+BL26+BL31+BL34+BL35+BL41+BL44+BL46+BL51+BL53</f>
        <v>5.3814789933415081</v>
      </c>
      <c r="BM59" s="115"/>
      <c r="BN59" s="115"/>
      <c r="BO59" s="390">
        <f>BO8+BO12+BO15+BO16+BO17+BO21+BO26+BO31+BO34+BO35+BO41+BO44+BO46+BO51+BO53</f>
        <v>2.5560693271032005</v>
      </c>
      <c r="BP59" s="115"/>
      <c r="BQ59" s="115"/>
      <c r="BR59" s="390">
        <f>BR8+BR12+BR15+BR16+BR17+BR21+BR26+BR31+BR34+BR35+BR41+BR44+BR46+BR51+BR53</f>
        <v>1.7914597673934745</v>
      </c>
      <c r="BS59" s="115"/>
    </row>
    <row r="60" spans="1:71" s="74" customFormat="1" x14ac:dyDescent="0.25">
      <c r="A60" s="73" t="s">
        <v>688</v>
      </c>
      <c r="B60" s="73">
        <f t="shared" ref="B60:G60" si="16">B18+B19+B54</f>
        <v>133.38092499999999</v>
      </c>
      <c r="C60" s="73">
        <f t="shared" si="16"/>
        <v>133.38092499999999</v>
      </c>
      <c r="D60" s="73">
        <f t="shared" si="16"/>
        <v>86.362112499999995</v>
      </c>
      <c r="E60" s="73">
        <f t="shared" si="16"/>
        <v>39.343299999999999</v>
      </c>
      <c r="F60" s="73">
        <f t="shared" si="16"/>
        <v>133.38092499999999</v>
      </c>
      <c r="G60" s="73">
        <f t="shared" si="16"/>
        <v>39.343299999999999</v>
      </c>
      <c r="BO60" s="104">
        <f>BO59/BF59</f>
        <v>0.29367183999611712</v>
      </c>
    </row>
  </sheetData>
  <mergeCells count="4">
    <mergeCell ref="V4:W4"/>
    <mergeCell ref="AK4:AL4"/>
    <mergeCell ref="AZ4:BA4"/>
    <mergeCell ref="BO4:BP4"/>
  </mergeCells>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Discounting metrics</vt:lpstr>
      <vt:lpstr>Amortization metrics</vt:lpstr>
      <vt:lpstr>Allometrics &amp; Decay rates</vt:lpstr>
      <vt:lpstr>Summary DISCOUNTED</vt:lpstr>
      <vt:lpstr>Summary AMORTIZED</vt:lpstr>
      <vt:lpstr>Crops; pasture DISCOUNTED</vt:lpstr>
      <vt:lpstr>Crops; pasture AMORTIZED</vt:lpstr>
      <vt:lpstr>Crops proc. &amp; prod. DISCOUNTED</vt:lpstr>
      <vt:lpstr>Crops proc. &amp; prod. AMORTIZED</vt:lpstr>
      <vt:lpstr>Livestock prod. DISCOUNTED</vt:lpstr>
      <vt:lpstr>Livestock prod. AMORTIZED</vt:lpstr>
      <vt:lpstr>Ex - LU options sites DISC.</vt:lpstr>
      <vt:lpstr>Ex - LU grass-ethanol DISC.</vt:lpstr>
      <vt:lpstr>Ex - Crops DISC.</vt:lpstr>
      <vt:lpstr>Ex - Livestock DISC.</vt:lpstr>
      <vt:lpstr>Ex - Fuels DISC.</vt:lpstr>
      <vt:lpstr>Ex - Powertrains; I. Main DISC.</vt:lpstr>
      <vt:lpstr>Ex - PT.; II. PV DISC.</vt:lpstr>
      <vt:lpstr>Ex - PT; III. Backup DISC.</vt:lpstr>
      <vt:lpstr>Ex - PT; IV. Backup+PV DISC.</vt:lpstr>
      <vt:lpstr>Ex - Diets DISC.</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Stefan Wirsenius</dc:creator>
  <cp:lastModifiedBy>miriam mazzeo</cp:lastModifiedBy>
  <cp:lastPrinted>2016-07-22T07:23:01Z</cp:lastPrinted>
  <dcterms:created xsi:type="dcterms:W3CDTF">2015-02-10T23:48:24Z</dcterms:created>
  <dcterms:modified xsi:type="dcterms:W3CDTF">2021-03-17T10:47:48Z</dcterms:modified>
  <cp:contentStatus/>
</cp:coreProperties>
</file>